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13_ncr:1_{D09CF78F-1467-4821-8AA4-596D963BFA66}" xr6:coauthVersionLast="47" xr6:coauthVersionMax="47" xr10:uidLastSave="{00000000-0000-0000-0000-000000000000}"/>
  <bookViews>
    <workbookView xWindow="27765" yWindow="1155" windowWidth="28125" windowHeight="14280" tabRatio="775" firstSheet="2"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8" hidden="1">Data!$BU$2:$BU$42</definedName>
    <definedName name="_xlnm._FilterDatabase" localSheetId="10" hidden="1">Hjelpeark!$O$1:$P$42</definedName>
    <definedName name="_xlnm._FilterDatabase" localSheetId="2" hidden="1">Kuponger!$BH$1:$BH$903</definedName>
    <definedName name="_xlnm._FilterDatabase" localSheetId="4" hidden="1">Regnskap!$K$10:$K$51</definedName>
    <definedName name="_xleta.AND" hidden="1" xlm="1">#NAME?</definedName>
    <definedName name="_xleta.DATE" hidden="1" xlm="1">#NAME?</definedName>
    <definedName name="_xleta.FILTER" hidden="1" xlm="1">#NAME?</definedName>
    <definedName name="_xleta.N" hidden="1" xlm="1">#NAME?</definedName>
    <definedName name="_xleta.OR" hidden="1" xlm="1">#NAME?</definedName>
    <definedName name="_xleta.SUM" hidden="1" xlm="1">#NAME?</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Tabeller!$C$46:$S$55</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3" i="74" l="1" a="1"/>
  <c r="S33" i="74" s="1" a="1"/>
  <c r="T33" i="74" s="1" a="1"/>
  <c r="R32" i="74" a="1"/>
  <c r="S32" i="74" s="1" a="1"/>
  <c r="T32" i="74" s="1" a="1"/>
  <c r="R31" i="74" a="1"/>
  <c r="S31" i="74" s="1" a="1"/>
  <c r="T31" i="74" s="1" a="1"/>
  <c r="R30" i="74" a="1"/>
  <c r="S30" i="74" s="1" a="1"/>
  <c r="T30" i="74" s="1" a="1"/>
  <c r="R29" i="74" a="1"/>
  <c r="S29" i="74" s="1" a="1"/>
  <c r="T29" i="74" s="1" a="1"/>
  <c r="R28" i="74" a="1"/>
  <c r="S28" i="74" s="1" a="1"/>
  <c r="T28" i="74" s="1" a="1"/>
  <c r="R27" i="74" a="1"/>
  <c r="S27" i="74" s="1" a="1"/>
  <c r="T27" i="74" s="1" a="1"/>
  <c r="R26" i="74" a="1"/>
  <c r="S26" i="74" s="1" a="1"/>
  <c r="T26" i="74" s="1" a="1"/>
  <c r="R25" i="74" a="1"/>
  <c r="S25" i="74" s="1" a="1"/>
  <c r="T25" i="74" s="1" a="1"/>
  <c r="R24" i="74" a="1"/>
  <c r="S24" i="74" s="1" a="1"/>
  <c r="T24" i="74" s="1" a="1"/>
  <c r="R23" i="74" a="1"/>
  <c r="S23" i="74" s="1" a="1"/>
  <c r="T23" i="74" s="1" a="1"/>
  <c r="R22" i="74" a="1"/>
  <c r="S22" i="74" s="1" a="1"/>
  <c r="T22" i="74" s="1" a="1"/>
  <c r="R21" i="74" a="1"/>
  <c r="S21" i="74" s="1" a="1"/>
  <c r="T21" i="74" s="1" a="1"/>
  <c r="R20" i="74" a="1"/>
  <c r="S20" i="74" s="1" a="1"/>
  <c r="T20" i="74" s="1" a="1"/>
  <c r="R19" i="74" a="1"/>
  <c r="S19" i="74" s="1" a="1"/>
  <c r="T19" i="74" s="1" a="1"/>
  <c r="R18" i="74" a="1"/>
  <c r="S18" i="74" s="1" a="1"/>
  <c r="T18" i="74" s="1" a="1"/>
  <c r="R17" i="74" a="1"/>
  <c r="S17" i="74" s="1" a="1"/>
  <c r="T17" i="74" s="1" a="1"/>
  <c r="R16" i="74" a="1"/>
  <c r="S16" i="74" s="1" a="1"/>
  <c r="T16" i="74" s="1" a="1"/>
  <c r="R15" i="74" a="1"/>
  <c r="S15" i="74" s="1" a="1"/>
  <c r="T15" i="74" s="1" a="1"/>
  <c r="R14" i="74" a="1"/>
  <c r="S14" i="74" s="1" a="1"/>
  <c r="T14" i="74" s="1" a="1"/>
  <c r="R13" i="74" a="1"/>
  <c r="S13" i="74" s="1" a="1"/>
  <c r="T13" i="74" s="1" a="1"/>
  <c r="R12" i="74" a="1"/>
  <c r="S12" i="74" s="1" a="1"/>
  <c r="T12" i="74" s="1" a="1"/>
  <c r="R11" i="74" a="1"/>
  <c r="S11" i="74" s="1" a="1"/>
  <c r="T11" i="74" s="1" a="1"/>
  <c r="R10" i="74" a="1"/>
  <c r="S10" i="74" s="1" a="1"/>
  <c r="T10" i="74" s="1" a="1"/>
  <c r="R9" i="74" a="1"/>
  <c r="S9" i="74" s="1" a="1"/>
  <c r="T9" i="74" s="1" a="1"/>
  <c r="R8" i="74" a="1"/>
  <c r="S8" i="74" s="1" a="1"/>
  <c r="T8" i="74" s="1" a="1"/>
  <c r="R7" i="74" a="1"/>
  <c r="S7" i="74" s="1" a="1"/>
  <c r="T7" i="74" s="1" a="1"/>
  <c r="R6" i="74" a="1"/>
  <c r="S6" i="74" s="1" a="1"/>
  <c r="T6" i="74" s="1" a="1"/>
  <c r="R5" i="74" a="1"/>
  <c r="S5" i="74" s="1" a="1"/>
  <c r="T5" i="74" s="1" a="1"/>
  <c r="R4" i="74" a="1"/>
  <c r="S4" i="74" s="1" a="1"/>
  <c r="T4" i="74" s="1" a="1"/>
  <c r="R3" i="74" a="1"/>
  <c r="S3" i="74" s="1" a="1"/>
  <c r="T3" i="74" s="1" a="1"/>
  <c r="R2" i="74" a="1"/>
  <c r="S2" i="74" s="1" a="1"/>
  <c r="T2" i="74" s="1" a="1"/>
  <c r="R33" i="73" a="1"/>
  <c r="S33" i="73" s="1" a="1"/>
  <c r="T33" i="73" s="1" a="1"/>
  <c r="R32" i="73" a="1"/>
  <c r="S32" i="73" s="1" a="1"/>
  <c r="T32" i="73" s="1" a="1"/>
  <c r="R31" i="73" a="1"/>
  <c r="S31" i="73" s="1" a="1"/>
  <c r="T31" i="73" s="1" a="1"/>
  <c r="R30" i="73" a="1"/>
  <c r="S30" i="73" s="1" a="1"/>
  <c r="T30" i="73" s="1" a="1"/>
  <c r="R29" i="73" a="1"/>
  <c r="S29" i="73" s="1" a="1"/>
  <c r="T29" i="73" s="1" a="1"/>
  <c r="R28" i="73" a="1"/>
  <c r="S28" i="73" s="1" a="1"/>
  <c r="T28" i="73" s="1" a="1"/>
  <c r="R27" i="73" a="1"/>
  <c r="S27" i="73" s="1" a="1"/>
  <c r="T27" i="73" s="1" a="1"/>
  <c r="R26" i="73" a="1"/>
  <c r="S26" i="73" s="1" a="1"/>
  <c r="T26" i="73" s="1" a="1"/>
  <c r="R25" i="73" a="1"/>
  <c r="S25" i="73" s="1" a="1"/>
  <c r="T25" i="73" s="1" a="1"/>
  <c r="R24" i="73" a="1"/>
  <c r="S24" i="73" s="1" a="1"/>
  <c r="T24" i="73" s="1" a="1"/>
  <c r="R23" i="73" a="1"/>
  <c r="S23" i="73" s="1" a="1"/>
  <c r="T23" i="73" s="1" a="1"/>
  <c r="R22" i="73" a="1"/>
  <c r="S22" i="73" s="1" a="1"/>
  <c r="T22" i="73" s="1" a="1"/>
  <c r="R21" i="73" a="1"/>
  <c r="S21" i="73" s="1" a="1"/>
  <c r="T21" i="73" s="1" a="1"/>
  <c r="R20" i="73" a="1"/>
  <c r="S20" i="73" s="1" a="1"/>
  <c r="T20" i="73" s="1" a="1"/>
  <c r="R19" i="73" a="1"/>
  <c r="S19" i="73" s="1" a="1"/>
  <c r="T19" i="73" s="1" a="1"/>
  <c r="R18" i="73" a="1"/>
  <c r="S18" i="73" s="1" a="1"/>
  <c r="T18" i="73" s="1" a="1"/>
  <c r="R17" i="73" a="1"/>
  <c r="S17" i="73" s="1" a="1"/>
  <c r="T17" i="73" s="1" a="1"/>
  <c r="R16" i="73" a="1"/>
  <c r="S16" i="73" s="1" a="1"/>
  <c r="T16" i="73" s="1" a="1"/>
  <c r="R15" i="73" a="1"/>
  <c r="S15" i="73" s="1" a="1"/>
  <c r="T15" i="73" s="1" a="1"/>
  <c r="R14" i="73" a="1"/>
  <c r="S14" i="73" s="1" a="1"/>
  <c r="T14" i="73" s="1" a="1"/>
  <c r="R13" i="73" a="1"/>
  <c r="S13" i="73" s="1" a="1"/>
  <c r="T13" i="73" s="1" a="1"/>
  <c r="R12" i="73" a="1"/>
  <c r="S12" i="73" s="1" a="1"/>
  <c r="T12" i="73" s="1" a="1"/>
  <c r="R11" i="73" a="1"/>
  <c r="S11" i="73" s="1" a="1"/>
  <c r="T11" i="73" s="1" a="1"/>
  <c r="R10" i="73" a="1"/>
  <c r="S10" i="73" s="1" a="1"/>
  <c r="T10" i="73" s="1" a="1"/>
  <c r="R9" i="73" a="1"/>
  <c r="S9" i="73" s="1" a="1"/>
  <c r="T9" i="73" s="1" a="1"/>
  <c r="R8" i="73" a="1"/>
  <c r="S8" i="73" s="1" a="1"/>
  <c r="T8" i="73" s="1" a="1"/>
  <c r="R6" i="73" a="1"/>
  <c r="S6" i="73" s="1" a="1"/>
  <c r="T6" i="73" s="1" a="1"/>
  <c r="R5" i="73" a="1"/>
  <c r="S5" i="73" s="1" a="1"/>
  <c r="T5" i="73" s="1" a="1"/>
  <c r="R4" i="73" a="1"/>
  <c r="S4" i="73" s="1" a="1"/>
  <c r="T4" i="73" s="1" a="1"/>
  <c r="R3" i="73" a="1"/>
  <c r="S3" i="73" s="1" a="1"/>
  <c r="T3" i="73" s="1" a="1"/>
  <c r="R2" i="73" a="1"/>
  <c r="S2" i="73" s="1" a="1"/>
  <c r="T2" i="73" s="1" a="1"/>
  <c r="R33" i="72" a="1"/>
  <c r="S33" i="72" s="1" a="1"/>
  <c r="T33" i="72" s="1" a="1"/>
  <c r="R32" i="72" a="1"/>
  <c r="S32" i="72" s="1" a="1"/>
  <c r="T32" i="72" s="1" a="1"/>
  <c r="R31" i="72" a="1"/>
  <c r="S31" i="72" s="1" a="1"/>
  <c r="T31" i="72" s="1" a="1"/>
  <c r="R30" i="72" a="1"/>
  <c r="S30" i="72" s="1" a="1"/>
  <c r="T30" i="72" s="1" a="1"/>
  <c r="R29" i="72" a="1"/>
  <c r="S29" i="72" s="1" a="1"/>
  <c r="T29" i="72" s="1" a="1"/>
  <c r="R28" i="72" a="1"/>
  <c r="S28" i="72" s="1" a="1"/>
  <c r="T28" i="72" s="1" a="1"/>
  <c r="R27" i="72" a="1"/>
  <c r="S27" i="72" s="1" a="1"/>
  <c r="T27" i="72" s="1" a="1"/>
  <c r="R26" i="72" a="1"/>
  <c r="S26" i="72" s="1" a="1"/>
  <c r="T26" i="72" s="1" a="1"/>
  <c r="R25" i="72" a="1"/>
  <c r="S25" i="72" s="1" a="1"/>
  <c r="T25" i="72" s="1" a="1"/>
  <c r="R24" i="72" a="1"/>
  <c r="S24" i="72" s="1" a="1"/>
  <c r="T24" i="72" s="1" a="1"/>
  <c r="R23" i="72" a="1"/>
  <c r="S23" i="72" s="1" a="1"/>
  <c r="T23" i="72" s="1" a="1"/>
  <c r="R22" i="72" a="1"/>
  <c r="S22" i="72" s="1" a="1"/>
  <c r="T22" i="72" s="1" a="1"/>
  <c r="R21" i="72" a="1"/>
  <c r="S21" i="72" s="1" a="1"/>
  <c r="T21" i="72" s="1" a="1"/>
  <c r="R20" i="72" a="1"/>
  <c r="S20" i="72" s="1" a="1"/>
  <c r="T20" i="72" s="1" a="1"/>
  <c r="R19" i="72" a="1"/>
  <c r="S19" i="72" s="1" a="1"/>
  <c r="T19" i="72" s="1" a="1"/>
  <c r="R18" i="72" a="1"/>
  <c r="S18" i="72" s="1" a="1"/>
  <c r="T18" i="72" s="1" a="1"/>
  <c r="R17" i="72" a="1"/>
  <c r="S17" i="72" s="1" a="1"/>
  <c r="T17" i="72" s="1" a="1"/>
  <c r="R16" i="72" a="1"/>
  <c r="S16" i="72" s="1" a="1"/>
  <c r="T16" i="72" s="1" a="1"/>
  <c r="R15" i="72" a="1"/>
  <c r="S15" i="72" s="1" a="1"/>
  <c r="T15" i="72" s="1" a="1"/>
  <c r="R14" i="72" a="1"/>
  <c r="S14" i="72" s="1" a="1"/>
  <c r="T14" i="72" s="1" a="1"/>
  <c r="R13" i="72" a="1"/>
  <c r="S13" i="72" s="1" a="1"/>
  <c r="T13" i="72" s="1" a="1"/>
  <c r="R12" i="72" a="1"/>
  <c r="S12" i="72" s="1" a="1"/>
  <c r="T12" i="72" s="1" a="1"/>
  <c r="R11" i="72" a="1"/>
  <c r="S11" i="72" s="1" a="1"/>
  <c r="T11" i="72" s="1" a="1"/>
  <c r="R10" i="72" a="1"/>
  <c r="S10" i="72" s="1" a="1"/>
  <c r="T10" i="72" s="1" a="1"/>
  <c r="R9" i="72" a="1"/>
  <c r="S9" i="72" s="1" a="1"/>
  <c r="T9" i="72" s="1" a="1"/>
  <c r="R8" i="72" a="1"/>
  <c r="S8" i="72" s="1" a="1"/>
  <c r="T8" i="72" s="1" a="1"/>
  <c r="R7" i="72" a="1"/>
  <c r="S7" i="72" s="1" a="1"/>
  <c r="T7" i="72" s="1" a="1"/>
  <c r="R6" i="72" a="1"/>
  <c r="S6" i="72" s="1" a="1"/>
  <c r="T6" i="72" s="1" a="1"/>
  <c r="R5" i="72" a="1"/>
  <c r="S5" i="72" s="1" a="1"/>
  <c r="T5" i="72" s="1" a="1"/>
  <c r="R4" i="72" a="1"/>
  <c r="S4" i="72" s="1" a="1"/>
  <c r="T4" i="72" s="1" a="1"/>
  <c r="R3" i="72" a="1"/>
  <c r="S3" i="72" s="1" a="1"/>
  <c r="T3" i="72" s="1" a="1"/>
  <c r="R2" i="72" a="1"/>
  <c r="S2" i="72" s="1" a="1"/>
  <c r="T2" i="72" s="1" a="1"/>
  <c r="R33" i="71" a="1"/>
  <c r="S33" i="71" s="1" a="1"/>
  <c r="T33" i="71" s="1" a="1"/>
  <c r="R32" i="71" a="1"/>
  <c r="S32" i="71" s="1" a="1"/>
  <c r="T32" i="71" s="1" a="1"/>
  <c r="R31" i="71" a="1"/>
  <c r="S31" i="71" s="1" a="1"/>
  <c r="T31" i="71" s="1" a="1"/>
  <c r="R30" i="71" a="1"/>
  <c r="S30" i="71" s="1" a="1"/>
  <c r="T30" i="71" s="1" a="1"/>
  <c r="R29" i="71" a="1"/>
  <c r="S29" i="71" s="1" a="1"/>
  <c r="T29" i="71" s="1" a="1"/>
  <c r="R28" i="71" a="1"/>
  <c r="S28" i="71" s="1" a="1"/>
  <c r="T28" i="71" s="1" a="1"/>
  <c r="R27" i="71" a="1"/>
  <c r="S27" i="71" s="1" a="1"/>
  <c r="T27" i="71" s="1" a="1"/>
  <c r="R26" i="71" a="1"/>
  <c r="S26" i="71" s="1" a="1"/>
  <c r="T26" i="71" s="1" a="1"/>
  <c r="R25" i="71" a="1"/>
  <c r="S25" i="71" s="1" a="1"/>
  <c r="T25" i="71" s="1" a="1"/>
  <c r="R24" i="71" a="1"/>
  <c r="S24" i="71" s="1" a="1"/>
  <c r="T24" i="71" s="1" a="1"/>
  <c r="R23" i="71" a="1"/>
  <c r="S23" i="71" s="1" a="1"/>
  <c r="T23" i="71" s="1" a="1"/>
  <c r="R22" i="71" a="1"/>
  <c r="S22" i="71" s="1" a="1"/>
  <c r="T22" i="71" s="1" a="1"/>
  <c r="R21" i="71" a="1"/>
  <c r="S21" i="71" s="1" a="1"/>
  <c r="T21" i="71" s="1" a="1"/>
  <c r="R20" i="71" a="1"/>
  <c r="S20" i="71" s="1" a="1"/>
  <c r="T20" i="71" s="1" a="1"/>
  <c r="R19" i="71" a="1"/>
  <c r="S19" i="71" s="1" a="1"/>
  <c r="T19" i="71" s="1" a="1"/>
  <c r="R18" i="71" a="1"/>
  <c r="S18" i="71" s="1" a="1"/>
  <c r="T18" i="71" s="1" a="1"/>
  <c r="R17" i="71" a="1"/>
  <c r="S17" i="71" s="1" a="1"/>
  <c r="T17" i="71" s="1" a="1"/>
  <c r="R16" i="71" a="1"/>
  <c r="S16" i="71" s="1" a="1"/>
  <c r="T16" i="71" s="1" a="1"/>
  <c r="R15" i="71" a="1"/>
  <c r="S15" i="71" s="1" a="1"/>
  <c r="T15" i="71" s="1" a="1"/>
  <c r="R14" i="71" a="1"/>
  <c r="S14" i="71" s="1" a="1"/>
  <c r="T14" i="71" s="1" a="1"/>
  <c r="R13" i="71" a="1"/>
  <c r="S13" i="71" s="1" a="1"/>
  <c r="T13" i="71" s="1" a="1"/>
  <c r="R12" i="71" a="1"/>
  <c r="S12" i="71" s="1" a="1"/>
  <c r="T12" i="71" s="1" a="1"/>
  <c r="R11" i="71" a="1"/>
  <c r="S11" i="71" s="1" a="1"/>
  <c r="T11" i="71" s="1" a="1"/>
  <c r="R10" i="71" a="1"/>
  <c r="S10" i="71" s="1" a="1"/>
  <c r="T10" i="71" s="1" a="1"/>
  <c r="R9" i="71" a="1"/>
  <c r="S9" i="71" s="1" a="1"/>
  <c r="T9" i="71" s="1" a="1"/>
  <c r="R8" i="71" a="1"/>
  <c r="S8" i="71" s="1" a="1"/>
  <c r="T8" i="71" s="1" a="1"/>
  <c r="R7" i="71" a="1"/>
  <c r="S7" i="71" s="1" a="1"/>
  <c r="T7" i="71" s="1" a="1"/>
  <c r="R6" i="71" a="1"/>
  <c r="S6" i="71" s="1" a="1"/>
  <c r="T6" i="71" s="1" a="1"/>
  <c r="R5" i="71" a="1"/>
  <c r="S5" i="71" s="1" a="1"/>
  <c r="T5" i="71" s="1" a="1"/>
  <c r="R4" i="71" a="1"/>
  <c r="S4" i="71" s="1" a="1"/>
  <c r="T4" i="71" s="1" a="1"/>
  <c r="R3" i="71" a="1"/>
  <c r="S3" i="71" s="1" a="1"/>
  <c r="T3" i="71" s="1" a="1"/>
  <c r="R2" i="71" a="1"/>
  <c r="S2" i="71" s="1" a="1"/>
  <c r="T2" i="71" s="1" a="1"/>
  <c r="R33" i="70" a="1"/>
  <c r="S33" i="70" s="1" a="1"/>
  <c r="T33" i="70" s="1" a="1"/>
  <c r="R32" i="70" a="1"/>
  <c r="S32" i="70" s="1" a="1"/>
  <c r="T32" i="70" s="1" a="1"/>
  <c r="R31" i="70" a="1"/>
  <c r="S31" i="70" s="1" a="1"/>
  <c r="T31" i="70" s="1" a="1"/>
  <c r="R30" i="70" a="1"/>
  <c r="S30" i="70" s="1" a="1"/>
  <c r="T30" i="70" s="1" a="1"/>
  <c r="R29" i="70" a="1"/>
  <c r="S29" i="70" s="1" a="1"/>
  <c r="T29" i="70" s="1" a="1"/>
  <c r="R28" i="70" a="1"/>
  <c r="S28" i="70" s="1" a="1"/>
  <c r="T28" i="70" s="1" a="1"/>
  <c r="R27" i="70" a="1"/>
  <c r="S27" i="70" s="1" a="1"/>
  <c r="T27" i="70" s="1" a="1"/>
  <c r="R26" i="70" a="1"/>
  <c r="S26" i="70" s="1" a="1"/>
  <c r="T26" i="70" s="1" a="1"/>
  <c r="R25" i="70" a="1"/>
  <c r="S25" i="70" s="1" a="1"/>
  <c r="T25" i="70" s="1" a="1"/>
  <c r="R24" i="70" a="1"/>
  <c r="S24" i="70" s="1" a="1"/>
  <c r="T24" i="70" s="1" a="1"/>
  <c r="R23" i="70" a="1"/>
  <c r="S23" i="70" s="1" a="1"/>
  <c r="T23" i="70" s="1" a="1"/>
  <c r="R22" i="70" a="1"/>
  <c r="S22" i="70" s="1" a="1"/>
  <c r="T22" i="70" s="1" a="1"/>
  <c r="R21" i="70" a="1"/>
  <c r="S21" i="70" s="1" a="1"/>
  <c r="T21" i="70" s="1" a="1"/>
  <c r="R20" i="70" a="1"/>
  <c r="S20" i="70" s="1" a="1"/>
  <c r="T20" i="70" s="1" a="1"/>
  <c r="R19" i="70" a="1"/>
  <c r="S19" i="70" s="1" a="1"/>
  <c r="T19" i="70" s="1" a="1"/>
  <c r="R18" i="70" a="1"/>
  <c r="S18" i="70" s="1" a="1"/>
  <c r="T18" i="70" s="1" a="1"/>
  <c r="R17" i="70" a="1"/>
  <c r="S17" i="70" s="1" a="1"/>
  <c r="T17" i="70" s="1" a="1"/>
  <c r="R16" i="70" a="1"/>
  <c r="S16" i="70" s="1" a="1"/>
  <c r="T16" i="70" s="1" a="1"/>
  <c r="R15" i="70" a="1"/>
  <c r="S15" i="70" s="1" a="1"/>
  <c r="T15" i="70" s="1" a="1"/>
  <c r="R14" i="70" a="1"/>
  <c r="S14" i="70" s="1" a="1"/>
  <c r="T14" i="70" s="1" a="1"/>
  <c r="R13" i="70" a="1"/>
  <c r="S13" i="70" s="1" a="1"/>
  <c r="T13" i="70" s="1" a="1"/>
  <c r="R12" i="70" a="1"/>
  <c r="S12" i="70" s="1" a="1"/>
  <c r="T12" i="70" s="1" a="1"/>
  <c r="R11" i="70" a="1"/>
  <c r="S11" i="70" s="1" a="1"/>
  <c r="T11" i="70" s="1" a="1"/>
  <c r="R10" i="70" a="1"/>
  <c r="S10" i="70" s="1" a="1"/>
  <c r="T10" i="70" s="1" a="1"/>
  <c r="R9" i="70" a="1"/>
  <c r="S9" i="70" s="1" a="1"/>
  <c r="T9" i="70" s="1" a="1"/>
  <c r="R8" i="70" a="1"/>
  <c r="S8" i="70" s="1" a="1"/>
  <c r="T8" i="70" s="1" a="1"/>
  <c r="R7" i="70" a="1"/>
  <c r="S7" i="70" s="1" a="1"/>
  <c r="T7" i="70" s="1" a="1"/>
  <c r="R6" i="70" a="1"/>
  <c r="S6" i="70" s="1" a="1"/>
  <c r="T6" i="70" s="1" a="1"/>
  <c r="R5" i="70" a="1"/>
  <c r="S5" i="70" s="1" a="1"/>
  <c r="T5" i="70" s="1" a="1"/>
  <c r="R4" i="70" a="1"/>
  <c r="S4" i="70" s="1" a="1"/>
  <c r="T4" i="70" s="1" a="1"/>
  <c r="R3" i="70" a="1"/>
  <c r="S3" i="70" s="1" a="1"/>
  <c r="T3" i="70" s="1" a="1"/>
  <c r="R2" i="70" a="1"/>
  <c r="S2" i="70" s="1" a="1"/>
  <c r="T2" i="70" s="1" a="1"/>
  <c r="R33" i="67" a="1"/>
  <c r="S33" i="67" s="1" a="1"/>
  <c r="T33" i="67" s="1" a="1"/>
  <c r="R32" i="67" a="1"/>
  <c r="S32" i="67" s="1" a="1"/>
  <c r="T32" i="67" s="1" a="1"/>
  <c r="R31" i="67" a="1"/>
  <c r="S31" i="67" s="1" a="1"/>
  <c r="T31" i="67" s="1" a="1"/>
  <c r="R30" i="67" a="1"/>
  <c r="S30" i="67" s="1" a="1"/>
  <c r="T30" i="67" s="1" a="1"/>
  <c r="R29" i="67" a="1"/>
  <c r="S29" i="67" s="1" a="1"/>
  <c r="T29" i="67" s="1" a="1"/>
  <c r="R28" i="67" a="1"/>
  <c r="S28" i="67" s="1" a="1"/>
  <c r="T28" i="67" s="1" a="1"/>
  <c r="R27" i="67" a="1"/>
  <c r="S27" i="67" s="1" a="1"/>
  <c r="T27" i="67" s="1" a="1"/>
  <c r="R26" i="67" a="1"/>
  <c r="S26" i="67" s="1" a="1"/>
  <c r="T26" i="67" s="1" a="1"/>
  <c r="R25" i="67" a="1"/>
  <c r="S25" i="67" s="1" a="1"/>
  <c r="T25" i="67" s="1" a="1"/>
  <c r="R24" i="67" a="1"/>
  <c r="S24" i="67" s="1" a="1"/>
  <c r="T24" i="67" s="1" a="1"/>
  <c r="R23" i="67" a="1"/>
  <c r="S23" i="67" s="1" a="1"/>
  <c r="T23" i="67" s="1" a="1"/>
  <c r="R22" i="67" a="1"/>
  <c r="S22" i="67" s="1" a="1"/>
  <c r="T22" i="67" s="1" a="1"/>
  <c r="R21" i="67" a="1"/>
  <c r="S21" i="67" s="1" a="1"/>
  <c r="T21" i="67" s="1" a="1"/>
  <c r="R20" i="67" a="1"/>
  <c r="S20" i="67" s="1" a="1"/>
  <c r="T20" i="67" s="1" a="1"/>
  <c r="R19" i="67" a="1"/>
  <c r="S19" i="67" s="1" a="1"/>
  <c r="T19" i="67" s="1" a="1"/>
  <c r="R18" i="67" a="1"/>
  <c r="S18" i="67" s="1" a="1"/>
  <c r="T18" i="67" s="1" a="1"/>
  <c r="R17" i="67" a="1"/>
  <c r="S17" i="67" s="1" a="1"/>
  <c r="T17" i="67" s="1" a="1"/>
  <c r="R16" i="67" a="1"/>
  <c r="S16" i="67" s="1" a="1"/>
  <c r="T16" i="67" s="1" a="1"/>
  <c r="R15" i="67" a="1"/>
  <c r="S15" i="67" s="1" a="1"/>
  <c r="T15" i="67" s="1" a="1"/>
  <c r="R14" i="67" a="1"/>
  <c r="S14" i="67" s="1" a="1"/>
  <c r="T14" i="67" s="1" a="1"/>
  <c r="R13" i="67" a="1"/>
  <c r="S13" i="67" s="1" a="1"/>
  <c r="T13" i="67" s="1" a="1"/>
  <c r="R12" i="67" a="1"/>
  <c r="S12" i="67" s="1" a="1"/>
  <c r="T12" i="67" s="1" a="1"/>
  <c r="R11" i="67" a="1"/>
  <c r="S11" i="67" s="1" a="1"/>
  <c r="T11" i="67" s="1" a="1"/>
  <c r="R10" i="67" a="1"/>
  <c r="S10" i="67" s="1" a="1"/>
  <c r="T10" i="67" s="1" a="1"/>
  <c r="R9" i="67" a="1"/>
  <c r="S9" i="67" s="1" a="1"/>
  <c r="T9" i="67" s="1" a="1"/>
  <c r="R8" i="67" a="1"/>
  <c r="S8" i="67" s="1" a="1"/>
  <c r="T8" i="67" s="1" a="1"/>
  <c r="R7" i="67" a="1"/>
  <c r="S7" i="67" s="1" a="1"/>
  <c r="T7" i="67" s="1" a="1"/>
  <c r="R6" i="67" a="1"/>
  <c r="S6" i="67" s="1" a="1"/>
  <c r="T6" i="67" s="1" a="1"/>
  <c r="R5" i="67" a="1"/>
  <c r="S5" i="67" s="1" a="1"/>
  <c r="T5" i="67" s="1" a="1"/>
  <c r="R4" i="67" a="1"/>
  <c r="S4" i="67" s="1" a="1"/>
  <c r="T4" i="67" s="1" a="1"/>
  <c r="R3" i="67" a="1"/>
  <c r="S3" i="67" s="1" a="1"/>
  <c r="T3" i="67" s="1" a="1"/>
  <c r="R2" i="67" a="1"/>
  <c r="S2" i="67" s="1" a="1"/>
  <c r="T2" i="67" s="1" a="1"/>
  <c r="R33" i="68" a="1"/>
  <c r="S33" i="68" s="1" a="1"/>
  <c r="T33" i="68" s="1" a="1"/>
  <c r="R32" i="68" a="1"/>
  <c r="S32" i="68" s="1" a="1"/>
  <c r="T32" i="68" s="1" a="1"/>
  <c r="R31" i="68" a="1"/>
  <c r="S31" i="68" s="1" a="1"/>
  <c r="T31" i="68" s="1" a="1"/>
  <c r="R30" i="68" a="1"/>
  <c r="S30" i="68" s="1" a="1"/>
  <c r="T30" i="68" s="1" a="1"/>
  <c r="R29" i="68" a="1"/>
  <c r="S29" i="68" s="1" a="1"/>
  <c r="T29" i="68" s="1" a="1"/>
  <c r="R28" i="68" a="1"/>
  <c r="S28" i="68" s="1" a="1"/>
  <c r="T28" i="68" s="1" a="1"/>
  <c r="R27" i="68" a="1"/>
  <c r="S27" i="68" s="1" a="1"/>
  <c r="T27" i="68" s="1" a="1"/>
  <c r="R26" i="68" a="1"/>
  <c r="S26" i="68" s="1" a="1"/>
  <c r="T26" i="68" s="1" a="1"/>
  <c r="R25" i="68" a="1"/>
  <c r="S25" i="68" s="1" a="1"/>
  <c r="T25" i="68" s="1" a="1"/>
  <c r="R24" i="68" a="1"/>
  <c r="S24" i="68" s="1" a="1"/>
  <c r="T24" i="68" s="1" a="1"/>
  <c r="R23" i="68" a="1"/>
  <c r="S23" i="68" s="1" a="1"/>
  <c r="T23" i="68" s="1" a="1"/>
  <c r="R22" i="68" a="1"/>
  <c r="S22" i="68" s="1" a="1"/>
  <c r="T22" i="68" s="1" a="1"/>
  <c r="R21" i="68" a="1"/>
  <c r="S21" i="68" s="1" a="1"/>
  <c r="T21" i="68" s="1" a="1"/>
  <c r="R20" i="68" a="1"/>
  <c r="S20" i="68" s="1" a="1"/>
  <c r="T20" i="68" s="1" a="1"/>
  <c r="R19" i="68" a="1"/>
  <c r="S19" i="68" s="1" a="1"/>
  <c r="T19" i="68" s="1" a="1"/>
  <c r="R18" i="68" a="1"/>
  <c r="S18" i="68" s="1" a="1"/>
  <c r="T18" i="68" s="1" a="1"/>
  <c r="R17" i="68" a="1"/>
  <c r="S17" i="68" s="1" a="1"/>
  <c r="T17" i="68" s="1" a="1"/>
  <c r="R16" i="68" a="1"/>
  <c r="S16" i="68" s="1" a="1"/>
  <c r="T16" i="68" s="1" a="1"/>
  <c r="R15" i="68" a="1"/>
  <c r="S15" i="68" s="1" a="1"/>
  <c r="T15" i="68" s="1" a="1"/>
  <c r="R14" i="68" a="1"/>
  <c r="S14" i="68" s="1" a="1"/>
  <c r="T14" i="68" s="1" a="1"/>
  <c r="R13" i="68" a="1"/>
  <c r="S13" i="68" s="1" a="1"/>
  <c r="T13" i="68" s="1" a="1"/>
  <c r="R12" i="68" a="1"/>
  <c r="S12" i="68" s="1" a="1"/>
  <c r="T12" i="68" s="1" a="1"/>
  <c r="R11" i="68" a="1"/>
  <c r="S11" i="68" s="1" a="1"/>
  <c r="T11" i="68" s="1" a="1"/>
  <c r="R10" i="68" a="1"/>
  <c r="S10" i="68" s="1" a="1"/>
  <c r="T10" i="68" s="1" a="1"/>
  <c r="R9" i="68" a="1"/>
  <c r="S9" i="68" s="1" a="1"/>
  <c r="T9" i="68" s="1" a="1"/>
  <c r="R8" i="68" a="1"/>
  <c r="S8" i="68" s="1" a="1"/>
  <c r="T8" i="68" s="1" a="1"/>
  <c r="R7" i="68" a="1"/>
  <c r="S7" i="68" s="1" a="1"/>
  <c r="T7" i="68" s="1" a="1"/>
  <c r="R6" i="68" a="1"/>
  <c r="S6" i="68" s="1" a="1"/>
  <c r="T6" i="68" s="1" a="1"/>
  <c r="R5" i="68" a="1"/>
  <c r="S5" i="68" s="1" a="1"/>
  <c r="T5" i="68" s="1" a="1"/>
  <c r="R4" i="68" a="1"/>
  <c r="S4" i="68" s="1" a="1"/>
  <c r="T4" i="68" s="1" a="1"/>
  <c r="R3" i="68" a="1"/>
  <c r="S3" i="68" s="1" a="1"/>
  <c r="T3" i="68" s="1" a="1"/>
  <c r="R2" i="68" a="1"/>
  <c r="S2" i="68" s="1" a="1"/>
  <c r="T2" i="68" s="1" a="1"/>
  <c r="R33" i="69" a="1"/>
  <c r="S33" i="69" s="1" a="1"/>
  <c r="T33" i="69" s="1" a="1"/>
  <c r="R32" i="69" a="1"/>
  <c r="S32" i="69" s="1" a="1"/>
  <c r="T32" i="69" s="1" a="1"/>
  <c r="R31" i="69" a="1"/>
  <c r="S31" i="69" s="1" a="1"/>
  <c r="T31" i="69" s="1" a="1"/>
  <c r="R30" i="69" a="1"/>
  <c r="S30" i="69" s="1" a="1"/>
  <c r="T30" i="69" s="1" a="1"/>
  <c r="R29" i="69" a="1"/>
  <c r="S29" i="69" s="1" a="1"/>
  <c r="T29" i="69" s="1" a="1"/>
  <c r="R28" i="69" a="1"/>
  <c r="S28" i="69" s="1" a="1"/>
  <c r="T28" i="69" s="1" a="1"/>
  <c r="R27" i="69" a="1"/>
  <c r="S27" i="69" s="1" a="1"/>
  <c r="T27" i="69" s="1" a="1"/>
  <c r="R26" i="69" a="1"/>
  <c r="S26" i="69" s="1" a="1"/>
  <c r="T26" i="69" s="1" a="1"/>
  <c r="R25" i="69" a="1"/>
  <c r="S25" i="69" s="1" a="1"/>
  <c r="T25" i="69" s="1" a="1"/>
  <c r="R24" i="69" a="1"/>
  <c r="S24" i="69" s="1" a="1"/>
  <c r="T24" i="69" s="1" a="1"/>
  <c r="R23" i="69" a="1"/>
  <c r="S23" i="69" s="1" a="1"/>
  <c r="T23" i="69" s="1" a="1"/>
  <c r="R22" i="69" a="1"/>
  <c r="S22" i="69" s="1" a="1"/>
  <c r="T22" i="69" s="1" a="1"/>
  <c r="R21" i="69" a="1"/>
  <c r="S21" i="69" s="1" a="1"/>
  <c r="T21" i="69" s="1" a="1"/>
  <c r="R20" i="69" a="1"/>
  <c r="S20" i="69" s="1" a="1"/>
  <c r="T20" i="69" s="1" a="1"/>
  <c r="R19" i="69" a="1"/>
  <c r="S19" i="69" s="1" a="1"/>
  <c r="T19" i="69" s="1" a="1"/>
  <c r="R18" i="69" a="1"/>
  <c r="S18" i="69" s="1" a="1"/>
  <c r="T18" i="69" s="1" a="1"/>
  <c r="R17" i="69" a="1"/>
  <c r="S17" i="69" s="1" a="1"/>
  <c r="T17" i="69" s="1" a="1"/>
  <c r="R16" i="69" a="1"/>
  <c r="S16" i="69" s="1" a="1"/>
  <c r="T16" i="69" s="1" a="1"/>
  <c r="R15" i="69" a="1"/>
  <c r="S15" i="69" s="1" a="1"/>
  <c r="T15" i="69" s="1" a="1"/>
  <c r="R14" i="69" a="1"/>
  <c r="S14" i="69" s="1" a="1"/>
  <c r="T14" i="69" s="1" a="1"/>
  <c r="R13" i="69" a="1"/>
  <c r="S13" i="69" s="1" a="1"/>
  <c r="T13" i="69" s="1" a="1"/>
  <c r="R12" i="69" a="1"/>
  <c r="S12" i="69" s="1" a="1"/>
  <c r="T12" i="69" s="1" a="1"/>
  <c r="R11" i="69" a="1"/>
  <c r="S11" i="69" s="1" a="1"/>
  <c r="T11" i="69" s="1" a="1"/>
  <c r="R10" i="69" a="1"/>
  <c r="S10" i="69" s="1" a="1"/>
  <c r="T10" i="69" s="1" a="1"/>
  <c r="R9" i="69" a="1"/>
  <c r="S9" i="69" s="1" a="1"/>
  <c r="T9" i="69" s="1" a="1"/>
  <c r="R8" i="69" a="1"/>
  <c r="S8" i="69" s="1" a="1"/>
  <c r="T8" i="69" s="1" a="1"/>
  <c r="R7" i="69" a="1"/>
  <c r="S7" i="69" s="1" a="1"/>
  <c r="T7" i="69" s="1" a="1"/>
  <c r="R6" i="69" a="1"/>
  <c r="S6" i="69" s="1" a="1"/>
  <c r="T6" i="69" s="1" a="1"/>
  <c r="R5" i="69" a="1"/>
  <c r="S5" i="69" s="1" a="1"/>
  <c r="T5" i="69" s="1" a="1"/>
  <c r="R4" i="69" a="1"/>
  <c r="S4" i="69" s="1" a="1"/>
  <c r="T4" i="69" s="1" a="1"/>
  <c r="R3" i="69" a="1"/>
  <c r="S3" i="69" s="1" a="1"/>
  <c r="T3" i="69" s="1" a="1"/>
  <c r="R2" i="69" a="1"/>
  <c r="S2" i="69" s="1" a="1"/>
  <c r="T2" i="69" s="1" a="1"/>
  <c r="R34" i="68" a="1"/>
  <c r="S34" i="68" a="1"/>
  <c r="T34" i="68" a="1"/>
  <c r="T2" i="46" a="1"/>
  <c r="T3" i="46" a="1"/>
  <c r="T4" i="46" a="1"/>
  <c r="T5" i="46" a="1"/>
  <c r="T6" i="46" a="1"/>
  <c r="T7" i="46" a="1"/>
  <c r="T8" i="46" a="1"/>
  <c r="T9" i="46" a="1"/>
  <c r="T10" i="46" a="1"/>
  <c r="T11" i="46" a="1"/>
  <c r="T12" i="46" a="1"/>
  <c r="T13" i="46" a="1"/>
  <c r="T14" i="46" a="1"/>
  <c r="T15" i="46" a="1"/>
  <c r="T16" i="46" a="1"/>
  <c r="T17" i="46" a="1"/>
  <c r="T18" i="46" a="1"/>
  <c r="T19" i="46" a="1"/>
  <c r="T20" i="46" a="1"/>
  <c r="T21" i="46" a="1"/>
  <c r="T22" i="46" a="1"/>
  <c r="T23" i="46" a="1"/>
  <c r="T24" i="46" a="1"/>
  <c r="T25" i="46" a="1"/>
  <c r="T26" i="46" a="1"/>
  <c r="T27" i="46" a="1"/>
  <c r="T28" i="46" a="1"/>
  <c r="T29" i="46" a="1"/>
  <c r="T30" i="46" a="1"/>
  <c r="T31" i="46" a="1"/>
  <c r="T32" i="46" a="1"/>
  <c r="T33" i="46" a="1"/>
  <c r="R2" i="46" a="1"/>
  <c r="R3" i="46" a="1"/>
  <c r="R4" i="46" a="1"/>
  <c r="R5" i="46" a="1"/>
  <c r="R6" i="46" a="1"/>
  <c r="R7" i="46" a="1"/>
  <c r="R8" i="46" a="1"/>
  <c r="R9" i="46" a="1"/>
  <c r="R10" i="46" a="1"/>
  <c r="R11" i="46" a="1"/>
  <c r="R12" i="46" a="1"/>
  <c r="R13" i="46" a="1"/>
  <c r="R14" i="46" a="1"/>
  <c r="R15" i="46" a="1"/>
  <c r="R16" i="46" a="1"/>
  <c r="R17" i="46" a="1"/>
  <c r="R18" i="46" a="1"/>
  <c r="R19" i="46" a="1"/>
  <c r="R20" i="46" a="1"/>
  <c r="R21" i="46" a="1"/>
  <c r="R22" i="46" a="1"/>
  <c r="R23" i="46" a="1"/>
  <c r="R24" i="46" a="1"/>
  <c r="R25" i="46" a="1"/>
  <c r="R26" i="46" a="1"/>
  <c r="R27" i="46" a="1"/>
  <c r="R28" i="46" a="1"/>
  <c r="R29" i="46" a="1"/>
  <c r="R30" i="46" a="1"/>
  <c r="R31" i="46" a="1"/>
  <c r="R32" i="46" a="1"/>
  <c r="R33" i="46" a="1"/>
  <c r="S2" i="46" a="1"/>
  <c r="S3" i="46" a="1"/>
  <c r="S4" i="46" a="1"/>
  <c r="S5" i="46" a="1"/>
  <c r="S6" i="46" a="1"/>
  <c r="S7" i="46" a="1"/>
  <c r="S8" i="46" a="1"/>
  <c r="S9" i="46" a="1"/>
  <c r="S10" i="46" a="1"/>
  <c r="S11" i="46" a="1"/>
  <c r="S12" i="46" a="1"/>
  <c r="S13" i="46" a="1"/>
  <c r="S14" i="46" a="1"/>
  <c r="S15" i="46" a="1"/>
  <c r="S16" i="46" a="1"/>
  <c r="S17" i="46" a="1"/>
  <c r="S18" i="46" a="1"/>
  <c r="S19" i="46" a="1"/>
  <c r="S20" i="46" a="1"/>
  <c r="S21" i="46" a="1"/>
  <c r="S22" i="46" a="1"/>
  <c r="S23" i="46" a="1"/>
  <c r="S24" i="46" a="1"/>
  <c r="S25" i="46" a="1"/>
  <c r="S26" i="46" a="1"/>
  <c r="S27" i="46" a="1"/>
  <c r="S28" i="46" a="1"/>
  <c r="S29" i="46" a="1"/>
  <c r="S30" i="46" a="1"/>
  <c r="S31" i="46" a="1"/>
  <c r="S32" i="46" a="1"/>
  <c r="S33" i="46" a="1"/>
  <c r="C34" i="68"/>
  <c r="S8" i="1"/>
  <c r="S9" i="1"/>
  <c r="S10" i="1"/>
  <c r="S11" i="1"/>
  <c r="S12" i="1"/>
  <c r="S13" i="1"/>
  <c r="S14" i="1"/>
  <c r="S15" i="1"/>
  <c r="S16" i="1"/>
  <c r="S17" i="1"/>
  <c r="S18" i="1"/>
  <c r="S19" i="1"/>
  <c r="C2" i="46"/>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73"/>
  <c r="C2" i="73"/>
  <c r="C3" i="73"/>
  <c r="C4" i="73"/>
  <c r="C5" i="73"/>
  <c r="C6" i="73"/>
  <c r="C8" i="73"/>
  <c r="C9" i="73"/>
  <c r="C10" i="73"/>
  <c r="C11" i="73"/>
  <c r="C12" i="73"/>
  <c r="C13" i="73"/>
  <c r="C14" i="73"/>
  <c r="C15" i="73"/>
  <c r="C16" i="73"/>
  <c r="C17" i="73"/>
  <c r="C18" i="73"/>
  <c r="C19" i="73"/>
  <c r="C20" i="73"/>
  <c r="C21" i="73"/>
  <c r="C22" i="73"/>
  <c r="C23" i="73"/>
  <c r="C24" i="73"/>
  <c r="C25" i="73"/>
  <c r="C26" i="73"/>
  <c r="C27" i="73"/>
  <c r="C28" i="73"/>
  <c r="C29" i="73"/>
  <c r="C30" i="73"/>
  <c r="C31" i="73"/>
  <c r="C32" i="73"/>
  <c r="C33" i="73"/>
  <c r="C35" i="73"/>
  <c r="C36" i="73"/>
  <c r="C37" i="73"/>
  <c r="C38" i="73"/>
  <c r="C39" i="73"/>
  <c r="C40" i="73"/>
  <c r="C41" i="73"/>
  <c r="I888" i="1"/>
  <c r="J888" i="1"/>
  <c r="K888" i="1"/>
  <c r="J360" i="1"/>
  <c r="K360" i="1"/>
  <c r="I118" i="1"/>
  <c r="J118" i="1"/>
  <c r="K118" i="1"/>
  <c r="I162" i="1"/>
  <c r="J162" i="1"/>
  <c r="K162" i="1"/>
  <c r="AL3" i="33"/>
  <c r="AL4" i="33"/>
  <c r="AL5" i="33"/>
  <c r="AL6" i="33"/>
  <c r="AL7" i="33"/>
  <c r="AL8" i="33"/>
  <c r="AL9" i="33"/>
  <c r="AL10" i="33"/>
  <c r="AL11" i="33"/>
  <c r="AL12" i="33"/>
  <c r="AL13" i="33"/>
  <c r="AL14" i="33"/>
  <c r="AL15" i="33"/>
  <c r="AL16" i="33"/>
  <c r="AL17" i="33"/>
  <c r="AL18" i="33"/>
  <c r="AL19" i="33"/>
  <c r="AL20" i="33"/>
  <c r="AL21" i="33"/>
  <c r="AL22" i="33"/>
  <c r="AL23" i="33"/>
  <c r="AL24" i="33"/>
  <c r="AL25" i="33"/>
  <c r="AL26" i="33"/>
  <c r="AL27" i="33"/>
  <c r="AL28" i="33"/>
  <c r="AL29" i="33"/>
  <c r="AL30" i="33"/>
  <c r="AL31" i="33"/>
  <c r="AL32" i="33"/>
  <c r="AL33" i="33"/>
  <c r="AL34" i="33"/>
  <c r="AL35" i="33"/>
  <c r="AL36" i="33"/>
  <c r="AL37" i="33"/>
  <c r="AL38" i="33"/>
  <c r="AL39" i="33"/>
  <c r="AL40" i="33"/>
  <c r="AL2" i="33"/>
  <c r="B52" i="64"/>
  <c r="B53" i="64"/>
  <c r="B54" i="64"/>
  <c r="B55" i="64"/>
  <c r="B56" i="64"/>
  <c r="B57" i="64"/>
  <c r="B58" i="64"/>
  <c r="B59" i="64"/>
  <c r="B60" i="64"/>
  <c r="B61" i="64"/>
  <c r="B62" i="64"/>
  <c r="B63" i="64"/>
  <c r="B64" i="64"/>
  <c r="B65" i="64"/>
  <c r="B66" i="64"/>
  <c r="B67" i="64"/>
  <c r="B68" i="64"/>
  <c r="B69" i="64"/>
  <c r="B70" i="64"/>
  <c r="B71" i="64"/>
  <c r="B72" i="64"/>
  <c r="B73" i="64"/>
  <c r="B74" i="64"/>
  <c r="B75" i="64"/>
  <c r="B76" i="64"/>
  <c r="B77" i="64"/>
  <c r="B78" i="64"/>
  <c r="B79" i="64"/>
  <c r="B80" i="64"/>
  <c r="B81" i="64"/>
  <c r="B82" i="64"/>
  <c r="B83" i="64"/>
  <c r="B84" i="64"/>
  <c r="B85" i="64"/>
  <c r="B86" i="64"/>
  <c r="B87" i="64"/>
  <c r="B88" i="64"/>
  <c r="B89" i="64"/>
  <c r="B90" i="64"/>
  <c r="B91" i="64"/>
  <c r="B92" i="64"/>
  <c r="B93" i="64"/>
  <c r="B94" i="64"/>
  <c r="B95" i="64"/>
  <c r="B96" i="64"/>
  <c r="B97" i="64"/>
  <c r="B98" i="64"/>
  <c r="B99" i="64"/>
  <c r="B100" i="64"/>
  <c r="B101" i="64"/>
  <c r="B102" i="64"/>
  <c r="B103" i="64"/>
  <c r="B104" i="64"/>
  <c r="B105" i="64"/>
  <c r="B106" i="64"/>
  <c r="B107" i="64"/>
  <c r="B108" i="64"/>
  <c r="B109" i="64"/>
  <c r="B110" i="64"/>
  <c r="B111" i="64"/>
  <c r="B112" i="64"/>
  <c r="B113" i="64"/>
  <c r="B114" i="64"/>
  <c r="B115" i="64"/>
  <c r="B116" i="64"/>
  <c r="B117" i="64"/>
  <c r="B118" i="64"/>
  <c r="B119" i="64"/>
  <c r="B120" i="64"/>
  <c r="B121" i="64"/>
  <c r="B122" i="64"/>
  <c r="B123" i="64"/>
  <c r="B124" i="64"/>
  <c r="B125" i="64"/>
  <c r="B126" i="64"/>
  <c r="B127" i="64"/>
  <c r="B128" i="64"/>
  <c r="B129" i="64"/>
  <c r="B130" i="64"/>
  <c r="B131" i="64"/>
  <c r="B132" i="64"/>
  <c r="B133" i="64"/>
  <c r="B134" i="64"/>
  <c r="B135" i="64"/>
  <c r="B136" i="64"/>
  <c r="B137" i="64"/>
  <c r="B138" i="64"/>
  <c r="B139" i="64"/>
  <c r="B140" i="64"/>
  <c r="B141" i="64"/>
  <c r="B142" i="64"/>
  <c r="B143" i="64"/>
  <c r="B144" i="64"/>
  <c r="B145" i="64"/>
  <c r="B146" i="64"/>
  <c r="B147" i="64"/>
  <c r="B148" i="64"/>
  <c r="B149" i="64"/>
  <c r="B150" i="64"/>
  <c r="B151" i="64"/>
  <c r="B152" i="64"/>
  <c r="B153" i="64"/>
  <c r="B154" i="64"/>
  <c r="B155" i="64"/>
  <c r="B156" i="64"/>
  <c r="B157" i="64"/>
  <c r="B158" i="64"/>
  <c r="B159" i="64"/>
  <c r="B160" i="64"/>
  <c r="B161" i="64"/>
  <c r="B162" i="64"/>
  <c r="B163" i="64"/>
  <c r="B164" i="64"/>
  <c r="B165" i="64"/>
  <c r="B166" i="64"/>
  <c r="A11" i="64"/>
  <c r="B11" i="64" s="1"/>
  <c r="A12" i="64"/>
  <c r="B12" i="64" s="1"/>
  <c r="A13" i="64"/>
  <c r="B13" i="64" s="1"/>
  <c r="A14" i="64"/>
  <c r="B14" i="64" s="1"/>
  <c r="A15" i="64"/>
  <c r="B15" i="64" s="1"/>
  <c r="A16" i="64"/>
  <c r="B16" i="64" s="1"/>
  <c r="A17" i="64"/>
  <c r="B17" i="64" s="1"/>
  <c r="A18" i="64"/>
  <c r="B18" i="64" s="1"/>
  <c r="A19" i="64"/>
  <c r="B19" i="64" s="1"/>
  <c r="A20" i="64"/>
  <c r="B20" i="64" s="1"/>
  <c r="A21" i="64"/>
  <c r="B21" i="64" s="1"/>
  <c r="A22" i="64"/>
  <c r="B22" i="64" s="1"/>
  <c r="A23" i="64"/>
  <c r="B23" i="64" s="1"/>
  <c r="A24" i="64"/>
  <c r="B24" i="64" s="1"/>
  <c r="A25" i="64"/>
  <c r="B25" i="64" s="1"/>
  <c r="A26" i="64"/>
  <c r="B26" i="64" s="1"/>
  <c r="A27" i="64"/>
  <c r="B27" i="64" s="1"/>
  <c r="A28" i="64"/>
  <c r="B28" i="64" s="1"/>
  <c r="A29" i="64"/>
  <c r="B29" i="64" s="1"/>
  <c r="A30" i="64"/>
  <c r="B30" i="64" s="1"/>
  <c r="A31" i="64"/>
  <c r="B31" i="64" s="1"/>
  <c r="A32" i="64"/>
  <c r="B32" i="64" s="1"/>
  <c r="A33" i="64"/>
  <c r="B33" i="64" s="1"/>
  <c r="A34" i="64"/>
  <c r="B34" i="64" s="1"/>
  <c r="A35" i="64"/>
  <c r="B35" i="64" s="1"/>
  <c r="A36" i="64"/>
  <c r="B36" i="64" s="1"/>
  <c r="A37" i="64"/>
  <c r="B37" i="64" s="1"/>
  <c r="A38" i="64"/>
  <c r="B38" i="64" s="1"/>
  <c r="A39" i="64"/>
  <c r="B39" i="64" s="1"/>
  <c r="A40" i="64"/>
  <c r="B40" i="64" s="1"/>
  <c r="A41" i="64"/>
  <c r="B41" i="64" s="1"/>
  <c r="A42" i="64"/>
  <c r="B42" i="64" s="1"/>
  <c r="A43" i="64"/>
  <c r="B43" i="64" s="1"/>
  <c r="A44" i="64"/>
  <c r="B44" i="64" s="1"/>
  <c r="A45" i="64"/>
  <c r="B45" i="64" s="1"/>
  <c r="A46" i="64"/>
  <c r="B46" i="64" s="1"/>
  <c r="A47" i="64"/>
  <c r="B47" i="64" s="1"/>
  <c r="A48" i="64"/>
  <c r="B48" i="64" s="1"/>
  <c r="A49" i="64"/>
  <c r="B49" i="64" s="1"/>
  <c r="A50" i="64"/>
  <c r="B50" i="64" s="1"/>
  <c r="A51" i="64"/>
  <c r="B51" i="64" s="1"/>
  <c r="BS886" i="1"/>
  <c r="BJ886" i="1"/>
  <c r="BA886" i="1"/>
  <c r="AR886" i="1"/>
  <c r="AI886" i="1"/>
  <c r="Z886" i="1"/>
  <c r="Q886" i="1"/>
  <c r="BS864" i="1"/>
  <c r="BJ864" i="1"/>
  <c r="BA864" i="1"/>
  <c r="AR864" i="1"/>
  <c r="AI864" i="1"/>
  <c r="Z864" i="1"/>
  <c r="Q864" i="1"/>
  <c r="BS842" i="1"/>
  <c r="BJ842" i="1"/>
  <c r="BA842" i="1"/>
  <c r="AR842" i="1"/>
  <c r="AI842" i="1"/>
  <c r="Z842" i="1"/>
  <c r="Q842" i="1"/>
  <c r="BS820" i="1"/>
  <c r="BJ820" i="1"/>
  <c r="BA820" i="1"/>
  <c r="AR820" i="1"/>
  <c r="AI820" i="1"/>
  <c r="Z820" i="1"/>
  <c r="Q820" i="1"/>
  <c r="BS798" i="1"/>
  <c r="BJ798" i="1"/>
  <c r="BA798" i="1"/>
  <c r="AR798" i="1"/>
  <c r="AI798" i="1"/>
  <c r="Z798" i="1"/>
  <c r="Q798" i="1"/>
  <c r="BS776" i="1"/>
  <c r="BJ776" i="1"/>
  <c r="BA776" i="1"/>
  <c r="AR776" i="1"/>
  <c r="AI776" i="1"/>
  <c r="Z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BS6" i="1"/>
  <c r="BJ6" i="1"/>
  <c r="BA6" i="1"/>
  <c r="AR6" i="1"/>
  <c r="AI6" i="1"/>
  <c r="Z6" i="1"/>
  <c r="Q6" i="1"/>
  <c r="CM899" i="1"/>
  <c r="CM898" i="1"/>
  <c r="CM897" i="1"/>
  <c r="CM896" i="1"/>
  <c r="CM895" i="1"/>
  <c r="CM894" i="1"/>
  <c r="CM893" i="1"/>
  <c r="CM892" i="1"/>
  <c r="CM891" i="1"/>
  <c r="CM890" i="1"/>
  <c r="CM889" i="1"/>
  <c r="CM888" i="1"/>
  <c r="CL886" i="1"/>
  <c r="CM885" i="1"/>
  <c r="CK884" i="1"/>
  <c r="CK885" i="1" s="1"/>
  <c r="CM877" i="1"/>
  <c r="CM876" i="1"/>
  <c r="CM875" i="1"/>
  <c r="CM874" i="1"/>
  <c r="CM873" i="1"/>
  <c r="CM872" i="1"/>
  <c r="CM871" i="1"/>
  <c r="CM870" i="1"/>
  <c r="CM869" i="1"/>
  <c r="CM868" i="1"/>
  <c r="CM867" i="1"/>
  <c r="CM866" i="1"/>
  <c r="CL864" i="1"/>
  <c r="CM863" i="1"/>
  <c r="CK862" i="1"/>
  <c r="CK863" i="1" s="1"/>
  <c r="CM855" i="1"/>
  <c r="CM854" i="1"/>
  <c r="CM853" i="1"/>
  <c r="CM852" i="1"/>
  <c r="CM851" i="1"/>
  <c r="CM850" i="1"/>
  <c r="CM849" i="1"/>
  <c r="CM848" i="1"/>
  <c r="CM847" i="1"/>
  <c r="CM846" i="1"/>
  <c r="CM845" i="1"/>
  <c r="CM844" i="1"/>
  <c r="CL842" i="1"/>
  <c r="CM841" i="1"/>
  <c r="CK840" i="1"/>
  <c r="CK841" i="1" s="1"/>
  <c r="CM833" i="1"/>
  <c r="CM832" i="1"/>
  <c r="CM831" i="1"/>
  <c r="CM830" i="1"/>
  <c r="CM829" i="1"/>
  <c r="CM828" i="1"/>
  <c r="CM827" i="1"/>
  <c r="CM826" i="1"/>
  <c r="CM825" i="1"/>
  <c r="CM824" i="1"/>
  <c r="CM823" i="1"/>
  <c r="CM822" i="1"/>
  <c r="CL820" i="1"/>
  <c r="CM819" i="1"/>
  <c r="CK818" i="1"/>
  <c r="CK819" i="1" s="1"/>
  <c r="CM811" i="1"/>
  <c r="CM810" i="1"/>
  <c r="CM809" i="1"/>
  <c r="CM808" i="1"/>
  <c r="CM807" i="1"/>
  <c r="CM806" i="1"/>
  <c r="CM805" i="1"/>
  <c r="CM804" i="1"/>
  <c r="CM803" i="1"/>
  <c r="CM802" i="1"/>
  <c r="CM801" i="1"/>
  <c r="CM800" i="1"/>
  <c r="CL798" i="1"/>
  <c r="CM797" i="1"/>
  <c r="CK796" i="1"/>
  <c r="CK797" i="1" s="1"/>
  <c r="CM789" i="1"/>
  <c r="CM788" i="1"/>
  <c r="CM787" i="1"/>
  <c r="CM786" i="1"/>
  <c r="CM785" i="1"/>
  <c r="CM784" i="1"/>
  <c r="CM783" i="1"/>
  <c r="CM782" i="1"/>
  <c r="CM781" i="1"/>
  <c r="CM780" i="1"/>
  <c r="CM779" i="1"/>
  <c r="CM778" i="1"/>
  <c r="CL776" i="1"/>
  <c r="CM775" i="1"/>
  <c r="CK774" i="1"/>
  <c r="CK775" i="1" s="1"/>
  <c r="CM767" i="1"/>
  <c r="CM766" i="1"/>
  <c r="CM765" i="1"/>
  <c r="CM764" i="1"/>
  <c r="CM763" i="1"/>
  <c r="CM762" i="1"/>
  <c r="CM761" i="1"/>
  <c r="CM760" i="1"/>
  <c r="CM759" i="1"/>
  <c r="CM758" i="1"/>
  <c r="CM757" i="1"/>
  <c r="CM756" i="1"/>
  <c r="CL754" i="1"/>
  <c r="CM753" i="1"/>
  <c r="CK752" i="1"/>
  <c r="CK753" i="1" s="1"/>
  <c r="CM745" i="1"/>
  <c r="CM744" i="1"/>
  <c r="CM743" i="1"/>
  <c r="CM742" i="1"/>
  <c r="CM741" i="1"/>
  <c r="CM740" i="1"/>
  <c r="CM739" i="1"/>
  <c r="CM738" i="1"/>
  <c r="CM737" i="1"/>
  <c r="CM736" i="1"/>
  <c r="CM735" i="1"/>
  <c r="CM734" i="1"/>
  <c r="CL732" i="1"/>
  <c r="CM731" i="1"/>
  <c r="CK730" i="1"/>
  <c r="CK731" i="1" s="1"/>
  <c r="CM723" i="1"/>
  <c r="CM722" i="1"/>
  <c r="CM721" i="1"/>
  <c r="CM720" i="1"/>
  <c r="CM719" i="1"/>
  <c r="CM718" i="1"/>
  <c r="CM717" i="1"/>
  <c r="CM716" i="1"/>
  <c r="CM715" i="1"/>
  <c r="CM714" i="1"/>
  <c r="CM713" i="1"/>
  <c r="CM712" i="1"/>
  <c r="CL710" i="1"/>
  <c r="CM709" i="1"/>
  <c r="CK708" i="1"/>
  <c r="CK709" i="1" s="1"/>
  <c r="CM701" i="1"/>
  <c r="CM700" i="1"/>
  <c r="CM699" i="1"/>
  <c r="CM698" i="1"/>
  <c r="CM697" i="1"/>
  <c r="CM696" i="1"/>
  <c r="CM695" i="1"/>
  <c r="CM694" i="1"/>
  <c r="CM693" i="1"/>
  <c r="CM692" i="1"/>
  <c r="CM691" i="1"/>
  <c r="CM690" i="1"/>
  <c r="CM687" i="1"/>
  <c r="CM679" i="1"/>
  <c r="CM678" i="1"/>
  <c r="CM677" i="1"/>
  <c r="CM676" i="1"/>
  <c r="CM675" i="1"/>
  <c r="CM674" i="1"/>
  <c r="CM673" i="1"/>
  <c r="CM672" i="1"/>
  <c r="CM671" i="1"/>
  <c r="CM670" i="1"/>
  <c r="CM669" i="1"/>
  <c r="CM668" i="1"/>
  <c r="CM665" i="1"/>
  <c r="CM657" i="1"/>
  <c r="CM656" i="1"/>
  <c r="CM655" i="1"/>
  <c r="CM654" i="1"/>
  <c r="CM653" i="1"/>
  <c r="CM652" i="1"/>
  <c r="CM651" i="1"/>
  <c r="CM650" i="1"/>
  <c r="CM649" i="1"/>
  <c r="CM648" i="1"/>
  <c r="CM647" i="1"/>
  <c r="CM646" i="1"/>
  <c r="CM643" i="1"/>
  <c r="CM635" i="1"/>
  <c r="CM634" i="1"/>
  <c r="CM633" i="1"/>
  <c r="CM632" i="1"/>
  <c r="CM631" i="1"/>
  <c r="CM630" i="1"/>
  <c r="CM629" i="1"/>
  <c r="CM628" i="1"/>
  <c r="CM627" i="1"/>
  <c r="CM626" i="1"/>
  <c r="CM625" i="1"/>
  <c r="CM624" i="1"/>
  <c r="CM621" i="1"/>
  <c r="CM613" i="1"/>
  <c r="CM612" i="1"/>
  <c r="CM611" i="1"/>
  <c r="CM610" i="1"/>
  <c r="CM609" i="1"/>
  <c r="CM608" i="1"/>
  <c r="CM607" i="1"/>
  <c r="CM606" i="1"/>
  <c r="CM605" i="1"/>
  <c r="CM604" i="1"/>
  <c r="CM603" i="1"/>
  <c r="CM602" i="1"/>
  <c r="CM599" i="1"/>
  <c r="CM591" i="1"/>
  <c r="CM590" i="1"/>
  <c r="CM589" i="1"/>
  <c r="CM588" i="1"/>
  <c r="CM587" i="1"/>
  <c r="CM586" i="1"/>
  <c r="CM585" i="1"/>
  <c r="CM584" i="1"/>
  <c r="CM583" i="1"/>
  <c r="CM582" i="1"/>
  <c r="CM581" i="1"/>
  <c r="CM580" i="1"/>
  <c r="CM577" i="1"/>
  <c r="CM569" i="1"/>
  <c r="CM568" i="1"/>
  <c r="CM567" i="1"/>
  <c r="CM566" i="1"/>
  <c r="CM565" i="1"/>
  <c r="CM564" i="1"/>
  <c r="CM563" i="1"/>
  <c r="CM562" i="1"/>
  <c r="CM561" i="1"/>
  <c r="CM560" i="1"/>
  <c r="CM559" i="1"/>
  <c r="CM558" i="1"/>
  <c r="CM555" i="1"/>
  <c r="CM547" i="1"/>
  <c r="CM546" i="1"/>
  <c r="CM545" i="1"/>
  <c r="CM544" i="1"/>
  <c r="CM543" i="1"/>
  <c r="CM542" i="1"/>
  <c r="CM541" i="1"/>
  <c r="CM540" i="1"/>
  <c r="CM539" i="1"/>
  <c r="CM538" i="1"/>
  <c r="CM537" i="1"/>
  <c r="CM536" i="1"/>
  <c r="CM533" i="1"/>
  <c r="CM525" i="1"/>
  <c r="CM524" i="1"/>
  <c r="CM523" i="1"/>
  <c r="CM522" i="1"/>
  <c r="CM521" i="1"/>
  <c r="CM520" i="1"/>
  <c r="CM519" i="1"/>
  <c r="CM518" i="1"/>
  <c r="CM517" i="1"/>
  <c r="CM516" i="1"/>
  <c r="CM515" i="1"/>
  <c r="CM514" i="1"/>
  <c r="CM511" i="1"/>
  <c r="CM503" i="1"/>
  <c r="CM502" i="1"/>
  <c r="CM501" i="1"/>
  <c r="CM500" i="1"/>
  <c r="CM499" i="1"/>
  <c r="CM498" i="1"/>
  <c r="CM497" i="1"/>
  <c r="CM496" i="1"/>
  <c r="CM495" i="1"/>
  <c r="CM494" i="1"/>
  <c r="CM493" i="1"/>
  <c r="CM492" i="1"/>
  <c r="CM489" i="1"/>
  <c r="CM481" i="1"/>
  <c r="CM480" i="1"/>
  <c r="CM479" i="1"/>
  <c r="CM478" i="1"/>
  <c r="CM477" i="1"/>
  <c r="CM476" i="1"/>
  <c r="CM475" i="1"/>
  <c r="CM474" i="1"/>
  <c r="CM473" i="1"/>
  <c r="CM472" i="1"/>
  <c r="CM471" i="1"/>
  <c r="CM470" i="1"/>
  <c r="CM467" i="1"/>
  <c r="CM459" i="1"/>
  <c r="CM458" i="1"/>
  <c r="CM457" i="1"/>
  <c r="CM456" i="1"/>
  <c r="CM455" i="1"/>
  <c r="CM454" i="1"/>
  <c r="CM453" i="1"/>
  <c r="CM452" i="1"/>
  <c r="CM451" i="1"/>
  <c r="CM450" i="1"/>
  <c r="CM449" i="1"/>
  <c r="CM448" i="1"/>
  <c r="CM445" i="1"/>
  <c r="CM437" i="1"/>
  <c r="CM436" i="1"/>
  <c r="CM435" i="1"/>
  <c r="CM434" i="1"/>
  <c r="CM433" i="1"/>
  <c r="CM432" i="1"/>
  <c r="CM431" i="1"/>
  <c r="CM430" i="1"/>
  <c r="CM429" i="1"/>
  <c r="CM428" i="1"/>
  <c r="CM427" i="1"/>
  <c r="CM426" i="1"/>
  <c r="CM423" i="1"/>
  <c r="CM415" i="1"/>
  <c r="CM414" i="1"/>
  <c r="CM413" i="1"/>
  <c r="CM412" i="1"/>
  <c r="CM411" i="1"/>
  <c r="CM410" i="1"/>
  <c r="CM409" i="1"/>
  <c r="CM408" i="1"/>
  <c r="CM407" i="1"/>
  <c r="CM406" i="1"/>
  <c r="CM405" i="1"/>
  <c r="CM404" i="1"/>
  <c r="CM401" i="1"/>
  <c r="CM393" i="1"/>
  <c r="CM392" i="1"/>
  <c r="CM391" i="1"/>
  <c r="CM390" i="1"/>
  <c r="CM389" i="1"/>
  <c r="CM388" i="1"/>
  <c r="CM387" i="1"/>
  <c r="CM386" i="1"/>
  <c r="CM385" i="1"/>
  <c r="CM384" i="1"/>
  <c r="CM383" i="1"/>
  <c r="CM382" i="1"/>
  <c r="CM379" i="1"/>
  <c r="CM371" i="1"/>
  <c r="CM370" i="1"/>
  <c r="CM369" i="1"/>
  <c r="CM368" i="1"/>
  <c r="CM367" i="1"/>
  <c r="CM366" i="1"/>
  <c r="CM365" i="1"/>
  <c r="CM364" i="1"/>
  <c r="CM363" i="1"/>
  <c r="CM362" i="1"/>
  <c r="CM361" i="1"/>
  <c r="CM360" i="1"/>
  <c r="CO360" i="1" s="1"/>
  <c r="CM357" i="1"/>
  <c r="CM349" i="1"/>
  <c r="CM348" i="1"/>
  <c r="CM347" i="1"/>
  <c r="CM346" i="1"/>
  <c r="CM345" i="1"/>
  <c r="CM344" i="1"/>
  <c r="CM343" i="1"/>
  <c r="CM342" i="1"/>
  <c r="CM341" i="1"/>
  <c r="CM340" i="1"/>
  <c r="CM339" i="1"/>
  <c r="CM338" i="1"/>
  <c r="CM335" i="1"/>
  <c r="CM327" i="1"/>
  <c r="CM326" i="1"/>
  <c r="CM325" i="1"/>
  <c r="CM324" i="1"/>
  <c r="CM323" i="1"/>
  <c r="CM322" i="1"/>
  <c r="CM321" i="1"/>
  <c r="CM320" i="1"/>
  <c r="CM319" i="1"/>
  <c r="CM318" i="1"/>
  <c r="CM317" i="1"/>
  <c r="CM316" i="1"/>
  <c r="CM313" i="1"/>
  <c r="CM305" i="1"/>
  <c r="CM304" i="1"/>
  <c r="CM303" i="1"/>
  <c r="CM302" i="1"/>
  <c r="CM301" i="1"/>
  <c r="CM300" i="1"/>
  <c r="CM299" i="1"/>
  <c r="CM298" i="1"/>
  <c r="CM297" i="1"/>
  <c r="CM296" i="1"/>
  <c r="CM295" i="1"/>
  <c r="CM294" i="1"/>
  <c r="CM291" i="1"/>
  <c r="CM283" i="1"/>
  <c r="CM282" i="1"/>
  <c r="CM281" i="1"/>
  <c r="CM280" i="1"/>
  <c r="CM279" i="1"/>
  <c r="CM278" i="1"/>
  <c r="CM277" i="1"/>
  <c r="CM276" i="1"/>
  <c r="CM275" i="1"/>
  <c r="CM274" i="1"/>
  <c r="CM273" i="1"/>
  <c r="CM272" i="1"/>
  <c r="CM269" i="1"/>
  <c r="CM261" i="1"/>
  <c r="CM260" i="1"/>
  <c r="CM259" i="1"/>
  <c r="CM258" i="1"/>
  <c r="CM257" i="1"/>
  <c r="CM256" i="1"/>
  <c r="CM255" i="1"/>
  <c r="CM254" i="1"/>
  <c r="CM253" i="1"/>
  <c r="CM252" i="1"/>
  <c r="CM251" i="1"/>
  <c r="CM250" i="1"/>
  <c r="CM247" i="1"/>
  <c r="CM239" i="1"/>
  <c r="CM238" i="1"/>
  <c r="CM237" i="1"/>
  <c r="CM236" i="1"/>
  <c r="CM235" i="1"/>
  <c r="CM234" i="1"/>
  <c r="CM233" i="1"/>
  <c r="CM232" i="1"/>
  <c r="CM231" i="1"/>
  <c r="CM230" i="1"/>
  <c r="CM229" i="1"/>
  <c r="CM228" i="1"/>
  <c r="CM225" i="1"/>
  <c r="CM217" i="1"/>
  <c r="CM216" i="1"/>
  <c r="CM215" i="1"/>
  <c r="CM214" i="1"/>
  <c r="CM213" i="1"/>
  <c r="CM212" i="1"/>
  <c r="CM211" i="1"/>
  <c r="CM210" i="1"/>
  <c r="CM209" i="1"/>
  <c r="CM208" i="1"/>
  <c r="CM207" i="1"/>
  <c r="CM206" i="1"/>
  <c r="CM203" i="1"/>
  <c r="CM195" i="1"/>
  <c r="CM194" i="1"/>
  <c r="CM193" i="1"/>
  <c r="CM192" i="1"/>
  <c r="CM191" i="1"/>
  <c r="CM190" i="1"/>
  <c r="CM189" i="1"/>
  <c r="CM188" i="1"/>
  <c r="CM187" i="1"/>
  <c r="CM186" i="1"/>
  <c r="CM185" i="1"/>
  <c r="CM184" i="1"/>
  <c r="CM181" i="1"/>
  <c r="CM173" i="1"/>
  <c r="CM172" i="1"/>
  <c r="CM171" i="1"/>
  <c r="CM170" i="1"/>
  <c r="CM169" i="1"/>
  <c r="CM168" i="1"/>
  <c r="CM167" i="1"/>
  <c r="CM166" i="1"/>
  <c r="CM165" i="1"/>
  <c r="CM164" i="1"/>
  <c r="CM163" i="1"/>
  <c r="CM162" i="1"/>
  <c r="CM159" i="1"/>
  <c r="CM151" i="1"/>
  <c r="CM150" i="1"/>
  <c r="CM149" i="1"/>
  <c r="CM148" i="1"/>
  <c r="CM147" i="1"/>
  <c r="CM146" i="1"/>
  <c r="CM145" i="1"/>
  <c r="CM144" i="1"/>
  <c r="CM143" i="1"/>
  <c r="CM142" i="1"/>
  <c r="CM141" i="1"/>
  <c r="CM140" i="1"/>
  <c r="CM137" i="1"/>
  <c r="CM129" i="1"/>
  <c r="CM128" i="1"/>
  <c r="CM127" i="1"/>
  <c r="CM126" i="1"/>
  <c r="CM125" i="1"/>
  <c r="CM124" i="1"/>
  <c r="CM123" i="1"/>
  <c r="CM122" i="1"/>
  <c r="CM121" i="1"/>
  <c r="CM120" i="1"/>
  <c r="CM119" i="1"/>
  <c r="CM118" i="1"/>
  <c r="CM115" i="1"/>
  <c r="CM107" i="1"/>
  <c r="CM106" i="1"/>
  <c r="CM105" i="1"/>
  <c r="CM104" i="1"/>
  <c r="CM103" i="1"/>
  <c r="CM102" i="1"/>
  <c r="CM101" i="1"/>
  <c r="CM100" i="1"/>
  <c r="CM99" i="1"/>
  <c r="CM98" i="1"/>
  <c r="CM97" i="1"/>
  <c r="CM96" i="1"/>
  <c r="CM93" i="1"/>
  <c r="CM85" i="1"/>
  <c r="CM84" i="1"/>
  <c r="CM83" i="1"/>
  <c r="CM82" i="1"/>
  <c r="CM81" i="1"/>
  <c r="CM80" i="1"/>
  <c r="CM79" i="1"/>
  <c r="CM78" i="1"/>
  <c r="CM77" i="1"/>
  <c r="CM76" i="1"/>
  <c r="CM75" i="1"/>
  <c r="CM74" i="1"/>
  <c r="CM71" i="1"/>
  <c r="CM63" i="1"/>
  <c r="CM62" i="1"/>
  <c r="CM61" i="1"/>
  <c r="CM60" i="1"/>
  <c r="CM59" i="1"/>
  <c r="CM58" i="1"/>
  <c r="CM57" i="1"/>
  <c r="CM56" i="1"/>
  <c r="CM55" i="1"/>
  <c r="CM54" i="1"/>
  <c r="CM53" i="1"/>
  <c r="CM52" i="1"/>
  <c r="CM49" i="1"/>
  <c r="CM41" i="1"/>
  <c r="CM40" i="1"/>
  <c r="CM39" i="1"/>
  <c r="CM38" i="1"/>
  <c r="CM37" i="1"/>
  <c r="CM36" i="1"/>
  <c r="CM35" i="1"/>
  <c r="CM34" i="1"/>
  <c r="CM33" i="1"/>
  <c r="CM32" i="1"/>
  <c r="CM31" i="1"/>
  <c r="CM30" i="1"/>
  <c r="CM27" i="1"/>
  <c r="CM19" i="1"/>
  <c r="CM18" i="1"/>
  <c r="CM17" i="1"/>
  <c r="CM16" i="1"/>
  <c r="CM15" i="1"/>
  <c r="CM14" i="1"/>
  <c r="CM13" i="1"/>
  <c r="CM12" i="1"/>
  <c r="CM11" i="1"/>
  <c r="CM10" i="1"/>
  <c r="CM9" i="1"/>
  <c r="CM8" i="1"/>
  <c r="CM5" i="1"/>
  <c r="CC886" i="1"/>
  <c r="CD885" i="1"/>
  <c r="CB884" i="1"/>
  <c r="CB885" i="1" s="1"/>
  <c r="CC864" i="1"/>
  <c r="CD863" i="1"/>
  <c r="CB862" i="1"/>
  <c r="CB863" i="1" s="1"/>
  <c r="CC842" i="1"/>
  <c r="CD841" i="1"/>
  <c r="CB840" i="1"/>
  <c r="CB841" i="1" s="1"/>
  <c r="CC820" i="1"/>
  <c r="CD819" i="1"/>
  <c r="CB818" i="1"/>
  <c r="CB819" i="1" s="1"/>
  <c r="CC798" i="1"/>
  <c r="CD797" i="1"/>
  <c r="CB796" i="1"/>
  <c r="CB797" i="1" s="1"/>
  <c r="CC776" i="1"/>
  <c r="CD775" i="1"/>
  <c r="CB774" i="1"/>
  <c r="CB775" i="1" s="1"/>
  <c r="CC754" i="1"/>
  <c r="CD753" i="1"/>
  <c r="CB752" i="1"/>
  <c r="CB753" i="1" s="1"/>
  <c r="CC732" i="1"/>
  <c r="CD731" i="1"/>
  <c r="CB730" i="1"/>
  <c r="CB731" i="1" s="1"/>
  <c r="CC710" i="1"/>
  <c r="CD709" i="1"/>
  <c r="CB708" i="1"/>
  <c r="CB709" i="1" s="1"/>
  <c r="CD687" i="1"/>
  <c r="CD665" i="1"/>
  <c r="CD643" i="1"/>
  <c r="CD621" i="1"/>
  <c r="CD599" i="1"/>
  <c r="CD577" i="1"/>
  <c r="CD555" i="1"/>
  <c r="CD533" i="1"/>
  <c r="CD511" i="1"/>
  <c r="CD489" i="1"/>
  <c r="CD467" i="1"/>
  <c r="CD445" i="1"/>
  <c r="CD423" i="1"/>
  <c r="CD401" i="1"/>
  <c r="CD379" i="1"/>
  <c r="CD357" i="1"/>
  <c r="CD335" i="1"/>
  <c r="CD313" i="1"/>
  <c r="CD291" i="1"/>
  <c r="CD269" i="1"/>
  <c r="CD247" i="1"/>
  <c r="CD225" i="1"/>
  <c r="CD203" i="1"/>
  <c r="CD181" i="1"/>
  <c r="CD159" i="1"/>
  <c r="CD137" i="1"/>
  <c r="CD115" i="1"/>
  <c r="CD93" i="1"/>
  <c r="CD71" i="1"/>
  <c r="CD49" i="1"/>
  <c r="CD27" i="1"/>
  <c r="CD5" i="1"/>
  <c r="BU899" i="1"/>
  <c r="BU898" i="1"/>
  <c r="BU897" i="1"/>
  <c r="BU896" i="1"/>
  <c r="BU895" i="1"/>
  <c r="BU894" i="1"/>
  <c r="BU893" i="1"/>
  <c r="BU892" i="1"/>
  <c r="BU891" i="1"/>
  <c r="BU890" i="1"/>
  <c r="BU889" i="1"/>
  <c r="BU888" i="1"/>
  <c r="BT886" i="1"/>
  <c r="BU885" i="1"/>
  <c r="BS884" i="1"/>
  <c r="BS885" i="1" s="1"/>
  <c r="BU877" i="1"/>
  <c r="BU876" i="1"/>
  <c r="BU875" i="1"/>
  <c r="BU874" i="1"/>
  <c r="BU873" i="1"/>
  <c r="BU872" i="1"/>
  <c r="BU871" i="1"/>
  <c r="BU870" i="1"/>
  <c r="BU869" i="1"/>
  <c r="BU868" i="1"/>
  <c r="BU867" i="1"/>
  <c r="BU866" i="1"/>
  <c r="BT864" i="1"/>
  <c r="BU863" i="1"/>
  <c r="BS862" i="1"/>
  <c r="BS863" i="1" s="1"/>
  <c r="BU855" i="1"/>
  <c r="BU854" i="1"/>
  <c r="BU853" i="1"/>
  <c r="BU852" i="1"/>
  <c r="BU851" i="1"/>
  <c r="BU850" i="1"/>
  <c r="BU849" i="1"/>
  <c r="BU848" i="1"/>
  <c r="BU847" i="1"/>
  <c r="BU846" i="1"/>
  <c r="BU845" i="1"/>
  <c r="BU844" i="1"/>
  <c r="BT842" i="1"/>
  <c r="BU841" i="1"/>
  <c r="BS840" i="1"/>
  <c r="BS841" i="1" s="1"/>
  <c r="BU833" i="1"/>
  <c r="BU832" i="1"/>
  <c r="BU831" i="1"/>
  <c r="BU830" i="1"/>
  <c r="BU829" i="1"/>
  <c r="BU828" i="1"/>
  <c r="BU827" i="1"/>
  <c r="BU826" i="1"/>
  <c r="BU825" i="1"/>
  <c r="BU824" i="1"/>
  <c r="BU823" i="1"/>
  <c r="BU822" i="1"/>
  <c r="BT820" i="1"/>
  <c r="BU819" i="1"/>
  <c r="BS818" i="1"/>
  <c r="BS819" i="1" s="1"/>
  <c r="BU811" i="1"/>
  <c r="BU810" i="1"/>
  <c r="BU809" i="1"/>
  <c r="BU808" i="1"/>
  <c r="BU807" i="1"/>
  <c r="BU806" i="1"/>
  <c r="BU805" i="1"/>
  <c r="BU804" i="1"/>
  <c r="BU803" i="1"/>
  <c r="BU802" i="1"/>
  <c r="BU801" i="1"/>
  <c r="BU800" i="1"/>
  <c r="BT798" i="1"/>
  <c r="BU797" i="1"/>
  <c r="BS796" i="1"/>
  <c r="BS797" i="1" s="1"/>
  <c r="BU789" i="1"/>
  <c r="BU788" i="1"/>
  <c r="BU787" i="1"/>
  <c r="BU786" i="1"/>
  <c r="BU785" i="1"/>
  <c r="BU784" i="1"/>
  <c r="BU783" i="1"/>
  <c r="BU782" i="1"/>
  <c r="BU781" i="1"/>
  <c r="BU780" i="1"/>
  <c r="BU779" i="1"/>
  <c r="BU778" i="1"/>
  <c r="BT776" i="1"/>
  <c r="BU775" i="1"/>
  <c r="BS774" i="1"/>
  <c r="BS775" i="1" s="1"/>
  <c r="BU767" i="1"/>
  <c r="BU766" i="1"/>
  <c r="BU765" i="1"/>
  <c r="BU764" i="1"/>
  <c r="BU763" i="1"/>
  <c r="BU762" i="1"/>
  <c r="BU761" i="1"/>
  <c r="BU760" i="1"/>
  <c r="BU759" i="1"/>
  <c r="BU758" i="1"/>
  <c r="BU757" i="1"/>
  <c r="BU756" i="1"/>
  <c r="BT754" i="1"/>
  <c r="BU753" i="1"/>
  <c r="BS752" i="1"/>
  <c r="BS753" i="1" s="1"/>
  <c r="BU745" i="1"/>
  <c r="BU744" i="1"/>
  <c r="BU743" i="1"/>
  <c r="BU742" i="1"/>
  <c r="BU741" i="1"/>
  <c r="BU740" i="1"/>
  <c r="BU739" i="1"/>
  <c r="BU738" i="1"/>
  <c r="BU737" i="1"/>
  <c r="BU736" i="1"/>
  <c r="BU735" i="1"/>
  <c r="BU734" i="1"/>
  <c r="BT732" i="1"/>
  <c r="BU731" i="1"/>
  <c r="BS730" i="1"/>
  <c r="BS731" i="1" s="1"/>
  <c r="BU723" i="1"/>
  <c r="BU722" i="1"/>
  <c r="BU721" i="1"/>
  <c r="BU720" i="1"/>
  <c r="BU719" i="1"/>
  <c r="BU718" i="1"/>
  <c r="BU717" i="1"/>
  <c r="BU716" i="1"/>
  <c r="BU715" i="1"/>
  <c r="BU714" i="1"/>
  <c r="BU713" i="1"/>
  <c r="BU712" i="1"/>
  <c r="BT710" i="1"/>
  <c r="BU709" i="1"/>
  <c r="BS708" i="1"/>
  <c r="BS709" i="1" s="1"/>
  <c r="BU701" i="1"/>
  <c r="BU700" i="1"/>
  <c r="BU699" i="1"/>
  <c r="BU698" i="1"/>
  <c r="BU697" i="1"/>
  <c r="BU696" i="1"/>
  <c r="BU695" i="1"/>
  <c r="BU694" i="1"/>
  <c r="BU693" i="1"/>
  <c r="BU692" i="1"/>
  <c r="BU691" i="1"/>
  <c r="BU690" i="1"/>
  <c r="BU687" i="1"/>
  <c r="BU679" i="1"/>
  <c r="BU678" i="1"/>
  <c r="BU677" i="1"/>
  <c r="BU676" i="1"/>
  <c r="BU675" i="1"/>
  <c r="BU674" i="1"/>
  <c r="BU673" i="1"/>
  <c r="BU672" i="1"/>
  <c r="BU671" i="1"/>
  <c r="BU670" i="1"/>
  <c r="BU669" i="1"/>
  <c r="BU668" i="1"/>
  <c r="BU665" i="1"/>
  <c r="BU657" i="1"/>
  <c r="BU656" i="1"/>
  <c r="BU655" i="1"/>
  <c r="BU654" i="1"/>
  <c r="BU653" i="1"/>
  <c r="BU652" i="1"/>
  <c r="BU651" i="1"/>
  <c r="BU650" i="1"/>
  <c r="BU649" i="1"/>
  <c r="BU648" i="1"/>
  <c r="BU647" i="1"/>
  <c r="BU646" i="1"/>
  <c r="BU643" i="1"/>
  <c r="BU635" i="1"/>
  <c r="BU634" i="1"/>
  <c r="BU633" i="1"/>
  <c r="BU632" i="1"/>
  <c r="BU631" i="1"/>
  <c r="BU630" i="1"/>
  <c r="BU629" i="1"/>
  <c r="BU628" i="1"/>
  <c r="BU627" i="1"/>
  <c r="BU626" i="1"/>
  <c r="BU625" i="1"/>
  <c r="BU624" i="1"/>
  <c r="BU621" i="1"/>
  <c r="BU613" i="1"/>
  <c r="BU612" i="1"/>
  <c r="BU611" i="1"/>
  <c r="BU610" i="1"/>
  <c r="BU609" i="1"/>
  <c r="BU608" i="1"/>
  <c r="BU607" i="1"/>
  <c r="BU606" i="1"/>
  <c r="BU605" i="1"/>
  <c r="BU604" i="1"/>
  <c r="BU603" i="1"/>
  <c r="BU602" i="1"/>
  <c r="BU599" i="1"/>
  <c r="BU591" i="1"/>
  <c r="BU590" i="1"/>
  <c r="BU589" i="1"/>
  <c r="BU588" i="1"/>
  <c r="BU587" i="1"/>
  <c r="BU586" i="1"/>
  <c r="BU585" i="1"/>
  <c r="BU584" i="1"/>
  <c r="BU583" i="1"/>
  <c r="BU582" i="1"/>
  <c r="BU581" i="1"/>
  <c r="BU580" i="1"/>
  <c r="BU577" i="1"/>
  <c r="BU569" i="1"/>
  <c r="BU568" i="1"/>
  <c r="BU567" i="1"/>
  <c r="BU566" i="1"/>
  <c r="BU565" i="1"/>
  <c r="BU564" i="1"/>
  <c r="BU563" i="1"/>
  <c r="BU562" i="1"/>
  <c r="BU561" i="1"/>
  <c r="BU560" i="1"/>
  <c r="BU559" i="1"/>
  <c r="BU558" i="1"/>
  <c r="BU555" i="1"/>
  <c r="BU547" i="1"/>
  <c r="BU546" i="1"/>
  <c r="BU545" i="1"/>
  <c r="BU544" i="1"/>
  <c r="BU543" i="1"/>
  <c r="BU542" i="1"/>
  <c r="BU541" i="1"/>
  <c r="BU540" i="1"/>
  <c r="BU539" i="1"/>
  <c r="BU538" i="1"/>
  <c r="BU537" i="1"/>
  <c r="BU536" i="1"/>
  <c r="BU533" i="1"/>
  <c r="BU525" i="1"/>
  <c r="BU524" i="1"/>
  <c r="BU523" i="1"/>
  <c r="BU522" i="1"/>
  <c r="BU521" i="1"/>
  <c r="BU520" i="1"/>
  <c r="BU519" i="1"/>
  <c r="BU518" i="1"/>
  <c r="BU517" i="1"/>
  <c r="BU516" i="1"/>
  <c r="BU515" i="1"/>
  <c r="BU514" i="1"/>
  <c r="BU511" i="1"/>
  <c r="BU503" i="1"/>
  <c r="BU502" i="1"/>
  <c r="BU501" i="1"/>
  <c r="BU500" i="1"/>
  <c r="BU499" i="1"/>
  <c r="BU498" i="1"/>
  <c r="BU497" i="1"/>
  <c r="BU496" i="1"/>
  <c r="BU495" i="1"/>
  <c r="BU494" i="1"/>
  <c r="BU493" i="1"/>
  <c r="BU492" i="1"/>
  <c r="BU489" i="1"/>
  <c r="BU481" i="1"/>
  <c r="BU480" i="1"/>
  <c r="BU479" i="1"/>
  <c r="BU478" i="1"/>
  <c r="BU477" i="1"/>
  <c r="BU476" i="1"/>
  <c r="BU475" i="1"/>
  <c r="BU474" i="1"/>
  <c r="BU473" i="1"/>
  <c r="BU472" i="1"/>
  <c r="BU471" i="1"/>
  <c r="BU470" i="1"/>
  <c r="BU467" i="1"/>
  <c r="BU459" i="1"/>
  <c r="BU458" i="1"/>
  <c r="BU457" i="1"/>
  <c r="BU456" i="1"/>
  <c r="BU455" i="1"/>
  <c r="BU454" i="1"/>
  <c r="BU453" i="1"/>
  <c r="BU452" i="1"/>
  <c r="BU451" i="1"/>
  <c r="BU450" i="1"/>
  <c r="BU449" i="1"/>
  <c r="BU448" i="1"/>
  <c r="BU445" i="1"/>
  <c r="BU437" i="1"/>
  <c r="BU436" i="1"/>
  <c r="BU435" i="1"/>
  <c r="BU434" i="1"/>
  <c r="BU433" i="1"/>
  <c r="BU432" i="1"/>
  <c r="BU431" i="1"/>
  <c r="BU430" i="1"/>
  <c r="BU429" i="1"/>
  <c r="BU428" i="1"/>
  <c r="BU427" i="1"/>
  <c r="BU426" i="1"/>
  <c r="BU423" i="1"/>
  <c r="BU415" i="1"/>
  <c r="BU414" i="1"/>
  <c r="BU413" i="1"/>
  <c r="BU412" i="1"/>
  <c r="BU411" i="1"/>
  <c r="BU410" i="1"/>
  <c r="BU409" i="1"/>
  <c r="BU408" i="1"/>
  <c r="BU407" i="1"/>
  <c r="BU406" i="1"/>
  <c r="BU405" i="1"/>
  <c r="BU404" i="1"/>
  <c r="BU401" i="1"/>
  <c r="BU393" i="1"/>
  <c r="BU392" i="1"/>
  <c r="BU391" i="1"/>
  <c r="BU390" i="1"/>
  <c r="BU389" i="1"/>
  <c r="BU388" i="1"/>
  <c r="BU387" i="1"/>
  <c r="BU386" i="1"/>
  <c r="BU385" i="1"/>
  <c r="BU384" i="1"/>
  <c r="BU383" i="1"/>
  <c r="BU382" i="1"/>
  <c r="BU379" i="1"/>
  <c r="BU371" i="1"/>
  <c r="BU370" i="1"/>
  <c r="BU369" i="1"/>
  <c r="BU368" i="1"/>
  <c r="BU367" i="1"/>
  <c r="BU366" i="1"/>
  <c r="BU365" i="1"/>
  <c r="BU364" i="1"/>
  <c r="BU363" i="1"/>
  <c r="BU362" i="1"/>
  <c r="BU361" i="1"/>
  <c r="BU360" i="1"/>
  <c r="BW360" i="1" s="1"/>
  <c r="BU357" i="1"/>
  <c r="BU349" i="1"/>
  <c r="BU348" i="1"/>
  <c r="BU347" i="1"/>
  <c r="BU346" i="1"/>
  <c r="BU345" i="1"/>
  <c r="BU344" i="1"/>
  <c r="BU343" i="1"/>
  <c r="BU342" i="1"/>
  <c r="BU341" i="1"/>
  <c r="BU340" i="1"/>
  <c r="BU339" i="1"/>
  <c r="BU338" i="1"/>
  <c r="BU335" i="1"/>
  <c r="BU327" i="1"/>
  <c r="BU326" i="1"/>
  <c r="BU325" i="1"/>
  <c r="BU324" i="1"/>
  <c r="BU323" i="1"/>
  <c r="BU322" i="1"/>
  <c r="BU321" i="1"/>
  <c r="BU320" i="1"/>
  <c r="BU319" i="1"/>
  <c r="BU318" i="1"/>
  <c r="BU317" i="1"/>
  <c r="BU316" i="1"/>
  <c r="BU313" i="1"/>
  <c r="BU305" i="1"/>
  <c r="BU304" i="1"/>
  <c r="BU303" i="1"/>
  <c r="BU302" i="1"/>
  <c r="BU301" i="1"/>
  <c r="BU300" i="1"/>
  <c r="BU299" i="1"/>
  <c r="BU298" i="1"/>
  <c r="BU297" i="1"/>
  <c r="BU296" i="1"/>
  <c r="BU295" i="1"/>
  <c r="BU294" i="1"/>
  <c r="BU291" i="1"/>
  <c r="BU283" i="1"/>
  <c r="BU282" i="1"/>
  <c r="BU281" i="1"/>
  <c r="BU280" i="1"/>
  <c r="BU279" i="1"/>
  <c r="BU278" i="1"/>
  <c r="BU277" i="1"/>
  <c r="BU276" i="1"/>
  <c r="BU275" i="1"/>
  <c r="BU274" i="1"/>
  <c r="BU273" i="1"/>
  <c r="BU272" i="1"/>
  <c r="BU269" i="1"/>
  <c r="BU261" i="1"/>
  <c r="BU260" i="1"/>
  <c r="BU259" i="1"/>
  <c r="BU258" i="1"/>
  <c r="BU257" i="1"/>
  <c r="BU256" i="1"/>
  <c r="BU255" i="1"/>
  <c r="BU254" i="1"/>
  <c r="BU253" i="1"/>
  <c r="BU252" i="1"/>
  <c r="BU251" i="1"/>
  <c r="BU250" i="1"/>
  <c r="BU247" i="1"/>
  <c r="BU239" i="1"/>
  <c r="BU238" i="1"/>
  <c r="BU237" i="1"/>
  <c r="BU236" i="1"/>
  <c r="BU235" i="1"/>
  <c r="BU234" i="1"/>
  <c r="BU233" i="1"/>
  <c r="BU232" i="1"/>
  <c r="BU231" i="1"/>
  <c r="BU230" i="1"/>
  <c r="BU229" i="1"/>
  <c r="BU228" i="1"/>
  <c r="BU225" i="1"/>
  <c r="BU217" i="1"/>
  <c r="BU216" i="1"/>
  <c r="BU215" i="1"/>
  <c r="BU214" i="1"/>
  <c r="BU213" i="1"/>
  <c r="BU212" i="1"/>
  <c r="BU211" i="1"/>
  <c r="BU210" i="1"/>
  <c r="BU209" i="1"/>
  <c r="BU208" i="1"/>
  <c r="BU207" i="1"/>
  <c r="BU206" i="1"/>
  <c r="BU203" i="1"/>
  <c r="BU195" i="1"/>
  <c r="BU194" i="1"/>
  <c r="BU193" i="1"/>
  <c r="BU192" i="1"/>
  <c r="BU191" i="1"/>
  <c r="BU190" i="1"/>
  <c r="BU189" i="1"/>
  <c r="BU188" i="1"/>
  <c r="BU187" i="1"/>
  <c r="BU186" i="1"/>
  <c r="BU185" i="1"/>
  <c r="BU184" i="1"/>
  <c r="BU181" i="1"/>
  <c r="BU173" i="1"/>
  <c r="BU172" i="1"/>
  <c r="BU171" i="1"/>
  <c r="BU170" i="1"/>
  <c r="BU169" i="1"/>
  <c r="BU168" i="1"/>
  <c r="BU167" i="1"/>
  <c r="BU166" i="1"/>
  <c r="BU165" i="1"/>
  <c r="BU164" i="1"/>
  <c r="BU163" i="1"/>
  <c r="BU162" i="1"/>
  <c r="BU159" i="1"/>
  <c r="BU151" i="1"/>
  <c r="BU150" i="1"/>
  <c r="BU149" i="1"/>
  <c r="BU148" i="1"/>
  <c r="BU147" i="1"/>
  <c r="BU146" i="1"/>
  <c r="BU145" i="1"/>
  <c r="BU144" i="1"/>
  <c r="BU143" i="1"/>
  <c r="BU142" i="1"/>
  <c r="BU141" i="1"/>
  <c r="BU140" i="1"/>
  <c r="BU137" i="1"/>
  <c r="BU129" i="1"/>
  <c r="BU128" i="1"/>
  <c r="BU127" i="1"/>
  <c r="BU126" i="1"/>
  <c r="BU125" i="1"/>
  <c r="BU124" i="1"/>
  <c r="BU123" i="1"/>
  <c r="BU122" i="1"/>
  <c r="BU121" i="1"/>
  <c r="BU120" i="1"/>
  <c r="BU119" i="1"/>
  <c r="BU118" i="1"/>
  <c r="BU115" i="1"/>
  <c r="BU107" i="1"/>
  <c r="BU106" i="1"/>
  <c r="BU105" i="1"/>
  <c r="BU104" i="1"/>
  <c r="BU103" i="1"/>
  <c r="BU102" i="1"/>
  <c r="BU101" i="1"/>
  <c r="BU100" i="1"/>
  <c r="BU99" i="1"/>
  <c r="BU98" i="1"/>
  <c r="BU97" i="1"/>
  <c r="BU96" i="1"/>
  <c r="BU93" i="1"/>
  <c r="BU85" i="1"/>
  <c r="BU84" i="1"/>
  <c r="BU83" i="1"/>
  <c r="BU82" i="1"/>
  <c r="BU81" i="1"/>
  <c r="BU80" i="1"/>
  <c r="BU79" i="1"/>
  <c r="BU78" i="1"/>
  <c r="BU77" i="1"/>
  <c r="BU76" i="1"/>
  <c r="BU75" i="1"/>
  <c r="BU74" i="1"/>
  <c r="BU71" i="1"/>
  <c r="BU63" i="1"/>
  <c r="BU62" i="1"/>
  <c r="BU61" i="1"/>
  <c r="BU60" i="1"/>
  <c r="BU59" i="1"/>
  <c r="BU58" i="1"/>
  <c r="BU57" i="1"/>
  <c r="BU56" i="1"/>
  <c r="BU55" i="1"/>
  <c r="BU54" i="1"/>
  <c r="BU53" i="1"/>
  <c r="BU52" i="1"/>
  <c r="BU49" i="1"/>
  <c r="BU41" i="1"/>
  <c r="BU40" i="1"/>
  <c r="BU39" i="1"/>
  <c r="BU38" i="1"/>
  <c r="BU37" i="1"/>
  <c r="BU36" i="1"/>
  <c r="BU35" i="1"/>
  <c r="BU34" i="1"/>
  <c r="BU33" i="1"/>
  <c r="BU32" i="1"/>
  <c r="BU31" i="1"/>
  <c r="BU30" i="1"/>
  <c r="BU27" i="1"/>
  <c r="BU19" i="1"/>
  <c r="BU18" i="1"/>
  <c r="BU17" i="1"/>
  <c r="BU16" i="1"/>
  <c r="BU15" i="1"/>
  <c r="BU14" i="1"/>
  <c r="BU13" i="1"/>
  <c r="BU12" i="1"/>
  <c r="BU11" i="1"/>
  <c r="BU10" i="1"/>
  <c r="BU9" i="1"/>
  <c r="BU8" i="1"/>
  <c r="BU5" i="1"/>
  <c r="BC899" i="1"/>
  <c r="BC898" i="1"/>
  <c r="BC897" i="1"/>
  <c r="BC896" i="1"/>
  <c r="BC895" i="1"/>
  <c r="BC894" i="1"/>
  <c r="BC893" i="1"/>
  <c r="BC892" i="1"/>
  <c r="BC891" i="1"/>
  <c r="BC890" i="1"/>
  <c r="BC889" i="1"/>
  <c r="BC888" i="1"/>
  <c r="BB886" i="1"/>
  <c r="BC885" i="1"/>
  <c r="BA884" i="1"/>
  <c r="BA885" i="1" s="1"/>
  <c r="BC877" i="1"/>
  <c r="BC876" i="1"/>
  <c r="BC875" i="1"/>
  <c r="BC874" i="1"/>
  <c r="BC873" i="1"/>
  <c r="BC872" i="1"/>
  <c r="BC871" i="1"/>
  <c r="BC870" i="1"/>
  <c r="BC869" i="1"/>
  <c r="BC868" i="1"/>
  <c r="BC867" i="1"/>
  <c r="BC866" i="1"/>
  <c r="BB864" i="1"/>
  <c r="BC863" i="1"/>
  <c r="BA862" i="1"/>
  <c r="BA863" i="1" s="1"/>
  <c r="BC855" i="1"/>
  <c r="BC854" i="1"/>
  <c r="BC853" i="1"/>
  <c r="BC852" i="1"/>
  <c r="BC851" i="1"/>
  <c r="BC850" i="1"/>
  <c r="BC849" i="1"/>
  <c r="BC848" i="1"/>
  <c r="BC847" i="1"/>
  <c r="BC846" i="1"/>
  <c r="BC845" i="1"/>
  <c r="BC844" i="1"/>
  <c r="BB842" i="1"/>
  <c r="BC841" i="1"/>
  <c r="BA840" i="1"/>
  <c r="BA841" i="1" s="1"/>
  <c r="BC833" i="1"/>
  <c r="BC832" i="1"/>
  <c r="BC831" i="1"/>
  <c r="BC830" i="1"/>
  <c r="BC829" i="1"/>
  <c r="BC828" i="1"/>
  <c r="BC827" i="1"/>
  <c r="BC826" i="1"/>
  <c r="BC825" i="1"/>
  <c r="BC824" i="1"/>
  <c r="BC823" i="1"/>
  <c r="BC822" i="1"/>
  <c r="BB820" i="1"/>
  <c r="BC819" i="1"/>
  <c r="BA818" i="1"/>
  <c r="BA819" i="1" s="1"/>
  <c r="BC811" i="1"/>
  <c r="BC810" i="1"/>
  <c r="BC809" i="1"/>
  <c r="BC808" i="1"/>
  <c r="BC807" i="1"/>
  <c r="BC806" i="1"/>
  <c r="BC805" i="1"/>
  <c r="BC804" i="1"/>
  <c r="BC803" i="1"/>
  <c r="BC802" i="1"/>
  <c r="BC801" i="1"/>
  <c r="BC800" i="1"/>
  <c r="BB798" i="1"/>
  <c r="BC797" i="1"/>
  <c r="BA796" i="1"/>
  <c r="BA797" i="1" s="1"/>
  <c r="BC789" i="1"/>
  <c r="BC788" i="1"/>
  <c r="BC787" i="1"/>
  <c r="BC786" i="1"/>
  <c r="BC785" i="1"/>
  <c r="BC784" i="1"/>
  <c r="BC783" i="1"/>
  <c r="BC782" i="1"/>
  <c r="BC781" i="1"/>
  <c r="BC780" i="1"/>
  <c r="BC779" i="1"/>
  <c r="BC778" i="1"/>
  <c r="BB776" i="1"/>
  <c r="BC775" i="1"/>
  <c r="BA774" i="1"/>
  <c r="BA775" i="1" s="1"/>
  <c r="BC767" i="1"/>
  <c r="BC766" i="1"/>
  <c r="BC765" i="1"/>
  <c r="BC764" i="1"/>
  <c r="BC763" i="1"/>
  <c r="BC762" i="1"/>
  <c r="BC761" i="1"/>
  <c r="BC760" i="1"/>
  <c r="BC759" i="1"/>
  <c r="BC758" i="1"/>
  <c r="BC757" i="1"/>
  <c r="BC756" i="1"/>
  <c r="BB754" i="1"/>
  <c r="BC753" i="1"/>
  <c r="BA752" i="1"/>
  <c r="BA753" i="1" s="1"/>
  <c r="BC745" i="1"/>
  <c r="BC744" i="1"/>
  <c r="BC743" i="1"/>
  <c r="BC742" i="1"/>
  <c r="BC741" i="1"/>
  <c r="BC740" i="1"/>
  <c r="BC739" i="1"/>
  <c r="BC738" i="1"/>
  <c r="BC737" i="1"/>
  <c r="BC736" i="1"/>
  <c r="BC735" i="1"/>
  <c r="BC734" i="1"/>
  <c r="BB732" i="1"/>
  <c r="BC731" i="1"/>
  <c r="BA730" i="1"/>
  <c r="BA731" i="1" s="1"/>
  <c r="BC723" i="1"/>
  <c r="BC722" i="1"/>
  <c r="BC721" i="1"/>
  <c r="BC720" i="1"/>
  <c r="BC719" i="1"/>
  <c r="BC718" i="1"/>
  <c r="BC717" i="1"/>
  <c r="BC716" i="1"/>
  <c r="BC715" i="1"/>
  <c r="BC714" i="1"/>
  <c r="BC713" i="1"/>
  <c r="BC712" i="1"/>
  <c r="BB710" i="1"/>
  <c r="BC709" i="1"/>
  <c r="BA708" i="1"/>
  <c r="BA709" i="1" s="1"/>
  <c r="BC701" i="1"/>
  <c r="BC700" i="1"/>
  <c r="BC699" i="1"/>
  <c r="BC698" i="1"/>
  <c r="BC697" i="1"/>
  <c r="BC696" i="1"/>
  <c r="BC695" i="1"/>
  <c r="BC694" i="1"/>
  <c r="BC693" i="1"/>
  <c r="BC692" i="1"/>
  <c r="BC691" i="1"/>
  <c r="BC690" i="1"/>
  <c r="BC687" i="1"/>
  <c r="BC679" i="1"/>
  <c r="BC678" i="1"/>
  <c r="BC677" i="1"/>
  <c r="BC676" i="1"/>
  <c r="BC675" i="1"/>
  <c r="BC674" i="1"/>
  <c r="BC673" i="1"/>
  <c r="BC672" i="1"/>
  <c r="BC671" i="1"/>
  <c r="BC670" i="1"/>
  <c r="BC669" i="1"/>
  <c r="BC668" i="1"/>
  <c r="BC665" i="1"/>
  <c r="BC657" i="1"/>
  <c r="BC656" i="1"/>
  <c r="BC655" i="1"/>
  <c r="BC654" i="1"/>
  <c r="BC653" i="1"/>
  <c r="BC652" i="1"/>
  <c r="BC651" i="1"/>
  <c r="BC650" i="1"/>
  <c r="BC649" i="1"/>
  <c r="BC648" i="1"/>
  <c r="BC647" i="1"/>
  <c r="BC646" i="1"/>
  <c r="BC643" i="1"/>
  <c r="BC635" i="1"/>
  <c r="BC634" i="1"/>
  <c r="BC633" i="1"/>
  <c r="BC632" i="1"/>
  <c r="BC631" i="1"/>
  <c r="BC630" i="1"/>
  <c r="BC629" i="1"/>
  <c r="BC628" i="1"/>
  <c r="BC627" i="1"/>
  <c r="BC626" i="1"/>
  <c r="BC625" i="1"/>
  <c r="BC624" i="1"/>
  <c r="BC621" i="1"/>
  <c r="BC613" i="1"/>
  <c r="BC612" i="1"/>
  <c r="BC611" i="1"/>
  <c r="BC610" i="1"/>
  <c r="BC609" i="1"/>
  <c r="BC608" i="1"/>
  <c r="BC607" i="1"/>
  <c r="BC606" i="1"/>
  <c r="BC605" i="1"/>
  <c r="BC604" i="1"/>
  <c r="BC603" i="1"/>
  <c r="BC602" i="1"/>
  <c r="BC599" i="1"/>
  <c r="BC591" i="1"/>
  <c r="BC590" i="1"/>
  <c r="BC589" i="1"/>
  <c r="BC588" i="1"/>
  <c r="BC587" i="1"/>
  <c r="BC586" i="1"/>
  <c r="BC585" i="1"/>
  <c r="BC584" i="1"/>
  <c r="BC583" i="1"/>
  <c r="BC582" i="1"/>
  <c r="BC581" i="1"/>
  <c r="BC580" i="1"/>
  <c r="BC577" i="1"/>
  <c r="BC569" i="1"/>
  <c r="BC568" i="1"/>
  <c r="BC567" i="1"/>
  <c r="BC566" i="1"/>
  <c r="BC565" i="1"/>
  <c r="BC564" i="1"/>
  <c r="BC563" i="1"/>
  <c r="BC562" i="1"/>
  <c r="BC561" i="1"/>
  <c r="BC560" i="1"/>
  <c r="BC559" i="1"/>
  <c r="BC558" i="1"/>
  <c r="BC555" i="1"/>
  <c r="BC547" i="1"/>
  <c r="BC546" i="1"/>
  <c r="BC545" i="1"/>
  <c r="BC544" i="1"/>
  <c r="BC543" i="1"/>
  <c r="BC542" i="1"/>
  <c r="BC541" i="1"/>
  <c r="BC540" i="1"/>
  <c r="BC539" i="1"/>
  <c r="BC538" i="1"/>
  <c r="BC537" i="1"/>
  <c r="BC536" i="1"/>
  <c r="BC533" i="1"/>
  <c r="BC525" i="1"/>
  <c r="BC524" i="1"/>
  <c r="BC523" i="1"/>
  <c r="BC522" i="1"/>
  <c r="BC521" i="1"/>
  <c r="BC520" i="1"/>
  <c r="BC519" i="1"/>
  <c r="BC518" i="1"/>
  <c r="BC517" i="1"/>
  <c r="BC516" i="1"/>
  <c r="BC515" i="1"/>
  <c r="BC514" i="1"/>
  <c r="BC511" i="1"/>
  <c r="BC503" i="1"/>
  <c r="BC502" i="1"/>
  <c r="BC501" i="1"/>
  <c r="BC500" i="1"/>
  <c r="BC499" i="1"/>
  <c r="BC498" i="1"/>
  <c r="BC497" i="1"/>
  <c r="BC496" i="1"/>
  <c r="BC495" i="1"/>
  <c r="BC494" i="1"/>
  <c r="BC493" i="1"/>
  <c r="BC492" i="1"/>
  <c r="BC489" i="1"/>
  <c r="BC481" i="1"/>
  <c r="BC480" i="1"/>
  <c r="BC479" i="1"/>
  <c r="BC478" i="1"/>
  <c r="BC477" i="1"/>
  <c r="BC476" i="1"/>
  <c r="BC475" i="1"/>
  <c r="BC474" i="1"/>
  <c r="BC473" i="1"/>
  <c r="BC472" i="1"/>
  <c r="BC471" i="1"/>
  <c r="BC470" i="1"/>
  <c r="BC467" i="1"/>
  <c r="BC459" i="1"/>
  <c r="BC458" i="1"/>
  <c r="BC457" i="1"/>
  <c r="BC456" i="1"/>
  <c r="BC455" i="1"/>
  <c r="BC454" i="1"/>
  <c r="BC453" i="1"/>
  <c r="BC452" i="1"/>
  <c r="BC451" i="1"/>
  <c r="BC450" i="1"/>
  <c r="BC449" i="1"/>
  <c r="BC448" i="1"/>
  <c r="BC445" i="1"/>
  <c r="BC437" i="1"/>
  <c r="BC436" i="1"/>
  <c r="BC435" i="1"/>
  <c r="BC434" i="1"/>
  <c r="BC433" i="1"/>
  <c r="BC432" i="1"/>
  <c r="BC431" i="1"/>
  <c r="BC430" i="1"/>
  <c r="BC429" i="1"/>
  <c r="BC428" i="1"/>
  <c r="BC427" i="1"/>
  <c r="BC426" i="1"/>
  <c r="BC423" i="1"/>
  <c r="BC415" i="1"/>
  <c r="BC414" i="1"/>
  <c r="BC413" i="1"/>
  <c r="BC412" i="1"/>
  <c r="BC411" i="1"/>
  <c r="BC410" i="1"/>
  <c r="BC409" i="1"/>
  <c r="BC408" i="1"/>
  <c r="BC407" i="1"/>
  <c r="BC406" i="1"/>
  <c r="BC405" i="1"/>
  <c r="BC404" i="1"/>
  <c r="BC401" i="1"/>
  <c r="BC393" i="1"/>
  <c r="BC392" i="1"/>
  <c r="BC391" i="1"/>
  <c r="BC390" i="1"/>
  <c r="BC389" i="1"/>
  <c r="BC388" i="1"/>
  <c r="BC387" i="1"/>
  <c r="BC386" i="1"/>
  <c r="BC385" i="1"/>
  <c r="BC384" i="1"/>
  <c r="BC383" i="1"/>
  <c r="BC382" i="1"/>
  <c r="BC379" i="1"/>
  <c r="BC371" i="1"/>
  <c r="BC370" i="1"/>
  <c r="BC369" i="1"/>
  <c r="BC368" i="1"/>
  <c r="BC367" i="1"/>
  <c r="BC366" i="1"/>
  <c r="BC365" i="1"/>
  <c r="BC364" i="1"/>
  <c r="BC363" i="1"/>
  <c r="BC362" i="1"/>
  <c r="BC361" i="1"/>
  <c r="BC360" i="1"/>
  <c r="BE360" i="1" s="1"/>
  <c r="BC357" i="1"/>
  <c r="BC349" i="1"/>
  <c r="BC348" i="1"/>
  <c r="BC347" i="1"/>
  <c r="BC346" i="1"/>
  <c r="BC345" i="1"/>
  <c r="BC344" i="1"/>
  <c r="BC343" i="1"/>
  <c r="BC342" i="1"/>
  <c r="BC341" i="1"/>
  <c r="BC340" i="1"/>
  <c r="BC339" i="1"/>
  <c r="BC338" i="1"/>
  <c r="BC335" i="1"/>
  <c r="BC327" i="1"/>
  <c r="BC326" i="1"/>
  <c r="BC325" i="1"/>
  <c r="BC324" i="1"/>
  <c r="BC323" i="1"/>
  <c r="BC322" i="1"/>
  <c r="BC321" i="1"/>
  <c r="BC320" i="1"/>
  <c r="BC319" i="1"/>
  <c r="BC318" i="1"/>
  <c r="BC317" i="1"/>
  <c r="BC316" i="1"/>
  <c r="BC313" i="1"/>
  <c r="BC305" i="1"/>
  <c r="BC304" i="1"/>
  <c r="BC303" i="1"/>
  <c r="BC302" i="1"/>
  <c r="BC301" i="1"/>
  <c r="BC300" i="1"/>
  <c r="BC299" i="1"/>
  <c r="BC298" i="1"/>
  <c r="BC297" i="1"/>
  <c r="BC296" i="1"/>
  <c r="BC295" i="1"/>
  <c r="BC294" i="1"/>
  <c r="BC291" i="1"/>
  <c r="BC283" i="1"/>
  <c r="BC282" i="1"/>
  <c r="BC281" i="1"/>
  <c r="BC280" i="1"/>
  <c r="BC279" i="1"/>
  <c r="BC278" i="1"/>
  <c r="BC277" i="1"/>
  <c r="BC276" i="1"/>
  <c r="BC275" i="1"/>
  <c r="BC274" i="1"/>
  <c r="BC273" i="1"/>
  <c r="BC272" i="1"/>
  <c r="BC269" i="1"/>
  <c r="BC261" i="1"/>
  <c r="BC260" i="1"/>
  <c r="BC259" i="1"/>
  <c r="BC258" i="1"/>
  <c r="BC257" i="1"/>
  <c r="BC256" i="1"/>
  <c r="BC255" i="1"/>
  <c r="BC254" i="1"/>
  <c r="BC253" i="1"/>
  <c r="BC252" i="1"/>
  <c r="BC251" i="1"/>
  <c r="BC250" i="1"/>
  <c r="BC247" i="1"/>
  <c r="BC239" i="1"/>
  <c r="BC238" i="1"/>
  <c r="BC237" i="1"/>
  <c r="BC236" i="1"/>
  <c r="BC235" i="1"/>
  <c r="BC234" i="1"/>
  <c r="BC233" i="1"/>
  <c r="BC232" i="1"/>
  <c r="BC231" i="1"/>
  <c r="BC230" i="1"/>
  <c r="BC229" i="1"/>
  <c r="BC228" i="1"/>
  <c r="BC225" i="1"/>
  <c r="BC217" i="1"/>
  <c r="BC216" i="1"/>
  <c r="BC215" i="1"/>
  <c r="BC214" i="1"/>
  <c r="BC213" i="1"/>
  <c r="BC212" i="1"/>
  <c r="BC211" i="1"/>
  <c r="BC210" i="1"/>
  <c r="BC209" i="1"/>
  <c r="BC208" i="1"/>
  <c r="BC207" i="1"/>
  <c r="BC206" i="1"/>
  <c r="BC203" i="1"/>
  <c r="BC195" i="1"/>
  <c r="BC194" i="1"/>
  <c r="BC193" i="1"/>
  <c r="BC192" i="1"/>
  <c r="BC191" i="1"/>
  <c r="BC190" i="1"/>
  <c r="BC189" i="1"/>
  <c r="BC188" i="1"/>
  <c r="BC187" i="1"/>
  <c r="BC186" i="1"/>
  <c r="BC185" i="1"/>
  <c r="BC184" i="1"/>
  <c r="BC181" i="1"/>
  <c r="BC173" i="1"/>
  <c r="BC172" i="1"/>
  <c r="BC171" i="1"/>
  <c r="BC170" i="1"/>
  <c r="BC169" i="1"/>
  <c r="BC168" i="1"/>
  <c r="BC167" i="1"/>
  <c r="BC166" i="1"/>
  <c r="BC165" i="1"/>
  <c r="BC164" i="1"/>
  <c r="BC163" i="1"/>
  <c r="BC162" i="1"/>
  <c r="BC159" i="1"/>
  <c r="BC151" i="1"/>
  <c r="BC150" i="1"/>
  <c r="BC149" i="1"/>
  <c r="BC148" i="1"/>
  <c r="BC147" i="1"/>
  <c r="BC146" i="1"/>
  <c r="BC145" i="1"/>
  <c r="BC144" i="1"/>
  <c r="BC143" i="1"/>
  <c r="BC142" i="1"/>
  <c r="BC141" i="1"/>
  <c r="BC140" i="1"/>
  <c r="BC137" i="1"/>
  <c r="BC129" i="1"/>
  <c r="BC128" i="1"/>
  <c r="BC127" i="1"/>
  <c r="BC126" i="1"/>
  <c r="BC125" i="1"/>
  <c r="BC124" i="1"/>
  <c r="BC123" i="1"/>
  <c r="BC122" i="1"/>
  <c r="BC121" i="1"/>
  <c r="BC120" i="1"/>
  <c r="BC119" i="1"/>
  <c r="BC118" i="1"/>
  <c r="BC115" i="1"/>
  <c r="BC107" i="1"/>
  <c r="BC106" i="1"/>
  <c r="BC105" i="1"/>
  <c r="BC104" i="1"/>
  <c r="BC103" i="1"/>
  <c r="BC102" i="1"/>
  <c r="BC101" i="1"/>
  <c r="BC100" i="1"/>
  <c r="BC99" i="1"/>
  <c r="BC98" i="1"/>
  <c r="BC97" i="1"/>
  <c r="BC96" i="1"/>
  <c r="BC93" i="1"/>
  <c r="BC85" i="1"/>
  <c r="BC84" i="1"/>
  <c r="BC83" i="1"/>
  <c r="BC82" i="1"/>
  <c r="BC81" i="1"/>
  <c r="BC80" i="1"/>
  <c r="BC79" i="1"/>
  <c r="BC78" i="1"/>
  <c r="BC77" i="1"/>
  <c r="BC76" i="1"/>
  <c r="BC75" i="1"/>
  <c r="BC74" i="1"/>
  <c r="BC71" i="1"/>
  <c r="BC63" i="1"/>
  <c r="BC62" i="1"/>
  <c r="BC61" i="1"/>
  <c r="BC60" i="1"/>
  <c r="BC59" i="1"/>
  <c r="BC58" i="1"/>
  <c r="BC57" i="1"/>
  <c r="BC56" i="1"/>
  <c r="BC55" i="1"/>
  <c r="BC54" i="1"/>
  <c r="BC53" i="1"/>
  <c r="BC52" i="1"/>
  <c r="BC49" i="1"/>
  <c r="BC41" i="1"/>
  <c r="BC40" i="1"/>
  <c r="BC39" i="1"/>
  <c r="BC38" i="1"/>
  <c r="BC37" i="1"/>
  <c r="BC36" i="1"/>
  <c r="BC35" i="1"/>
  <c r="BC34" i="1"/>
  <c r="BC33" i="1"/>
  <c r="BC32" i="1"/>
  <c r="BC31" i="1"/>
  <c r="BC30" i="1"/>
  <c r="BC27" i="1"/>
  <c r="BC19" i="1"/>
  <c r="BC18" i="1"/>
  <c r="BC17" i="1"/>
  <c r="BC16" i="1"/>
  <c r="BC15" i="1"/>
  <c r="BC14" i="1"/>
  <c r="BC13" i="1"/>
  <c r="BC12" i="1"/>
  <c r="BC11" i="1"/>
  <c r="BC10" i="1"/>
  <c r="BC9" i="1"/>
  <c r="BC8" i="1"/>
  <c r="BC5" i="1"/>
  <c r="AT899" i="1"/>
  <c r="AT898" i="1"/>
  <c r="AT897" i="1"/>
  <c r="AT896" i="1"/>
  <c r="AT895" i="1"/>
  <c r="AT894" i="1"/>
  <c r="AT893" i="1"/>
  <c r="AT892" i="1"/>
  <c r="AT891" i="1"/>
  <c r="AT890" i="1"/>
  <c r="AT889" i="1"/>
  <c r="AT888" i="1"/>
  <c r="AS886" i="1"/>
  <c r="AT885" i="1"/>
  <c r="AR884" i="1"/>
  <c r="AR885" i="1" s="1"/>
  <c r="AT877" i="1"/>
  <c r="AT876" i="1"/>
  <c r="AT875" i="1"/>
  <c r="AT874" i="1"/>
  <c r="AT873" i="1"/>
  <c r="AT872" i="1"/>
  <c r="AT871" i="1"/>
  <c r="AT870" i="1"/>
  <c r="AT869" i="1"/>
  <c r="AT868" i="1"/>
  <c r="AT867" i="1"/>
  <c r="AT866" i="1"/>
  <c r="AS864" i="1"/>
  <c r="AT863" i="1"/>
  <c r="AR862" i="1"/>
  <c r="AR863" i="1" s="1"/>
  <c r="AT855" i="1"/>
  <c r="AT854" i="1"/>
  <c r="AT853" i="1"/>
  <c r="AT852" i="1"/>
  <c r="AT851" i="1"/>
  <c r="AT850" i="1"/>
  <c r="AT849" i="1"/>
  <c r="AT848" i="1"/>
  <c r="AT847" i="1"/>
  <c r="AT846" i="1"/>
  <c r="AT845" i="1"/>
  <c r="AT844" i="1"/>
  <c r="AS842" i="1"/>
  <c r="AT841" i="1"/>
  <c r="AR840" i="1"/>
  <c r="AR841" i="1" s="1"/>
  <c r="AT833" i="1"/>
  <c r="AT832" i="1"/>
  <c r="AT831" i="1"/>
  <c r="AT830" i="1"/>
  <c r="AT829" i="1"/>
  <c r="AT828" i="1"/>
  <c r="AT827" i="1"/>
  <c r="AT826" i="1"/>
  <c r="AT825" i="1"/>
  <c r="AT824" i="1"/>
  <c r="AT823" i="1"/>
  <c r="AT822" i="1"/>
  <c r="AS820" i="1"/>
  <c r="AT819" i="1"/>
  <c r="AR818" i="1"/>
  <c r="AR819" i="1" s="1"/>
  <c r="AT811" i="1"/>
  <c r="AT810" i="1"/>
  <c r="AT809" i="1"/>
  <c r="AT808" i="1"/>
  <c r="AT807" i="1"/>
  <c r="AT806" i="1"/>
  <c r="AT805" i="1"/>
  <c r="AT804" i="1"/>
  <c r="AT803" i="1"/>
  <c r="AT802" i="1"/>
  <c r="AT801" i="1"/>
  <c r="AT800" i="1"/>
  <c r="AS798" i="1"/>
  <c r="AT797" i="1"/>
  <c r="AR796" i="1"/>
  <c r="AR797" i="1" s="1"/>
  <c r="AT789" i="1"/>
  <c r="AT788" i="1"/>
  <c r="AT787" i="1"/>
  <c r="AT786" i="1"/>
  <c r="AT785" i="1"/>
  <c r="AT784" i="1"/>
  <c r="AT783" i="1"/>
  <c r="AT782" i="1"/>
  <c r="AT781" i="1"/>
  <c r="AT780" i="1"/>
  <c r="AT779" i="1"/>
  <c r="AT778" i="1"/>
  <c r="AS776" i="1"/>
  <c r="AT775" i="1"/>
  <c r="AR774" i="1"/>
  <c r="AR775" i="1" s="1"/>
  <c r="AT767" i="1"/>
  <c r="AT766" i="1"/>
  <c r="AT765" i="1"/>
  <c r="AT764" i="1"/>
  <c r="AT763" i="1"/>
  <c r="AT762" i="1"/>
  <c r="AT761" i="1"/>
  <c r="AT760" i="1"/>
  <c r="AT759" i="1"/>
  <c r="AT758" i="1"/>
  <c r="AT757" i="1"/>
  <c r="AT756" i="1"/>
  <c r="AS754" i="1"/>
  <c r="AT753" i="1"/>
  <c r="AR752" i="1"/>
  <c r="AR753" i="1" s="1"/>
  <c r="AT745" i="1"/>
  <c r="AT744" i="1"/>
  <c r="AT743" i="1"/>
  <c r="AT742" i="1"/>
  <c r="AT741" i="1"/>
  <c r="AT740" i="1"/>
  <c r="AT739" i="1"/>
  <c r="AT738" i="1"/>
  <c r="AT737" i="1"/>
  <c r="AT736" i="1"/>
  <c r="AT735" i="1"/>
  <c r="AT734" i="1"/>
  <c r="AS732" i="1"/>
  <c r="AT731" i="1"/>
  <c r="AR730" i="1"/>
  <c r="AR731" i="1" s="1"/>
  <c r="AT723" i="1"/>
  <c r="AT722" i="1"/>
  <c r="AT721" i="1"/>
  <c r="AT720" i="1"/>
  <c r="AT719" i="1"/>
  <c r="AT718" i="1"/>
  <c r="AT717" i="1"/>
  <c r="AT716" i="1"/>
  <c r="AT715" i="1"/>
  <c r="AT714" i="1"/>
  <c r="AT713" i="1"/>
  <c r="AT712" i="1"/>
  <c r="AS710" i="1"/>
  <c r="AT709" i="1"/>
  <c r="AR708" i="1"/>
  <c r="AR709" i="1" s="1"/>
  <c r="AT701" i="1"/>
  <c r="AT700" i="1"/>
  <c r="AT699" i="1"/>
  <c r="AT698" i="1"/>
  <c r="AT697" i="1"/>
  <c r="AT696" i="1"/>
  <c r="AT695" i="1"/>
  <c r="AT694" i="1"/>
  <c r="AT693" i="1"/>
  <c r="AT692" i="1"/>
  <c r="AT691" i="1"/>
  <c r="AT690" i="1"/>
  <c r="AT687" i="1"/>
  <c r="AT679" i="1"/>
  <c r="AT678" i="1"/>
  <c r="AT677" i="1"/>
  <c r="AT676" i="1"/>
  <c r="AT675" i="1"/>
  <c r="AT674" i="1"/>
  <c r="AT673" i="1"/>
  <c r="AT672" i="1"/>
  <c r="AT671" i="1"/>
  <c r="AT670" i="1"/>
  <c r="AT669" i="1"/>
  <c r="AT668" i="1"/>
  <c r="AT665" i="1"/>
  <c r="AT657" i="1"/>
  <c r="AT656" i="1"/>
  <c r="AT655" i="1"/>
  <c r="AT654" i="1"/>
  <c r="AT653" i="1"/>
  <c r="AT652" i="1"/>
  <c r="AT651" i="1"/>
  <c r="AT650" i="1"/>
  <c r="AT649" i="1"/>
  <c r="AT648" i="1"/>
  <c r="AT647" i="1"/>
  <c r="AT646" i="1"/>
  <c r="AT643" i="1"/>
  <c r="AT635" i="1"/>
  <c r="AT634" i="1"/>
  <c r="AT633" i="1"/>
  <c r="AT632" i="1"/>
  <c r="AT631" i="1"/>
  <c r="AT630" i="1"/>
  <c r="AT629" i="1"/>
  <c r="AT628" i="1"/>
  <c r="AT627" i="1"/>
  <c r="AT626" i="1"/>
  <c r="AT625" i="1"/>
  <c r="AT624" i="1"/>
  <c r="AT621" i="1"/>
  <c r="AT613" i="1"/>
  <c r="AT612" i="1"/>
  <c r="AT611" i="1"/>
  <c r="AT610" i="1"/>
  <c r="AT609" i="1"/>
  <c r="AT608" i="1"/>
  <c r="AT607" i="1"/>
  <c r="AT606" i="1"/>
  <c r="AT605" i="1"/>
  <c r="AT604" i="1"/>
  <c r="AT603" i="1"/>
  <c r="AT602" i="1"/>
  <c r="AT599" i="1"/>
  <c r="AT591" i="1"/>
  <c r="AT590" i="1"/>
  <c r="AT589" i="1"/>
  <c r="AT588" i="1"/>
  <c r="AT587" i="1"/>
  <c r="AT586" i="1"/>
  <c r="AT585" i="1"/>
  <c r="AT584" i="1"/>
  <c r="AT583" i="1"/>
  <c r="AT582" i="1"/>
  <c r="AT581" i="1"/>
  <c r="AT580" i="1"/>
  <c r="AT577" i="1"/>
  <c r="AT569" i="1"/>
  <c r="AT568" i="1"/>
  <c r="AT567" i="1"/>
  <c r="AT566" i="1"/>
  <c r="AT565" i="1"/>
  <c r="AT564" i="1"/>
  <c r="AT563" i="1"/>
  <c r="AT562" i="1"/>
  <c r="AT561" i="1"/>
  <c r="AT560" i="1"/>
  <c r="AT559" i="1"/>
  <c r="AT558" i="1"/>
  <c r="AT555" i="1"/>
  <c r="AT547" i="1"/>
  <c r="AT546" i="1"/>
  <c r="AT545" i="1"/>
  <c r="AT544" i="1"/>
  <c r="AT543" i="1"/>
  <c r="AT542" i="1"/>
  <c r="AT541" i="1"/>
  <c r="AT540" i="1"/>
  <c r="AT539" i="1"/>
  <c r="AT538" i="1"/>
  <c r="AT537" i="1"/>
  <c r="AT536" i="1"/>
  <c r="AT533" i="1"/>
  <c r="AT525" i="1"/>
  <c r="AT524" i="1"/>
  <c r="AT523" i="1"/>
  <c r="AT522" i="1"/>
  <c r="AT521" i="1"/>
  <c r="AT520" i="1"/>
  <c r="AT519" i="1"/>
  <c r="AT518" i="1"/>
  <c r="AT517" i="1"/>
  <c r="AT516" i="1"/>
  <c r="AT515" i="1"/>
  <c r="AT514" i="1"/>
  <c r="AT511" i="1"/>
  <c r="AT503" i="1"/>
  <c r="AT502" i="1"/>
  <c r="AT501" i="1"/>
  <c r="AT500" i="1"/>
  <c r="AT499" i="1"/>
  <c r="AT498" i="1"/>
  <c r="AT497" i="1"/>
  <c r="AT496" i="1"/>
  <c r="AT495" i="1"/>
  <c r="AT494" i="1"/>
  <c r="AT493" i="1"/>
  <c r="AT492" i="1"/>
  <c r="AT489" i="1"/>
  <c r="AT481" i="1"/>
  <c r="AT480" i="1"/>
  <c r="AT479" i="1"/>
  <c r="AT478" i="1"/>
  <c r="AT477" i="1"/>
  <c r="AT476" i="1"/>
  <c r="AT475" i="1"/>
  <c r="AT474" i="1"/>
  <c r="AT473" i="1"/>
  <c r="AT472" i="1"/>
  <c r="AT471" i="1"/>
  <c r="AT470" i="1"/>
  <c r="AT467" i="1"/>
  <c r="AT459" i="1"/>
  <c r="AT458" i="1"/>
  <c r="AT457" i="1"/>
  <c r="AT456" i="1"/>
  <c r="AT455" i="1"/>
  <c r="AT454" i="1"/>
  <c r="AT453" i="1"/>
  <c r="AT452" i="1"/>
  <c r="AT451" i="1"/>
  <c r="AT450" i="1"/>
  <c r="AT449" i="1"/>
  <c r="AT448" i="1"/>
  <c r="AT445" i="1"/>
  <c r="AT437" i="1"/>
  <c r="AT436" i="1"/>
  <c r="AT435" i="1"/>
  <c r="AT434" i="1"/>
  <c r="AT433" i="1"/>
  <c r="AT432" i="1"/>
  <c r="AT431" i="1"/>
  <c r="AT430" i="1"/>
  <c r="AT429" i="1"/>
  <c r="AT428" i="1"/>
  <c r="AT427" i="1"/>
  <c r="AT426" i="1"/>
  <c r="AT423" i="1"/>
  <c r="AT415" i="1"/>
  <c r="AT414" i="1"/>
  <c r="AT413" i="1"/>
  <c r="AT412" i="1"/>
  <c r="AT411" i="1"/>
  <c r="AT410" i="1"/>
  <c r="AT409" i="1"/>
  <c r="AT408" i="1"/>
  <c r="AT407" i="1"/>
  <c r="AT406" i="1"/>
  <c r="AT405" i="1"/>
  <c r="AT404" i="1"/>
  <c r="AT401" i="1"/>
  <c r="AT393" i="1"/>
  <c r="AT392" i="1"/>
  <c r="AT391" i="1"/>
  <c r="AT390" i="1"/>
  <c r="AT389" i="1"/>
  <c r="AT388" i="1"/>
  <c r="AT387" i="1"/>
  <c r="AT386" i="1"/>
  <c r="AT385" i="1"/>
  <c r="AT384" i="1"/>
  <c r="AT383" i="1"/>
  <c r="AT382" i="1"/>
  <c r="AT379" i="1"/>
  <c r="AT371" i="1"/>
  <c r="AT370" i="1"/>
  <c r="AT369" i="1"/>
  <c r="AT368" i="1"/>
  <c r="AT367" i="1"/>
  <c r="AT366" i="1"/>
  <c r="AT365" i="1"/>
  <c r="AT364" i="1"/>
  <c r="AT363" i="1"/>
  <c r="AT362" i="1"/>
  <c r="AT361" i="1"/>
  <c r="AT360" i="1"/>
  <c r="AV360" i="1" s="1"/>
  <c r="AT357" i="1"/>
  <c r="AT349" i="1"/>
  <c r="AT348" i="1"/>
  <c r="AT347" i="1"/>
  <c r="AT346" i="1"/>
  <c r="AT345" i="1"/>
  <c r="AT344" i="1"/>
  <c r="AT343" i="1"/>
  <c r="AT342" i="1"/>
  <c r="AT341" i="1"/>
  <c r="AT340" i="1"/>
  <c r="AT339" i="1"/>
  <c r="AT338" i="1"/>
  <c r="AT335" i="1"/>
  <c r="AT327" i="1"/>
  <c r="AT326" i="1"/>
  <c r="AT325" i="1"/>
  <c r="AT324" i="1"/>
  <c r="AT323" i="1"/>
  <c r="AT322" i="1"/>
  <c r="AT321" i="1"/>
  <c r="AT320" i="1"/>
  <c r="AT319" i="1"/>
  <c r="AT318" i="1"/>
  <c r="AT317" i="1"/>
  <c r="AT316" i="1"/>
  <c r="AT313" i="1"/>
  <c r="AT305" i="1"/>
  <c r="AT304" i="1"/>
  <c r="AT303" i="1"/>
  <c r="AT302" i="1"/>
  <c r="AT301" i="1"/>
  <c r="AT300" i="1"/>
  <c r="AT299" i="1"/>
  <c r="AT298" i="1"/>
  <c r="AT297" i="1"/>
  <c r="AT296" i="1"/>
  <c r="AT295" i="1"/>
  <c r="AT294" i="1"/>
  <c r="AT291" i="1"/>
  <c r="AT283" i="1"/>
  <c r="AT282" i="1"/>
  <c r="AT281" i="1"/>
  <c r="AT280" i="1"/>
  <c r="AT279" i="1"/>
  <c r="AT278" i="1"/>
  <c r="AT277" i="1"/>
  <c r="AT276" i="1"/>
  <c r="AT275" i="1"/>
  <c r="AT274" i="1"/>
  <c r="AT273" i="1"/>
  <c r="AT272" i="1"/>
  <c r="AT269" i="1"/>
  <c r="AT261" i="1"/>
  <c r="AT260" i="1"/>
  <c r="AT259" i="1"/>
  <c r="AT258" i="1"/>
  <c r="AT257" i="1"/>
  <c r="AT256" i="1"/>
  <c r="AT255" i="1"/>
  <c r="AT254" i="1"/>
  <c r="AT253" i="1"/>
  <c r="AT252" i="1"/>
  <c r="AT251" i="1"/>
  <c r="AT250" i="1"/>
  <c r="AT247" i="1"/>
  <c r="AT239" i="1"/>
  <c r="AT238" i="1"/>
  <c r="AT237" i="1"/>
  <c r="AT236" i="1"/>
  <c r="AT235" i="1"/>
  <c r="AT234" i="1"/>
  <c r="AT233" i="1"/>
  <c r="AT232" i="1"/>
  <c r="AT231" i="1"/>
  <c r="AT230" i="1"/>
  <c r="AT229" i="1"/>
  <c r="AT228" i="1"/>
  <c r="AT225" i="1"/>
  <c r="AT217" i="1"/>
  <c r="AT216" i="1"/>
  <c r="AT215" i="1"/>
  <c r="AT214" i="1"/>
  <c r="AT213" i="1"/>
  <c r="AT212" i="1"/>
  <c r="AT211" i="1"/>
  <c r="AT210" i="1"/>
  <c r="AT209" i="1"/>
  <c r="AT208" i="1"/>
  <c r="AT207" i="1"/>
  <c r="AT206" i="1"/>
  <c r="AT203" i="1"/>
  <c r="AT195" i="1"/>
  <c r="AT194" i="1"/>
  <c r="AT193" i="1"/>
  <c r="AT192" i="1"/>
  <c r="AT191" i="1"/>
  <c r="AT190" i="1"/>
  <c r="AT189" i="1"/>
  <c r="AT188" i="1"/>
  <c r="AT187" i="1"/>
  <c r="AT186" i="1"/>
  <c r="AT185" i="1"/>
  <c r="AT184" i="1"/>
  <c r="AT181" i="1"/>
  <c r="AT173" i="1"/>
  <c r="AT172" i="1"/>
  <c r="AT171" i="1"/>
  <c r="AT170" i="1"/>
  <c r="AT169" i="1"/>
  <c r="AT168" i="1"/>
  <c r="AT167" i="1"/>
  <c r="AT166" i="1"/>
  <c r="AT165" i="1"/>
  <c r="AT164" i="1"/>
  <c r="AT163" i="1"/>
  <c r="AT162" i="1"/>
  <c r="AT159" i="1"/>
  <c r="AT151" i="1"/>
  <c r="AT150" i="1"/>
  <c r="AT149" i="1"/>
  <c r="AT148" i="1"/>
  <c r="AT147" i="1"/>
  <c r="AT146" i="1"/>
  <c r="AT145" i="1"/>
  <c r="AT144" i="1"/>
  <c r="AT143" i="1"/>
  <c r="AT142" i="1"/>
  <c r="AT141" i="1"/>
  <c r="AT140" i="1"/>
  <c r="AT137" i="1"/>
  <c r="AT129" i="1"/>
  <c r="AT128" i="1"/>
  <c r="AT127" i="1"/>
  <c r="AT126" i="1"/>
  <c r="AT125" i="1"/>
  <c r="AT124" i="1"/>
  <c r="AT123" i="1"/>
  <c r="AT122" i="1"/>
  <c r="AT121" i="1"/>
  <c r="AT120" i="1"/>
  <c r="AT119" i="1"/>
  <c r="AT118" i="1"/>
  <c r="AT115" i="1"/>
  <c r="AT107" i="1"/>
  <c r="AT106" i="1"/>
  <c r="AT105" i="1"/>
  <c r="AT104" i="1"/>
  <c r="AT103" i="1"/>
  <c r="AT102" i="1"/>
  <c r="AT101" i="1"/>
  <c r="AT100" i="1"/>
  <c r="AT99" i="1"/>
  <c r="AT98" i="1"/>
  <c r="AT97" i="1"/>
  <c r="AT96" i="1"/>
  <c r="AT93" i="1"/>
  <c r="AT85" i="1"/>
  <c r="AT84" i="1"/>
  <c r="AT83" i="1"/>
  <c r="AT82" i="1"/>
  <c r="AT81" i="1"/>
  <c r="AT80" i="1"/>
  <c r="AT79" i="1"/>
  <c r="AT78" i="1"/>
  <c r="AT77" i="1"/>
  <c r="AT76" i="1"/>
  <c r="AT75" i="1"/>
  <c r="AT74" i="1"/>
  <c r="AT71" i="1"/>
  <c r="AT63" i="1"/>
  <c r="AT62" i="1"/>
  <c r="AT61" i="1"/>
  <c r="AT60" i="1"/>
  <c r="AT59" i="1"/>
  <c r="AT58" i="1"/>
  <c r="AT57" i="1"/>
  <c r="AT56" i="1"/>
  <c r="AT55" i="1"/>
  <c r="AT54" i="1"/>
  <c r="AT53" i="1"/>
  <c r="AT52" i="1"/>
  <c r="AT49" i="1"/>
  <c r="AT41" i="1"/>
  <c r="AT40" i="1"/>
  <c r="AT39" i="1"/>
  <c r="AT38" i="1"/>
  <c r="AT37" i="1"/>
  <c r="AT36" i="1"/>
  <c r="AT35" i="1"/>
  <c r="AT34" i="1"/>
  <c r="AT33" i="1"/>
  <c r="AT32" i="1"/>
  <c r="AT31" i="1"/>
  <c r="AT30" i="1"/>
  <c r="AT27" i="1"/>
  <c r="AT19" i="1"/>
  <c r="AT18" i="1"/>
  <c r="AT17" i="1"/>
  <c r="AT16" i="1"/>
  <c r="AT15" i="1"/>
  <c r="AT14" i="1"/>
  <c r="AT13" i="1"/>
  <c r="AT12" i="1"/>
  <c r="AT11" i="1"/>
  <c r="AT10" i="1"/>
  <c r="AT9" i="1"/>
  <c r="AT8" i="1"/>
  <c r="AT5" i="1"/>
  <c r="AK899" i="1"/>
  <c r="AK898" i="1"/>
  <c r="AK897" i="1"/>
  <c r="AK896" i="1"/>
  <c r="AK895" i="1"/>
  <c r="AK894" i="1"/>
  <c r="AK893" i="1"/>
  <c r="AK892" i="1"/>
  <c r="AK891" i="1"/>
  <c r="AK890" i="1"/>
  <c r="AK889" i="1"/>
  <c r="AK888" i="1"/>
  <c r="AJ886" i="1"/>
  <c r="AK885" i="1"/>
  <c r="AI884" i="1"/>
  <c r="AI885" i="1" s="1"/>
  <c r="AK877" i="1"/>
  <c r="AK876" i="1"/>
  <c r="AK875" i="1"/>
  <c r="AK874" i="1"/>
  <c r="AK873" i="1"/>
  <c r="AK872" i="1"/>
  <c r="AK871" i="1"/>
  <c r="AK870" i="1"/>
  <c r="AK869" i="1"/>
  <c r="AK868" i="1"/>
  <c r="AK867" i="1"/>
  <c r="AK866" i="1"/>
  <c r="AJ864" i="1"/>
  <c r="AK863" i="1"/>
  <c r="AI862" i="1"/>
  <c r="AI863" i="1" s="1"/>
  <c r="AK855" i="1"/>
  <c r="AK854" i="1"/>
  <c r="AK853" i="1"/>
  <c r="AK852" i="1"/>
  <c r="AK851" i="1"/>
  <c r="AK850" i="1"/>
  <c r="AK849" i="1"/>
  <c r="AK848" i="1"/>
  <c r="AK847" i="1"/>
  <c r="AK846" i="1"/>
  <c r="AK845" i="1"/>
  <c r="AK844" i="1"/>
  <c r="AJ842" i="1"/>
  <c r="AK841" i="1"/>
  <c r="AI840" i="1"/>
  <c r="AI841" i="1" s="1"/>
  <c r="AK833" i="1"/>
  <c r="AK832" i="1"/>
  <c r="AK831" i="1"/>
  <c r="AK830" i="1"/>
  <c r="AK829" i="1"/>
  <c r="AK828" i="1"/>
  <c r="AK827" i="1"/>
  <c r="AK826" i="1"/>
  <c r="AK825" i="1"/>
  <c r="AK824" i="1"/>
  <c r="AK823" i="1"/>
  <c r="AK822" i="1"/>
  <c r="AJ820" i="1"/>
  <c r="AK819" i="1"/>
  <c r="AI818" i="1"/>
  <c r="AI819" i="1" s="1"/>
  <c r="AK811" i="1"/>
  <c r="AK810" i="1"/>
  <c r="AK809" i="1"/>
  <c r="AK808" i="1"/>
  <c r="AK807" i="1"/>
  <c r="AK806" i="1"/>
  <c r="AK805" i="1"/>
  <c r="AK804" i="1"/>
  <c r="AK803" i="1"/>
  <c r="AK802" i="1"/>
  <c r="AK801" i="1"/>
  <c r="AK800" i="1"/>
  <c r="AJ798" i="1"/>
  <c r="AK797" i="1"/>
  <c r="AI796" i="1"/>
  <c r="AI797" i="1" s="1"/>
  <c r="AK789" i="1"/>
  <c r="AK788" i="1"/>
  <c r="AK787" i="1"/>
  <c r="AK786" i="1"/>
  <c r="AK785" i="1"/>
  <c r="AK784" i="1"/>
  <c r="AK783" i="1"/>
  <c r="AK782" i="1"/>
  <c r="AK781" i="1"/>
  <c r="AK780" i="1"/>
  <c r="AK779" i="1"/>
  <c r="AK778" i="1"/>
  <c r="AJ776" i="1"/>
  <c r="AK775" i="1"/>
  <c r="AI774" i="1"/>
  <c r="AI775" i="1" s="1"/>
  <c r="AK767" i="1"/>
  <c r="AK766" i="1"/>
  <c r="AK765" i="1"/>
  <c r="AK764" i="1"/>
  <c r="AK763" i="1"/>
  <c r="AK762" i="1"/>
  <c r="AK761" i="1"/>
  <c r="AK760" i="1"/>
  <c r="AK759" i="1"/>
  <c r="AK758" i="1"/>
  <c r="AK757" i="1"/>
  <c r="AK756" i="1"/>
  <c r="AJ754" i="1"/>
  <c r="AK753" i="1"/>
  <c r="AI752" i="1"/>
  <c r="AI753" i="1" s="1"/>
  <c r="AK745" i="1"/>
  <c r="AK744" i="1"/>
  <c r="AK743" i="1"/>
  <c r="AK742" i="1"/>
  <c r="AK741" i="1"/>
  <c r="AK740" i="1"/>
  <c r="AK739" i="1"/>
  <c r="AK738" i="1"/>
  <c r="AK737" i="1"/>
  <c r="AK736" i="1"/>
  <c r="AK735" i="1"/>
  <c r="AK734" i="1"/>
  <c r="AJ732" i="1"/>
  <c r="AK731" i="1"/>
  <c r="AI730" i="1"/>
  <c r="AI731" i="1" s="1"/>
  <c r="AK723" i="1"/>
  <c r="AK722" i="1"/>
  <c r="AK721" i="1"/>
  <c r="AK720" i="1"/>
  <c r="AK719" i="1"/>
  <c r="AK718" i="1"/>
  <c r="AK717" i="1"/>
  <c r="AK716" i="1"/>
  <c r="AK715" i="1"/>
  <c r="AK714" i="1"/>
  <c r="AK713" i="1"/>
  <c r="AK712" i="1"/>
  <c r="AJ710" i="1"/>
  <c r="AK709" i="1"/>
  <c r="AI708" i="1"/>
  <c r="AI709" i="1" s="1"/>
  <c r="AK701" i="1"/>
  <c r="AK700" i="1"/>
  <c r="AK699" i="1"/>
  <c r="AK698" i="1"/>
  <c r="AK697" i="1"/>
  <c r="AK696" i="1"/>
  <c r="AK695" i="1"/>
  <c r="AK694" i="1"/>
  <c r="AK693" i="1"/>
  <c r="AK692" i="1"/>
  <c r="AK691" i="1"/>
  <c r="AK690" i="1"/>
  <c r="AK687" i="1"/>
  <c r="AK679" i="1"/>
  <c r="AK678" i="1"/>
  <c r="AK677" i="1"/>
  <c r="AK676" i="1"/>
  <c r="AK675" i="1"/>
  <c r="AK674" i="1"/>
  <c r="AK673" i="1"/>
  <c r="AK672" i="1"/>
  <c r="AK671" i="1"/>
  <c r="AK670" i="1"/>
  <c r="AK669" i="1"/>
  <c r="AK668" i="1"/>
  <c r="AK665" i="1"/>
  <c r="AK657" i="1"/>
  <c r="AK656" i="1"/>
  <c r="AK655" i="1"/>
  <c r="AK654" i="1"/>
  <c r="AK653" i="1"/>
  <c r="AK652" i="1"/>
  <c r="AK651" i="1"/>
  <c r="AK650" i="1"/>
  <c r="AK649" i="1"/>
  <c r="AK648" i="1"/>
  <c r="AK647" i="1"/>
  <c r="AK646" i="1"/>
  <c r="AK643" i="1"/>
  <c r="AK635" i="1"/>
  <c r="AK634" i="1"/>
  <c r="AK633" i="1"/>
  <c r="AK632" i="1"/>
  <c r="AK631" i="1"/>
  <c r="AK630" i="1"/>
  <c r="AK629" i="1"/>
  <c r="AK628" i="1"/>
  <c r="AK627" i="1"/>
  <c r="AK626" i="1"/>
  <c r="AK625" i="1"/>
  <c r="AK624" i="1"/>
  <c r="AK621" i="1"/>
  <c r="AK613" i="1"/>
  <c r="AK612" i="1"/>
  <c r="AK611" i="1"/>
  <c r="AK610" i="1"/>
  <c r="AK609" i="1"/>
  <c r="AK608" i="1"/>
  <c r="AK607" i="1"/>
  <c r="AK606" i="1"/>
  <c r="AK605" i="1"/>
  <c r="AK604" i="1"/>
  <c r="AK603" i="1"/>
  <c r="AK602" i="1"/>
  <c r="AK599" i="1"/>
  <c r="AK591" i="1"/>
  <c r="AK590" i="1"/>
  <c r="AK589" i="1"/>
  <c r="AK588" i="1"/>
  <c r="AK587" i="1"/>
  <c r="AK586" i="1"/>
  <c r="AK585" i="1"/>
  <c r="AK584" i="1"/>
  <c r="AK583" i="1"/>
  <c r="AK582" i="1"/>
  <c r="AK581" i="1"/>
  <c r="AK580" i="1"/>
  <c r="AK577" i="1"/>
  <c r="AK569" i="1"/>
  <c r="AK568" i="1"/>
  <c r="AK567" i="1"/>
  <c r="AK566" i="1"/>
  <c r="AK565" i="1"/>
  <c r="AK564" i="1"/>
  <c r="AK563" i="1"/>
  <c r="AK562" i="1"/>
  <c r="AK561" i="1"/>
  <c r="AK560" i="1"/>
  <c r="AK559" i="1"/>
  <c r="AK558" i="1"/>
  <c r="AK555" i="1"/>
  <c r="AK547" i="1"/>
  <c r="AK546" i="1"/>
  <c r="AK545" i="1"/>
  <c r="AK544" i="1"/>
  <c r="AK543" i="1"/>
  <c r="AK542" i="1"/>
  <c r="AK541" i="1"/>
  <c r="AK540" i="1"/>
  <c r="AK539" i="1"/>
  <c r="AK538" i="1"/>
  <c r="AK537" i="1"/>
  <c r="AK536" i="1"/>
  <c r="AK533" i="1"/>
  <c r="AK525" i="1"/>
  <c r="AK524" i="1"/>
  <c r="AK523" i="1"/>
  <c r="AK522" i="1"/>
  <c r="AK521" i="1"/>
  <c r="AK520" i="1"/>
  <c r="AK519" i="1"/>
  <c r="AK518" i="1"/>
  <c r="AK517" i="1"/>
  <c r="AK516" i="1"/>
  <c r="AK515" i="1"/>
  <c r="AK514" i="1"/>
  <c r="AK511" i="1"/>
  <c r="AK503" i="1"/>
  <c r="AK502" i="1"/>
  <c r="AK501" i="1"/>
  <c r="AK500" i="1"/>
  <c r="AK499" i="1"/>
  <c r="AK498" i="1"/>
  <c r="AK497" i="1"/>
  <c r="AK496" i="1"/>
  <c r="AK495" i="1"/>
  <c r="AK494" i="1"/>
  <c r="AK493" i="1"/>
  <c r="AK492" i="1"/>
  <c r="AK489" i="1"/>
  <c r="AK481" i="1"/>
  <c r="AK480" i="1"/>
  <c r="AK479" i="1"/>
  <c r="AK478" i="1"/>
  <c r="AK477" i="1"/>
  <c r="AK476" i="1"/>
  <c r="AK475" i="1"/>
  <c r="AK474" i="1"/>
  <c r="AK473" i="1"/>
  <c r="AK472" i="1"/>
  <c r="AK471" i="1"/>
  <c r="AK470" i="1"/>
  <c r="AK467" i="1"/>
  <c r="AK459" i="1"/>
  <c r="AK458" i="1"/>
  <c r="AK457" i="1"/>
  <c r="AK456" i="1"/>
  <c r="AK455" i="1"/>
  <c r="AK454" i="1"/>
  <c r="AK453" i="1"/>
  <c r="AK452" i="1"/>
  <c r="AK451" i="1"/>
  <c r="AK450" i="1"/>
  <c r="AK449" i="1"/>
  <c r="AK448" i="1"/>
  <c r="AK445" i="1"/>
  <c r="AK437" i="1"/>
  <c r="AK436" i="1"/>
  <c r="AK435" i="1"/>
  <c r="AK434" i="1"/>
  <c r="AK433" i="1"/>
  <c r="AK432" i="1"/>
  <c r="AK431" i="1"/>
  <c r="AK430" i="1"/>
  <c r="AK429" i="1"/>
  <c r="AK428" i="1"/>
  <c r="AK427" i="1"/>
  <c r="AK426" i="1"/>
  <c r="AK423" i="1"/>
  <c r="AK415" i="1"/>
  <c r="AK414" i="1"/>
  <c r="AK413" i="1"/>
  <c r="AK412" i="1"/>
  <c r="AK411" i="1"/>
  <c r="AK410" i="1"/>
  <c r="AK409" i="1"/>
  <c r="AK408" i="1"/>
  <c r="AK407" i="1"/>
  <c r="AK406" i="1"/>
  <c r="AK405" i="1"/>
  <c r="AK404" i="1"/>
  <c r="AK401" i="1"/>
  <c r="AK393" i="1"/>
  <c r="AK392" i="1"/>
  <c r="AK391" i="1"/>
  <c r="AK390" i="1"/>
  <c r="AK389" i="1"/>
  <c r="AK388" i="1"/>
  <c r="AK387" i="1"/>
  <c r="AK386" i="1"/>
  <c r="AK385" i="1"/>
  <c r="AK384" i="1"/>
  <c r="AK383" i="1"/>
  <c r="AK382" i="1"/>
  <c r="AK379" i="1"/>
  <c r="AK371" i="1"/>
  <c r="AK370" i="1"/>
  <c r="AK369" i="1"/>
  <c r="AK368" i="1"/>
  <c r="AK367" i="1"/>
  <c r="AK366" i="1"/>
  <c r="AK365" i="1"/>
  <c r="AK364" i="1"/>
  <c r="AK363" i="1"/>
  <c r="AK362" i="1"/>
  <c r="AK361" i="1"/>
  <c r="AK360" i="1"/>
  <c r="AM360" i="1" s="1"/>
  <c r="AK357" i="1"/>
  <c r="AK349" i="1"/>
  <c r="AK348" i="1"/>
  <c r="AK347" i="1"/>
  <c r="AK346" i="1"/>
  <c r="AK345" i="1"/>
  <c r="AK344" i="1"/>
  <c r="AK343" i="1"/>
  <c r="AK342" i="1"/>
  <c r="AK341" i="1"/>
  <c r="AK340" i="1"/>
  <c r="AK339" i="1"/>
  <c r="AK338" i="1"/>
  <c r="AK335" i="1"/>
  <c r="AK327" i="1"/>
  <c r="AK326" i="1"/>
  <c r="AK325" i="1"/>
  <c r="AK324" i="1"/>
  <c r="AK323" i="1"/>
  <c r="AK322" i="1"/>
  <c r="AK321" i="1"/>
  <c r="AK320" i="1"/>
  <c r="AK319" i="1"/>
  <c r="AK318" i="1"/>
  <c r="AK317" i="1"/>
  <c r="AK316" i="1"/>
  <c r="AK313" i="1"/>
  <c r="AK305" i="1"/>
  <c r="AK304" i="1"/>
  <c r="AK303" i="1"/>
  <c r="AK302" i="1"/>
  <c r="AK301" i="1"/>
  <c r="AK300" i="1"/>
  <c r="AK299" i="1"/>
  <c r="AK298" i="1"/>
  <c r="AK297" i="1"/>
  <c r="AK296" i="1"/>
  <c r="AK295" i="1"/>
  <c r="AK294" i="1"/>
  <c r="AK291" i="1"/>
  <c r="AK283" i="1"/>
  <c r="AK282" i="1"/>
  <c r="AK281" i="1"/>
  <c r="AK280" i="1"/>
  <c r="AK279" i="1"/>
  <c r="AK278" i="1"/>
  <c r="AK277" i="1"/>
  <c r="AK276" i="1"/>
  <c r="AK275" i="1"/>
  <c r="AK274" i="1"/>
  <c r="AK273" i="1"/>
  <c r="AK272" i="1"/>
  <c r="AK269" i="1"/>
  <c r="AK261" i="1"/>
  <c r="AK260" i="1"/>
  <c r="AK259" i="1"/>
  <c r="AK258" i="1"/>
  <c r="AK257" i="1"/>
  <c r="AK256" i="1"/>
  <c r="AK255" i="1"/>
  <c r="AK254" i="1"/>
  <c r="AK253" i="1"/>
  <c r="AK252" i="1"/>
  <c r="AK251" i="1"/>
  <c r="AK250" i="1"/>
  <c r="AK247" i="1"/>
  <c r="AK239" i="1"/>
  <c r="AK238" i="1"/>
  <c r="AK237" i="1"/>
  <c r="AK236" i="1"/>
  <c r="AK235" i="1"/>
  <c r="AK234" i="1"/>
  <c r="AK233" i="1"/>
  <c r="AK232" i="1"/>
  <c r="AK231" i="1"/>
  <c r="AK230" i="1"/>
  <c r="AK229" i="1"/>
  <c r="AK228" i="1"/>
  <c r="AK225" i="1"/>
  <c r="AK217" i="1"/>
  <c r="AK216" i="1"/>
  <c r="AK215" i="1"/>
  <c r="AK214" i="1"/>
  <c r="AK213" i="1"/>
  <c r="AK212" i="1"/>
  <c r="AK211" i="1"/>
  <c r="AK210" i="1"/>
  <c r="AK209" i="1"/>
  <c r="AK208" i="1"/>
  <c r="AK207" i="1"/>
  <c r="AK206" i="1"/>
  <c r="AK203" i="1"/>
  <c r="AK195" i="1"/>
  <c r="AK194" i="1"/>
  <c r="AK193" i="1"/>
  <c r="AK192" i="1"/>
  <c r="AK191" i="1"/>
  <c r="AK190" i="1"/>
  <c r="AK189" i="1"/>
  <c r="AK188" i="1"/>
  <c r="AK187" i="1"/>
  <c r="AK186" i="1"/>
  <c r="AK185" i="1"/>
  <c r="AK184" i="1"/>
  <c r="AK181" i="1"/>
  <c r="AK173" i="1"/>
  <c r="AK172" i="1"/>
  <c r="AK171" i="1"/>
  <c r="AK170" i="1"/>
  <c r="AK169" i="1"/>
  <c r="AK168" i="1"/>
  <c r="AK167" i="1"/>
  <c r="AK166" i="1"/>
  <c r="AK165" i="1"/>
  <c r="AK164" i="1"/>
  <c r="AK163" i="1"/>
  <c r="AK162" i="1"/>
  <c r="AK159" i="1"/>
  <c r="AK151" i="1"/>
  <c r="AK150" i="1"/>
  <c r="AK149" i="1"/>
  <c r="AK148" i="1"/>
  <c r="AK147" i="1"/>
  <c r="AK146" i="1"/>
  <c r="AK145" i="1"/>
  <c r="AK144" i="1"/>
  <c r="AK143" i="1"/>
  <c r="AK142" i="1"/>
  <c r="AK141" i="1"/>
  <c r="AK140" i="1"/>
  <c r="AK137" i="1"/>
  <c r="AK129" i="1"/>
  <c r="AK128" i="1"/>
  <c r="AK127" i="1"/>
  <c r="AK126" i="1"/>
  <c r="AK125" i="1"/>
  <c r="AK124" i="1"/>
  <c r="AK123" i="1"/>
  <c r="AK122" i="1"/>
  <c r="AK121" i="1"/>
  <c r="AK120" i="1"/>
  <c r="AK119" i="1"/>
  <c r="AK118" i="1"/>
  <c r="AK115" i="1"/>
  <c r="AK107" i="1"/>
  <c r="AK106" i="1"/>
  <c r="AK105" i="1"/>
  <c r="AK104" i="1"/>
  <c r="AK103" i="1"/>
  <c r="AK102" i="1"/>
  <c r="AK101" i="1"/>
  <c r="AK100" i="1"/>
  <c r="AK99" i="1"/>
  <c r="AK98" i="1"/>
  <c r="AK97" i="1"/>
  <c r="AK96" i="1"/>
  <c r="AK93" i="1"/>
  <c r="AK85" i="1"/>
  <c r="AK84" i="1"/>
  <c r="AK83" i="1"/>
  <c r="AK82" i="1"/>
  <c r="AK81" i="1"/>
  <c r="AK80" i="1"/>
  <c r="AK79" i="1"/>
  <c r="AK78" i="1"/>
  <c r="AK77" i="1"/>
  <c r="AK76" i="1"/>
  <c r="AK75" i="1"/>
  <c r="AK74" i="1"/>
  <c r="AK71" i="1"/>
  <c r="AK63" i="1"/>
  <c r="AK62" i="1"/>
  <c r="AK61" i="1"/>
  <c r="AK60" i="1"/>
  <c r="AK59" i="1"/>
  <c r="AK58" i="1"/>
  <c r="AK57" i="1"/>
  <c r="AK56" i="1"/>
  <c r="AK55" i="1"/>
  <c r="AK54" i="1"/>
  <c r="AK53" i="1"/>
  <c r="AK52" i="1"/>
  <c r="AK49" i="1"/>
  <c r="AK41" i="1"/>
  <c r="AK40" i="1"/>
  <c r="AK39" i="1"/>
  <c r="AK38" i="1"/>
  <c r="AK37" i="1"/>
  <c r="AK36" i="1"/>
  <c r="AK35" i="1"/>
  <c r="AK34" i="1"/>
  <c r="AK33" i="1"/>
  <c r="AK32" i="1"/>
  <c r="AK31" i="1"/>
  <c r="AK30" i="1"/>
  <c r="AK27" i="1"/>
  <c r="AK19" i="1"/>
  <c r="AK18" i="1"/>
  <c r="AK17" i="1"/>
  <c r="AK16" i="1"/>
  <c r="AK15" i="1"/>
  <c r="AK14" i="1"/>
  <c r="AK13" i="1"/>
  <c r="AK12" i="1"/>
  <c r="AK11" i="1"/>
  <c r="AK10" i="1"/>
  <c r="AK9" i="1"/>
  <c r="AK8" i="1"/>
  <c r="AK5" i="1"/>
  <c r="AB899" i="1"/>
  <c r="AB898" i="1"/>
  <c r="AB897" i="1"/>
  <c r="AB896" i="1"/>
  <c r="AB895" i="1"/>
  <c r="AB894" i="1"/>
  <c r="AB893" i="1"/>
  <c r="AB892" i="1"/>
  <c r="AB891" i="1"/>
  <c r="AB890" i="1"/>
  <c r="AB889" i="1"/>
  <c r="AB888" i="1"/>
  <c r="AA886" i="1"/>
  <c r="AB885" i="1"/>
  <c r="Z884" i="1"/>
  <c r="Z885" i="1" s="1"/>
  <c r="AB877" i="1"/>
  <c r="AB876" i="1"/>
  <c r="AB875" i="1"/>
  <c r="AB874" i="1"/>
  <c r="AB873" i="1"/>
  <c r="AB872" i="1"/>
  <c r="AB871" i="1"/>
  <c r="AB870" i="1"/>
  <c r="AB869" i="1"/>
  <c r="AB868" i="1"/>
  <c r="AB867" i="1"/>
  <c r="AB866" i="1"/>
  <c r="AA864" i="1"/>
  <c r="AB863" i="1"/>
  <c r="Z862" i="1"/>
  <c r="Z863" i="1" s="1"/>
  <c r="AB855" i="1"/>
  <c r="AB854" i="1"/>
  <c r="AB853" i="1"/>
  <c r="AB852" i="1"/>
  <c r="AB851" i="1"/>
  <c r="AB850" i="1"/>
  <c r="AB849" i="1"/>
  <c r="AB848" i="1"/>
  <c r="AB847" i="1"/>
  <c r="AB846" i="1"/>
  <c r="AB845" i="1"/>
  <c r="AB844" i="1"/>
  <c r="AA842" i="1"/>
  <c r="AB841" i="1"/>
  <c r="Z840" i="1"/>
  <c r="Z841" i="1" s="1"/>
  <c r="AB833" i="1"/>
  <c r="AB832" i="1"/>
  <c r="AB831" i="1"/>
  <c r="AB830" i="1"/>
  <c r="AB829" i="1"/>
  <c r="AB828" i="1"/>
  <c r="AB827" i="1"/>
  <c r="AB826" i="1"/>
  <c r="AB825" i="1"/>
  <c r="AB824" i="1"/>
  <c r="AB823" i="1"/>
  <c r="AB822" i="1"/>
  <c r="AA820" i="1"/>
  <c r="AB819" i="1"/>
  <c r="Z818" i="1"/>
  <c r="Z819" i="1" s="1"/>
  <c r="AB811" i="1"/>
  <c r="AB810" i="1"/>
  <c r="AB809" i="1"/>
  <c r="AB808" i="1"/>
  <c r="AB807" i="1"/>
  <c r="AB806" i="1"/>
  <c r="AB805" i="1"/>
  <c r="AB804" i="1"/>
  <c r="AB803" i="1"/>
  <c r="AB802" i="1"/>
  <c r="AB801" i="1"/>
  <c r="AB800" i="1"/>
  <c r="AA798" i="1"/>
  <c r="AB797" i="1"/>
  <c r="Z796" i="1"/>
  <c r="Z797" i="1" s="1"/>
  <c r="AB789" i="1"/>
  <c r="AB788" i="1"/>
  <c r="AB787" i="1"/>
  <c r="AB786" i="1"/>
  <c r="AB785" i="1"/>
  <c r="AB784" i="1"/>
  <c r="AB783" i="1"/>
  <c r="AB782" i="1"/>
  <c r="AB781" i="1"/>
  <c r="AB780" i="1"/>
  <c r="AB779" i="1"/>
  <c r="AB778" i="1"/>
  <c r="AA776" i="1"/>
  <c r="AB775" i="1"/>
  <c r="Z774" i="1"/>
  <c r="Z775" i="1" s="1"/>
  <c r="AB767" i="1"/>
  <c r="AB766" i="1"/>
  <c r="AB765" i="1"/>
  <c r="AB764" i="1"/>
  <c r="AB763" i="1"/>
  <c r="AB762" i="1"/>
  <c r="AB761" i="1"/>
  <c r="AB760" i="1"/>
  <c r="AB759" i="1"/>
  <c r="AB758" i="1"/>
  <c r="AB757" i="1"/>
  <c r="AB756" i="1"/>
  <c r="AA754" i="1"/>
  <c r="AB753" i="1"/>
  <c r="Z752" i="1"/>
  <c r="Z753" i="1" s="1"/>
  <c r="AB745" i="1"/>
  <c r="AB744" i="1"/>
  <c r="AB743" i="1"/>
  <c r="AB742" i="1"/>
  <c r="AB741" i="1"/>
  <c r="AB740" i="1"/>
  <c r="AB739" i="1"/>
  <c r="AB738" i="1"/>
  <c r="AB737" i="1"/>
  <c r="AB736" i="1"/>
  <c r="AB735" i="1"/>
  <c r="AB734" i="1"/>
  <c r="AA732" i="1"/>
  <c r="AB731" i="1"/>
  <c r="Z730" i="1"/>
  <c r="Z731" i="1" s="1"/>
  <c r="AB723" i="1"/>
  <c r="AB722" i="1"/>
  <c r="AB721" i="1"/>
  <c r="AB720" i="1"/>
  <c r="AB719" i="1"/>
  <c r="AB718" i="1"/>
  <c r="AB717" i="1"/>
  <c r="AB716" i="1"/>
  <c r="AB715" i="1"/>
  <c r="AB714" i="1"/>
  <c r="AB713" i="1"/>
  <c r="AB712" i="1"/>
  <c r="AA710" i="1"/>
  <c r="AB709" i="1"/>
  <c r="Z708" i="1"/>
  <c r="Z709" i="1" s="1"/>
  <c r="AB701" i="1"/>
  <c r="AB700" i="1"/>
  <c r="AB699" i="1"/>
  <c r="AB698" i="1"/>
  <c r="AB697" i="1"/>
  <c r="AB696" i="1"/>
  <c r="AB695" i="1"/>
  <c r="AB694" i="1"/>
  <c r="AB693" i="1"/>
  <c r="AB692" i="1"/>
  <c r="AB691" i="1"/>
  <c r="AB690" i="1"/>
  <c r="AB687" i="1"/>
  <c r="AB679" i="1"/>
  <c r="AB678" i="1"/>
  <c r="AB677" i="1"/>
  <c r="AB676" i="1"/>
  <c r="AB675" i="1"/>
  <c r="AB674" i="1"/>
  <c r="AB673" i="1"/>
  <c r="AB672" i="1"/>
  <c r="AB671" i="1"/>
  <c r="AB670" i="1"/>
  <c r="AB669" i="1"/>
  <c r="AB668" i="1"/>
  <c r="AB665" i="1"/>
  <c r="AB657" i="1"/>
  <c r="AB656" i="1"/>
  <c r="AB655" i="1"/>
  <c r="AB654" i="1"/>
  <c r="AB653" i="1"/>
  <c r="AB652" i="1"/>
  <c r="AB651" i="1"/>
  <c r="AB650" i="1"/>
  <c r="AB649" i="1"/>
  <c r="AB648" i="1"/>
  <c r="AB647" i="1"/>
  <c r="AB646" i="1"/>
  <c r="AB643" i="1"/>
  <c r="AB635" i="1"/>
  <c r="AB634" i="1"/>
  <c r="AB633" i="1"/>
  <c r="AB632" i="1"/>
  <c r="AB631" i="1"/>
  <c r="AB630" i="1"/>
  <c r="AB629" i="1"/>
  <c r="AB628" i="1"/>
  <c r="AB627" i="1"/>
  <c r="AB626" i="1"/>
  <c r="AB625" i="1"/>
  <c r="AB624" i="1"/>
  <c r="AB621" i="1"/>
  <c r="AB613" i="1"/>
  <c r="AB612" i="1"/>
  <c r="AB611" i="1"/>
  <c r="AB610" i="1"/>
  <c r="AB609" i="1"/>
  <c r="AB608" i="1"/>
  <c r="AB607" i="1"/>
  <c r="AB606" i="1"/>
  <c r="AB605" i="1"/>
  <c r="AB604" i="1"/>
  <c r="AB603" i="1"/>
  <c r="AB602" i="1"/>
  <c r="AB599" i="1"/>
  <c r="AB591" i="1"/>
  <c r="AB590" i="1"/>
  <c r="AB589" i="1"/>
  <c r="AB588" i="1"/>
  <c r="AB587" i="1"/>
  <c r="AB586" i="1"/>
  <c r="AB585" i="1"/>
  <c r="AB584" i="1"/>
  <c r="AB583" i="1"/>
  <c r="AB582" i="1"/>
  <c r="AB581" i="1"/>
  <c r="AB580" i="1"/>
  <c r="AB577" i="1"/>
  <c r="AB569" i="1"/>
  <c r="AB568" i="1"/>
  <c r="AB567" i="1"/>
  <c r="AB566" i="1"/>
  <c r="AB565" i="1"/>
  <c r="AB564" i="1"/>
  <c r="AB563" i="1"/>
  <c r="AB562" i="1"/>
  <c r="AB561" i="1"/>
  <c r="AB560" i="1"/>
  <c r="AB559" i="1"/>
  <c r="AB558" i="1"/>
  <c r="AB555" i="1"/>
  <c r="AB547" i="1"/>
  <c r="AB546" i="1"/>
  <c r="AB545" i="1"/>
  <c r="AB544" i="1"/>
  <c r="AB543" i="1"/>
  <c r="AB542" i="1"/>
  <c r="AB541" i="1"/>
  <c r="AB540" i="1"/>
  <c r="AB539" i="1"/>
  <c r="AB538" i="1"/>
  <c r="AB537" i="1"/>
  <c r="AB536" i="1"/>
  <c r="AB533" i="1"/>
  <c r="AB525" i="1"/>
  <c r="AB524" i="1"/>
  <c r="AB523" i="1"/>
  <c r="AB522" i="1"/>
  <c r="AB521" i="1"/>
  <c r="AB520" i="1"/>
  <c r="AB519" i="1"/>
  <c r="AB518" i="1"/>
  <c r="AB517" i="1"/>
  <c r="AB516" i="1"/>
  <c r="AB515" i="1"/>
  <c r="AB514" i="1"/>
  <c r="AB511" i="1"/>
  <c r="AB503" i="1"/>
  <c r="AB502" i="1"/>
  <c r="AB501" i="1"/>
  <c r="AB500" i="1"/>
  <c r="AB499" i="1"/>
  <c r="AB498" i="1"/>
  <c r="AB497" i="1"/>
  <c r="AB496" i="1"/>
  <c r="AB495" i="1"/>
  <c r="AB494" i="1"/>
  <c r="AB493" i="1"/>
  <c r="AB492" i="1"/>
  <c r="AB489" i="1"/>
  <c r="AB481" i="1"/>
  <c r="AB480" i="1"/>
  <c r="AB479" i="1"/>
  <c r="AB478" i="1"/>
  <c r="AB477" i="1"/>
  <c r="AB476" i="1"/>
  <c r="AB475" i="1"/>
  <c r="AB474" i="1"/>
  <c r="AB473" i="1"/>
  <c r="AB472" i="1"/>
  <c r="AB471" i="1"/>
  <c r="AB470" i="1"/>
  <c r="AB467" i="1"/>
  <c r="AB459" i="1"/>
  <c r="AB458" i="1"/>
  <c r="AB457" i="1"/>
  <c r="AB456" i="1"/>
  <c r="AB455" i="1"/>
  <c r="AB454" i="1"/>
  <c r="AB453" i="1"/>
  <c r="AB452" i="1"/>
  <c r="AB451" i="1"/>
  <c r="AB450" i="1"/>
  <c r="AB449" i="1"/>
  <c r="AB448" i="1"/>
  <c r="AB445" i="1"/>
  <c r="AB437" i="1"/>
  <c r="AB436" i="1"/>
  <c r="AB435" i="1"/>
  <c r="AB434" i="1"/>
  <c r="AB433" i="1"/>
  <c r="AB432" i="1"/>
  <c r="AB431" i="1"/>
  <c r="AB430" i="1"/>
  <c r="AB429" i="1"/>
  <c r="AB428" i="1"/>
  <c r="AB427" i="1"/>
  <c r="AB426" i="1"/>
  <c r="AB423" i="1"/>
  <c r="AB415" i="1"/>
  <c r="AB414" i="1"/>
  <c r="AB413" i="1"/>
  <c r="AB412" i="1"/>
  <c r="AB411" i="1"/>
  <c r="AB410" i="1"/>
  <c r="AB409" i="1"/>
  <c r="AB408" i="1"/>
  <c r="AB407" i="1"/>
  <c r="AB406" i="1"/>
  <c r="AB405" i="1"/>
  <c r="AB404" i="1"/>
  <c r="AB401" i="1"/>
  <c r="AB393" i="1"/>
  <c r="AB392" i="1"/>
  <c r="AB391" i="1"/>
  <c r="AB390" i="1"/>
  <c r="AB389" i="1"/>
  <c r="AB388" i="1"/>
  <c r="AB387" i="1"/>
  <c r="AB386" i="1"/>
  <c r="AB385" i="1"/>
  <c r="AB384" i="1"/>
  <c r="AB383" i="1"/>
  <c r="AB382" i="1"/>
  <c r="AB379" i="1"/>
  <c r="AB371" i="1"/>
  <c r="AB370" i="1"/>
  <c r="AB369" i="1"/>
  <c r="AB368" i="1"/>
  <c r="AB367" i="1"/>
  <c r="AB366" i="1"/>
  <c r="AB365" i="1"/>
  <c r="AB364" i="1"/>
  <c r="AB363" i="1"/>
  <c r="AB362" i="1"/>
  <c r="AB361" i="1"/>
  <c r="AB360" i="1"/>
  <c r="AD360" i="1" s="1"/>
  <c r="AB357" i="1"/>
  <c r="AB349" i="1"/>
  <c r="AB348" i="1"/>
  <c r="AB347" i="1"/>
  <c r="AB346" i="1"/>
  <c r="AB345" i="1"/>
  <c r="AB344" i="1"/>
  <c r="AB343" i="1"/>
  <c r="AB342" i="1"/>
  <c r="AB341" i="1"/>
  <c r="AB340" i="1"/>
  <c r="AB339" i="1"/>
  <c r="AB338" i="1"/>
  <c r="AB335" i="1"/>
  <c r="AB327" i="1"/>
  <c r="AB326" i="1"/>
  <c r="AB325" i="1"/>
  <c r="AB324" i="1"/>
  <c r="AB323" i="1"/>
  <c r="AB322" i="1"/>
  <c r="AB321" i="1"/>
  <c r="AB320" i="1"/>
  <c r="AB319" i="1"/>
  <c r="AB318" i="1"/>
  <c r="AB317" i="1"/>
  <c r="AB316" i="1"/>
  <c r="AB313" i="1"/>
  <c r="AB305" i="1"/>
  <c r="AB304" i="1"/>
  <c r="AB303" i="1"/>
  <c r="AB302" i="1"/>
  <c r="AB301" i="1"/>
  <c r="AB300" i="1"/>
  <c r="AB299" i="1"/>
  <c r="AB298" i="1"/>
  <c r="AB297" i="1"/>
  <c r="AB296" i="1"/>
  <c r="AB295" i="1"/>
  <c r="AB294" i="1"/>
  <c r="AB291" i="1"/>
  <c r="AB283" i="1"/>
  <c r="AB282" i="1"/>
  <c r="AB281" i="1"/>
  <c r="AB280" i="1"/>
  <c r="AB279" i="1"/>
  <c r="AB278" i="1"/>
  <c r="AB277" i="1"/>
  <c r="AB276" i="1"/>
  <c r="AB275" i="1"/>
  <c r="AB274" i="1"/>
  <c r="AB273" i="1"/>
  <c r="AB272" i="1"/>
  <c r="AB269" i="1"/>
  <c r="AB261" i="1"/>
  <c r="AB260" i="1"/>
  <c r="AB259" i="1"/>
  <c r="AB258" i="1"/>
  <c r="AB257" i="1"/>
  <c r="AB256" i="1"/>
  <c r="AB255" i="1"/>
  <c r="AB254" i="1"/>
  <c r="AB253" i="1"/>
  <c r="AB252" i="1"/>
  <c r="AB251" i="1"/>
  <c r="AB250" i="1"/>
  <c r="AB247" i="1"/>
  <c r="AB239" i="1"/>
  <c r="AB238" i="1"/>
  <c r="AB237" i="1"/>
  <c r="AB236" i="1"/>
  <c r="AB235" i="1"/>
  <c r="AB234" i="1"/>
  <c r="AB233" i="1"/>
  <c r="AB232" i="1"/>
  <c r="AB231" i="1"/>
  <c r="AB230" i="1"/>
  <c r="AB229" i="1"/>
  <c r="AB228" i="1"/>
  <c r="AB225" i="1"/>
  <c r="AB217" i="1"/>
  <c r="AB216" i="1"/>
  <c r="AB215" i="1"/>
  <c r="AB214" i="1"/>
  <c r="AB213" i="1"/>
  <c r="AB212" i="1"/>
  <c r="AB211" i="1"/>
  <c r="AB210" i="1"/>
  <c r="AB209" i="1"/>
  <c r="AB208" i="1"/>
  <c r="AB207" i="1"/>
  <c r="AB206" i="1"/>
  <c r="AB203" i="1"/>
  <c r="AB195" i="1"/>
  <c r="AB194" i="1"/>
  <c r="AB193" i="1"/>
  <c r="AB192" i="1"/>
  <c r="AB191" i="1"/>
  <c r="AB190" i="1"/>
  <c r="AB189" i="1"/>
  <c r="AB188" i="1"/>
  <c r="AB187" i="1"/>
  <c r="AB186" i="1"/>
  <c r="AB185" i="1"/>
  <c r="AB184" i="1"/>
  <c r="AB181" i="1"/>
  <c r="AB173" i="1"/>
  <c r="AB172" i="1"/>
  <c r="AB171" i="1"/>
  <c r="AB170" i="1"/>
  <c r="AB169" i="1"/>
  <c r="AB168" i="1"/>
  <c r="AB167" i="1"/>
  <c r="AB166" i="1"/>
  <c r="AB165" i="1"/>
  <c r="AB164" i="1"/>
  <c r="AB163" i="1"/>
  <c r="AB162" i="1"/>
  <c r="AB159" i="1"/>
  <c r="AB151" i="1"/>
  <c r="AB150" i="1"/>
  <c r="AB149" i="1"/>
  <c r="AB148" i="1"/>
  <c r="AB147" i="1"/>
  <c r="AB146" i="1"/>
  <c r="AB145" i="1"/>
  <c r="AB144" i="1"/>
  <c r="AB143" i="1"/>
  <c r="AB142" i="1"/>
  <c r="AB141" i="1"/>
  <c r="AB140" i="1"/>
  <c r="AB137" i="1"/>
  <c r="AB129" i="1"/>
  <c r="AB128" i="1"/>
  <c r="AB127" i="1"/>
  <c r="AB126" i="1"/>
  <c r="AB125" i="1"/>
  <c r="AB124" i="1"/>
  <c r="AB123" i="1"/>
  <c r="AB122" i="1"/>
  <c r="AB121" i="1"/>
  <c r="AB120" i="1"/>
  <c r="AB119" i="1"/>
  <c r="AB118" i="1"/>
  <c r="AB115" i="1"/>
  <c r="AB107" i="1"/>
  <c r="AB106" i="1"/>
  <c r="AB105" i="1"/>
  <c r="AB104" i="1"/>
  <c r="AB103" i="1"/>
  <c r="AB102" i="1"/>
  <c r="AB101" i="1"/>
  <c r="AB100" i="1"/>
  <c r="AB99" i="1"/>
  <c r="AB98" i="1"/>
  <c r="AB97" i="1"/>
  <c r="AB96" i="1"/>
  <c r="AB93" i="1"/>
  <c r="AB85" i="1"/>
  <c r="AB84" i="1"/>
  <c r="AB83" i="1"/>
  <c r="AB82" i="1"/>
  <c r="AB81" i="1"/>
  <c r="AB80" i="1"/>
  <c r="AB79" i="1"/>
  <c r="AB78" i="1"/>
  <c r="AB77" i="1"/>
  <c r="AB76" i="1"/>
  <c r="AB75" i="1"/>
  <c r="AB74" i="1"/>
  <c r="AB71" i="1"/>
  <c r="AB63" i="1"/>
  <c r="AB62" i="1"/>
  <c r="AB61" i="1"/>
  <c r="AB60" i="1"/>
  <c r="AB59" i="1"/>
  <c r="AB58" i="1"/>
  <c r="AB57" i="1"/>
  <c r="AB56" i="1"/>
  <c r="AB55" i="1"/>
  <c r="AB54" i="1"/>
  <c r="AB53" i="1"/>
  <c r="AB52" i="1"/>
  <c r="AB49" i="1"/>
  <c r="AB41" i="1"/>
  <c r="AB40" i="1"/>
  <c r="AB39" i="1"/>
  <c r="AB38" i="1"/>
  <c r="AB37" i="1"/>
  <c r="AB36" i="1"/>
  <c r="AB35" i="1"/>
  <c r="AB34" i="1"/>
  <c r="AB33" i="1"/>
  <c r="AB32" i="1"/>
  <c r="AB31" i="1"/>
  <c r="AB30" i="1"/>
  <c r="AB27" i="1"/>
  <c r="AB19" i="1"/>
  <c r="AB18" i="1"/>
  <c r="AB17" i="1"/>
  <c r="AB16" i="1"/>
  <c r="AB15" i="1"/>
  <c r="AB14" i="1"/>
  <c r="AB13" i="1"/>
  <c r="AB12" i="1"/>
  <c r="AB11" i="1"/>
  <c r="AB10" i="1"/>
  <c r="AB9" i="1"/>
  <c r="AB8" i="1"/>
  <c r="AB5" i="1"/>
  <c r="S899" i="1"/>
  <c r="S898" i="1"/>
  <c r="S897" i="1"/>
  <c r="S896" i="1"/>
  <c r="S895" i="1"/>
  <c r="S894" i="1"/>
  <c r="S893" i="1"/>
  <c r="S892" i="1"/>
  <c r="S891" i="1"/>
  <c r="S890" i="1"/>
  <c r="S889" i="1"/>
  <c r="S888" i="1"/>
  <c r="R886" i="1"/>
  <c r="S885" i="1"/>
  <c r="Q884" i="1"/>
  <c r="Q885" i="1" s="1"/>
  <c r="S877" i="1"/>
  <c r="S876" i="1"/>
  <c r="S875" i="1"/>
  <c r="S874" i="1"/>
  <c r="S873" i="1"/>
  <c r="S872" i="1"/>
  <c r="S871" i="1"/>
  <c r="S870" i="1"/>
  <c r="S869" i="1"/>
  <c r="S868" i="1"/>
  <c r="S867" i="1"/>
  <c r="S866" i="1"/>
  <c r="R864" i="1"/>
  <c r="S863" i="1"/>
  <c r="Q862" i="1"/>
  <c r="Q863" i="1" s="1"/>
  <c r="S855" i="1"/>
  <c r="S854" i="1"/>
  <c r="S853" i="1"/>
  <c r="S852" i="1"/>
  <c r="S851" i="1"/>
  <c r="S850" i="1"/>
  <c r="S849" i="1"/>
  <c r="S848" i="1"/>
  <c r="S847" i="1"/>
  <c r="S846" i="1"/>
  <c r="S845" i="1"/>
  <c r="S844" i="1"/>
  <c r="R842" i="1"/>
  <c r="S841" i="1"/>
  <c r="Q840" i="1"/>
  <c r="Q841" i="1" s="1"/>
  <c r="S833" i="1"/>
  <c r="S832" i="1"/>
  <c r="S831" i="1"/>
  <c r="S830" i="1"/>
  <c r="S829" i="1"/>
  <c r="S828" i="1"/>
  <c r="S827" i="1"/>
  <c r="S826" i="1"/>
  <c r="S825" i="1"/>
  <c r="S824" i="1"/>
  <c r="S823" i="1"/>
  <c r="S822" i="1"/>
  <c r="R820" i="1"/>
  <c r="S819" i="1"/>
  <c r="Q818" i="1"/>
  <c r="Q819" i="1" s="1"/>
  <c r="S811" i="1"/>
  <c r="S810" i="1"/>
  <c r="S809" i="1"/>
  <c r="S808" i="1"/>
  <c r="S807" i="1"/>
  <c r="S806" i="1"/>
  <c r="S805" i="1"/>
  <c r="S804" i="1"/>
  <c r="S803" i="1"/>
  <c r="S802" i="1"/>
  <c r="S801" i="1"/>
  <c r="S800" i="1"/>
  <c r="R798" i="1"/>
  <c r="S797" i="1"/>
  <c r="Q796" i="1"/>
  <c r="Q797" i="1" s="1"/>
  <c r="S789" i="1"/>
  <c r="S788" i="1"/>
  <c r="S787" i="1"/>
  <c r="S786" i="1"/>
  <c r="S785" i="1"/>
  <c r="S784" i="1"/>
  <c r="S783" i="1"/>
  <c r="S782" i="1"/>
  <c r="S781" i="1"/>
  <c r="S780" i="1"/>
  <c r="S779" i="1"/>
  <c r="S778" i="1"/>
  <c r="R776" i="1"/>
  <c r="S775" i="1"/>
  <c r="Q774" i="1"/>
  <c r="Q775" i="1" s="1"/>
  <c r="S767" i="1"/>
  <c r="S766" i="1"/>
  <c r="S765" i="1"/>
  <c r="S764" i="1"/>
  <c r="S763" i="1"/>
  <c r="S762" i="1"/>
  <c r="S761" i="1"/>
  <c r="S760" i="1"/>
  <c r="S759" i="1"/>
  <c r="S758" i="1"/>
  <c r="S757" i="1"/>
  <c r="S756" i="1"/>
  <c r="R754" i="1"/>
  <c r="S753" i="1"/>
  <c r="Q752" i="1"/>
  <c r="Q753" i="1" s="1"/>
  <c r="S745" i="1"/>
  <c r="S744" i="1"/>
  <c r="S743" i="1"/>
  <c r="S742" i="1"/>
  <c r="S741" i="1"/>
  <c r="S740" i="1"/>
  <c r="S739" i="1"/>
  <c r="S738" i="1"/>
  <c r="S737" i="1"/>
  <c r="S736" i="1"/>
  <c r="S735" i="1"/>
  <c r="S734" i="1"/>
  <c r="R732" i="1"/>
  <c r="S731" i="1"/>
  <c r="Q730" i="1"/>
  <c r="Q731" i="1" s="1"/>
  <c r="S723" i="1"/>
  <c r="S722" i="1"/>
  <c r="S721" i="1"/>
  <c r="S720" i="1"/>
  <c r="S719" i="1"/>
  <c r="S718" i="1"/>
  <c r="S717" i="1"/>
  <c r="S716" i="1"/>
  <c r="S715" i="1"/>
  <c r="S714" i="1"/>
  <c r="S713" i="1"/>
  <c r="S712" i="1"/>
  <c r="R710" i="1"/>
  <c r="S709" i="1"/>
  <c r="Q708" i="1"/>
  <c r="Q709" i="1" s="1"/>
  <c r="S701" i="1"/>
  <c r="S700" i="1"/>
  <c r="S699" i="1"/>
  <c r="S698" i="1"/>
  <c r="S697" i="1"/>
  <c r="S696" i="1"/>
  <c r="S695" i="1"/>
  <c r="S694" i="1"/>
  <c r="S693" i="1"/>
  <c r="S692" i="1"/>
  <c r="S691" i="1"/>
  <c r="S690" i="1"/>
  <c r="S687" i="1"/>
  <c r="S679" i="1"/>
  <c r="S678" i="1"/>
  <c r="S677" i="1"/>
  <c r="S676" i="1"/>
  <c r="S675" i="1"/>
  <c r="S674" i="1"/>
  <c r="S673" i="1"/>
  <c r="S672" i="1"/>
  <c r="S671" i="1"/>
  <c r="S670" i="1"/>
  <c r="S669" i="1"/>
  <c r="S668" i="1"/>
  <c r="S665" i="1"/>
  <c r="S657" i="1"/>
  <c r="S656" i="1"/>
  <c r="S655" i="1"/>
  <c r="S654" i="1"/>
  <c r="S653" i="1"/>
  <c r="S652" i="1"/>
  <c r="S651" i="1"/>
  <c r="S650" i="1"/>
  <c r="S649" i="1"/>
  <c r="S648" i="1"/>
  <c r="S647" i="1"/>
  <c r="S646" i="1"/>
  <c r="S643" i="1"/>
  <c r="S635" i="1"/>
  <c r="S634" i="1"/>
  <c r="S633" i="1"/>
  <c r="S632" i="1"/>
  <c r="S631" i="1"/>
  <c r="S630" i="1"/>
  <c r="S629" i="1"/>
  <c r="S628" i="1"/>
  <c r="S627" i="1"/>
  <c r="S626" i="1"/>
  <c r="S625" i="1"/>
  <c r="S624" i="1"/>
  <c r="S621" i="1"/>
  <c r="S613" i="1"/>
  <c r="S612" i="1"/>
  <c r="S611" i="1"/>
  <c r="S610" i="1"/>
  <c r="S609" i="1"/>
  <c r="S608" i="1"/>
  <c r="S607" i="1"/>
  <c r="S606" i="1"/>
  <c r="S605" i="1"/>
  <c r="S604" i="1"/>
  <c r="S603" i="1"/>
  <c r="S602" i="1"/>
  <c r="S599" i="1"/>
  <c r="S591" i="1"/>
  <c r="S590" i="1"/>
  <c r="S589" i="1"/>
  <c r="S588" i="1"/>
  <c r="S587" i="1"/>
  <c r="S586" i="1"/>
  <c r="S585" i="1"/>
  <c r="S584" i="1"/>
  <c r="S583" i="1"/>
  <c r="S582" i="1"/>
  <c r="S581" i="1"/>
  <c r="S580" i="1"/>
  <c r="S577" i="1"/>
  <c r="S569" i="1"/>
  <c r="S568" i="1"/>
  <c r="S567" i="1"/>
  <c r="S566" i="1"/>
  <c r="S565" i="1"/>
  <c r="S564" i="1"/>
  <c r="S563" i="1"/>
  <c r="S562" i="1"/>
  <c r="S561" i="1"/>
  <c r="S560" i="1"/>
  <c r="S559" i="1"/>
  <c r="S558" i="1"/>
  <c r="S555" i="1"/>
  <c r="S547" i="1"/>
  <c r="S546" i="1"/>
  <c r="S545" i="1"/>
  <c r="S544" i="1"/>
  <c r="S543" i="1"/>
  <c r="S542" i="1"/>
  <c r="S541" i="1"/>
  <c r="S540" i="1"/>
  <c r="S539" i="1"/>
  <c r="S538" i="1"/>
  <c r="S537" i="1"/>
  <c r="S536" i="1"/>
  <c r="S533" i="1"/>
  <c r="S525" i="1"/>
  <c r="S524" i="1"/>
  <c r="S523" i="1"/>
  <c r="S522" i="1"/>
  <c r="S521" i="1"/>
  <c r="S520" i="1"/>
  <c r="S519" i="1"/>
  <c r="S518" i="1"/>
  <c r="S517" i="1"/>
  <c r="S516" i="1"/>
  <c r="S515" i="1"/>
  <c r="S514" i="1"/>
  <c r="S511" i="1"/>
  <c r="S503" i="1"/>
  <c r="S502" i="1"/>
  <c r="S501" i="1"/>
  <c r="S500" i="1"/>
  <c r="S499" i="1"/>
  <c r="S498" i="1"/>
  <c r="S497" i="1"/>
  <c r="S496" i="1"/>
  <c r="S495" i="1"/>
  <c r="S494" i="1"/>
  <c r="S493" i="1"/>
  <c r="S492" i="1"/>
  <c r="S489" i="1"/>
  <c r="S481" i="1"/>
  <c r="S480" i="1"/>
  <c r="S479" i="1"/>
  <c r="S478" i="1"/>
  <c r="S477" i="1"/>
  <c r="S476" i="1"/>
  <c r="S475" i="1"/>
  <c r="S474" i="1"/>
  <c r="S473" i="1"/>
  <c r="S472" i="1"/>
  <c r="S471" i="1"/>
  <c r="S470" i="1"/>
  <c r="S467" i="1"/>
  <c r="S459" i="1"/>
  <c r="S458" i="1"/>
  <c r="S457" i="1"/>
  <c r="S456" i="1"/>
  <c r="S455" i="1"/>
  <c r="S454" i="1"/>
  <c r="S453" i="1"/>
  <c r="S452" i="1"/>
  <c r="S451" i="1"/>
  <c r="S450" i="1"/>
  <c r="S449" i="1"/>
  <c r="S448" i="1"/>
  <c r="S445" i="1"/>
  <c r="S437" i="1"/>
  <c r="S436" i="1"/>
  <c r="S435" i="1"/>
  <c r="S434" i="1"/>
  <c r="S433" i="1"/>
  <c r="S432" i="1"/>
  <c r="S431" i="1"/>
  <c r="S430" i="1"/>
  <c r="S429" i="1"/>
  <c r="S428" i="1"/>
  <c r="S427" i="1"/>
  <c r="S426" i="1"/>
  <c r="S423" i="1"/>
  <c r="S415" i="1"/>
  <c r="S414" i="1"/>
  <c r="S413" i="1"/>
  <c r="S412" i="1"/>
  <c r="S411" i="1"/>
  <c r="S410" i="1"/>
  <c r="S409" i="1"/>
  <c r="S408" i="1"/>
  <c r="S407" i="1"/>
  <c r="S406" i="1"/>
  <c r="S405" i="1"/>
  <c r="S404" i="1"/>
  <c r="S401" i="1"/>
  <c r="S393" i="1"/>
  <c r="S392" i="1"/>
  <c r="S391" i="1"/>
  <c r="S390" i="1"/>
  <c r="S389" i="1"/>
  <c r="S388" i="1"/>
  <c r="S387" i="1"/>
  <c r="S386" i="1"/>
  <c r="S385" i="1"/>
  <c r="S384" i="1"/>
  <c r="S383" i="1"/>
  <c r="S382" i="1"/>
  <c r="S379" i="1"/>
  <c r="S371" i="1"/>
  <c r="S370" i="1"/>
  <c r="S369" i="1"/>
  <c r="S368" i="1"/>
  <c r="S367" i="1"/>
  <c r="S366" i="1"/>
  <c r="S365" i="1"/>
  <c r="S364" i="1"/>
  <c r="S363" i="1"/>
  <c r="S362" i="1"/>
  <c r="S361" i="1"/>
  <c r="S360" i="1"/>
  <c r="S357" i="1"/>
  <c r="S349" i="1"/>
  <c r="S348" i="1"/>
  <c r="S347" i="1"/>
  <c r="S346" i="1"/>
  <c r="S345" i="1"/>
  <c r="S344" i="1"/>
  <c r="S343" i="1"/>
  <c r="S342" i="1"/>
  <c r="S341" i="1"/>
  <c r="S340" i="1"/>
  <c r="S339" i="1"/>
  <c r="S338" i="1"/>
  <c r="S335" i="1"/>
  <c r="S327" i="1"/>
  <c r="S326" i="1"/>
  <c r="S325" i="1"/>
  <c r="S324" i="1"/>
  <c r="S323" i="1"/>
  <c r="S322" i="1"/>
  <c r="S321" i="1"/>
  <c r="S320" i="1"/>
  <c r="S319" i="1"/>
  <c r="S318" i="1"/>
  <c r="S317" i="1"/>
  <c r="S316" i="1"/>
  <c r="S313" i="1"/>
  <c r="S305" i="1"/>
  <c r="S304" i="1"/>
  <c r="S303" i="1"/>
  <c r="S302" i="1"/>
  <c r="S301" i="1"/>
  <c r="S300" i="1"/>
  <c r="S299" i="1"/>
  <c r="S298" i="1"/>
  <c r="S297" i="1"/>
  <c r="S296" i="1"/>
  <c r="S295" i="1"/>
  <c r="S294" i="1"/>
  <c r="S291" i="1"/>
  <c r="S283" i="1"/>
  <c r="S282" i="1"/>
  <c r="S281" i="1"/>
  <c r="S280" i="1"/>
  <c r="S279" i="1"/>
  <c r="S278" i="1"/>
  <c r="S277" i="1"/>
  <c r="S276" i="1"/>
  <c r="S275" i="1"/>
  <c r="S274" i="1"/>
  <c r="S273" i="1"/>
  <c r="S272" i="1"/>
  <c r="S269" i="1"/>
  <c r="S261" i="1"/>
  <c r="S260" i="1"/>
  <c r="S259" i="1"/>
  <c r="S258" i="1"/>
  <c r="S257" i="1"/>
  <c r="S256" i="1"/>
  <c r="S255" i="1"/>
  <c r="S254" i="1"/>
  <c r="S253" i="1"/>
  <c r="S252" i="1"/>
  <c r="S251" i="1"/>
  <c r="S250" i="1"/>
  <c r="S247" i="1"/>
  <c r="S239" i="1"/>
  <c r="S238" i="1"/>
  <c r="S237" i="1"/>
  <c r="S236" i="1"/>
  <c r="S235" i="1"/>
  <c r="S234" i="1"/>
  <c r="S233" i="1"/>
  <c r="S232" i="1"/>
  <c r="S231" i="1"/>
  <c r="S230" i="1"/>
  <c r="S229" i="1"/>
  <c r="S228" i="1"/>
  <c r="S225" i="1"/>
  <c r="S217" i="1"/>
  <c r="S216" i="1"/>
  <c r="S215" i="1"/>
  <c r="S214" i="1"/>
  <c r="S213" i="1"/>
  <c r="S212" i="1"/>
  <c r="S211" i="1"/>
  <c r="S210" i="1"/>
  <c r="S209" i="1"/>
  <c r="S208" i="1"/>
  <c r="S207" i="1"/>
  <c r="S206" i="1"/>
  <c r="S203" i="1"/>
  <c r="S195" i="1"/>
  <c r="S194" i="1"/>
  <c r="S193" i="1"/>
  <c r="S192" i="1"/>
  <c r="S191" i="1"/>
  <c r="S190" i="1"/>
  <c r="S189" i="1"/>
  <c r="S188" i="1"/>
  <c r="S187" i="1"/>
  <c r="S186" i="1"/>
  <c r="S185" i="1"/>
  <c r="S184" i="1"/>
  <c r="S181" i="1"/>
  <c r="S173" i="1"/>
  <c r="S172" i="1"/>
  <c r="S171" i="1"/>
  <c r="S170" i="1"/>
  <c r="S169" i="1"/>
  <c r="S168" i="1"/>
  <c r="S167" i="1"/>
  <c r="S166" i="1"/>
  <c r="S165" i="1"/>
  <c r="S164" i="1"/>
  <c r="S163" i="1"/>
  <c r="S162" i="1"/>
  <c r="S159" i="1"/>
  <c r="S151" i="1"/>
  <c r="S150" i="1"/>
  <c r="S149" i="1"/>
  <c r="S148" i="1"/>
  <c r="S147" i="1"/>
  <c r="S146" i="1"/>
  <c r="S145" i="1"/>
  <c r="S144" i="1"/>
  <c r="S143" i="1"/>
  <c r="S142" i="1"/>
  <c r="S141" i="1"/>
  <c r="S140" i="1"/>
  <c r="S137" i="1"/>
  <c r="S129" i="1"/>
  <c r="S128" i="1"/>
  <c r="S127" i="1"/>
  <c r="S126" i="1"/>
  <c r="S125" i="1"/>
  <c r="S124" i="1"/>
  <c r="S123" i="1"/>
  <c r="S122" i="1"/>
  <c r="S121" i="1"/>
  <c r="S120" i="1"/>
  <c r="S119" i="1"/>
  <c r="S118" i="1"/>
  <c r="S115" i="1"/>
  <c r="S107" i="1"/>
  <c r="S106" i="1"/>
  <c r="S105" i="1"/>
  <c r="S104" i="1"/>
  <c r="S103" i="1"/>
  <c r="S102" i="1"/>
  <c r="S101" i="1"/>
  <c r="S100" i="1"/>
  <c r="S99" i="1"/>
  <c r="S98" i="1"/>
  <c r="S97" i="1"/>
  <c r="S96" i="1"/>
  <c r="S93" i="1"/>
  <c r="S85" i="1"/>
  <c r="S84" i="1"/>
  <c r="S83" i="1"/>
  <c r="S82" i="1"/>
  <c r="S81" i="1"/>
  <c r="S80" i="1"/>
  <c r="S79" i="1"/>
  <c r="S78" i="1"/>
  <c r="S77" i="1"/>
  <c r="S76" i="1"/>
  <c r="S75" i="1"/>
  <c r="S74" i="1"/>
  <c r="S71" i="1"/>
  <c r="S63" i="1"/>
  <c r="S62" i="1"/>
  <c r="S61" i="1"/>
  <c r="S60" i="1"/>
  <c r="S59" i="1"/>
  <c r="S58" i="1"/>
  <c r="S57" i="1"/>
  <c r="S56" i="1"/>
  <c r="S55" i="1"/>
  <c r="S54" i="1"/>
  <c r="S53" i="1"/>
  <c r="S52" i="1"/>
  <c r="S49" i="1"/>
  <c r="S41" i="1"/>
  <c r="S40" i="1"/>
  <c r="S39" i="1"/>
  <c r="S38" i="1"/>
  <c r="S37" i="1"/>
  <c r="S36" i="1"/>
  <c r="S35" i="1"/>
  <c r="S34" i="1"/>
  <c r="S33" i="1"/>
  <c r="S32" i="1"/>
  <c r="S31" i="1"/>
  <c r="S30" i="1"/>
  <c r="S27" i="1"/>
  <c r="S5" i="1"/>
  <c r="BK886" i="1"/>
  <c r="BJ884" i="1"/>
  <c r="BJ885" i="1" s="1"/>
  <c r="BK864" i="1"/>
  <c r="BJ862" i="1"/>
  <c r="BJ863" i="1" s="1"/>
  <c r="BK842" i="1"/>
  <c r="BJ840" i="1"/>
  <c r="BJ841" i="1" s="1"/>
  <c r="BK820" i="1"/>
  <c r="BJ818" i="1"/>
  <c r="BJ819" i="1" s="1"/>
  <c r="BK798" i="1"/>
  <c r="BJ796" i="1"/>
  <c r="BJ797" i="1" s="1"/>
  <c r="BK776" i="1"/>
  <c r="BJ774" i="1"/>
  <c r="BJ775" i="1" s="1"/>
  <c r="BK754" i="1"/>
  <c r="BJ752" i="1"/>
  <c r="BJ753" i="1" s="1"/>
  <c r="BK732" i="1"/>
  <c r="BJ730" i="1"/>
  <c r="BJ731" i="1" s="1"/>
  <c r="BK710" i="1"/>
  <c r="BJ708" i="1"/>
  <c r="BJ709" i="1" s="1"/>
  <c r="H900" i="1"/>
  <c r="F900" i="1"/>
  <c r="H878" i="1"/>
  <c r="F878" i="1"/>
  <c r="H856" i="1"/>
  <c r="F856" i="1"/>
  <c r="H834" i="1"/>
  <c r="F834" i="1"/>
  <c r="H812" i="1"/>
  <c r="F812" i="1"/>
  <c r="H790" i="1"/>
  <c r="F790" i="1"/>
  <c r="H768" i="1"/>
  <c r="F768" i="1"/>
  <c r="H746" i="1"/>
  <c r="F746" i="1"/>
  <c r="H724" i="1"/>
  <c r="F724" i="1"/>
  <c r="H702" i="1"/>
  <c r="F702" i="1"/>
  <c r="H680" i="1"/>
  <c r="F680" i="1"/>
  <c r="H658" i="1"/>
  <c r="F658" i="1"/>
  <c r="H636" i="1"/>
  <c r="F636" i="1"/>
  <c r="H614" i="1"/>
  <c r="F614" i="1"/>
  <c r="H592" i="1"/>
  <c r="F592" i="1"/>
  <c r="H570" i="1"/>
  <c r="F570" i="1"/>
  <c r="H548" i="1"/>
  <c r="F548" i="1"/>
  <c r="H526" i="1"/>
  <c r="F526" i="1"/>
  <c r="H504" i="1"/>
  <c r="F504" i="1"/>
  <c r="H482" i="1"/>
  <c r="F482" i="1"/>
  <c r="H460" i="1"/>
  <c r="F460" i="1"/>
  <c r="H438" i="1"/>
  <c r="F438" i="1"/>
  <c r="H416" i="1"/>
  <c r="F416" i="1"/>
  <c r="H394" i="1"/>
  <c r="F394" i="1"/>
  <c r="H372" i="1"/>
  <c r="F372" i="1"/>
  <c r="H350" i="1"/>
  <c r="F350" i="1"/>
  <c r="H328" i="1"/>
  <c r="F328" i="1"/>
  <c r="H306" i="1"/>
  <c r="F306" i="1"/>
  <c r="H284" i="1"/>
  <c r="F284" i="1"/>
  <c r="H262" i="1"/>
  <c r="F262" i="1"/>
  <c r="H240" i="1"/>
  <c r="F240" i="1"/>
  <c r="H218" i="1"/>
  <c r="F218" i="1"/>
  <c r="H196" i="1"/>
  <c r="F196" i="1"/>
  <c r="H174" i="1"/>
  <c r="F174" i="1"/>
  <c r="H152" i="1"/>
  <c r="F152" i="1"/>
  <c r="H130" i="1"/>
  <c r="F130" i="1"/>
  <c r="H108" i="1"/>
  <c r="F108" i="1"/>
  <c r="H86" i="1"/>
  <c r="F86" i="1"/>
  <c r="H64" i="1"/>
  <c r="F64" i="1"/>
  <c r="H42" i="1"/>
  <c r="F42" i="1"/>
  <c r="H20" i="1"/>
  <c r="F20" i="1"/>
  <c r="F418" i="58"/>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I889" i="1"/>
  <c r="K877" i="1"/>
  <c r="J877" i="1"/>
  <c r="I877" i="1"/>
  <c r="K876" i="1"/>
  <c r="J876" i="1"/>
  <c r="I876" i="1"/>
  <c r="K875" i="1"/>
  <c r="J875" i="1"/>
  <c r="I875" i="1"/>
  <c r="K874" i="1"/>
  <c r="J874" i="1"/>
  <c r="I874" i="1"/>
  <c r="K873" i="1"/>
  <c r="J873" i="1"/>
  <c r="I873" i="1"/>
  <c r="K872" i="1"/>
  <c r="J872" i="1"/>
  <c r="I872" i="1"/>
  <c r="K871" i="1"/>
  <c r="J871" i="1"/>
  <c r="I871" i="1"/>
  <c r="K870" i="1"/>
  <c r="J870" i="1"/>
  <c r="I870" i="1"/>
  <c r="K869" i="1"/>
  <c r="J869" i="1"/>
  <c r="I869" i="1"/>
  <c r="K868" i="1"/>
  <c r="J868" i="1"/>
  <c r="I868" i="1"/>
  <c r="K867" i="1"/>
  <c r="J867" i="1"/>
  <c r="I867" i="1"/>
  <c r="K866" i="1"/>
  <c r="J866" i="1"/>
  <c r="I866" i="1"/>
  <c r="K855" i="1"/>
  <c r="J855" i="1"/>
  <c r="I855" i="1"/>
  <c r="K854" i="1"/>
  <c r="J854" i="1"/>
  <c r="I854" i="1"/>
  <c r="K853" i="1"/>
  <c r="J853" i="1"/>
  <c r="I853" i="1"/>
  <c r="K852" i="1"/>
  <c r="J852" i="1"/>
  <c r="I852" i="1"/>
  <c r="K851" i="1"/>
  <c r="J851" i="1"/>
  <c r="I851" i="1"/>
  <c r="K850" i="1"/>
  <c r="J850" i="1"/>
  <c r="I850" i="1"/>
  <c r="K849" i="1"/>
  <c r="J849" i="1"/>
  <c r="I849" i="1"/>
  <c r="K848" i="1"/>
  <c r="J848" i="1"/>
  <c r="I848" i="1"/>
  <c r="K847" i="1"/>
  <c r="J847" i="1"/>
  <c r="I847" i="1"/>
  <c r="K846" i="1"/>
  <c r="J846" i="1"/>
  <c r="I846" i="1"/>
  <c r="K845" i="1"/>
  <c r="J845" i="1"/>
  <c r="I845" i="1"/>
  <c r="K844" i="1"/>
  <c r="J844" i="1"/>
  <c r="I84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J823" i="1"/>
  <c r="I823" i="1"/>
  <c r="K822" i="1"/>
  <c r="J822" i="1"/>
  <c r="I822" i="1"/>
  <c r="K811" i="1"/>
  <c r="J811" i="1"/>
  <c r="I811" i="1"/>
  <c r="K810" i="1"/>
  <c r="J810" i="1"/>
  <c r="I810" i="1"/>
  <c r="K809" i="1"/>
  <c r="J809" i="1"/>
  <c r="I809" i="1"/>
  <c r="K808" i="1"/>
  <c r="J808" i="1"/>
  <c r="I808" i="1"/>
  <c r="K807" i="1"/>
  <c r="J807" i="1"/>
  <c r="I807" i="1"/>
  <c r="K806" i="1"/>
  <c r="J806" i="1"/>
  <c r="I806" i="1"/>
  <c r="K805" i="1"/>
  <c r="J805" i="1"/>
  <c r="I805" i="1"/>
  <c r="K804" i="1"/>
  <c r="J804" i="1"/>
  <c r="I804" i="1"/>
  <c r="K803" i="1"/>
  <c r="J803" i="1"/>
  <c r="I803" i="1"/>
  <c r="K802" i="1"/>
  <c r="J802" i="1"/>
  <c r="I802" i="1"/>
  <c r="K801" i="1"/>
  <c r="J801" i="1"/>
  <c r="I801" i="1"/>
  <c r="K800" i="1"/>
  <c r="K812" i="1" s="1"/>
  <c r="J800" i="1"/>
  <c r="J812" i="1" s="1"/>
  <c r="I800" i="1"/>
  <c r="I812" i="1" s="1"/>
  <c r="K789" i="1"/>
  <c r="J789" i="1"/>
  <c r="I789" i="1"/>
  <c r="K788" i="1"/>
  <c r="J788" i="1"/>
  <c r="I788" i="1"/>
  <c r="K787" i="1"/>
  <c r="J787" i="1"/>
  <c r="I787" i="1"/>
  <c r="K786" i="1"/>
  <c r="J786" i="1"/>
  <c r="I786" i="1"/>
  <c r="K785" i="1"/>
  <c r="J785" i="1"/>
  <c r="I785" i="1"/>
  <c r="K784" i="1"/>
  <c r="J784" i="1"/>
  <c r="I784" i="1"/>
  <c r="K783" i="1"/>
  <c r="J783" i="1"/>
  <c r="I783" i="1"/>
  <c r="K782" i="1"/>
  <c r="J782" i="1"/>
  <c r="I782" i="1"/>
  <c r="K781" i="1"/>
  <c r="J781" i="1"/>
  <c r="I781" i="1"/>
  <c r="K780" i="1"/>
  <c r="J780" i="1"/>
  <c r="I780" i="1"/>
  <c r="K779" i="1"/>
  <c r="J779" i="1"/>
  <c r="I779" i="1"/>
  <c r="K778" i="1"/>
  <c r="K790" i="1" s="1"/>
  <c r="J778" i="1"/>
  <c r="J790" i="1" s="1"/>
  <c r="I778" i="1"/>
  <c r="I790" i="1" s="1"/>
  <c r="K767" i="1"/>
  <c r="J767" i="1"/>
  <c r="I767" i="1"/>
  <c r="K766" i="1"/>
  <c r="J766" i="1"/>
  <c r="I766" i="1"/>
  <c r="K765" i="1"/>
  <c r="J765" i="1"/>
  <c r="I765" i="1"/>
  <c r="K764" i="1"/>
  <c r="J764" i="1"/>
  <c r="I764" i="1"/>
  <c r="K763" i="1"/>
  <c r="J763" i="1"/>
  <c r="I763" i="1"/>
  <c r="K762" i="1"/>
  <c r="J762" i="1"/>
  <c r="I762" i="1"/>
  <c r="K761" i="1"/>
  <c r="J761" i="1"/>
  <c r="I761" i="1"/>
  <c r="K760" i="1"/>
  <c r="J760" i="1"/>
  <c r="I760" i="1"/>
  <c r="K759" i="1"/>
  <c r="J759" i="1"/>
  <c r="I759" i="1"/>
  <c r="K758" i="1"/>
  <c r="J758" i="1"/>
  <c r="I758" i="1"/>
  <c r="K757" i="1"/>
  <c r="J757" i="1"/>
  <c r="I757" i="1"/>
  <c r="K756" i="1"/>
  <c r="K768" i="1" s="1"/>
  <c r="J756" i="1"/>
  <c r="J768" i="1" s="1"/>
  <c r="I756" i="1"/>
  <c r="I768" i="1" s="1"/>
  <c r="K745" i="1"/>
  <c r="J745" i="1"/>
  <c r="I745" i="1"/>
  <c r="K744" i="1"/>
  <c r="J744" i="1"/>
  <c r="I744" i="1"/>
  <c r="K743" i="1"/>
  <c r="J743" i="1"/>
  <c r="I743" i="1"/>
  <c r="K742" i="1"/>
  <c r="J742" i="1"/>
  <c r="I742" i="1"/>
  <c r="K741" i="1"/>
  <c r="J741" i="1"/>
  <c r="I741" i="1"/>
  <c r="K740" i="1"/>
  <c r="J740" i="1"/>
  <c r="I740" i="1"/>
  <c r="K739" i="1"/>
  <c r="J739" i="1"/>
  <c r="I739" i="1"/>
  <c r="K738" i="1"/>
  <c r="J738" i="1"/>
  <c r="I738" i="1"/>
  <c r="K737" i="1"/>
  <c r="J737" i="1"/>
  <c r="I737" i="1"/>
  <c r="K736" i="1"/>
  <c r="J736" i="1"/>
  <c r="I736" i="1"/>
  <c r="K735" i="1"/>
  <c r="J735" i="1"/>
  <c r="I735" i="1"/>
  <c r="K734" i="1"/>
  <c r="K746" i="1" s="1"/>
  <c r="J734" i="1"/>
  <c r="J746" i="1" s="1"/>
  <c r="I734" i="1"/>
  <c r="I746" i="1" s="1"/>
  <c r="K723" i="1"/>
  <c r="J723" i="1"/>
  <c r="I723" i="1"/>
  <c r="K722" i="1"/>
  <c r="J722" i="1"/>
  <c r="I722" i="1"/>
  <c r="K721" i="1"/>
  <c r="J721" i="1"/>
  <c r="I721" i="1"/>
  <c r="K720" i="1"/>
  <c r="J720" i="1"/>
  <c r="I720" i="1"/>
  <c r="K719" i="1"/>
  <c r="J719" i="1"/>
  <c r="I719" i="1"/>
  <c r="K718" i="1"/>
  <c r="J718" i="1"/>
  <c r="I718" i="1"/>
  <c r="K717" i="1"/>
  <c r="J717" i="1"/>
  <c r="I717" i="1"/>
  <c r="K716" i="1"/>
  <c r="J716" i="1"/>
  <c r="I716" i="1"/>
  <c r="K715" i="1"/>
  <c r="J715" i="1"/>
  <c r="I715" i="1"/>
  <c r="K714" i="1"/>
  <c r="J714" i="1"/>
  <c r="I714" i="1"/>
  <c r="K713" i="1"/>
  <c r="J713" i="1"/>
  <c r="I713" i="1"/>
  <c r="K712" i="1"/>
  <c r="K724" i="1" s="1"/>
  <c r="J712" i="1"/>
  <c r="J724" i="1" s="1"/>
  <c r="I712" i="1"/>
  <c r="I724" i="1" s="1"/>
  <c r="K701" i="1"/>
  <c r="J701" i="1"/>
  <c r="I701" i="1"/>
  <c r="K700" i="1"/>
  <c r="J700" i="1"/>
  <c r="I700" i="1"/>
  <c r="K699" i="1"/>
  <c r="J699" i="1"/>
  <c r="I699" i="1"/>
  <c r="K698" i="1"/>
  <c r="J698" i="1"/>
  <c r="I698" i="1"/>
  <c r="K697" i="1"/>
  <c r="J697" i="1"/>
  <c r="I697" i="1"/>
  <c r="K696" i="1"/>
  <c r="J696" i="1"/>
  <c r="I696" i="1"/>
  <c r="K695" i="1"/>
  <c r="J695" i="1"/>
  <c r="I695" i="1"/>
  <c r="K694" i="1"/>
  <c r="J694" i="1"/>
  <c r="I694" i="1"/>
  <c r="K693" i="1"/>
  <c r="J693" i="1"/>
  <c r="I693" i="1"/>
  <c r="K692" i="1"/>
  <c r="J692" i="1"/>
  <c r="I692" i="1"/>
  <c r="K691" i="1"/>
  <c r="J691" i="1"/>
  <c r="I691" i="1"/>
  <c r="K690" i="1"/>
  <c r="J690" i="1"/>
  <c r="I690" i="1"/>
  <c r="K679" i="1"/>
  <c r="J679" i="1"/>
  <c r="I679" i="1"/>
  <c r="K678" i="1"/>
  <c r="J678" i="1"/>
  <c r="I678" i="1"/>
  <c r="K677" i="1"/>
  <c r="J677" i="1"/>
  <c r="I677" i="1"/>
  <c r="K676" i="1"/>
  <c r="J676" i="1"/>
  <c r="I676" i="1"/>
  <c r="K675" i="1"/>
  <c r="J675" i="1"/>
  <c r="I675" i="1"/>
  <c r="K674" i="1"/>
  <c r="J674" i="1"/>
  <c r="I674" i="1"/>
  <c r="K673" i="1"/>
  <c r="J673" i="1"/>
  <c r="I673" i="1"/>
  <c r="K672" i="1"/>
  <c r="J672" i="1"/>
  <c r="I672" i="1"/>
  <c r="K671" i="1"/>
  <c r="J671" i="1"/>
  <c r="I671" i="1"/>
  <c r="K670" i="1"/>
  <c r="J670" i="1"/>
  <c r="I670" i="1"/>
  <c r="K669" i="1"/>
  <c r="J669" i="1"/>
  <c r="I669" i="1"/>
  <c r="K668" i="1"/>
  <c r="K680" i="1" s="1"/>
  <c r="J668" i="1"/>
  <c r="J680" i="1" s="1"/>
  <c r="I668" i="1"/>
  <c r="I680" i="1" s="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K658" i="1" s="1"/>
  <c r="J646" i="1"/>
  <c r="J658" i="1" s="1"/>
  <c r="I646" i="1"/>
  <c r="I658" i="1" s="1"/>
  <c r="K635" i="1"/>
  <c r="J635" i="1"/>
  <c r="I635" i="1"/>
  <c r="K634" i="1"/>
  <c r="J634" i="1"/>
  <c r="I634" i="1"/>
  <c r="K633" i="1"/>
  <c r="J633" i="1"/>
  <c r="I633" i="1"/>
  <c r="K632" i="1"/>
  <c r="J632" i="1"/>
  <c r="I632" i="1"/>
  <c r="K631" i="1"/>
  <c r="J631" i="1"/>
  <c r="I631" i="1"/>
  <c r="K630" i="1"/>
  <c r="J630" i="1"/>
  <c r="I630" i="1"/>
  <c r="K629" i="1"/>
  <c r="J629" i="1"/>
  <c r="I629" i="1"/>
  <c r="K628" i="1"/>
  <c r="J628" i="1"/>
  <c r="I628" i="1"/>
  <c r="K627" i="1"/>
  <c r="J627" i="1"/>
  <c r="I627" i="1"/>
  <c r="K626" i="1"/>
  <c r="J626" i="1"/>
  <c r="I626" i="1"/>
  <c r="K625" i="1"/>
  <c r="J625" i="1"/>
  <c r="I625" i="1"/>
  <c r="K624" i="1"/>
  <c r="J624" i="1"/>
  <c r="J636" i="1" s="1"/>
  <c r="I624" i="1"/>
  <c r="I636" i="1" s="1"/>
  <c r="K613" i="1"/>
  <c r="J613" i="1"/>
  <c r="I613" i="1"/>
  <c r="K612" i="1"/>
  <c r="J612" i="1"/>
  <c r="I612" i="1"/>
  <c r="K611" i="1"/>
  <c r="J611" i="1"/>
  <c r="I611" i="1"/>
  <c r="K610" i="1"/>
  <c r="J610" i="1"/>
  <c r="I610" i="1"/>
  <c r="K609" i="1"/>
  <c r="J609" i="1"/>
  <c r="I609" i="1"/>
  <c r="K608" i="1"/>
  <c r="J608" i="1"/>
  <c r="I608" i="1"/>
  <c r="K607" i="1"/>
  <c r="J607" i="1"/>
  <c r="I607" i="1"/>
  <c r="K606" i="1"/>
  <c r="J606" i="1"/>
  <c r="I606" i="1"/>
  <c r="K605" i="1"/>
  <c r="J605" i="1"/>
  <c r="I605" i="1"/>
  <c r="K604" i="1"/>
  <c r="J604" i="1"/>
  <c r="I604" i="1"/>
  <c r="K603" i="1"/>
  <c r="J603" i="1"/>
  <c r="I603" i="1"/>
  <c r="K602" i="1"/>
  <c r="J602" i="1"/>
  <c r="I602" i="1"/>
  <c r="K591" i="1"/>
  <c r="J591" i="1"/>
  <c r="I591" i="1"/>
  <c r="K590" i="1"/>
  <c r="J590" i="1"/>
  <c r="I590" i="1"/>
  <c r="K589" i="1"/>
  <c r="J589" i="1"/>
  <c r="I589" i="1"/>
  <c r="K588" i="1"/>
  <c r="J588" i="1"/>
  <c r="I588" i="1"/>
  <c r="K587" i="1"/>
  <c r="J587" i="1"/>
  <c r="I587" i="1"/>
  <c r="K586" i="1"/>
  <c r="J586" i="1"/>
  <c r="I586" i="1"/>
  <c r="K585" i="1"/>
  <c r="J585" i="1"/>
  <c r="I585" i="1"/>
  <c r="K584" i="1"/>
  <c r="J584" i="1"/>
  <c r="I584" i="1"/>
  <c r="K583" i="1"/>
  <c r="J583" i="1"/>
  <c r="I583" i="1"/>
  <c r="K582" i="1"/>
  <c r="J582" i="1"/>
  <c r="I582" i="1"/>
  <c r="K581" i="1"/>
  <c r="J581" i="1"/>
  <c r="I581" i="1"/>
  <c r="K580" i="1"/>
  <c r="J580" i="1"/>
  <c r="I580" i="1"/>
  <c r="K569" i="1"/>
  <c r="J569" i="1"/>
  <c r="I569" i="1"/>
  <c r="K568" i="1"/>
  <c r="J568" i="1"/>
  <c r="I568" i="1"/>
  <c r="K567" i="1"/>
  <c r="J567" i="1"/>
  <c r="I567" i="1"/>
  <c r="K566" i="1"/>
  <c r="J566" i="1"/>
  <c r="I566" i="1"/>
  <c r="K565" i="1"/>
  <c r="J565" i="1"/>
  <c r="I565" i="1"/>
  <c r="K564" i="1"/>
  <c r="J564" i="1"/>
  <c r="I564" i="1"/>
  <c r="K563" i="1"/>
  <c r="J563" i="1"/>
  <c r="I563" i="1"/>
  <c r="K562" i="1"/>
  <c r="J562" i="1"/>
  <c r="I562" i="1"/>
  <c r="K561" i="1"/>
  <c r="J561" i="1"/>
  <c r="I561" i="1"/>
  <c r="K560" i="1"/>
  <c r="J560" i="1"/>
  <c r="I560" i="1"/>
  <c r="K559" i="1"/>
  <c r="J559" i="1"/>
  <c r="I559" i="1"/>
  <c r="K558" i="1"/>
  <c r="J558" i="1"/>
  <c r="I558" i="1"/>
  <c r="K547" i="1"/>
  <c r="J547" i="1"/>
  <c r="I547" i="1"/>
  <c r="K546" i="1"/>
  <c r="J546" i="1"/>
  <c r="I546" i="1"/>
  <c r="K545" i="1"/>
  <c r="J545" i="1"/>
  <c r="I545" i="1"/>
  <c r="K544" i="1"/>
  <c r="J544" i="1"/>
  <c r="I544" i="1"/>
  <c r="K543" i="1"/>
  <c r="J543" i="1"/>
  <c r="I543" i="1"/>
  <c r="K542" i="1"/>
  <c r="J542" i="1"/>
  <c r="I542" i="1"/>
  <c r="K541" i="1"/>
  <c r="J541" i="1"/>
  <c r="I541" i="1"/>
  <c r="K540" i="1"/>
  <c r="J540" i="1"/>
  <c r="I540" i="1"/>
  <c r="K539" i="1"/>
  <c r="J539" i="1"/>
  <c r="I539" i="1"/>
  <c r="K538" i="1"/>
  <c r="J538" i="1"/>
  <c r="I538" i="1"/>
  <c r="K537" i="1"/>
  <c r="J537" i="1"/>
  <c r="I537" i="1"/>
  <c r="K536" i="1"/>
  <c r="J536" i="1"/>
  <c r="I536" i="1"/>
  <c r="K525" i="1"/>
  <c r="J525" i="1"/>
  <c r="I525" i="1"/>
  <c r="K524" i="1"/>
  <c r="J524" i="1"/>
  <c r="I524" i="1"/>
  <c r="K523" i="1"/>
  <c r="J523" i="1"/>
  <c r="I523" i="1"/>
  <c r="K522" i="1"/>
  <c r="J522" i="1"/>
  <c r="I522" i="1"/>
  <c r="K521" i="1"/>
  <c r="J521" i="1"/>
  <c r="I521" i="1"/>
  <c r="K520" i="1"/>
  <c r="J520" i="1"/>
  <c r="I520" i="1"/>
  <c r="K519" i="1"/>
  <c r="J519" i="1"/>
  <c r="I519" i="1"/>
  <c r="K518" i="1"/>
  <c r="J518" i="1"/>
  <c r="I518" i="1"/>
  <c r="K517" i="1"/>
  <c r="J517" i="1"/>
  <c r="I517" i="1"/>
  <c r="K516" i="1"/>
  <c r="J516" i="1"/>
  <c r="I516" i="1"/>
  <c r="K515" i="1"/>
  <c r="J515" i="1"/>
  <c r="I515" i="1"/>
  <c r="K514" i="1"/>
  <c r="J514" i="1"/>
  <c r="I514" i="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J494" i="1"/>
  <c r="I494" i="1"/>
  <c r="K493" i="1"/>
  <c r="J493" i="1"/>
  <c r="I493" i="1"/>
  <c r="K492" i="1"/>
  <c r="J492" i="1"/>
  <c r="I492" i="1"/>
  <c r="K481" i="1"/>
  <c r="J481" i="1"/>
  <c r="I481" i="1"/>
  <c r="K480" i="1"/>
  <c r="J480" i="1"/>
  <c r="I480" i="1"/>
  <c r="K479" i="1"/>
  <c r="J479" i="1"/>
  <c r="I479" i="1"/>
  <c r="K478" i="1"/>
  <c r="J478" i="1"/>
  <c r="I478" i="1"/>
  <c r="K477" i="1"/>
  <c r="J477" i="1"/>
  <c r="I477" i="1"/>
  <c r="K476" i="1"/>
  <c r="J476" i="1"/>
  <c r="I476" i="1"/>
  <c r="K475" i="1"/>
  <c r="J475" i="1"/>
  <c r="I475" i="1"/>
  <c r="K474" i="1"/>
  <c r="J474" i="1"/>
  <c r="I474" i="1"/>
  <c r="K473" i="1"/>
  <c r="J473" i="1"/>
  <c r="I473" i="1"/>
  <c r="K472" i="1"/>
  <c r="J472" i="1"/>
  <c r="I472" i="1"/>
  <c r="K471" i="1"/>
  <c r="J471" i="1"/>
  <c r="I471" i="1"/>
  <c r="K470" i="1"/>
  <c r="J470" i="1"/>
  <c r="I470" i="1"/>
  <c r="K459" i="1"/>
  <c r="J459" i="1"/>
  <c r="I459" i="1"/>
  <c r="K458" i="1"/>
  <c r="J458" i="1"/>
  <c r="I458" i="1"/>
  <c r="K457" i="1"/>
  <c r="J457" i="1"/>
  <c r="I457" i="1"/>
  <c r="K456" i="1"/>
  <c r="J456" i="1"/>
  <c r="I456" i="1"/>
  <c r="K455" i="1"/>
  <c r="J455" i="1"/>
  <c r="I455" i="1"/>
  <c r="K454" i="1"/>
  <c r="J454" i="1"/>
  <c r="I454" i="1"/>
  <c r="K453" i="1"/>
  <c r="J453" i="1"/>
  <c r="I453" i="1"/>
  <c r="K452" i="1"/>
  <c r="J452" i="1"/>
  <c r="I452" i="1"/>
  <c r="K451" i="1"/>
  <c r="J451" i="1"/>
  <c r="I451" i="1"/>
  <c r="K450" i="1"/>
  <c r="J450" i="1"/>
  <c r="I450" i="1"/>
  <c r="K449" i="1"/>
  <c r="J449" i="1"/>
  <c r="I449" i="1"/>
  <c r="K448" i="1"/>
  <c r="J448" i="1"/>
  <c r="I448" i="1"/>
  <c r="K437" i="1"/>
  <c r="J437" i="1"/>
  <c r="I437" i="1"/>
  <c r="K436" i="1"/>
  <c r="J436" i="1"/>
  <c r="I436" i="1"/>
  <c r="K435" i="1"/>
  <c r="J435" i="1"/>
  <c r="I435" i="1"/>
  <c r="K434" i="1"/>
  <c r="J434" i="1"/>
  <c r="I434" i="1"/>
  <c r="K433" i="1"/>
  <c r="J433" i="1"/>
  <c r="I433" i="1"/>
  <c r="K432" i="1"/>
  <c r="J432" i="1"/>
  <c r="I432" i="1"/>
  <c r="K431" i="1"/>
  <c r="J431" i="1"/>
  <c r="I431" i="1"/>
  <c r="K430" i="1"/>
  <c r="J430" i="1"/>
  <c r="I430" i="1"/>
  <c r="K429" i="1"/>
  <c r="J429" i="1"/>
  <c r="I429" i="1"/>
  <c r="K428" i="1"/>
  <c r="J428" i="1"/>
  <c r="I428" i="1"/>
  <c r="K427" i="1"/>
  <c r="J427" i="1"/>
  <c r="I427" i="1"/>
  <c r="K426" i="1"/>
  <c r="J426" i="1"/>
  <c r="I426" i="1"/>
  <c r="K415" i="1"/>
  <c r="J415" i="1"/>
  <c r="I415" i="1"/>
  <c r="K414" i="1"/>
  <c r="J414" i="1"/>
  <c r="I414" i="1"/>
  <c r="K413" i="1"/>
  <c r="J413" i="1"/>
  <c r="I413" i="1"/>
  <c r="K412" i="1"/>
  <c r="J412" i="1"/>
  <c r="I412" i="1"/>
  <c r="K411" i="1"/>
  <c r="J411" i="1"/>
  <c r="I411" i="1"/>
  <c r="K410" i="1"/>
  <c r="J410" i="1"/>
  <c r="I410" i="1"/>
  <c r="K409" i="1"/>
  <c r="J409" i="1"/>
  <c r="I409" i="1"/>
  <c r="K408" i="1"/>
  <c r="J408" i="1"/>
  <c r="I408" i="1"/>
  <c r="K407" i="1"/>
  <c r="J407" i="1"/>
  <c r="I407" i="1"/>
  <c r="K406" i="1"/>
  <c r="J406" i="1"/>
  <c r="I406" i="1"/>
  <c r="K405" i="1"/>
  <c r="J405" i="1"/>
  <c r="I405" i="1"/>
  <c r="K404" i="1"/>
  <c r="J404" i="1"/>
  <c r="I404" i="1"/>
  <c r="K393" i="1"/>
  <c r="J393" i="1"/>
  <c r="I393" i="1"/>
  <c r="K392" i="1"/>
  <c r="J392" i="1"/>
  <c r="I392" i="1"/>
  <c r="K391" i="1"/>
  <c r="J391" i="1"/>
  <c r="I391" i="1"/>
  <c r="K390" i="1"/>
  <c r="J390" i="1"/>
  <c r="I390" i="1"/>
  <c r="K389" i="1"/>
  <c r="J389" i="1"/>
  <c r="I389" i="1"/>
  <c r="K388" i="1"/>
  <c r="J388" i="1"/>
  <c r="I388" i="1"/>
  <c r="K387" i="1"/>
  <c r="J387" i="1"/>
  <c r="I387" i="1"/>
  <c r="K386" i="1"/>
  <c r="J386" i="1"/>
  <c r="I386" i="1"/>
  <c r="K385" i="1"/>
  <c r="J385" i="1"/>
  <c r="I385" i="1"/>
  <c r="K384" i="1"/>
  <c r="J384" i="1"/>
  <c r="I384" i="1"/>
  <c r="K383" i="1"/>
  <c r="J383" i="1"/>
  <c r="I383" i="1"/>
  <c r="K382" i="1"/>
  <c r="J382" i="1"/>
  <c r="I382" i="1"/>
  <c r="K371" i="1"/>
  <c r="J371" i="1"/>
  <c r="I371" i="1"/>
  <c r="K370" i="1"/>
  <c r="J370" i="1"/>
  <c r="I370" i="1"/>
  <c r="K369" i="1"/>
  <c r="J369" i="1"/>
  <c r="I369" i="1"/>
  <c r="K368" i="1"/>
  <c r="J368" i="1"/>
  <c r="I368" i="1"/>
  <c r="K367" i="1"/>
  <c r="J367" i="1"/>
  <c r="I367" i="1"/>
  <c r="K366" i="1"/>
  <c r="J366" i="1"/>
  <c r="I366" i="1"/>
  <c r="K365" i="1"/>
  <c r="J365" i="1"/>
  <c r="I365" i="1"/>
  <c r="K364" i="1"/>
  <c r="J364" i="1"/>
  <c r="I364" i="1"/>
  <c r="K363" i="1"/>
  <c r="J363" i="1"/>
  <c r="I363" i="1"/>
  <c r="K362" i="1"/>
  <c r="J362" i="1"/>
  <c r="I362" i="1"/>
  <c r="K361" i="1"/>
  <c r="J361" i="1"/>
  <c r="I361" i="1"/>
  <c r="K349" i="1"/>
  <c r="J349" i="1"/>
  <c r="I349" i="1"/>
  <c r="K348" i="1"/>
  <c r="J348" i="1"/>
  <c r="I348" i="1"/>
  <c r="K347" i="1"/>
  <c r="J347" i="1"/>
  <c r="I347" i="1"/>
  <c r="K346" i="1"/>
  <c r="J346" i="1"/>
  <c r="I346" i="1"/>
  <c r="K345" i="1"/>
  <c r="J345" i="1"/>
  <c r="I345" i="1"/>
  <c r="K344" i="1"/>
  <c r="J344" i="1"/>
  <c r="I344" i="1"/>
  <c r="K343" i="1"/>
  <c r="J343" i="1"/>
  <c r="I343" i="1"/>
  <c r="K342" i="1"/>
  <c r="J342" i="1"/>
  <c r="I342" i="1"/>
  <c r="K341" i="1"/>
  <c r="J341" i="1"/>
  <c r="I341" i="1"/>
  <c r="K340" i="1"/>
  <c r="J340" i="1"/>
  <c r="I340" i="1"/>
  <c r="K339" i="1"/>
  <c r="J339" i="1"/>
  <c r="I339" i="1"/>
  <c r="K338" i="1"/>
  <c r="J338" i="1"/>
  <c r="I338" i="1"/>
  <c r="K327" i="1"/>
  <c r="J327" i="1"/>
  <c r="I327" i="1"/>
  <c r="K326" i="1"/>
  <c r="J326" i="1"/>
  <c r="I326" i="1"/>
  <c r="K325" i="1"/>
  <c r="J325" i="1"/>
  <c r="I325" i="1"/>
  <c r="K324" i="1"/>
  <c r="J324" i="1"/>
  <c r="I324" i="1"/>
  <c r="K323" i="1"/>
  <c r="J323" i="1"/>
  <c r="I323" i="1"/>
  <c r="K322" i="1"/>
  <c r="J322" i="1"/>
  <c r="I322" i="1"/>
  <c r="K321" i="1"/>
  <c r="J321" i="1"/>
  <c r="I321" i="1"/>
  <c r="K320" i="1"/>
  <c r="J320" i="1"/>
  <c r="I320" i="1"/>
  <c r="K319" i="1"/>
  <c r="J319" i="1"/>
  <c r="I319" i="1"/>
  <c r="K318" i="1"/>
  <c r="J318" i="1"/>
  <c r="I318" i="1"/>
  <c r="K317" i="1"/>
  <c r="J317" i="1"/>
  <c r="I317" i="1"/>
  <c r="K316" i="1"/>
  <c r="J316" i="1"/>
  <c r="I316" i="1"/>
  <c r="K305" i="1"/>
  <c r="J305" i="1"/>
  <c r="I305" i="1"/>
  <c r="K304" i="1"/>
  <c r="J304" i="1"/>
  <c r="I304" i="1"/>
  <c r="K303" i="1"/>
  <c r="J303" i="1"/>
  <c r="I303" i="1"/>
  <c r="K302" i="1"/>
  <c r="J302" i="1"/>
  <c r="I302" i="1"/>
  <c r="K301" i="1"/>
  <c r="J301" i="1"/>
  <c r="I301" i="1"/>
  <c r="K300" i="1"/>
  <c r="J300" i="1"/>
  <c r="I300" i="1"/>
  <c r="K299" i="1"/>
  <c r="J299" i="1"/>
  <c r="I299" i="1"/>
  <c r="K298" i="1"/>
  <c r="J298" i="1"/>
  <c r="I298" i="1"/>
  <c r="K297" i="1"/>
  <c r="J297" i="1"/>
  <c r="I297" i="1"/>
  <c r="K296" i="1"/>
  <c r="J296" i="1"/>
  <c r="I296" i="1"/>
  <c r="K295" i="1"/>
  <c r="J295" i="1"/>
  <c r="I295" i="1"/>
  <c r="K294" i="1"/>
  <c r="J294" i="1"/>
  <c r="I294" i="1"/>
  <c r="K283" i="1"/>
  <c r="J283" i="1"/>
  <c r="I283" i="1"/>
  <c r="K282" i="1"/>
  <c r="J282" i="1"/>
  <c r="I282" i="1"/>
  <c r="K281" i="1"/>
  <c r="J281" i="1"/>
  <c r="I281" i="1"/>
  <c r="K280" i="1"/>
  <c r="J280" i="1"/>
  <c r="I280" i="1"/>
  <c r="K279" i="1"/>
  <c r="J279" i="1"/>
  <c r="I279" i="1"/>
  <c r="K278" i="1"/>
  <c r="J278" i="1"/>
  <c r="I278" i="1"/>
  <c r="K277" i="1"/>
  <c r="J277" i="1"/>
  <c r="I277" i="1"/>
  <c r="K276" i="1"/>
  <c r="J276" i="1"/>
  <c r="I276" i="1"/>
  <c r="K275" i="1"/>
  <c r="J275" i="1"/>
  <c r="I275" i="1"/>
  <c r="K274" i="1"/>
  <c r="J274" i="1"/>
  <c r="I274" i="1"/>
  <c r="K273" i="1"/>
  <c r="J273" i="1"/>
  <c r="I273" i="1"/>
  <c r="K272" i="1"/>
  <c r="J272" i="1"/>
  <c r="I27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K239" i="1"/>
  <c r="J239" i="1"/>
  <c r="I239" i="1"/>
  <c r="K238" i="1"/>
  <c r="J238" i="1"/>
  <c r="I238" i="1"/>
  <c r="K237" i="1"/>
  <c r="J237" i="1"/>
  <c r="I237" i="1"/>
  <c r="K236" i="1"/>
  <c r="J236" i="1"/>
  <c r="I236" i="1"/>
  <c r="K235" i="1"/>
  <c r="J235" i="1"/>
  <c r="I235" i="1"/>
  <c r="K234" i="1"/>
  <c r="J234" i="1"/>
  <c r="I234" i="1"/>
  <c r="K233" i="1"/>
  <c r="J233" i="1"/>
  <c r="I233" i="1"/>
  <c r="K232" i="1"/>
  <c r="J232" i="1"/>
  <c r="I232" i="1"/>
  <c r="K231" i="1"/>
  <c r="J231" i="1"/>
  <c r="I231" i="1"/>
  <c r="K230" i="1"/>
  <c r="J230" i="1"/>
  <c r="I230" i="1"/>
  <c r="K229" i="1"/>
  <c r="J229" i="1"/>
  <c r="I229" i="1"/>
  <c r="K228" i="1"/>
  <c r="J228" i="1"/>
  <c r="I228" i="1"/>
  <c r="K217" i="1"/>
  <c r="J217" i="1"/>
  <c r="I217" i="1"/>
  <c r="K216" i="1"/>
  <c r="J216" i="1"/>
  <c r="I216" i="1"/>
  <c r="K215" i="1"/>
  <c r="J215" i="1"/>
  <c r="I215" i="1"/>
  <c r="K214" i="1"/>
  <c r="J214" i="1"/>
  <c r="I214" i="1"/>
  <c r="K213" i="1"/>
  <c r="J213" i="1"/>
  <c r="I213" i="1"/>
  <c r="K212" i="1"/>
  <c r="J212" i="1"/>
  <c r="I212" i="1"/>
  <c r="K211" i="1"/>
  <c r="J211" i="1"/>
  <c r="I211" i="1"/>
  <c r="K210" i="1"/>
  <c r="J210" i="1"/>
  <c r="I210" i="1"/>
  <c r="K209" i="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I186" i="1"/>
  <c r="K185" i="1"/>
  <c r="J185" i="1"/>
  <c r="I185" i="1"/>
  <c r="K184" i="1"/>
  <c r="J184" i="1"/>
  <c r="I184" i="1"/>
  <c r="K173" i="1"/>
  <c r="J173" i="1"/>
  <c r="I173" i="1"/>
  <c r="K172" i="1"/>
  <c r="J172" i="1"/>
  <c r="I172" i="1"/>
  <c r="K171" i="1"/>
  <c r="J171" i="1"/>
  <c r="I171" i="1"/>
  <c r="K170" i="1"/>
  <c r="J170" i="1"/>
  <c r="I170" i="1"/>
  <c r="K169" i="1"/>
  <c r="J169" i="1"/>
  <c r="I169" i="1"/>
  <c r="K168" i="1"/>
  <c r="J168" i="1"/>
  <c r="I168" i="1"/>
  <c r="K167" i="1"/>
  <c r="J167" i="1"/>
  <c r="I167" i="1"/>
  <c r="K166" i="1"/>
  <c r="J166" i="1"/>
  <c r="I166" i="1"/>
  <c r="K165" i="1"/>
  <c r="J165" i="1"/>
  <c r="I165" i="1"/>
  <c r="K164" i="1"/>
  <c r="J164" i="1"/>
  <c r="I164" i="1"/>
  <c r="K163" i="1"/>
  <c r="J163" i="1"/>
  <c r="I163" i="1"/>
  <c r="K151" i="1"/>
  <c r="J151" i="1"/>
  <c r="I151" i="1"/>
  <c r="K150" i="1"/>
  <c r="J150" i="1"/>
  <c r="I150" i="1"/>
  <c r="K149" i="1"/>
  <c r="J149" i="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I140" i="1"/>
  <c r="K129" i="1"/>
  <c r="J129" i="1"/>
  <c r="I129" i="1"/>
  <c r="K128" i="1"/>
  <c r="J128" i="1"/>
  <c r="I128" i="1"/>
  <c r="K127" i="1"/>
  <c r="J127" i="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07" i="1"/>
  <c r="J107" i="1"/>
  <c r="I107" i="1"/>
  <c r="K106" i="1"/>
  <c r="J106" i="1"/>
  <c r="I106" i="1"/>
  <c r="K105" i="1"/>
  <c r="J105" i="1"/>
  <c r="I105" i="1"/>
  <c r="K104" i="1"/>
  <c r="J104" i="1"/>
  <c r="I104" i="1"/>
  <c r="K103" i="1"/>
  <c r="J103" i="1"/>
  <c r="I103" i="1"/>
  <c r="K102" i="1"/>
  <c r="J102" i="1"/>
  <c r="I102" i="1"/>
  <c r="K101" i="1"/>
  <c r="J101" i="1"/>
  <c r="I101" i="1"/>
  <c r="K100" i="1"/>
  <c r="J100" i="1"/>
  <c r="I100" i="1"/>
  <c r="K99" i="1"/>
  <c r="J99" i="1"/>
  <c r="I99" i="1"/>
  <c r="K98" i="1"/>
  <c r="J98" i="1"/>
  <c r="I98" i="1"/>
  <c r="K97" i="1"/>
  <c r="J97" i="1"/>
  <c r="I97" i="1"/>
  <c r="K96" i="1"/>
  <c r="J96" i="1"/>
  <c r="I96" i="1"/>
  <c r="K85" i="1"/>
  <c r="J85" i="1"/>
  <c r="I85" i="1"/>
  <c r="K84" i="1"/>
  <c r="J84" i="1"/>
  <c r="I84" i="1"/>
  <c r="K83" i="1"/>
  <c r="J83" i="1"/>
  <c r="I83" i="1"/>
  <c r="K82" i="1"/>
  <c r="J82" i="1"/>
  <c r="I82" i="1"/>
  <c r="K81" i="1"/>
  <c r="J81" i="1"/>
  <c r="I81" i="1"/>
  <c r="K80" i="1"/>
  <c r="J80" i="1"/>
  <c r="I80" i="1"/>
  <c r="K79" i="1"/>
  <c r="J79" i="1"/>
  <c r="I79" i="1"/>
  <c r="K78" i="1"/>
  <c r="J78" i="1"/>
  <c r="I78" i="1"/>
  <c r="K77" i="1"/>
  <c r="J77" i="1"/>
  <c r="I77" i="1"/>
  <c r="K76" i="1"/>
  <c r="J76" i="1"/>
  <c r="I76" i="1"/>
  <c r="K75" i="1"/>
  <c r="J75" i="1"/>
  <c r="I75" i="1"/>
  <c r="K74" i="1"/>
  <c r="J74" i="1"/>
  <c r="I74" i="1"/>
  <c r="K63" i="1"/>
  <c r="J63" i="1"/>
  <c r="I63" i="1"/>
  <c r="K62" i="1"/>
  <c r="J62" i="1"/>
  <c r="I62" i="1"/>
  <c r="K61" i="1"/>
  <c r="J61" i="1"/>
  <c r="I61" i="1"/>
  <c r="K60" i="1"/>
  <c r="J60" i="1"/>
  <c r="I60" i="1"/>
  <c r="K59" i="1"/>
  <c r="J59" i="1"/>
  <c r="I59" i="1"/>
  <c r="K58" i="1"/>
  <c r="J58" i="1"/>
  <c r="I58" i="1"/>
  <c r="K57" i="1"/>
  <c r="J57" i="1"/>
  <c r="I57" i="1"/>
  <c r="K56" i="1"/>
  <c r="J56" i="1"/>
  <c r="I56" i="1"/>
  <c r="K55" i="1"/>
  <c r="J55" i="1"/>
  <c r="I55" i="1"/>
  <c r="K54" i="1"/>
  <c r="J54" i="1"/>
  <c r="I54" i="1"/>
  <c r="K53" i="1"/>
  <c r="J53" i="1"/>
  <c r="I53" i="1"/>
  <c r="K52" i="1"/>
  <c r="J52" i="1"/>
  <c r="I52" i="1"/>
  <c r="K41" i="1"/>
  <c r="J41" i="1"/>
  <c r="I41" i="1"/>
  <c r="K40" i="1"/>
  <c r="J40" i="1"/>
  <c r="I40" i="1"/>
  <c r="K39" i="1"/>
  <c r="J39" i="1"/>
  <c r="I39" i="1"/>
  <c r="K38" i="1"/>
  <c r="J38" i="1"/>
  <c r="I38" i="1"/>
  <c r="K37" i="1"/>
  <c r="J37" i="1"/>
  <c r="I37" i="1"/>
  <c r="K36" i="1"/>
  <c r="J36" i="1"/>
  <c r="I36" i="1"/>
  <c r="K35" i="1"/>
  <c r="J35" i="1"/>
  <c r="I35" i="1"/>
  <c r="K34" i="1"/>
  <c r="J34" i="1"/>
  <c r="I34" i="1"/>
  <c r="K33" i="1"/>
  <c r="J33" i="1"/>
  <c r="I33" i="1"/>
  <c r="K32" i="1"/>
  <c r="J32" i="1"/>
  <c r="I32" i="1"/>
  <c r="K31" i="1"/>
  <c r="J31" i="1"/>
  <c r="I31" i="1"/>
  <c r="K30" i="1"/>
  <c r="K42" i="1" s="1"/>
  <c r="J30" i="1"/>
  <c r="J42" i="1" s="1"/>
  <c r="I30" i="1"/>
  <c r="I42" i="1" s="1"/>
  <c r="K19" i="1"/>
  <c r="J19" i="1"/>
  <c r="I19" i="1"/>
  <c r="K18" i="1"/>
  <c r="J18" i="1"/>
  <c r="I18" i="1"/>
  <c r="K17" i="1"/>
  <c r="J17" i="1"/>
  <c r="I17" i="1"/>
  <c r="K16" i="1"/>
  <c r="J16" i="1"/>
  <c r="I16" i="1"/>
  <c r="K15" i="1"/>
  <c r="J15" i="1"/>
  <c r="I15" i="1"/>
  <c r="K14" i="1"/>
  <c r="J14" i="1"/>
  <c r="I14" i="1"/>
  <c r="K13" i="1"/>
  <c r="J13" i="1"/>
  <c r="I13" i="1"/>
  <c r="K12" i="1"/>
  <c r="J12" i="1"/>
  <c r="I12" i="1"/>
  <c r="K11" i="1"/>
  <c r="J11" i="1"/>
  <c r="I11" i="1"/>
  <c r="K10" i="1"/>
  <c r="J10" i="1"/>
  <c r="I10" i="1"/>
  <c r="K9" i="1"/>
  <c r="J9" i="1"/>
  <c r="I9" i="1"/>
  <c r="K8" i="1"/>
  <c r="K20" i="1" s="1"/>
  <c r="J8" i="1"/>
  <c r="J20" i="1" s="1"/>
  <c r="I8" i="1"/>
  <c r="I20" i="1" s="1"/>
  <c r="BL5" i="1"/>
  <c r="BL8" i="1"/>
  <c r="BL9" i="1"/>
  <c r="BP9" i="1"/>
  <c r="BL10" i="1"/>
  <c r="BL11" i="1"/>
  <c r="BL12" i="1"/>
  <c r="BN12" i="1"/>
  <c r="BO12" i="1"/>
  <c r="BP12" i="1"/>
  <c r="BL13" i="1"/>
  <c r="BN13" i="1"/>
  <c r="BO13" i="1"/>
  <c r="BP13" i="1"/>
  <c r="BL14" i="1"/>
  <c r="BN14" i="1"/>
  <c r="BO14" i="1"/>
  <c r="BP14" i="1"/>
  <c r="BL15" i="1"/>
  <c r="BN15" i="1"/>
  <c r="BO15" i="1"/>
  <c r="BP15" i="1"/>
  <c r="BL16" i="1"/>
  <c r="BN16" i="1"/>
  <c r="BO16" i="1"/>
  <c r="BP16" i="1"/>
  <c r="BL17" i="1"/>
  <c r="BN17" i="1"/>
  <c r="BO17" i="1"/>
  <c r="BP17" i="1"/>
  <c r="BL18" i="1"/>
  <c r="BN18" i="1"/>
  <c r="BO18" i="1"/>
  <c r="BP18" i="1"/>
  <c r="BL19" i="1"/>
  <c r="BN19" i="1"/>
  <c r="BO19" i="1"/>
  <c r="BP19" i="1"/>
  <c r="BL27" i="1"/>
  <c r="BL30" i="1"/>
  <c r="BL31" i="1"/>
  <c r="BL32" i="1"/>
  <c r="BL33" i="1"/>
  <c r="BN33" i="1" s="1"/>
  <c r="BL34" i="1"/>
  <c r="BL35" i="1"/>
  <c r="BL36" i="1"/>
  <c r="BL37" i="1"/>
  <c r="BL38" i="1"/>
  <c r="BL39" i="1"/>
  <c r="BL40" i="1"/>
  <c r="BL41" i="1"/>
  <c r="BL49" i="1"/>
  <c r="BL52" i="1"/>
  <c r="BL53" i="1"/>
  <c r="BL54" i="1"/>
  <c r="BL55" i="1"/>
  <c r="BL56" i="1"/>
  <c r="BL57" i="1"/>
  <c r="BL58" i="1"/>
  <c r="BL59" i="1"/>
  <c r="BL60" i="1"/>
  <c r="BL61" i="1"/>
  <c r="BL62" i="1"/>
  <c r="BL63" i="1"/>
  <c r="BL71" i="1"/>
  <c r="BL74" i="1"/>
  <c r="BL75" i="1"/>
  <c r="BL76" i="1"/>
  <c r="BL77" i="1"/>
  <c r="BL78" i="1"/>
  <c r="BL79" i="1"/>
  <c r="BL80" i="1"/>
  <c r="BL81" i="1"/>
  <c r="BL82" i="1"/>
  <c r="BL83" i="1"/>
  <c r="BL84" i="1"/>
  <c r="BL85" i="1"/>
  <c r="BL93" i="1"/>
  <c r="BL96" i="1"/>
  <c r="BL97" i="1"/>
  <c r="BL98" i="1"/>
  <c r="BL99" i="1"/>
  <c r="BL100" i="1"/>
  <c r="BL101" i="1"/>
  <c r="BL102" i="1"/>
  <c r="BL103" i="1"/>
  <c r="BL104" i="1"/>
  <c r="BL105" i="1"/>
  <c r="BL106" i="1"/>
  <c r="BL107" i="1"/>
  <c r="BL115" i="1"/>
  <c r="BL118" i="1"/>
  <c r="BL119" i="1"/>
  <c r="BL120" i="1"/>
  <c r="BL121" i="1"/>
  <c r="BL122" i="1"/>
  <c r="BL123" i="1"/>
  <c r="BL124" i="1"/>
  <c r="BL125" i="1"/>
  <c r="BL126" i="1"/>
  <c r="BL127" i="1"/>
  <c r="BL128" i="1"/>
  <c r="BL129" i="1"/>
  <c r="BL137" i="1"/>
  <c r="BL140" i="1"/>
  <c r="BL141" i="1"/>
  <c r="BL142" i="1"/>
  <c r="BL143" i="1"/>
  <c r="BL144" i="1"/>
  <c r="BL145" i="1"/>
  <c r="BL146" i="1"/>
  <c r="BL147" i="1"/>
  <c r="BL148" i="1"/>
  <c r="BL149" i="1"/>
  <c r="BL150" i="1"/>
  <c r="BL151" i="1"/>
  <c r="BL159" i="1"/>
  <c r="BL162" i="1"/>
  <c r="BL163" i="1"/>
  <c r="BL164" i="1"/>
  <c r="BL165" i="1"/>
  <c r="BL166" i="1"/>
  <c r="BL167" i="1"/>
  <c r="BL168" i="1"/>
  <c r="BL169" i="1"/>
  <c r="BL170" i="1"/>
  <c r="BL171" i="1"/>
  <c r="BL172" i="1"/>
  <c r="BL173" i="1"/>
  <c r="BL181" i="1"/>
  <c r="BL184" i="1"/>
  <c r="BL185" i="1"/>
  <c r="BL186" i="1"/>
  <c r="BL187" i="1"/>
  <c r="BL188" i="1"/>
  <c r="BL189" i="1"/>
  <c r="BL190" i="1"/>
  <c r="BL191" i="1"/>
  <c r="BL192" i="1"/>
  <c r="BL193" i="1"/>
  <c r="BL194" i="1"/>
  <c r="BL195" i="1"/>
  <c r="BL203" i="1"/>
  <c r="BL206" i="1"/>
  <c r="BL207" i="1"/>
  <c r="BL208" i="1"/>
  <c r="BL209" i="1"/>
  <c r="BL210" i="1"/>
  <c r="BL211" i="1"/>
  <c r="BL212" i="1"/>
  <c r="BL213" i="1"/>
  <c r="BL214" i="1"/>
  <c r="BL215" i="1"/>
  <c r="BL216" i="1"/>
  <c r="BL217" i="1"/>
  <c r="BL225" i="1"/>
  <c r="BL228" i="1"/>
  <c r="BL229" i="1"/>
  <c r="BL230" i="1"/>
  <c r="BL231" i="1"/>
  <c r="BL232" i="1"/>
  <c r="BL233" i="1"/>
  <c r="BL234" i="1"/>
  <c r="BL235" i="1"/>
  <c r="BL236" i="1"/>
  <c r="BL237" i="1"/>
  <c r="BL238" i="1"/>
  <c r="BL239" i="1"/>
  <c r="BL247" i="1"/>
  <c r="BL250" i="1"/>
  <c r="BL251" i="1"/>
  <c r="BL252" i="1"/>
  <c r="BL253" i="1"/>
  <c r="BL254" i="1"/>
  <c r="BL255" i="1"/>
  <c r="BL256" i="1"/>
  <c r="BL257" i="1"/>
  <c r="BL258" i="1"/>
  <c r="BL259" i="1"/>
  <c r="BL260" i="1"/>
  <c r="BL261" i="1"/>
  <c r="BL269" i="1"/>
  <c r="BL272" i="1"/>
  <c r="BL273" i="1"/>
  <c r="BL274" i="1"/>
  <c r="BL275" i="1"/>
  <c r="BL276" i="1"/>
  <c r="BL277" i="1"/>
  <c r="BL278" i="1"/>
  <c r="BL279" i="1"/>
  <c r="BL280" i="1"/>
  <c r="BL281" i="1"/>
  <c r="BL282" i="1"/>
  <c r="BL283" i="1"/>
  <c r="BL291" i="1"/>
  <c r="BL294" i="1"/>
  <c r="BL295" i="1"/>
  <c r="BL296" i="1"/>
  <c r="BL297" i="1"/>
  <c r="BL298" i="1"/>
  <c r="BL299" i="1"/>
  <c r="BL300" i="1"/>
  <c r="BL301" i="1"/>
  <c r="BL302" i="1"/>
  <c r="BL303" i="1"/>
  <c r="BL304" i="1"/>
  <c r="BL305" i="1"/>
  <c r="BL313" i="1"/>
  <c r="BL316" i="1"/>
  <c r="BL317" i="1"/>
  <c r="BL318" i="1"/>
  <c r="BL319" i="1"/>
  <c r="BL320" i="1"/>
  <c r="BL321" i="1"/>
  <c r="CC321" i="1" s="1"/>
  <c r="BL322" i="1"/>
  <c r="BL323" i="1"/>
  <c r="BL324" i="1"/>
  <c r="BL325" i="1"/>
  <c r="BL326" i="1"/>
  <c r="BL327" i="1"/>
  <c r="BL335" i="1"/>
  <c r="BL338" i="1"/>
  <c r="BL339" i="1"/>
  <c r="BL340" i="1"/>
  <c r="BL341" i="1"/>
  <c r="BL342" i="1"/>
  <c r="BL343" i="1"/>
  <c r="BL344" i="1"/>
  <c r="BL345" i="1"/>
  <c r="BL346" i="1"/>
  <c r="BL347" i="1"/>
  <c r="BL348" i="1"/>
  <c r="BL349" i="1"/>
  <c r="BL357" i="1"/>
  <c r="BL360" i="1"/>
  <c r="BN360" i="1"/>
  <c r="BL361" i="1"/>
  <c r="BL362" i="1"/>
  <c r="BL363" i="1"/>
  <c r="BL364" i="1"/>
  <c r="BL365" i="1"/>
  <c r="BL366" i="1"/>
  <c r="BL367" i="1"/>
  <c r="BL368" i="1"/>
  <c r="BL369" i="1"/>
  <c r="BL370" i="1"/>
  <c r="BL371" i="1"/>
  <c r="BL379" i="1"/>
  <c r="BL382" i="1"/>
  <c r="BL383" i="1"/>
  <c r="BL384" i="1"/>
  <c r="BL385" i="1"/>
  <c r="BL386" i="1"/>
  <c r="BL387" i="1"/>
  <c r="BL388" i="1"/>
  <c r="BL389" i="1"/>
  <c r="BL390" i="1"/>
  <c r="BL391" i="1"/>
  <c r="BL392" i="1"/>
  <c r="BL393" i="1"/>
  <c r="BL401" i="1"/>
  <c r="BL404" i="1"/>
  <c r="BL405" i="1"/>
  <c r="BL406" i="1"/>
  <c r="BL407" i="1"/>
  <c r="BL408" i="1"/>
  <c r="BL409" i="1"/>
  <c r="BL410" i="1"/>
  <c r="BL411" i="1"/>
  <c r="BL412" i="1"/>
  <c r="BL413" i="1"/>
  <c r="BL414" i="1"/>
  <c r="BL415" i="1"/>
  <c r="BL423" i="1"/>
  <c r="BL426" i="1"/>
  <c r="BL427" i="1"/>
  <c r="BL428" i="1"/>
  <c r="BL429" i="1"/>
  <c r="BL430" i="1"/>
  <c r="BL431" i="1"/>
  <c r="BL432" i="1"/>
  <c r="BL433" i="1"/>
  <c r="BL434" i="1"/>
  <c r="BL435" i="1"/>
  <c r="BL436" i="1"/>
  <c r="BL437" i="1"/>
  <c r="BL445" i="1"/>
  <c r="BL448" i="1"/>
  <c r="BL449" i="1"/>
  <c r="BL450" i="1"/>
  <c r="BL451" i="1"/>
  <c r="BL452" i="1"/>
  <c r="BL453" i="1"/>
  <c r="BL454" i="1"/>
  <c r="BL455" i="1"/>
  <c r="BL456" i="1"/>
  <c r="BL457" i="1"/>
  <c r="BL458" i="1"/>
  <c r="BL459" i="1"/>
  <c r="BL467" i="1"/>
  <c r="BL470" i="1"/>
  <c r="BL471" i="1"/>
  <c r="BL472" i="1"/>
  <c r="BL473" i="1"/>
  <c r="BL474" i="1"/>
  <c r="BL475" i="1"/>
  <c r="BL476" i="1"/>
  <c r="BL477" i="1"/>
  <c r="BL478" i="1"/>
  <c r="BL479" i="1"/>
  <c r="BL480" i="1"/>
  <c r="BL481" i="1"/>
  <c r="BL489" i="1"/>
  <c r="BL492" i="1"/>
  <c r="BL493" i="1"/>
  <c r="BL494" i="1"/>
  <c r="BL495" i="1"/>
  <c r="BL496" i="1"/>
  <c r="BL497" i="1"/>
  <c r="BL498" i="1"/>
  <c r="BL499" i="1"/>
  <c r="BL500" i="1"/>
  <c r="BL501" i="1"/>
  <c r="BL502" i="1"/>
  <c r="BL503" i="1"/>
  <c r="BL511" i="1"/>
  <c r="BL514" i="1"/>
  <c r="BL515" i="1"/>
  <c r="BL516" i="1"/>
  <c r="BL517" i="1"/>
  <c r="BL518" i="1"/>
  <c r="BL519" i="1"/>
  <c r="BL520" i="1"/>
  <c r="BL521" i="1"/>
  <c r="BL522" i="1"/>
  <c r="BL523" i="1"/>
  <c r="BL524" i="1"/>
  <c r="BL525" i="1"/>
  <c r="BL533" i="1"/>
  <c r="BL536" i="1"/>
  <c r="BL537" i="1"/>
  <c r="BL538" i="1"/>
  <c r="BL539" i="1"/>
  <c r="BL540" i="1"/>
  <c r="BL541" i="1"/>
  <c r="BL542" i="1"/>
  <c r="BL543" i="1"/>
  <c r="BL544" i="1"/>
  <c r="BL545" i="1"/>
  <c r="BL546" i="1"/>
  <c r="BL547" i="1"/>
  <c r="BL555" i="1"/>
  <c r="BL558" i="1"/>
  <c r="BL559" i="1"/>
  <c r="BL560" i="1"/>
  <c r="BL561" i="1"/>
  <c r="BL562" i="1"/>
  <c r="BL563" i="1"/>
  <c r="BL564" i="1"/>
  <c r="BL565" i="1"/>
  <c r="BL566" i="1"/>
  <c r="BL567" i="1"/>
  <c r="BL568" i="1"/>
  <c r="BL569" i="1"/>
  <c r="BL577" i="1"/>
  <c r="BL580" i="1"/>
  <c r="BL581" i="1"/>
  <c r="BL582" i="1"/>
  <c r="BL583" i="1"/>
  <c r="CB583" i="1" s="1"/>
  <c r="CD583" i="1" s="1"/>
  <c r="BL584" i="1"/>
  <c r="BL585" i="1"/>
  <c r="BL586" i="1"/>
  <c r="BL587" i="1"/>
  <c r="BL588" i="1"/>
  <c r="BL589" i="1"/>
  <c r="BL590" i="1"/>
  <c r="BL591" i="1"/>
  <c r="BL599" i="1"/>
  <c r="BL602" i="1"/>
  <c r="BL603" i="1"/>
  <c r="BL604" i="1"/>
  <c r="BL605" i="1"/>
  <c r="BN605" i="1"/>
  <c r="BO605" i="1"/>
  <c r="BP605" i="1"/>
  <c r="BW605" i="1"/>
  <c r="BX605" i="1"/>
  <c r="BY605" i="1"/>
  <c r="BL606" i="1"/>
  <c r="BN606" i="1"/>
  <c r="BO606" i="1"/>
  <c r="BP606" i="1"/>
  <c r="BW606" i="1"/>
  <c r="BX606" i="1"/>
  <c r="BY606" i="1"/>
  <c r="AW607" i="1"/>
  <c r="AX607" i="1"/>
  <c r="BL607" i="1"/>
  <c r="BN607" i="1" s="1"/>
  <c r="BO607" i="1"/>
  <c r="BP607" i="1"/>
  <c r="BW607" i="1"/>
  <c r="BX607" i="1"/>
  <c r="BY607" i="1"/>
  <c r="AV608" i="1"/>
  <c r="AW608" i="1"/>
  <c r="AX608" i="1"/>
  <c r="BL608" i="1"/>
  <c r="BN608" i="1"/>
  <c r="BO608" i="1"/>
  <c r="BP608" i="1"/>
  <c r="BW608" i="1"/>
  <c r="BX608" i="1"/>
  <c r="BY608" i="1"/>
  <c r="AV609" i="1"/>
  <c r="AW609" i="1"/>
  <c r="AX609" i="1"/>
  <c r="BE609" i="1"/>
  <c r="BF609" i="1"/>
  <c r="BG609" i="1"/>
  <c r="BL609" i="1"/>
  <c r="BN609" i="1"/>
  <c r="BO609" i="1"/>
  <c r="BP609" i="1"/>
  <c r="BW609" i="1"/>
  <c r="BX609" i="1"/>
  <c r="BY609" i="1"/>
  <c r="AV610" i="1"/>
  <c r="AW610" i="1"/>
  <c r="AX610" i="1"/>
  <c r="BE610" i="1"/>
  <c r="BF610" i="1"/>
  <c r="BG610" i="1"/>
  <c r="BL610" i="1"/>
  <c r="BN610" i="1"/>
  <c r="BO610" i="1"/>
  <c r="BP610" i="1"/>
  <c r="BW610" i="1"/>
  <c r="BX610" i="1"/>
  <c r="BY610" i="1"/>
  <c r="AV611" i="1"/>
  <c r="AW611" i="1"/>
  <c r="AX611" i="1"/>
  <c r="BE611" i="1"/>
  <c r="BF611" i="1"/>
  <c r="BG611" i="1"/>
  <c r="BL611" i="1"/>
  <c r="BN611" i="1"/>
  <c r="BO611" i="1"/>
  <c r="BP611" i="1"/>
  <c r="BW611" i="1"/>
  <c r="BX611" i="1"/>
  <c r="BY611" i="1"/>
  <c r="AV612" i="1"/>
  <c r="AW612" i="1"/>
  <c r="AX612" i="1"/>
  <c r="BE612" i="1"/>
  <c r="BF612" i="1"/>
  <c r="BG612" i="1"/>
  <c r="BL612" i="1"/>
  <c r="BN612" i="1"/>
  <c r="BO612" i="1"/>
  <c r="BP612" i="1"/>
  <c r="BW612" i="1"/>
  <c r="BX612" i="1"/>
  <c r="BY612" i="1"/>
  <c r="AV613" i="1"/>
  <c r="AW613" i="1"/>
  <c r="AX613" i="1"/>
  <c r="BE613" i="1"/>
  <c r="BF613" i="1"/>
  <c r="BG613" i="1"/>
  <c r="BL613" i="1"/>
  <c r="BN613" i="1"/>
  <c r="BO613" i="1"/>
  <c r="BP613" i="1"/>
  <c r="BW613" i="1"/>
  <c r="BX613" i="1"/>
  <c r="BY613" i="1"/>
  <c r="BL621" i="1"/>
  <c r="AV624" i="1"/>
  <c r="AW624" i="1"/>
  <c r="AX624" i="1"/>
  <c r="BE624" i="1"/>
  <c r="BF624" i="1"/>
  <c r="BG624" i="1"/>
  <c r="BL624" i="1"/>
  <c r="BN624" i="1"/>
  <c r="BO624" i="1"/>
  <c r="BP624" i="1"/>
  <c r="BW624" i="1"/>
  <c r="BX624" i="1"/>
  <c r="BY624" i="1"/>
  <c r="AV625" i="1"/>
  <c r="AW625" i="1"/>
  <c r="AX625" i="1"/>
  <c r="BE625" i="1"/>
  <c r="BF625" i="1"/>
  <c r="BG625" i="1"/>
  <c r="BL625" i="1"/>
  <c r="BN625" i="1"/>
  <c r="BO625" i="1"/>
  <c r="BP625" i="1"/>
  <c r="BW625" i="1"/>
  <c r="BX625" i="1"/>
  <c r="BY625" i="1"/>
  <c r="AV626" i="1"/>
  <c r="AW626" i="1"/>
  <c r="AX626" i="1"/>
  <c r="BE626" i="1"/>
  <c r="BF626" i="1"/>
  <c r="BG626" i="1"/>
  <c r="BN626" i="1"/>
  <c r="BO626" i="1"/>
  <c r="BP626" i="1"/>
  <c r="BW626" i="1"/>
  <c r="BX626" i="1"/>
  <c r="BY626" i="1"/>
  <c r="AV627" i="1"/>
  <c r="AW627" i="1"/>
  <c r="AX627" i="1"/>
  <c r="BE627" i="1"/>
  <c r="BF627" i="1"/>
  <c r="BG627" i="1"/>
  <c r="BL627" i="1"/>
  <c r="BN627" i="1"/>
  <c r="BO627" i="1"/>
  <c r="BP627" i="1"/>
  <c r="AV628" i="1"/>
  <c r="AW628" i="1"/>
  <c r="AX628" i="1"/>
  <c r="BE628" i="1"/>
  <c r="BF628" i="1"/>
  <c r="BG628" i="1"/>
  <c r="BL628" i="1"/>
  <c r="BN628" i="1"/>
  <c r="BO628" i="1"/>
  <c r="BP628" i="1"/>
  <c r="BW628" i="1"/>
  <c r="BX628" i="1"/>
  <c r="BY628" i="1"/>
  <c r="AV629" i="1"/>
  <c r="AW629" i="1"/>
  <c r="AX629" i="1"/>
  <c r="BE629" i="1"/>
  <c r="BF629" i="1"/>
  <c r="BG629" i="1"/>
  <c r="BL629" i="1"/>
  <c r="BN629" i="1"/>
  <c r="BO629" i="1"/>
  <c r="BP629" i="1"/>
  <c r="BW629" i="1"/>
  <c r="BX629" i="1"/>
  <c r="BY629" i="1"/>
  <c r="AV630" i="1"/>
  <c r="AW630" i="1"/>
  <c r="AX630" i="1"/>
  <c r="BE630" i="1"/>
  <c r="BF630" i="1"/>
  <c r="BG630" i="1"/>
  <c r="BL630" i="1"/>
  <c r="BN630" i="1"/>
  <c r="BO630" i="1"/>
  <c r="BP630" i="1"/>
  <c r="BW630" i="1"/>
  <c r="BX630" i="1"/>
  <c r="BY630" i="1"/>
  <c r="AV631" i="1"/>
  <c r="AW631" i="1"/>
  <c r="AX631" i="1"/>
  <c r="BE631" i="1"/>
  <c r="BF631" i="1"/>
  <c r="BG631" i="1"/>
  <c r="BL631" i="1"/>
  <c r="BN631" i="1"/>
  <c r="BO631" i="1"/>
  <c r="BP631" i="1"/>
  <c r="BW631" i="1"/>
  <c r="BX631" i="1"/>
  <c r="BY631" i="1"/>
  <c r="AV632" i="1"/>
  <c r="AW632" i="1"/>
  <c r="AX632" i="1"/>
  <c r="BE632" i="1"/>
  <c r="BF632" i="1"/>
  <c r="BG632" i="1"/>
  <c r="BL632" i="1"/>
  <c r="BN632" i="1"/>
  <c r="BO632" i="1"/>
  <c r="BP632" i="1"/>
  <c r="BW632" i="1"/>
  <c r="BX632" i="1"/>
  <c r="BY632" i="1"/>
  <c r="AV633" i="1"/>
  <c r="AW633" i="1"/>
  <c r="AX633" i="1"/>
  <c r="BE633" i="1"/>
  <c r="BF633" i="1"/>
  <c r="BG633" i="1"/>
  <c r="BL633" i="1"/>
  <c r="BN633" i="1"/>
  <c r="BO633" i="1"/>
  <c r="BP633" i="1"/>
  <c r="BW633" i="1"/>
  <c r="BX633" i="1"/>
  <c r="BY633" i="1"/>
  <c r="AV634" i="1"/>
  <c r="AW634" i="1"/>
  <c r="BE634" i="1"/>
  <c r="BF634" i="1"/>
  <c r="BL634" i="1"/>
  <c r="BN634" i="1"/>
  <c r="BO634" i="1"/>
  <c r="BW634" i="1"/>
  <c r="BX634" i="1"/>
  <c r="AV635" i="1"/>
  <c r="AW635" i="1"/>
  <c r="AX635" i="1"/>
  <c r="BE635" i="1"/>
  <c r="BF635" i="1"/>
  <c r="BG635" i="1"/>
  <c r="BL635" i="1"/>
  <c r="BN635" i="1"/>
  <c r="BO635" i="1"/>
  <c r="BP635" i="1"/>
  <c r="BW635" i="1"/>
  <c r="BX635" i="1"/>
  <c r="BY635" i="1"/>
  <c r="BL643" i="1"/>
  <c r="AV646" i="1"/>
  <c r="AW646" i="1"/>
  <c r="AX646" i="1"/>
  <c r="BE646" i="1"/>
  <c r="BF646" i="1"/>
  <c r="BG646" i="1"/>
  <c r="BL646" i="1"/>
  <c r="BN646" i="1" s="1"/>
  <c r="BN658" i="1" s="1"/>
  <c r="BO646" i="1"/>
  <c r="BP646" i="1"/>
  <c r="BW646" i="1"/>
  <c r="BX646" i="1"/>
  <c r="BY646" i="1"/>
  <c r="AD647" i="1"/>
  <c r="AE647" i="1"/>
  <c r="AF647" i="1"/>
  <c r="AV647" i="1"/>
  <c r="AW647" i="1"/>
  <c r="AX647" i="1"/>
  <c r="BE647" i="1"/>
  <c r="BF647" i="1"/>
  <c r="BG647" i="1"/>
  <c r="BL647" i="1"/>
  <c r="BN647" i="1"/>
  <c r="BO647" i="1"/>
  <c r="BP647" i="1"/>
  <c r="BW647" i="1"/>
  <c r="BX647" i="1"/>
  <c r="BY647" i="1"/>
  <c r="AD648" i="1"/>
  <c r="AE648" i="1"/>
  <c r="AF648" i="1"/>
  <c r="AV648" i="1"/>
  <c r="AW648" i="1"/>
  <c r="AX648" i="1"/>
  <c r="BE648" i="1"/>
  <c r="BF648" i="1"/>
  <c r="BG648" i="1"/>
  <c r="BL648" i="1"/>
  <c r="BN648" i="1"/>
  <c r="BO648" i="1"/>
  <c r="BP648" i="1"/>
  <c r="BW648" i="1"/>
  <c r="BX648" i="1"/>
  <c r="BY648" i="1"/>
  <c r="AD649" i="1"/>
  <c r="AE649" i="1"/>
  <c r="AF649" i="1"/>
  <c r="AV649" i="1"/>
  <c r="AW649" i="1"/>
  <c r="AX649" i="1"/>
  <c r="BE649" i="1"/>
  <c r="BF649" i="1"/>
  <c r="BG649" i="1"/>
  <c r="BL649" i="1"/>
  <c r="BN649" i="1"/>
  <c r="BO649" i="1"/>
  <c r="BP649" i="1"/>
  <c r="BW649" i="1"/>
  <c r="BX649" i="1"/>
  <c r="BY649" i="1"/>
  <c r="AD650" i="1"/>
  <c r="AE650" i="1"/>
  <c r="AF650" i="1"/>
  <c r="AV650" i="1"/>
  <c r="AW650" i="1"/>
  <c r="AX650" i="1"/>
  <c r="BE650" i="1"/>
  <c r="BF650" i="1"/>
  <c r="BG650" i="1"/>
  <c r="BL650" i="1"/>
  <c r="BN650" i="1"/>
  <c r="BO650" i="1"/>
  <c r="BP650" i="1"/>
  <c r="BW650" i="1"/>
  <c r="BX650" i="1"/>
  <c r="BY650" i="1"/>
  <c r="AD651" i="1"/>
  <c r="AE651" i="1"/>
  <c r="AF651" i="1"/>
  <c r="AV651" i="1"/>
  <c r="AW651" i="1"/>
  <c r="AX651" i="1"/>
  <c r="BE651" i="1"/>
  <c r="BF651" i="1"/>
  <c r="BG651" i="1"/>
  <c r="BL651" i="1"/>
  <c r="BN651" i="1"/>
  <c r="BO651" i="1"/>
  <c r="BP651" i="1"/>
  <c r="BW651" i="1"/>
  <c r="BX651" i="1"/>
  <c r="BY651" i="1"/>
  <c r="AD652" i="1"/>
  <c r="AE652" i="1"/>
  <c r="AF652" i="1"/>
  <c r="AV652" i="1"/>
  <c r="AW652" i="1"/>
  <c r="AX652" i="1"/>
  <c r="BE652" i="1"/>
  <c r="BF652" i="1"/>
  <c r="BG652" i="1"/>
  <c r="BL652" i="1"/>
  <c r="BN652" i="1"/>
  <c r="BO652" i="1"/>
  <c r="BP652" i="1"/>
  <c r="BW652" i="1"/>
  <c r="BX652" i="1"/>
  <c r="BY652" i="1"/>
  <c r="AD653" i="1"/>
  <c r="AE653" i="1"/>
  <c r="AF653" i="1"/>
  <c r="AV653" i="1"/>
  <c r="AW653" i="1"/>
  <c r="AX653" i="1"/>
  <c r="BE653" i="1"/>
  <c r="BF653" i="1"/>
  <c r="BG653" i="1"/>
  <c r="BL653" i="1"/>
  <c r="BN653" i="1"/>
  <c r="BO653" i="1"/>
  <c r="BP653" i="1"/>
  <c r="BW653" i="1"/>
  <c r="BX653" i="1"/>
  <c r="BY653" i="1"/>
  <c r="AD654" i="1"/>
  <c r="AE654" i="1"/>
  <c r="AF654" i="1"/>
  <c r="AV654" i="1"/>
  <c r="AW654" i="1"/>
  <c r="AX654" i="1"/>
  <c r="BE654" i="1"/>
  <c r="BF654" i="1"/>
  <c r="BG654" i="1"/>
  <c r="BL654" i="1"/>
  <c r="BN654" i="1"/>
  <c r="BO654" i="1"/>
  <c r="BP654" i="1"/>
  <c r="BW654" i="1"/>
  <c r="BX654" i="1"/>
  <c r="BY654" i="1"/>
  <c r="AD655" i="1"/>
  <c r="AE655" i="1"/>
  <c r="AF655" i="1"/>
  <c r="AV655" i="1"/>
  <c r="AW655" i="1"/>
  <c r="AX655" i="1"/>
  <c r="BE655" i="1"/>
  <c r="BF655" i="1"/>
  <c r="BG655" i="1"/>
  <c r="BL655" i="1"/>
  <c r="BN655" i="1"/>
  <c r="BO655" i="1"/>
  <c r="BP655" i="1"/>
  <c r="BY655" i="1"/>
  <c r="AD656" i="1"/>
  <c r="AE656" i="1"/>
  <c r="AF656" i="1"/>
  <c r="AV656" i="1"/>
  <c r="AW656" i="1"/>
  <c r="AX656" i="1"/>
  <c r="BG656" i="1"/>
  <c r="BL656" i="1"/>
  <c r="BN656" i="1"/>
  <c r="BO656" i="1"/>
  <c r="BP656" i="1"/>
  <c r="BW656" i="1"/>
  <c r="BX656" i="1"/>
  <c r="BY656" i="1"/>
  <c r="AD657" i="1"/>
  <c r="AE657" i="1"/>
  <c r="AF657" i="1"/>
  <c r="AV657" i="1"/>
  <c r="AW657" i="1"/>
  <c r="AX657" i="1"/>
  <c r="BE657" i="1"/>
  <c r="BF657" i="1"/>
  <c r="BG657" i="1"/>
  <c r="BL657" i="1"/>
  <c r="BN657" i="1"/>
  <c r="BO657" i="1"/>
  <c r="BP657" i="1"/>
  <c r="BW657" i="1"/>
  <c r="BX657" i="1"/>
  <c r="BY657" i="1"/>
  <c r="AW658" i="1"/>
  <c r="AX658" i="1"/>
  <c r="BL658" i="1"/>
  <c r="BO658" i="1"/>
  <c r="BP658" i="1"/>
  <c r="BL665" i="1"/>
  <c r="AD668" i="1"/>
  <c r="AE668" i="1"/>
  <c r="AF668" i="1"/>
  <c r="AV668" i="1"/>
  <c r="AW668" i="1"/>
  <c r="AX668" i="1"/>
  <c r="BE668" i="1"/>
  <c r="BF668" i="1"/>
  <c r="BG668" i="1"/>
  <c r="BL668" i="1"/>
  <c r="BN668" i="1"/>
  <c r="BO668" i="1"/>
  <c r="BP668" i="1"/>
  <c r="BW668" i="1"/>
  <c r="BX668" i="1"/>
  <c r="BY668" i="1"/>
  <c r="AD669" i="1"/>
  <c r="AE669" i="1"/>
  <c r="AF669" i="1"/>
  <c r="AV669" i="1"/>
  <c r="AW669" i="1"/>
  <c r="AX669" i="1"/>
  <c r="BE669" i="1"/>
  <c r="BF669" i="1"/>
  <c r="BG669" i="1"/>
  <c r="BL669" i="1"/>
  <c r="BN669" i="1"/>
  <c r="BO669" i="1"/>
  <c r="BP669" i="1"/>
  <c r="BW669" i="1"/>
  <c r="BX669" i="1"/>
  <c r="BY669" i="1"/>
  <c r="AD670" i="1"/>
  <c r="AE670" i="1"/>
  <c r="AF670" i="1"/>
  <c r="AV670" i="1"/>
  <c r="AW670" i="1"/>
  <c r="AX670" i="1"/>
  <c r="BE670" i="1"/>
  <c r="BF670" i="1"/>
  <c r="BG670" i="1"/>
  <c r="BL670" i="1"/>
  <c r="BN670" i="1"/>
  <c r="BO670" i="1"/>
  <c r="BP670" i="1"/>
  <c r="BW670" i="1"/>
  <c r="BX670" i="1"/>
  <c r="BY670" i="1"/>
  <c r="AD671" i="1"/>
  <c r="AE671" i="1"/>
  <c r="AF671" i="1"/>
  <c r="AV671" i="1"/>
  <c r="AW671" i="1"/>
  <c r="AX671" i="1"/>
  <c r="BE671" i="1"/>
  <c r="BF671" i="1"/>
  <c r="BG671" i="1"/>
  <c r="BL671" i="1"/>
  <c r="BN671" i="1"/>
  <c r="BO671" i="1"/>
  <c r="BP671" i="1"/>
  <c r="BW671" i="1"/>
  <c r="BX671" i="1"/>
  <c r="BY671" i="1"/>
  <c r="AD672" i="1"/>
  <c r="AE672" i="1"/>
  <c r="AF672" i="1"/>
  <c r="AV672" i="1"/>
  <c r="AW672" i="1"/>
  <c r="AX672" i="1"/>
  <c r="BE672" i="1"/>
  <c r="BF672" i="1"/>
  <c r="BG672" i="1"/>
  <c r="BL672" i="1"/>
  <c r="BN672" i="1"/>
  <c r="BO672" i="1"/>
  <c r="BP672" i="1"/>
  <c r="BW672" i="1"/>
  <c r="BX672" i="1"/>
  <c r="BY672" i="1"/>
  <c r="AD673" i="1"/>
  <c r="AE673" i="1"/>
  <c r="AF673" i="1"/>
  <c r="AV673" i="1"/>
  <c r="AW673" i="1"/>
  <c r="AX673" i="1"/>
  <c r="BL673" i="1"/>
  <c r="BL674" i="1"/>
  <c r="BL675" i="1"/>
  <c r="BL676" i="1"/>
  <c r="BL677" i="1"/>
  <c r="BL678" i="1"/>
  <c r="BL679" i="1"/>
  <c r="BL687" i="1"/>
  <c r="BL690" i="1"/>
  <c r="BL691" i="1"/>
  <c r="BL692" i="1"/>
  <c r="AD693" i="1"/>
  <c r="AE693" i="1"/>
  <c r="AF693" i="1"/>
  <c r="AV693" i="1"/>
  <c r="AW693" i="1"/>
  <c r="AX693" i="1"/>
  <c r="BE693" i="1"/>
  <c r="BF693" i="1"/>
  <c r="BG693" i="1"/>
  <c r="BL693" i="1"/>
  <c r="BN693" i="1"/>
  <c r="BO693" i="1"/>
  <c r="BP693" i="1"/>
  <c r="BW693" i="1"/>
  <c r="BX693" i="1"/>
  <c r="BY693" i="1"/>
  <c r="AD694" i="1"/>
  <c r="AE694" i="1"/>
  <c r="AF694" i="1"/>
  <c r="AV694" i="1"/>
  <c r="AW694" i="1"/>
  <c r="AX694" i="1"/>
  <c r="BE694" i="1"/>
  <c r="BF694" i="1"/>
  <c r="BG694" i="1"/>
  <c r="BL694" i="1"/>
  <c r="BP694" i="1" s="1"/>
  <c r="BW694" i="1"/>
  <c r="BX694" i="1"/>
  <c r="BY694" i="1"/>
  <c r="AD695" i="1"/>
  <c r="AE695" i="1"/>
  <c r="AF695" i="1"/>
  <c r="AV695" i="1"/>
  <c r="AW695" i="1"/>
  <c r="AX695" i="1"/>
  <c r="BE695" i="1"/>
  <c r="BF695" i="1"/>
  <c r="BG695" i="1"/>
  <c r="BL695" i="1"/>
  <c r="BN695" i="1"/>
  <c r="BO695" i="1"/>
  <c r="BP695" i="1"/>
  <c r="BW695" i="1"/>
  <c r="BX695" i="1"/>
  <c r="BY695" i="1"/>
  <c r="AD696" i="1"/>
  <c r="AE696" i="1"/>
  <c r="AF696" i="1"/>
  <c r="AV696" i="1"/>
  <c r="AW696" i="1"/>
  <c r="AX696" i="1"/>
  <c r="BE696" i="1"/>
  <c r="BF696" i="1"/>
  <c r="BG696" i="1"/>
  <c r="BL696" i="1"/>
  <c r="BN696" i="1"/>
  <c r="BO696" i="1"/>
  <c r="BP696" i="1"/>
  <c r="BW696" i="1"/>
  <c r="BX696" i="1"/>
  <c r="BY696" i="1"/>
  <c r="AD697" i="1"/>
  <c r="AE697" i="1"/>
  <c r="AF697" i="1"/>
  <c r="AV697" i="1"/>
  <c r="AW697" i="1"/>
  <c r="AX697" i="1"/>
  <c r="BE697" i="1"/>
  <c r="BF697" i="1"/>
  <c r="BG697" i="1"/>
  <c r="BL697" i="1"/>
  <c r="BN697" i="1"/>
  <c r="BO697" i="1"/>
  <c r="BP697" i="1"/>
  <c r="BW697" i="1"/>
  <c r="BX697" i="1"/>
  <c r="BY697" i="1"/>
  <c r="AD698" i="1"/>
  <c r="AE698" i="1"/>
  <c r="AF698" i="1"/>
  <c r="AV698" i="1"/>
  <c r="AW698" i="1"/>
  <c r="AX698" i="1"/>
  <c r="BE698" i="1"/>
  <c r="BF698" i="1"/>
  <c r="BG698" i="1"/>
  <c r="BL698" i="1"/>
  <c r="BN698" i="1"/>
  <c r="BO698" i="1"/>
  <c r="BP698" i="1"/>
  <c r="BW698" i="1"/>
  <c r="BX698" i="1"/>
  <c r="BY698" i="1"/>
  <c r="AD699" i="1"/>
  <c r="AE699" i="1"/>
  <c r="AF699" i="1"/>
  <c r="AV699" i="1"/>
  <c r="AW699" i="1"/>
  <c r="AX699" i="1"/>
  <c r="BE699" i="1"/>
  <c r="BF699" i="1"/>
  <c r="BG699" i="1"/>
  <c r="BL699" i="1"/>
  <c r="BN699" i="1"/>
  <c r="BO699" i="1"/>
  <c r="BP699" i="1"/>
  <c r="BY699" i="1"/>
  <c r="AD700" i="1"/>
  <c r="AE700" i="1"/>
  <c r="AF700" i="1"/>
  <c r="AV700" i="1"/>
  <c r="AW700" i="1"/>
  <c r="AX700" i="1"/>
  <c r="BE700" i="1"/>
  <c r="BF700" i="1"/>
  <c r="BG700" i="1"/>
  <c r="BL700" i="1"/>
  <c r="BN700" i="1"/>
  <c r="BO700" i="1"/>
  <c r="BP700" i="1"/>
  <c r="BW700" i="1"/>
  <c r="BX700" i="1"/>
  <c r="BY700" i="1"/>
  <c r="AD701" i="1"/>
  <c r="AE701" i="1"/>
  <c r="AF701" i="1"/>
  <c r="AV701" i="1"/>
  <c r="AW701" i="1"/>
  <c r="AX701" i="1"/>
  <c r="BE701" i="1"/>
  <c r="BF701" i="1"/>
  <c r="BG701" i="1"/>
  <c r="BL701" i="1"/>
  <c r="BN701" i="1"/>
  <c r="BO701" i="1"/>
  <c r="BP701" i="1"/>
  <c r="BW701" i="1"/>
  <c r="BX701" i="1"/>
  <c r="BY701" i="1"/>
  <c r="BL709" i="1"/>
  <c r="AF712" i="1"/>
  <c r="AV712" i="1"/>
  <c r="AW712" i="1"/>
  <c r="AX712" i="1"/>
  <c r="BE712" i="1"/>
  <c r="BF712" i="1"/>
  <c r="BG712" i="1"/>
  <c r="BL712" i="1"/>
  <c r="BN712" i="1"/>
  <c r="BO712" i="1"/>
  <c r="BP712" i="1"/>
  <c r="BW712" i="1"/>
  <c r="BX712" i="1"/>
  <c r="BY712" i="1"/>
  <c r="AF713" i="1"/>
  <c r="AV713" i="1"/>
  <c r="AW713" i="1"/>
  <c r="AX713" i="1"/>
  <c r="BE713" i="1"/>
  <c r="BF713" i="1"/>
  <c r="BG713" i="1"/>
  <c r="BL713" i="1"/>
  <c r="BN713" i="1"/>
  <c r="BO713" i="1"/>
  <c r="BP713" i="1"/>
  <c r="BW713" i="1"/>
  <c r="BX713" i="1"/>
  <c r="BY713" i="1"/>
  <c r="AD714" i="1"/>
  <c r="AE714" i="1"/>
  <c r="AF714" i="1"/>
  <c r="AV714" i="1"/>
  <c r="AW714" i="1"/>
  <c r="AX714" i="1"/>
  <c r="BE714" i="1"/>
  <c r="BF714" i="1"/>
  <c r="BG714" i="1"/>
  <c r="BL714" i="1"/>
  <c r="BN714" i="1"/>
  <c r="BO714" i="1"/>
  <c r="BP714" i="1"/>
  <c r="BW714" i="1"/>
  <c r="BX714" i="1"/>
  <c r="BY714" i="1"/>
  <c r="AD715" i="1"/>
  <c r="AE715" i="1"/>
  <c r="AF715" i="1"/>
  <c r="AV715" i="1"/>
  <c r="AW715" i="1"/>
  <c r="AX715" i="1"/>
  <c r="BG715" i="1"/>
  <c r="BL715" i="1"/>
  <c r="BN715" i="1"/>
  <c r="BO715" i="1"/>
  <c r="BP715" i="1"/>
  <c r="BW715" i="1"/>
  <c r="BX715" i="1"/>
  <c r="BY715" i="1"/>
  <c r="AD716" i="1"/>
  <c r="AE716" i="1"/>
  <c r="AF716" i="1"/>
  <c r="AV716" i="1"/>
  <c r="AW716" i="1"/>
  <c r="AX716" i="1"/>
  <c r="BE716" i="1"/>
  <c r="BF716" i="1"/>
  <c r="BG716" i="1"/>
  <c r="BL716" i="1"/>
  <c r="BN716" i="1"/>
  <c r="BO716" i="1"/>
  <c r="BP716" i="1"/>
  <c r="BW716" i="1"/>
  <c r="BX716" i="1"/>
  <c r="BY716" i="1"/>
  <c r="AD717" i="1"/>
  <c r="AE717" i="1"/>
  <c r="AF717" i="1"/>
  <c r="AV717" i="1"/>
  <c r="AW717" i="1"/>
  <c r="AX717" i="1"/>
  <c r="BE717" i="1"/>
  <c r="BF717" i="1"/>
  <c r="BG717" i="1"/>
  <c r="BL717" i="1"/>
  <c r="BN717" i="1"/>
  <c r="BO717" i="1"/>
  <c r="BP717" i="1"/>
  <c r="BW717" i="1"/>
  <c r="BX717" i="1"/>
  <c r="BY717" i="1"/>
  <c r="AD718" i="1"/>
  <c r="AE718" i="1"/>
  <c r="AF718" i="1"/>
  <c r="AV718" i="1"/>
  <c r="AW718" i="1"/>
  <c r="AX718" i="1"/>
  <c r="BE718" i="1"/>
  <c r="BF718" i="1"/>
  <c r="BG718" i="1"/>
  <c r="BL718" i="1"/>
  <c r="BN718" i="1" s="1"/>
  <c r="BO718" i="1"/>
  <c r="BP718" i="1"/>
  <c r="BW718" i="1"/>
  <c r="BX718" i="1"/>
  <c r="BY718" i="1"/>
  <c r="AD719" i="1"/>
  <c r="AE719" i="1"/>
  <c r="AF719" i="1"/>
  <c r="AX719" i="1"/>
  <c r="BE719" i="1"/>
  <c r="BF719" i="1"/>
  <c r="BG719" i="1"/>
  <c r="BL719" i="1"/>
  <c r="BN719" i="1"/>
  <c r="BO719" i="1"/>
  <c r="BP719" i="1"/>
  <c r="BW719" i="1"/>
  <c r="BX719" i="1"/>
  <c r="AD720" i="1"/>
  <c r="AE720" i="1"/>
  <c r="AF720" i="1"/>
  <c r="AV720" i="1"/>
  <c r="AW720" i="1"/>
  <c r="AX720" i="1"/>
  <c r="BE720" i="1"/>
  <c r="BF720" i="1"/>
  <c r="BG720" i="1"/>
  <c r="BL720" i="1"/>
  <c r="BN720" i="1"/>
  <c r="BO720" i="1"/>
  <c r="BP720" i="1"/>
  <c r="BW720" i="1"/>
  <c r="BX720" i="1"/>
  <c r="BY720" i="1"/>
  <c r="AD721" i="1"/>
  <c r="AE721" i="1"/>
  <c r="AF721" i="1"/>
  <c r="AV721" i="1"/>
  <c r="AW721" i="1"/>
  <c r="AX721" i="1"/>
  <c r="BG721" i="1"/>
  <c r="BL721" i="1"/>
  <c r="BN721" i="1"/>
  <c r="BO721" i="1"/>
  <c r="BP721" i="1"/>
  <c r="BW721" i="1"/>
  <c r="BX721" i="1"/>
  <c r="BY721" i="1"/>
  <c r="AD722" i="1"/>
  <c r="AE722" i="1"/>
  <c r="AF722" i="1"/>
  <c r="AV722" i="1"/>
  <c r="AW722" i="1"/>
  <c r="AX722" i="1"/>
  <c r="BE722" i="1"/>
  <c r="BF722" i="1"/>
  <c r="BG722" i="1"/>
  <c r="BL722" i="1"/>
  <c r="BN722" i="1"/>
  <c r="BO722" i="1"/>
  <c r="BP722" i="1"/>
  <c r="BW722" i="1"/>
  <c r="BX722" i="1"/>
  <c r="BY722" i="1"/>
  <c r="AD723" i="1"/>
  <c r="AE723" i="1"/>
  <c r="AF723" i="1"/>
  <c r="AV723" i="1"/>
  <c r="AW723" i="1"/>
  <c r="AX723" i="1"/>
  <c r="BE723" i="1"/>
  <c r="BF723" i="1"/>
  <c r="BG723" i="1"/>
  <c r="BL723" i="1"/>
  <c r="BN723" i="1"/>
  <c r="BO723" i="1"/>
  <c r="BP723" i="1"/>
  <c r="BW723" i="1"/>
  <c r="BX723" i="1"/>
  <c r="BY723" i="1"/>
  <c r="BL731" i="1"/>
  <c r="AD734" i="1"/>
  <c r="AE734" i="1"/>
  <c r="AF734" i="1"/>
  <c r="AV734" i="1"/>
  <c r="AW734" i="1"/>
  <c r="AX734" i="1"/>
  <c r="BE734" i="1"/>
  <c r="BF734" i="1"/>
  <c r="BG734" i="1"/>
  <c r="BL734" i="1"/>
  <c r="BP734" i="1"/>
  <c r="BW734" i="1"/>
  <c r="BX734" i="1"/>
  <c r="BY734" i="1"/>
  <c r="AD735" i="1"/>
  <c r="AE735" i="1"/>
  <c r="AF735" i="1"/>
  <c r="AV735" i="1"/>
  <c r="AW735" i="1"/>
  <c r="AX735" i="1"/>
  <c r="BE735" i="1"/>
  <c r="BF735" i="1"/>
  <c r="BG735" i="1"/>
  <c r="BL735" i="1"/>
  <c r="BN735" i="1" s="1"/>
  <c r="BO735" i="1"/>
  <c r="BP735" i="1"/>
  <c r="BW735" i="1"/>
  <c r="BX735" i="1"/>
  <c r="BY735" i="1"/>
  <c r="AD736" i="1"/>
  <c r="AE736" i="1"/>
  <c r="AF736" i="1"/>
  <c r="AV736" i="1"/>
  <c r="AW736" i="1"/>
  <c r="AX736" i="1"/>
  <c r="BG736" i="1"/>
  <c r="BL736" i="1"/>
  <c r="BN736" i="1"/>
  <c r="BO736" i="1"/>
  <c r="BP736" i="1"/>
  <c r="BW736" i="1"/>
  <c r="BX736" i="1"/>
  <c r="BY736" i="1"/>
  <c r="AD737" i="1"/>
  <c r="AE737" i="1"/>
  <c r="AF737" i="1"/>
  <c r="AV737" i="1"/>
  <c r="AW737" i="1"/>
  <c r="AX737" i="1"/>
  <c r="BE737" i="1"/>
  <c r="BF737" i="1"/>
  <c r="BG737" i="1"/>
  <c r="BL737" i="1"/>
  <c r="BN737" i="1"/>
  <c r="BO737" i="1"/>
  <c r="BP737" i="1"/>
  <c r="BW737" i="1"/>
  <c r="BX737" i="1"/>
  <c r="BY737" i="1"/>
  <c r="AD738" i="1"/>
  <c r="AE738" i="1"/>
  <c r="AF738" i="1"/>
  <c r="AV738" i="1"/>
  <c r="AW738" i="1"/>
  <c r="AX738" i="1"/>
  <c r="BE738" i="1"/>
  <c r="BF738" i="1"/>
  <c r="BG738" i="1"/>
  <c r="BL738" i="1"/>
  <c r="BN738" i="1"/>
  <c r="BO738" i="1"/>
  <c r="BP738" i="1"/>
  <c r="BW738" i="1"/>
  <c r="BX738" i="1"/>
  <c r="BY738" i="1"/>
  <c r="AD739" i="1"/>
  <c r="AE739" i="1"/>
  <c r="AF739" i="1"/>
  <c r="AV739" i="1"/>
  <c r="AW739" i="1"/>
  <c r="AX739" i="1"/>
  <c r="BE739" i="1"/>
  <c r="BF739" i="1"/>
  <c r="BG739" i="1"/>
  <c r="BL739" i="1"/>
  <c r="BN739" i="1"/>
  <c r="BO739" i="1"/>
  <c r="BP739" i="1"/>
  <c r="BW739" i="1"/>
  <c r="BX739" i="1"/>
  <c r="BY739" i="1"/>
  <c r="AD740" i="1"/>
  <c r="AE740" i="1"/>
  <c r="AF740" i="1"/>
  <c r="AV740" i="1"/>
  <c r="AW740" i="1"/>
  <c r="AX740" i="1"/>
  <c r="BE740" i="1"/>
  <c r="BF740" i="1"/>
  <c r="BG740" i="1"/>
  <c r="BL740" i="1"/>
  <c r="BN740" i="1"/>
  <c r="BO740" i="1"/>
  <c r="BP740" i="1"/>
  <c r="BW740" i="1"/>
  <c r="BX740" i="1"/>
  <c r="BY740" i="1"/>
  <c r="AD741" i="1"/>
  <c r="AE741" i="1"/>
  <c r="AF741" i="1"/>
  <c r="AV741" i="1"/>
  <c r="AW741" i="1"/>
  <c r="AX741" i="1"/>
  <c r="BG741" i="1"/>
  <c r="BL741" i="1"/>
  <c r="BN741" i="1" s="1"/>
  <c r="BO741" i="1"/>
  <c r="BP741" i="1"/>
  <c r="BW741" i="1"/>
  <c r="BX741" i="1"/>
  <c r="BY741" i="1"/>
  <c r="AD742" i="1"/>
  <c r="AE742" i="1"/>
  <c r="AF742" i="1"/>
  <c r="AV742" i="1"/>
  <c r="AW742" i="1"/>
  <c r="AX742" i="1"/>
  <c r="BE742" i="1"/>
  <c r="BF742" i="1"/>
  <c r="BG742" i="1"/>
  <c r="BL742" i="1"/>
  <c r="BN742" i="1"/>
  <c r="BO742" i="1"/>
  <c r="BP742" i="1"/>
  <c r="BW742" i="1"/>
  <c r="BX742" i="1"/>
  <c r="BY742" i="1"/>
  <c r="AD743" i="1"/>
  <c r="AE743" i="1"/>
  <c r="AF743" i="1"/>
  <c r="AV743" i="1"/>
  <c r="AW743" i="1"/>
  <c r="AX743" i="1"/>
  <c r="BE743" i="1"/>
  <c r="BF743" i="1"/>
  <c r="BG743" i="1"/>
  <c r="BL743" i="1"/>
  <c r="BN743" i="1"/>
  <c r="BO743" i="1"/>
  <c r="BP743" i="1"/>
  <c r="BW743" i="1"/>
  <c r="BX743" i="1"/>
  <c r="BY743" i="1"/>
  <c r="AD744" i="1"/>
  <c r="AE744" i="1"/>
  <c r="AF744" i="1"/>
  <c r="AV744" i="1"/>
  <c r="AW744" i="1"/>
  <c r="AX744" i="1"/>
  <c r="BE744" i="1"/>
  <c r="BF744" i="1"/>
  <c r="BG744" i="1"/>
  <c r="BL744" i="1"/>
  <c r="BP744" i="1" s="1"/>
  <c r="BW744" i="1"/>
  <c r="BX744" i="1"/>
  <c r="BY744" i="1"/>
  <c r="AD745" i="1"/>
  <c r="AE745" i="1"/>
  <c r="AF745" i="1"/>
  <c r="AV745" i="1"/>
  <c r="AW745" i="1"/>
  <c r="AX745" i="1"/>
  <c r="BE745" i="1"/>
  <c r="BF745" i="1"/>
  <c r="BG745" i="1"/>
  <c r="BL745" i="1"/>
  <c r="BN745" i="1"/>
  <c r="BO745" i="1"/>
  <c r="BP745" i="1"/>
  <c r="BW745" i="1"/>
  <c r="BX745" i="1"/>
  <c r="BY745" i="1"/>
  <c r="AD746" i="1"/>
  <c r="AE746" i="1"/>
  <c r="AF746" i="1"/>
  <c r="AW746" i="1"/>
  <c r="AX746" i="1"/>
  <c r="BG746" i="1"/>
  <c r="BX746" i="1"/>
  <c r="BY746" i="1"/>
  <c r="BL753" i="1"/>
  <c r="AD756" i="1"/>
  <c r="AE756" i="1"/>
  <c r="AF756" i="1"/>
  <c r="AV756" i="1"/>
  <c r="AW756" i="1"/>
  <c r="AX756" i="1"/>
  <c r="BE756" i="1"/>
  <c r="BF756" i="1"/>
  <c r="BG756" i="1"/>
  <c r="BL756" i="1"/>
  <c r="BP756" i="1" s="1"/>
  <c r="BN756" i="1"/>
  <c r="BO756" i="1"/>
  <c r="BW756" i="1"/>
  <c r="BX756" i="1"/>
  <c r="BY756" i="1"/>
  <c r="AD757" i="1"/>
  <c r="AE757" i="1"/>
  <c r="AF757" i="1"/>
  <c r="AV757" i="1"/>
  <c r="AW757" i="1"/>
  <c r="AX757" i="1"/>
  <c r="BE757" i="1"/>
  <c r="BF757" i="1"/>
  <c r="BG757" i="1"/>
  <c r="BL757" i="1"/>
  <c r="BN757" i="1"/>
  <c r="BO757" i="1"/>
  <c r="BP757" i="1"/>
  <c r="BW757" i="1"/>
  <c r="BX757" i="1"/>
  <c r="BY757" i="1"/>
  <c r="AD758" i="1"/>
  <c r="AE758" i="1"/>
  <c r="AF758" i="1"/>
  <c r="AV758" i="1"/>
  <c r="AW758" i="1"/>
  <c r="AX758" i="1"/>
  <c r="BE758" i="1"/>
  <c r="BF758" i="1"/>
  <c r="BG758" i="1"/>
  <c r="BL758" i="1"/>
  <c r="BN758" i="1"/>
  <c r="BO758" i="1"/>
  <c r="BP758" i="1"/>
  <c r="BW758" i="1"/>
  <c r="BX758" i="1"/>
  <c r="BY758" i="1"/>
  <c r="AD759" i="1"/>
  <c r="AE759" i="1"/>
  <c r="AF759" i="1"/>
  <c r="AV759" i="1"/>
  <c r="AW759" i="1"/>
  <c r="AX759" i="1"/>
  <c r="BE759" i="1"/>
  <c r="BF759" i="1"/>
  <c r="BG759" i="1"/>
  <c r="BL759" i="1"/>
  <c r="BN759" i="1"/>
  <c r="BO759" i="1"/>
  <c r="BP759" i="1"/>
  <c r="BW759" i="1"/>
  <c r="BX759" i="1"/>
  <c r="BY759" i="1"/>
  <c r="AD760" i="1"/>
  <c r="AE760" i="1"/>
  <c r="AF760" i="1"/>
  <c r="AV760" i="1"/>
  <c r="AW760" i="1"/>
  <c r="AX760" i="1"/>
  <c r="BE760" i="1"/>
  <c r="BF760" i="1"/>
  <c r="BG760" i="1"/>
  <c r="BL760" i="1"/>
  <c r="BN760" i="1"/>
  <c r="BO760" i="1"/>
  <c r="BP760" i="1"/>
  <c r="BW760" i="1"/>
  <c r="BX760" i="1"/>
  <c r="BY760" i="1"/>
  <c r="AD761" i="1"/>
  <c r="AE761" i="1"/>
  <c r="AF761" i="1"/>
  <c r="AV761" i="1"/>
  <c r="AW761" i="1"/>
  <c r="AX761" i="1"/>
  <c r="BE761" i="1"/>
  <c r="BF761" i="1"/>
  <c r="BG761" i="1"/>
  <c r="BL761" i="1"/>
  <c r="BN761" i="1"/>
  <c r="BO761" i="1"/>
  <c r="BP761" i="1"/>
  <c r="BY761" i="1"/>
  <c r="AD762" i="1"/>
  <c r="AE762" i="1"/>
  <c r="AF762" i="1"/>
  <c r="AV762" i="1"/>
  <c r="AW762" i="1"/>
  <c r="AX762" i="1"/>
  <c r="BE762" i="1"/>
  <c r="BF762" i="1"/>
  <c r="BG762" i="1"/>
  <c r="BL762" i="1"/>
  <c r="BN762" i="1"/>
  <c r="BO762" i="1"/>
  <c r="BP762" i="1"/>
  <c r="BW762" i="1"/>
  <c r="BX762" i="1"/>
  <c r="BY762" i="1"/>
  <c r="AE763" i="1"/>
  <c r="AX763" i="1"/>
  <c r="BE763" i="1"/>
  <c r="BF763" i="1"/>
  <c r="BG763" i="1"/>
  <c r="BL763" i="1"/>
  <c r="BN763" i="1"/>
  <c r="BO763" i="1"/>
  <c r="BP763" i="1"/>
  <c r="BW763" i="1"/>
  <c r="BX763" i="1"/>
  <c r="BY763" i="1"/>
  <c r="AD764" i="1"/>
  <c r="AE764" i="1"/>
  <c r="AF764" i="1"/>
  <c r="AV764" i="1"/>
  <c r="AW764" i="1"/>
  <c r="AX764" i="1"/>
  <c r="BE764" i="1"/>
  <c r="BF764" i="1"/>
  <c r="BG764" i="1"/>
  <c r="BL764" i="1"/>
  <c r="BN764" i="1"/>
  <c r="BO764" i="1"/>
  <c r="BP764" i="1"/>
  <c r="BW764" i="1"/>
  <c r="BX764" i="1"/>
  <c r="BY764" i="1"/>
  <c r="AF765" i="1"/>
  <c r="AV765" i="1"/>
  <c r="AW765" i="1"/>
  <c r="AX765" i="1"/>
  <c r="BE765" i="1"/>
  <c r="BF765" i="1"/>
  <c r="BG765" i="1"/>
  <c r="BL765" i="1"/>
  <c r="BN765" i="1"/>
  <c r="BO765" i="1"/>
  <c r="BP765" i="1"/>
  <c r="BW765" i="1"/>
  <c r="BX765" i="1"/>
  <c r="BY765" i="1"/>
  <c r="AD766" i="1"/>
  <c r="AE766" i="1"/>
  <c r="AF766" i="1"/>
  <c r="AX766" i="1"/>
  <c r="BE766" i="1"/>
  <c r="BF766" i="1"/>
  <c r="BG766" i="1"/>
  <c r="BL766" i="1"/>
  <c r="BN766" i="1"/>
  <c r="BO766" i="1"/>
  <c r="BP766" i="1"/>
  <c r="BW766" i="1"/>
  <c r="BX766" i="1"/>
  <c r="BY766" i="1"/>
  <c r="AD767" i="1"/>
  <c r="AE767" i="1"/>
  <c r="AF767" i="1"/>
  <c r="AV767" i="1"/>
  <c r="AW767" i="1"/>
  <c r="AX767" i="1"/>
  <c r="BE767" i="1"/>
  <c r="BF767" i="1"/>
  <c r="BG767" i="1"/>
  <c r="BG768" i="1" s="1"/>
  <c r="BL767" i="1"/>
  <c r="BN767" i="1"/>
  <c r="BO767" i="1"/>
  <c r="BP767" i="1"/>
  <c r="BW767" i="1"/>
  <c r="BX767" i="1"/>
  <c r="BY767" i="1"/>
  <c r="BF768" i="1"/>
  <c r="BN768" i="1"/>
  <c r="BO768" i="1"/>
  <c r="BY768" i="1"/>
  <c r="BL775" i="1"/>
  <c r="AD778" i="1"/>
  <c r="AE778" i="1"/>
  <c r="AF778" i="1"/>
  <c r="AV778" i="1"/>
  <c r="AW778" i="1"/>
  <c r="AX778" i="1"/>
  <c r="BG778" i="1"/>
  <c r="BL778" i="1"/>
  <c r="BP778" i="1"/>
  <c r="BW778" i="1"/>
  <c r="BX778" i="1"/>
  <c r="BY778" i="1"/>
  <c r="AD779" i="1"/>
  <c r="AE779" i="1"/>
  <c r="AF779" i="1"/>
  <c r="AV779" i="1"/>
  <c r="AW779" i="1"/>
  <c r="AX779" i="1"/>
  <c r="BE779" i="1"/>
  <c r="BF779" i="1"/>
  <c r="BG779" i="1"/>
  <c r="BL779" i="1"/>
  <c r="BN779" i="1"/>
  <c r="BO779" i="1"/>
  <c r="BP779" i="1"/>
  <c r="BW779" i="1"/>
  <c r="BX779" i="1"/>
  <c r="BY779" i="1"/>
  <c r="AD780" i="1"/>
  <c r="AE780" i="1"/>
  <c r="AF780" i="1"/>
  <c r="AW780" i="1"/>
  <c r="BE780" i="1"/>
  <c r="BF780" i="1"/>
  <c r="BG780" i="1"/>
  <c r="BL780" i="1"/>
  <c r="BN780" i="1"/>
  <c r="BO780" i="1"/>
  <c r="BP780" i="1"/>
  <c r="BW780" i="1"/>
  <c r="BX780" i="1"/>
  <c r="BY780" i="1"/>
  <c r="AD781" i="1"/>
  <c r="AE781" i="1"/>
  <c r="AF781" i="1"/>
  <c r="AV781" i="1"/>
  <c r="AW781" i="1"/>
  <c r="AX781" i="1"/>
  <c r="BE781" i="1"/>
  <c r="BF781" i="1"/>
  <c r="BG781" i="1"/>
  <c r="BL781" i="1"/>
  <c r="BN781" i="1"/>
  <c r="BO781" i="1"/>
  <c r="BP781" i="1"/>
  <c r="BW781" i="1"/>
  <c r="BX781" i="1"/>
  <c r="BY781" i="1"/>
  <c r="AD782" i="1"/>
  <c r="AE782" i="1"/>
  <c r="AF782" i="1"/>
  <c r="AV782" i="1"/>
  <c r="AW782" i="1"/>
  <c r="AX782" i="1"/>
  <c r="BE782" i="1"/>
  <c r="BF782" i="1"/>
  <c r="BG782" i="1"/>
  <c r="BL782" i="1"/>
  <c r="BN782" i="1" s="1"/>
  <c r="BO782" i="1"/>
  <c r="BP782" i="1"/>
  <c r="BW782" i="1"/>
  <c r="BX782" i="1"/>
  <c r="BY782" i="1"/>
  <c r="AD783" i="1"/>
  <c r="AE783" i="1"/>
  <c r="AF783" i="1"/>
  <c r="AV783" i="1"/>
  <c r="AW783" i="1"/>
  <c r="AX783" i="1"/>
  <c r="BE783" i="1"/>
  <c r="BF783" i="1"/>
  <c r="BG783" i="1"/>
  <c r="BL783" i="1"/>
  <c r="BN783" i="1"/>
  <c r="BO783" i="1"/>
  <c r="BP783" i="1"/>
  <c r="BW783" i="1"/>
  <c r="BX783" i="1"/>
  <c r="BY783" i="1"/>
  <c r="AD784" i="1"/>
  <c r="AE784" i="1"/>
  <c r="AF784" i="1"/>
  <c r="AV784" i="1"/>
  <c r="AW784" i="1"/>
  <c r="AX784" i="1"/>
  <c r="BE784" i="1"/>
  <c r="BF784" i="1"/>
  <c r="BG784" i="1"/>
  <c r="BL784" i="1"/>
  <c r="BN784" i="1"/>
  <c r="BO784" i="1"/>
  <c r="BP784" i="1"/>
  <c r="BW784" i="1"/>
  <c r="BX784" i="1"/>
  <c r="BY784" i="1"/>
  <c r="AD785" i="1"/>
  <c r="AE785" i="1"/>
  <c r="AF785" i="1"/>
  <c r="AV785" i="1"/>
  <c r="AW785" i="1"/>
  <c r="AX785" i="1"/>
  <c r="BE785" i="1"/>
  <c r="BF785" i="1"/>
  <c r="BG785" i="1"/>
  <c r="BL785" i="1"/>
  <c r="BN785" i="1"/>
  <c r="BO785" i="1"/>
  <c r="BP785" i="1"/>
  <c r="BW785" i="1"/>
  <c r="BX785" i="1"/>
  <c r="BY785" i="1"/>
  <c r="AD786" i="1"/>
  <c r="AE786" i="1"/>
  <c r="AF786" i="1"/>
  <c r="AV786" i="1"/>
  <c r="AW786" i="1"/>
  <c r="AX786" i="1"/>
  <c r="BE786" i="1"/>
  <c r="BF786" i="1"/>
  <c r="BG786" i="1"/>
  <c r="BL786" i="1"/>
  <c r="BN786" i="1"/>
  <c r="BO786" i="1"/>
  <c r="BP786" i="1"/>
  <c r="BW786" i="1"/>
  <c r="BX786" i="1"/>
  <c r="BY786" i="1"/>
  <c r="AD787" i="1"/>
  <c r="AE787" i="1"/>
  <c r="AF787" i="1"/>
  <c r="AV787" i="1"/>
  <c r="AW787" i="1"/>
  <c r="AX787" i="1"/>
  <c r="BE787" i="1"/>
  <c r="BF787" i="1"/>
  <c r="BG787" i="1"/>
  <c r="BL787" i="1"/>
  <c r="BN787" i="1"/>
  <c r="BO787" i="1"/>
  <c r="BP787" i="1"/>
  <c r="BW787" i="1"/>
  <c r="BX787" i="1"/>
  <c r="BY787" i="1"/>
  <c r="AD788" i="1"/>
  <c r="AE788" i="1"/>
  <c r="AF788" i="1"/>
  <c r="AV788" i="1"/>
  <c r="AW788" i="1"/>
  <c r="AX788" i="1"/>
  <c r="BE788" i="1"/>
  <c r="BF788" i="1"/>
  <c r="BG788" i="1"/>
  <c r="BL788" i="1"/>
  <c r="BN788" i="1"/>
  <c r="BO788" i="1"/>
  <c r="BP788" i="1"/>
  <c r="BW788" i="1"/>
  <c r="BX788" i="1"/>
  <c r="BY788" i="1"/>
  <c r="AD789" i="1"/>
  <c r="AE789" i="1"/>
  <c r="AF789" i="1"/>
  <c r="AV789" i="1"/>
  <c r="AW789" i="1"/>
  <c r="AX789" i="1"/>
  <c r="BG789" i="1"/>
  <c r="BL789" i="1"/>
  <c r="BP789" i="1" s="1"/>
  <c r="BY789" i="1"/>
  <c r="AE790" i="1"/>
  <c r="AW790" i="1"/>
  <c r="BL797" i="1"/>
  <c r="AF800" i="1"/>
  <c r="AV800" i="1"/>
  <c r="AW800" i="1"/>
  <c r="AX800" i="1"/>
  <c r="BE800" i="1"/>
  <c r="BF800" i="1"/>
  <c r="BG800" i="1"/>
  <c r="BL800" i="1"/>
  <c r="BN800" i="1" s="1"/>
  <c r="BO800" i="1"/>
  <c r="BP800" i="1"/>
  <c r="BY800" i="1"/>
  <c r="AD801" i="1"/>
  <c r="AE801" i="1"/>
  <c r="AF801" i="1"/>
  <c r="AV801" i="1"/>
  <c r="AW801" i="1"/>
  <c r="AX801" i="1"/>
  <c r="BE801" i="1"/>
  <c r="BF801" i="1"/>
  <c r="BG801" i="1"/>
  <c r="BL801" i="1"/>
  <c r="BN801" i="1"/>
  <c r="BO801" i="1"/>
  <c r="BP801" i="1"/>
  <c r="BY801" i="1"/>
  <c r="AD802" i="1"/>
  <c r="AE802" i="1"/>
  <c r="AF802" i="1"/>
  <c r="AV802" i="1"/>
  <c r="AW802" i="1"/>
  <c r="AX802" i="1"/>
  <c r="BL802" i="1"/>
  <c r="BP802" i="1" s="1"/>
  <c r="BY802" i="1"/>
  <c r="AD803" i="1"/>
  <c r="AE803" i="1"/>
  <c r="AF803" i="1"/>
  <c r="AV803" i="1"/>
  <c r="AW803" i="1"/>
  <c r="AX803" i="1"/>
  <c r="BE803" i="1"/>
  <c r="BF803" i="1"/>
  <c r="BG803" i="1"/>
  <c r="BL803" i="1"/>
  <c r="BO803" i="1"/>
  <c r="AD804" i="1"/>
  <c r="AE804" i="1"/>
  <c r="AF804" i="1"/>
  <c r="AV804" i="1"/>
  <c r="AW804" i="1"/>
  <c r="AX804" i="1"/>
  <c r="BE804" i="1"/>
  <c r="BF804" i="1"/>
  <c r="BG804" i="1"/>
  <c r="BL804" i="1"/>
  <c r="BN804" i="1" s="1"/>
  <c r="BO804" i="1"/>
  <c r="BP804" i="1"/>
  <c r="BY804" i="1"/>
  <c r="AD805" i="1"/>
  <c r="AE805" i="1"/>
  <c r="AF805" i="1"/>
  <c r="BF805" i="1"/>
  <c r="BL805" i="1"/>
  <c r="BN805" i="1"/>
  <c r="BO805" i="1"/>
  <c r="BP805" i="1"/>
  <c r="BW805" i="1"/>
  <c r="BX805" i="1"/>
  <c r="BY805" i="1"/>
  <c r="AD806" i="1"/>
  <c r="AE806" i="1"/>
  <c r="AF806" i="1"/>
  <c r="AV806" i="1"/>
  <c r="AW806" i="1"/>
  <c r="AX806" i="1"/>
  <c r="BE806" i="1"/>
  <c r="BF806" i="1"/>
  <c r="BG806" i="1"/>
  <c r="BL806" i="1"/>
  <c r="BN806" i="1"/>
  <c r="BO806" i="1"/>
  <c r="BP806" i="1"/>
  <c r="BW806" i="1"/>
  <c r="BX806" i="1"/>
  <c r="BY806" i="1"/>
  <c r="AF807" i="1"/>
  <c r="AV807" i="1"/>
  <c r="AW807" i="1"/>
  <c r="AX807" i="1"/>
  <c r="BE807" i="1"/>
  <c r="BF807" i="1"/>
  <c r="BG807" i="1"/>
  <c r="BL807" i="1"/>
  <c r="BN807" i="1"/>
  <c r="BO807" i="1"/>
  <c r="BP807" i="1"/>
  <c r="BW807" i="1"/>
  <c r="BX807" i="1"/>
  <c r="BY807" i="1"/>
  <c r="AF808" i="1"/>
  <c r="BL808" i="1"/>
  <c r="BN808" i="1"/>
  <c r="BO808" i="1"/>
  <c r="BP808" i="1"/>
  <c r="BW808" i="1"/>
  <c r="BX808" i="1"/>
  <c r="BY808" i="1"/>
  <c r="AF809" i="1"/>
  <c r="AV809" i="1"/>
  <c r="AW809" i="1"/>
  <c r="AX809" i="1"/>
  <c r="BE809" i="1"/>
  <c r="BF809" i="1"/>
  <c r="BG809" i="1"/>
  <c r="BL809" i="1"/>
  <c r="BN809" i="1"/>
  <c r="BO809" i="1"/>
  <c r="BP809" i="1"/>
  <c r="BW809" i="1"/>
  <c r="BX809" i="1"/>
  <c r="BY809" i="1"/>
  <c r="AD810" i="1"/>
  <c r="AE810" i="1"/>
  <c r="AF810" i="1"/>
  <c r="AV810" i="1"/>
  <c r="AW810" i="1"/>
  <c r="AX810" i="1"/>
  <c r="BE810" i="1"/>
  <c r="BF810" i="1"/>
  <c r="BG810" i="1"/>
  <c r="BL810" i="1"/>
  <c r="BN810" i="1"/>
  <c r="BO810" i="1"/>
  <c r="BP810" i="1"/>
  <c r="BY810" i="1"/>
  <c r="AD811" i="1"/>
  <c r="AE811" i="1"/>
  <c r="AF811" i="1"/>
  <c r="AF812" i="1" s="1"/>
  <c r="AV811" i="1"/>
  <c r="AW811" i="1"/>
  <c r="AX811" i="1"/>
  <c r="BE811" i="1"/>
  <c r="BF811" i="1"/>
  <c r="BG811" i="1"/>
  <c r="BL811" i="1"/>
  <c r="BP811" i="1" s="1"/>
  <c r="BW811" i="1"/>
  <c r="BX811" i="1"/>
  <c r="BY811" i="1"/>
  <c r="BL819" i="1"/>
  <c r="AD822" i="1"/>
  <c r="AV822" i="1"/>
  <c r="AW822" i="1"/>
  <c r="AX822" i="1"/>
  <c r="BE822" i="1"/>
  <c r="BF822" i="1"/>
  <c r="BG822" i="1"/>
  <c r="BL822" i="1"/>
  <c r="BP822" i="1" s="1"/>
  <c r="BW822" i="1"/>
  <c r="BX822" i="1"/>
  <c r="BY822" i="1"/>
  <c r="AV823" i="1"/>
  <c r="BE823" i="1"/>
  <c r="BL823" i="1"/>
  <c r="BN823" i="1"/>
  <c r="BW823" i="1"/>
  <c r="BL824" i="1"/>
  <c r="BL825" i="1"/>
  <c r="BL826" i="1"/>
  <c r="BL827" i="1"/>
  <c r="BL828" i="1"/>
  <c r="BL829" i="1"/>
  <c r="BL830" i="1"/>
  <c r="BL831" i="1"/>
  <c r="BL832" i="1"/>
  <c r="BL833" i="1"/>
  <c r="BL841" i="1"/>
  <c r="BL844" i="1"/>
  <c r="BL845" i="1"/>
  <c r="BL846" i="1"/>
  <c r="BL847" i="1"/>
  <c r="BL848" i="1"/>
  <c r="BL849" i="1"/>
  <c r="BL850" i="1"/>
  <c r="BL851" i="1"/>
  <c r="BL852" i="1"/>
  <c r="BL853" i="1"/>
  <c r="BL854" i="1"/>
  <c r="BL855" i="1"/>
  <c r="BL863" i="1"/>
  <c r="BL866" i="1"/>
  <c r="BL867" i="1"/>
  <c r="BL868" i="1"/>
  <c r="BL869" i="1"/>
  <c r="BL870" i="1"/>
  <c r="BL871" i="1"/>
  <c r="BL872" i="1"/>
  <c r="BL873" i="1"/>
  <c r="BL874" i="1"/>
  <c r="BL875" i="1"/>
  <c r="BL876" i="1"/>
  <c r="BL877" i="1"/>
  <c r="BL885" i="1"/>
  <c r="BL888" i="1"/>
  <c r="BL889" i="1"/>
  <c r="BL890" i="1"/>
  <c r="BL891" i="1"/>
  <c r="BL892" i="1"/>
  <c r="BL893" i="1"/>
  <c r="BL894" i="1"/>
  <c r="BL895" i="1"/>
  <c r="BL896" i="1"/>
  <c r="BL897" i="1"/>
  <c r="BL898" i="1"/>
  <c r="BL899" i="1"/>
  <c r="K13" i="55"/>
  <c r="K12" i="55"/>
  <c r="K11" i="55"/>
  <c r="K10" i="55"/>
  <c r="K9" i="55"/>
  <c r="K8" i="55"/>
  <c r="K7" i="55"/>
  <c r="K6" i="55"/>
  <c r="K5" i="55"/>
  <c r="AE1" i="33"/>
  <c r="Q34" i="45" a="1"/>
  <c r="Q36" i="45" a="1"/>
  <c r="Q38" i="45" a="1"/>
  <c r="Q40" i="45" a="1"/>
  <c r="Q42" i="45" a="1"/>
  <c r="Y40" i="45" a="1"/>
  <c r="Q41" i="45" a="1"/>
  <c r="R38" i="45" a="1"/>
  <c r="R40" i="45" a="1"/>
  <c r="R42" i="45" a="1"/>
  <c r="Y36" i="45" a="1"/>
  <c r="Q35" i="45" a="1"/>
  <c r="V37" i="45" a="1"/>
  <c r="W35" i="45" a="1"/>
  <c r="Y35" i="45" a="1"/>
  <c r="S36" i="45" a="1"/>
  <c r="S38" i="45" a="1"/>
  <c r="S40" i="45" a="1"/>
  <c r="S42" i="45" a="1"/>
  <c r="T34" i="45" a="1"/>
  <c r="T36" i="45" a="1"/>
  <c r="T38" i="45" a="1"/>
  <c r="T40" i="45" a="1"/>
  <c r="T42" i="45" a="1"/>
  <c r="U34" i="45" a="1"/>
  <c r="U36" i="45" a="1"/>
  <c r="U38" i="45" a="1"/>
  <c r="U40" i="45" a="1"/>
  <c r="U42" i="45" a="1"/>
  <c r="X42" i="45" a="1"/>
  <c r="Y42" i="45" a="1"/>
  <c r="V34" i="45" a="1"/>
  <c r="V36" i="45" a="1"/>
  <c r="V38" i="45" a="1"/>
  <c r="V40" i="45" a="1"/>
  <c r="V42" i="45" a="1"/>
  <c r="Y34" i="45" a="1"/>
  <c r="Q37" i="45" a="1"/>
  <c r="V35" i="45" a="1"/>
  <c r="W37" i="45" a="1"/>
  <c r="Y37" i="45" a="1"/>
  <c r="W34" i="45" a="1"/>
  <c r="W36" i="45" a="1"/>
  <c r="W38" i="45" a="1"/>
  <c r="W40" i="45" a="1"/>
  <c r="W42" i="45" a="1"/>
  <c r="Y38" i="45" a="1"/>
  <c r="Q39" i="45" a="1"/>
  <c r="V41" i="45" a="1"/>
  <c r="W41" i="45" a="1"/>
  <c r="Y41" i="45" a="1"/>
  <c r="R37" i="45" a="1"/>
  <c r="R39" i="45" a="1"/>
  <c r="R41" i="45" a="1"/>
  <c r="T37" i="45" a="1"/>
  <c r="S35" i="45" a="1"/>
  <c r="S37" i="45" a="1"/>
  <c r="S39" i="45" a="1"/>
  <c r="S41" i="45" a="1"/>
  <c r="T35" i="45" a="1"/>
  <c r="T39" i="45" a="1"/>
  <c r="T41" i="45" a="1"/>
  <c r="U35" i="45" a="1"/>
  <c r="U37" i="45" a="1"/>
  <c r="U39" i="45" a="1"/>
  <c r="U41" i="45" a="1"/>
  <c r="V39" i="45" a="1"/>
  <c r="W39" i="45" a="1"/>
  <c r="Y39" i="45" a="1"/>
  <c r="B34" i="68" l="1"/>
  <c r="E34" i="68"/>
  <c r="G34" i="68"/>
  <c r="J34" i="68"/>
  <c r="D34" i="68"/>
  <c r="F34" i="68"/>
  <c r="R35" i="45" a="1"/>
  <c r="R34" i="45" a="1"/>
  <c r="R36" i="45" a="1"/>
  <c r="AM823" i="1"/>
  <c r="AO808" i="1"/>
  <c r="CB321" i="1"/>
  <c r="CC257" i="1"/>
  <c r="CB257" i="1"/>
  <c r="CD257" i="1" s="1"/>
  <c r="BL746" i="1"/>
  <c r="BP746" i="1"/>
  <c r="BO30" i="1"/>
  <c r="BN30" i="1"/>
  <c r="BP30" i="1"/>
  <c r="BN31" i="1"/>
  <c r="BP31" i="1"/>
  <c r="BO31" i="1"/>
  <c r="BN32" i="1"/>
  <c r="BO32" i="1"/>
  <c r="BP32" i="1"/>
  <c r="BP8" i="1"/>
  <c r="BO8" i="1"/>
  <c r="BN8" i="1"/>
  <c r="BN9" i="1"/>
  <c r="BO9" i="1"/>
  <c r="BO10" i="1"/>
  <c r="BP10" i="1"/>
  <c r="BN10" i="1"/>
  <c r="BN11" i="1"/>
  <c r="BO11" i="1"/>
  <c r="BP11" i="1"/>
  <c r="CC583" i="1"/>
  <c r="CD321" i="1"/>
  <c r="BJ20" i="1"/>
  <c r="BK20" i="1"/>
  <c r="CC256" i="1"/>
  <c r="CB256" i="1"/>
  <c r="CD256" i="1" s="1"/>
  <c r="CC255" i="1"/>
  <c r="CB255" i="1"/>
  <c r="CD255" i="1" s="1"/>
  <c r="CB254" i="1"/>
  <c r="CD254" i="1" s="1"/>
  <c r="CC254" i="1"/>
  <c r="CC253" i="1"/>
  <c r="CB253" i="1"/>
  <c r="CD253" i="1" s="1"/>
  <c r="CC252" i="1"/>
  <c r="CB252" i="1"/>
  <c r="CD252" i="1" s="1"/>
  <c r="CC251" i="1"/>
  <c r="CB251" i="1"/>
  <c r="CD251" i="1" s="1"/>
  <c r="CB250" i="1"/>
  <c r="CD250" i="1" s="1"/>
  <c r="CC250" i="1"/>
  <c r="CB239" i="1"/>
  <c r="CD239" i="1" s="1"/>
  <c r="CC239" i="1"/>
  <c r="CB238" i="1"/>
  <c r="CD238" i="1" s="1"/>
  <c r="CC238" i="1"/>
  <c r="CC237" i="1"/>
  <c r="CB237" i="1"/>
  <c r="CD237" i="1" s="1"/>
  <c r="CC236" i="1"/>
  <c r="CB236" i="1"/>
  <c r="CD236" i="1" s="1"/>
  <c r="CC235" i="1"/>
  <c r="CB235" i="1"/>
  <c r="CD235" i="1" s="1"/>
  <c r="CC234" i="1"/>
  <c r="CB234" i="1"/>
  <c r="CD234" i="1" s="1"/>
  <c r="CC233" i="1"/>
  <c r="CB233" i="1"/>
  <c r="CD233" i="1" s="1"/>
  <c r="CC232" i="1"/>
  <c r="CB232" i="1"/>
  <c r="CD232" i="1" s="1"/>
  <c r="CC231" i="1"/>
  <c r="CB231" i="1"/>
  <c r="CD231" i="1" s="1"/>
  <c r="CC230" i="1"/>
  <c r="CB230" i="1"/>
  <c r="CD230" i="1" s="1"/>
  <c r="CB229" i="1"/>
  <c r="CD229" i="1" s="1"/>
  <c r="CC229" i="1"/>
  <c r="CB228" i="1"/>
  <c r="CD228" i="1" s="1"/>
  <c r="CC228" i="1"/>
  <c r="CB217" i="1"/>
  <c r="CD217" i="1" s="1"/>
  <c r="CC217" i="1"/>
  <c r="CC216" i="1"/>
  <c r="CB216" i="1"/>
  <c r="CD216" i="1" s="1"/>
  <c r="CH216" i="1" s="1"/>
  <c r="CB215" i="1"/>
  <c r="CD215" i="1" s="1"/>
  <c r="CC215" i="1"/>
  <c r="CC214" i="1"/>
  <c r="CB214" i="1"/>
  <c r="CD214" i="1" s="1"/>
  <c r="CB213" i="1"/>
  <c r="CD213" i="1" s="1"/>
  <c r="CC213" i="1"/>
  <c r="CC212" i="1"/>
  <c r="CB212" i="1"/>
  <c r="CD212" i="1" s="1"/>
  <c r="CC211" i="1"/>
  <c r="CB211" i="1"/>
  <c r="CD211" i="1" s="1"/>
  <c r="CC210" i="1"/>
  <c r="CB210" i="1"/>
  <c r="CD210" i="1" s="1"/>
  <c r="CC209" i="1"/>
  <c r="CB209" i="1"/>
  <c r="CD209" i="1" s="1"/>
  <c r="CC208" i="1"/>
  <c r="CB208" i="1"/>
  <c r="CD208" i="1" s="1"/>
  <c r="CC207" i="1"/>
  <c r="CB207" i="1"/>
  <c r="CD207" i="1" s="1"/>
  <c r="CC206" i="1"/>
  <c r="CB206" i="1"/>
  <c r="CD206" i="1" s="1"/>
  <c r="CC195" i="1"/>
  <c r="CB195" i="1"/>
  <c r="CD195" i="1" s="1"/>
  <c r="CC194" i="1"/>
  <c r="CB194" i="1"/>
  <c r="CD194" i="1" s="1"/>
  <c r="CC193" i="1"/>
  <c r="CB193" i="1"/>
  <c r="CD193" i="1" s="1"/>
  <c r="CC192" i="1"/>
  <c r="CB192" i="1"/>
  <c r="CD192" i="1" s="1"/>
  <c r="CC191" i="1"/>
  <c r="CB191" i="1"/>
  <c r="CD191" i="1" s="1"/>
  <c r="CC190" i="1"/>
  <c r="CB190" i="1"/>
  <c r="CD190" i="1" s="1"/>
  <c r="CC189" i="1"/>
  <c r="CB189" i="1"/>
  <c r="CD189" i="1" s="1"/>
  <c r="CC188" i="1"/>
  <c r="CB188" i="1"/>
  <c r="CD188" i="1" s="1"/>
  <c r="CC187" i="1"/>
  <c r="CB187" i="1"/>
  <c r="CD187" i="1" s="1"/>
  <c r="CB186" i="1"/>
  <c r="CC186" i="1"/>
  <c r="CB185" i="1"/>
  <c r="CC185" i="1"/>
  <c r="CB184" i="1"/>
  <c r="CC184" i="1"/>
  <c r="CB173" i="1"/>
  <c r="CC173" i="1"/>
  <c r="CB320" i="1"/>
  <c r="CD320" i="1" s="1"/>
  <c r="CC320" i="1"/>
  <c r="CB319" i="1"/>
  <c r="CD319" i="1" s="1"/>
  <c r="CC319" i="1"/>
  <c r="CB318" i="1"/>
  <c r="CD318" i="1" s="1"/>
  <c r="CC318" i="1"/>
  <c r="CB317" i="1"/>
  <c r="CD317" i="1" s="1"/>
  <c r="CC317" i="1"/>
  <c r="CC316" i="1"/>
  <c r="CB316" i="1"/>
  <c r="CD316" i="1" s="1"/>
  <c r="CC305" i="1"/>
  <c r="CB305" i="1"/>
  <c r="CD305" i="1" s="1"/>
  <c r="CC304" i="1"/>
  <c r="CB304" i="1"/>
  <c r="CD304" i="1" s="1"/>
  <c r="CB303" i="1"/>
  <c r="CD303" i="1" s="1"/>
  <c r="CC303" i="1"/>
  <c r="CB302" i="1"/>
  <c r="CD302" i="1" s="1"/>
  <c r="CC302" i="1"/>
  <c r="CB301" i="1"/>
  <c r="CD301" i="1" s="1"/>
  <c r="CC301" i="1"/>
  <c r="CB300" i="1"/>
  <c r="CD300" i="1" s="1"/>
  <c r="CC300" i="1"/>
  <c r="CB299" i="1"/>
  <c r="CD299" i="1" s="1"/>
  <c r="CC299" i="1"/>
  <c r="CB298" i="1"/>
  <c r="CD298" i="1" s="1"/>
  <c r="CC298" i="1"/>
  <c r="CB297" i="1"/>
  <c r="CD297" i="1" s="1"/>
  <c r="CC297" i="1"/>
  <c r="CB296" i="1"/>
  <c r="CD296" i="1" s="1"/>
  <c r="CC296" i="1"/>
  <c r="CB295" i="1"/>
  <c r="CD295" i="1" s="1"/>
  <c r="CC295" i="1"/>
  <c r="CB294" i="1"/>
  <c r="CD294" i="1" s="1"/>
  <c r="CC294" i="1"/>
  <c r="CB283" i="1"/>
  <c r="CD283" i="1" s="1"/>
  <c r="CC283" i="1"/>
  <c r="CC282" i="1"/>
  <c r="CB282" i="1"/>
  <c r="CD282" i="1" s="1"/>
  <c r="CC281" i="1"/>
  <c r="CB281" i="1"/>
  <c r="CD281" i="1" s="1"/>
  <c r="CH281" i="1" s="1"/>
  <c r="CB280" i="1"/>
  <c r="CD280" i="1" s="1"/>
  <c r="CC280" i="1"/>
  <c r="CB279" i="1"/>
  <c r="CD279" i="1" s="1"/>
  <c r="CC279" i="1"/>
  <c r="CB278" i="1"/>
  <c r="CD278" i="1" s="1"/>
  <c r="CC278" i="1"/>
  <c r="CB277" i="1"/>
  <c r="CD277" i="1" s="1"/>
  <c r="CC277" i="1"/>
  <c r="CB276" i="1"/>
  <c r="CD276" i="1" s="1"/>
  <c r="CC276" i="1"/>
  <c r="CB275" i="1"/>
  <c r="CD275" i="1" s="1"/>
  <c r="CC275" i="1"/>
  <c r="CB274" i="1"/>
  <c r="CD274" i="1" s="1"/>
  <c r="CC274" i="1"/>
  <c r="CB273" i="1"/>
  <c r="CD273" i="1" s="1"/>
  <c r="CC273" i="1"/>
  <c r="CB272" i="1"/>
  <c r="CD272" i="1" s="1"/>
  <c r="CC272" i="1"/>
  <c r="CB261" i="1"/>
  <c r="CD261" i="1" s="1"/>
  <c r="CC261" i="1"/>
  <c r="CB260" i="1"/>
  <c r="CD260" i="1" s="1"/>
  <c r="CC260" i="1"/>
  <c r="CB259" i="1"/>
  <c r="CD259" i="1" s="1"/>
  <c r="CC259" i="1"/>
  <c r="CG259" i="1" s="1"/>
  <c r="CB258" i="1"/>
  <c r="CD258" i="1" s="1"/>
  <c r="CC258" i="1"/>
  <c r="S34" i="73" a="1"/>
  <c r="R34" i="73" a="1"/>
  <c r="T34" i="73" a="1"/>
  <c r="S35" i="73" a="1"/>
  <c r="R35" i="73" a="1"/>
  <c r="T35" i="73" a="1"/>
  <c r="T36" i="73" a="1"/>
  <c r="R36" i="73" a="1"/>
  <c r="S36" i="73" a="1"/>
  <c r="S37" i="73" a="1"/>
  <c r="R37" i="73" a="1"/>
  <c r="T37" i="73" a="1"/>
  <c r="S38" i="73" a="1"/>
  <c r="T38" i="73" a="1"/>
  <c r="R38" i="73" a="1"/>
  <c r="R39" i="73" a="1"/>
  <c r="T39" i="73" a="1"/>
  <c r="S39" i="73" a="1"/>
  <c r="T40" i="73" a="1"/>
  <c r="R40" i="73" a="1"/>
  <c r="S40" i="73" a="1"/>
  <c r="T41" i="73" a="1"/>
  <c r="S41" i="73" a="1"/>
  <c r="R41" i="73" a="1"/>
  <c r="Z746" i="1"/>
  <c r="AS746" i="1"/>
  <c r="BA768" i="1"/>
  <c r="BK768" i="1"/>
  <c r="AB790" i="1"/>
  <c r="AV607" i="1"/>
  <c r="AO765" i="1"/>
  <c r="AO719" i="1"/>
  <c r="AO714" i="1"/>
  <c r="AO712" i="1"/>
  <c r="BA636" i="1"/>
  <c r="AS658" i="1"/>
  <c r="BC658" i="1"/>
  <c r="BK658" i="1"/>
  <c r="BU658" i="1"/>
  <c r="AT724" i="1"/>
  <c r="BK724" i="1"/>
  <c r="BT724" i="1"/>
  <c r="AA746" i="1"/>
  <c r="BC746" i="1"/>
  <c r="BS746" i="1"/>
  <c r="BB768" i="1"/>
  <c r="BU768" i="1"/>
  <c r="AF635" i="1"/>
  <c r="AR636" i="1"/>
  <c r="BB636" i="1"/>
  <c r="BJ636" i="1"/>
  <c r="AT658" i="1"/>
  <c r="BJ658" i="1"/>
  <c r="BJ642" i="1" s="1"/>
  <c r="BJ643" i="1" s="1"/>
  <c r="BC724" i="1"/>
  <c r="BS724" i="1"/>
  <c r="AR746" i="1"/>
  <c r="BU746" i="1"/>
  <c r="AT768" i="1"/>
  <c r="BJ768" i="1"/>
  <c r="AA790" i="1"/>
  <c r="BC790" i="1"/>
  <c r="BU790" i="1"/>
  <c r="AS636" i="1"/>
  <c r="BK636" i="1"/>
  <c r="AR658" i="1"/>
  <c r="AB724" i="1"/>
  <c r="AB746" i="1"/>
  <c r="AT746" i="1"/>
  <c r="BT746" i="1"/>
  <c r="BC768" i="1"/>
  <c r="Z790" i="1"/>
  <c r="AS790" i="1"/>
  <c r="AB812" i="1"/>
  <c r="CB696" i="1"/>
  <c r="CC696" i="1"/>
  <c r="CB695" i="1"/>
  <c r="CC695" i="1"/>
  <c r="CB694" i="1"/>
  <c r="CC694" i="1"/>
  <c r="CB693" i="1"/>
  <c r="CC693" i="1"/>
  <c r="CB692" i="1"/>
  <c r="CD692" i="1" s="1"/>
  <c r="CC692" i="1"/>
  <c r="CB691" i="1"/>
  <c r="CD691" i="1" s="1"/>
  <c r="CC691" i="1"/>
  <c r="CC690" i="1"/>
  <c r="CB690" i="1"/>
  <c r="CD690" i="1" s="1"/>
  <c r="CC679" i="1"/>
  <c r="CB679" i="1"/>
  <c r="CD679" i="1" s="1"/>
  <c r="CC678" i="1"/>
  <c r="CB678" i="1"/>
  <c r="CD678" i="1" s="1"/>
  <c r="CB677" i="1"/>
  <c r="CC677" i="1"/>
  <c r="CB676" i="1"/>
  <c r="CC676" i="1"/>
  <c r="CC675" i="1"/>
  <c r="CB675" i="1"/>
  <c r="CD675" i="1" s="1"/>
  <c r="CB674" i="1"/>
  <c r="CC674" i="1"/>
  <c r="CB673" i="1"/>
  <c r="CC673" i="1"/>
  <c r="CC672" i="1"/>
  <c r="CB672" i="1"/>
  <c r="CD672" i="1" s="1"/>
  <c r="CC671" i="1"/>
  <c r="CB671" i="1"/>
  <c r="CD671" i="1" s="1"/>
  <c r="CC670" i="1"/>
  <c r="CB670" i="1"/>
  <c r="CD670" i="1" s="1"/>
  <c r="CC669" i="1"/>
  <c r="CB669" i="1"/>
  <c r="CD669" i="1" s="1"/>
  <c r="CC668" i="1"/>
  <c r="CB668" i="1"/>
  <c r="CD668" i="1" s="1"/>
  <c r="CC657" i="1"/>
  <c r="CB657" i="1"/>
  <c r="CD657" i="1" s="1"/>
  <c r="CC656" i="1"/>
  <c r="CB656" i="1"/>
  <c r="CD656" i="1" s="1"/>
  <c r="CB655" i="1"/>
  <c r="CC655" i="1"/>
  <c r="CB654" i="1"/>
  <c r="CC654" i="1"/>
  <c r="CB653" i="1"/>
  <c r="CC653" i="1"/>
  <c r="CC652" i="1"/>
  <c r="CB652" i="1"/>
  <c r="CD652" i="1" s="1"/>
  <c r="CC651" i="1"/>
  <c r="CB651" i="1"/>
  <c r="CD651" i="1" s="1"/>
  <c r="CB650" i="1"/>
  <c r="CC650" i="1"/>
  <c r="CB649" i="1"/>
  <c r="CD649" i="1" s="1"/>
  <c r="CC649" i="1"/>
  <c r="CC648" i="1"/>
  <c r="CB648" i="1"/>
  <c r="CD648" i="1" s="1"/>
  <c r="CC647" i="1"/>
  <c r="CB647" i="1"/>
  <c r="CD647" i="1" s="1"/>
  <c r="CC646" i="1"/>
  <c r="CB646" i="1"/>
  <c r="CD646" i="1" s="1"/>
  <c r="CB635" i="1"/>
  <c r="CC635" i="1"/>
  <c r="CB634" i="1"/>
  <c r="CC634" i="1"/>
  <c r="CB633" i="1"/>
  <c r="CB632" i="1"/>
  <c r="CC632" i="1"/>
  <c r="CB631" i="1"/>
  <c r="CD631" i="1" s="1"/>
  <c r="CC631" i="1"/>
  <c r="CC630" i="1"/>
  <c r="CB630" i="1"/>
  <c r="CD630" i="1" s="1"/>
  <c r="CB629" i="1"/>
  <c r="CC629" i="1"/>
  <c r="CC628" i="1"/>
  <c r="CB628" i="1"/>
  <c r="CD628" i="1" s="1"/>
  <c r="CB627" i="1"/>
  <c r="CC627" i="1"/>
  <c r="CB626" i="1"/>
  <c r="CD626" i="1" s="1"/>
  <c r="CB625" i="1"/>
  <c r="CC625" i="1"/>
  <c r="CC613" i="1"/>
  <c r="CB613" i="1"/>
  <c r="CD613" i="1" s="1"/>
  <c r="CB612" i="1"/>
  <c r="CC612" i="1"/>
  <c r="CC611" i="1"/>
  <c r="CB611" i="1"/>
  <c r="CD611" i="1" s="1"/>
  <c r="CB610" i="1"/>
  <c r="CC610" i="1"/>
  <c r="CC609" i="1"/>
  <c r="CB609" i="1"/>
  <c r="CD609" i="1" s="1"/>
  <c r="CC608" i="1"/>
  <c r="CB608" i="1"/>
  <c r="CD608" i="1" s="1"/>
  <c r="CC607" i="1"/>
  <c r="CB607" i="1"/>
  <c r="CD607" i="1" s="1"/>
  <c r="CC606" i="1"/>
  <c r="CB606" i="1"/>
  <c r="CD606" i="1" s="1"/>
  <c r="CC605" i="1"/>
  <c r="CB605" i="1"/>
  <c r="CD605" i="1" s="1"/>
  <c r="CB604" i="1"/>
  <c r="CC604" i="1"/>
  <c r="CB603" i="1"/>
  <c r="CC603" i="1"/>
  <c r="CB602" i="1"/>
  <c r="CC602" i="1"/>
  <c r="CB591" i="1"/>
  <c r="CC591" i="1"/>
  <c r="CB590" i="1"/>
  <c r="CC590" i="1"/>
  <c r="CB589" i="1"/>
  <c r="CD589" i="1" s="1"/>
  <c r="CC589" i="1"/>
  <c r="CC588" i="1"/>
  <c r="CB588" i="1"/>
  <c r="CC587" i="1"/>
  <c r="CB587" i="1"/>
  <c r="CD587" i="1" s="1"/>
  <c r="CB586" i="1"/>
  <c r="CC586" i="1"/>
  <c r="CC585" i="1"/>
  <c r="CB585" i="1"/>
  <c r="CD585" i="1" s="1"/>
  <c r="CC584" i="1"/>
  <c r="CB584" i="1"/>
  <c r="CD584" i="1" s="1"/>
  <c r="CC899" i="1"/>
  <c r="CB899" i="1"/>
  <c r="CD899" i="1" s="1"/>
  <c r="CB898" i="1"/>
  <c r="CD898" i="1" s="1"/>
  <c r="CC898" i="1"/>
  <c r="CB897" i="1"/>
  <c r="CD897" i="1" s="1"/>
  <c r="CC897" i="1"/>
  <c r="CB896" i="1"/>
  <c r="CD896" i="1" s="1"/>
  <c r="CC896" i="1"/>
  <c r="CB895" i="1"/>
  <c r="CD895" i="1" s="1"/>
  <c r="CC895" i="1"/>
  <c r="CC894" i="1"/>
  <c r="CB894" i="1"/>
  <c r="CD894" i="1" s="1"/>
  <c r="CC893" i="1"/>
  <c r="CB893" i="1"/>
  <c r="CD893" i="1" s="1"/>
  <c r="CC892" i="1"/>
  <c r="CB892" i="1"/>
  <c r="CD892" i="1" s="1"/>
  <c r="CC891" i="1"/>
  <c r="CB891" i="1"/>
  <c r="CD891" i="1" s="1"/>
  <c r="CB890" i="1"/>
  <c r="CD890" i="1" s="1"/>
  <c r="CC890" i="1"/>
  <c r="CC889" i="1"/>
  <c r="CB889" i="1"/>
  <c r="CD889" i="1" s="1"/>
  <c r="CC888" i="1"/>
  <c r="CB888" i="1"/>
  <c r="CD888" i="1" s="1"/>
  <c r="CC877" i="1"/>
  <c r="CB877" i="1"/>
  <c r="CD877" i="1" s="1"/>
  <c r="CC876" i="1"/>
  <c r="CB876" i="1"/>
  <c r="CD876" i="1" s="1"/>
  <c r="CC875" i="1"/>
  <c r="CB875" i="1"/>
  <c r="CD875" i="1" s="1"/>
  <c r="CC874" i="1"/>
  <c r="CB874" i="1"/>
  <c r="CD874" i="1" s="1"/>
  <c r="CC873" i="1"/>
  <c r="CB873" i="1"/>
  <c r="CD873" i="1" s="1"/>
  <c r="CC872" i="1"/>
  <c r="CB872" i="1"/>
  <c r="CD872" i="1" s="1"/>
  <c r="CC871" i="1"/>
  <c r="CB871" i="1"/>
  <c r="CD871" i="1" s="1"/>
  <c r="CC870" i="1"/>
  <c r="CB870" i="1"/>
  <c r="CD870" i="1" s="1"/>
  <c r="CC869" i="1"/>
  <c r="CB869" i="1"/>
  <c r="CD869" i="1" s="1"/>
  <c r="CB868" i="1"/>
  <c r="CD868" i="1" s="1"/>
  <c r="CC868" i="1"/>
  <c r="CB867" i="1"/>
  <c r="CD867" i="1" s="1"/>
  <c r="CC867" i="1"/>
  <c r="CB866" i="1"/>
  <c r="CD866" i="1" s="1"/>
  <c r="CC866" i="1"/>
  <c r="CB855" i="1"/>
  <c r="CD855" i="1" s="1"/>
  <c r="CC855" i="1"/>
  <c r="CC854" i="1"/>
  <c r="CB854" i="1"/>
  <c r="CD854" i="1" s="1"/>
  <c r="CC853" i="1"/>
  <c r="CB853" i="1"/>
  <c r="CD853" i="1" s="1"/>
  <c r="CC852" i="1"/>
  <c r="CB852" i="1"/>
  <c r="CD852" i="1" s="1"/>
  <c r="CC851" i="1"/>
  <c r="CB851" i="1"/>
  <c r="CD851" i="1" s="1"/>
  <c r="CC850" i="1"/>
  <c r="CB850" i="1"/>
  <c r="CD850" i="1" s="1"/>
  <c r="CC849" i="1"/>
  <c r="CB849" i="1"/>
  <c r="CD849" i="1" s="1"/>
  <c r="CB848" i="1"/>
  <c r="CD848" i="1" s="1"/>
  <c r="CC848" i="1"/>
  <c r="CB847" i="1"/>
  <c r="CD847" i="1" s="1"/>
  <c r="CC847" i="1"/>
  <c r="CB846" i="1"/>
  <c r="CD846" i="1" s="1"/>
  <c r="CC846" i="1"/>
  <c r="CB845" i="1"/>
  <c r="CD845" i="1" s="1"/>
  <c r="CC845" i="1"/>
  <c r="CB844" i="1"/>
  <c r="CD844" i="1" s="1"/>
  <c r="CC844" i="1"/>
  <c r="CB833" i="1"/>
  <c r="CD833" i="1" s="1"/>
  <c r="CC833" i="1"/>
  <c r="CC832" i="1"/>
  <c r="CB832" i="1"/>
  <c r="CD832" i="1" s="1"/>
  <c r="CC831" i="1"/>
  <c r="CB831" i="1"/>
  <c r="CD831" i="1" s="1"/>
  <c r="CC830" i="1"/>
  <c r="CB830" i="1"/>
  <c r="CD830" i="1" s="1"/>
  <c r="CB829" i="1"/>
  <c r="CD829" i="1" s="1"/>
  <c r="CC829" i="1"/>
  <c r="CC828" i="1"/>
  <c r="CB828" i="1"/>
  <c r="CD828" i="1" s="1"/>
  <c r="CB827" i="1"/>
  <c r="CD827" i="1" s="1"/>
  <c r="CC827" i="1"/>
  <c r="CB826" i="1"/>
  <c r="CD826" i="1" s="1"/>
  <c r="CC826" i="1"/>
  <c r="CC825" i="1"/>
  <c r="CB825" i="1"/>
  <c r="CD825" i="1" s="1"/>
  <c r="CB824" i="1"/>
  <c r="CD824" i="1" s="1"/>
  <c r="CC824" i="1"/>
  <c r="CC823" i="1"/>
  <c r="CB823" i="1"/>
  <c r="CD823" i="1" s="1"/>
  <c r="CB822" i="1"/>
  <c r="CD822" i="1" s="1"/>
  <c r="CC822" i="1"/>
  <c r="CC811" i="1"/>
  <c r="CB811" i="1"/>
  <c r="CD811" i="1" s="1"/>
  <c r="CB810" i="1"/>
  <c r="CD810" i="1" s="1"/>
  <c r="CC810" i="1"/>
  <c r="CC809" i="1"/>
  <c r="CB809" i="1"/>
  <c r="CD809" i="1" s="1"/>
  <c r="CB808" i="1"/>
  <c r="CD808" i="1" s="1"/>
  <c r="CC808" i="1"/>
  <c r="CB807" i="1"/>
  <c r="CD807" i="1" s="1"/>
  <c r="CC807" i="1"/>
  <c r="CC806" i="1"/>
  <c r="CB806" i="1"/>
  <c r="CD806" i="1" s="1"/>
  <c r="CC805" i="1"/>
  <c r="CB805" i="1"/>
  <c r="CD805" i="1" s="1"/>
  <c r="CC804" i="1"/>
  <c r="CB804" i="1"/>
  <c r="CD804" i="1" s="1"/>
  <c r="CB803" i="1"/>
  <c r="CD803" i="1" s="1"/>
  <c r="CC803" i="1"/>
  <c r="CB802" i="1"/>
  <c r="CD802" i="1" s="1"/>
  <c r="CC802" i="1"/>
  <c r="CC801" i="1"/>
  <c r="CB801" i="1"/>
  <c r="CD801" i="1" s="1"/>
  <c r="CB800" i="1"/>
  <c r="CD800" i="1" s="1"/>
  <c r="CC800" i="1"/>
  <c r="CC789" i="1"/>
  <c r="CB789" i="1"/>
  <c r="CD789" i="1" s="1"/>
  <c r="CC788" i="1"/>
  <c r="CB788" i="1"/>
  <c r="CD788" i="1" s="1"/>
  <c r="CC787" i="1"/>
  <c r="CB787" i="1"/>
  <c r="CC786" i="1"/>
  <c r="CB786" i="1"/>
  <c r="CD786" i="1" s="1"/>
  <c r="CC785" i="1"/>
  <c r="CB785" i="1"/>
  <c r="CD785" i="1" s="1"/>
  <c r="CC784" i="1"/>
  <c r="CB784" i="1"/>
  <c r="CD784" i="1" s="1"/>
  <c r="CC783" i="1"/>
  <c r="CB783" i="1"/>
  <c r="CD783" i="1" s="1"/>
  <c r="CB782" i="1"/>
  <c r="CD782" i="1" s="1"/>
  <c r="CC782" i="1"/>
  <c r="CC781" i="1"/>
  <c r="CB781" i="1"/>
  <c r="CD781" i="1" s="1"/>
  <c r="CB780" i="1"/>
  <c r="CD780" i="1" s="1"/>
  <c r="CC780" i="1"/>
  <c r="CB779" i="1"/>
  <c r="CD779" i="1" s="1"/>
  <c r="CC779" i="1"/>
  <c r="CB778" i="1"/>
  <c r="CD778" i="1" s="1"/>
  <c r="CC778" i="1"/>
  <c r="CB767" i="1"/>
  <c r="CD767" i="1" s="1"/>
  <c r="CC767" i="1"/>
  <c r="CB766" i="1"/>
  <c r="CD766" i="1" s="1"/>
  <c r="CC766" i="1"/>
  <c r="CB765" i="1"/>
  <c r="CD765" i="1" s="1"/>
  <c r="CC765" i="1"/>
  <c r="CC764" i="1"/>
  <c r="CB764" i="1"/>
  <c r="CD764" i="1" s="1"/>
  <c r="CB763" i="1"/>
  <c r="CD763" i="1" s="1"/>
  <c r="CC763" i="1"/>
  <c r="CC762" i="1"/>
  <c r="CB762" i="1"/>
  <c r="CD762" i="1" s="1"/>
  <c r="CB761" i="1"/>
  <c r="CD761" i="1" s="1"/>
  <c r="CC761" i="1"/>
  <c r="CC760" i="1"/>
  <c r="CB760" i="1"/>
  <c r="CD760" i="1" s="1"/>
  <c r="CC759" i="1"/>
  <c r="CB759" i="1"/>
  <c r="CD759" i="1" s="1"/>
  <c r="CC758" i="1"/>
  <c r="CB758" i="1"/>
  <c r="CD758" i="1" s="1"/>
  <c r="CB757" i="1"/>
  <c r="CD757" i="1" s="1"/>
  <c r="CC757" i="1"/>
  <c r="CB756" i="1"/>
  <c r="CD756" i="1" s="1"/>
  <c r="CC756" i="1"/>
  <c r="CC745" i="1"/>
  <c r="CB745" i="1"/>
  <c r="CD745" i="1" s="1"/>
  <c r="CB744" i="1"/>
  <c r="CD744" i="1" s="1"/>
  <c r="CC744" i="1"/>
  <c r="CC743" i="1"/>
  <c r="CB743" i="1"/>
  <c r="CD743" i="1" s="1"/>
  <c r="CB742" i="1"/>
  <c r="CD742" i="1" s="1"/>
  <c r="CC742" i="1"/>
  <c r="CB741" i="1"/>
  <c r="CD741" i="1" s="1"/>
  <c r="CC741" i="1"/>
  <c r="CB740" i="1"/>
  <c r="CD740" i="1" s="1"/>
  <c r="CC740" i="1"/>
  <c r="CB739" i="1"/>
  <c r="CD739" i="1" s="1"/>
  <c r="CC739" i="1"/>
  <c r="CB738" i="1"/>
  <c r="CD738" i="1" s="1"/>
  <c r="CC738" i="1"/>
  <c r="CB737" i="1"/>
  <c r="CD737" i="1" s="1"/>
  <c r="CC737" i="1"/>
  <c r="CB736" i="1"/>
  <c r="CD736" i="1" s="1"/>
  <c r="CC736" i="1"/>
  <c r="CB735" i="1"/>
  <c r="CD735" i="1" s="1"/>
  <c r="CC735" i="1"/>
  <c r="CB734" i="1"/>
  <c r="CD734" i="1" s="1"/>
  <c r="CC734" i="1"/>
  <c r="CB723" i="1"/>
  <c r="CD723" i="1" s="1"/>
  <c r="CC723" i="1"/>
  <c r="CC722" i="1"/>
  <c r="CB722" i="1"/>
  <c r="CD722" i="1" s="1"/>
  <c r="CC721" i="1"/>
  <c r="CB721" i="1"/>
  <c r="CD721" i="1" s="1"/>
  <c r="CC720" i="1"/>
  <c r="CB720" i="1"/>
  <c r="CD720" i="1" s="1"/>
  <c r="CC719" i="1"/>
  <c r="CB719" i="1"/>
  <c r="CD719" i="1" s="1"/>
  <c r="CC718" i="1"/>
  <c r="CB718" i="1"/>
  <c r="CD718" i="1" s="1"/>
  <c r="CB717" i="1"/>
  <c r="CD717" i="1" s="1"/>
  <c r="CC717" i="1"/>
  <c r="CC716" i="1"/>
  <c r="CB716" i="1"/>
  <c r="CD716" i="1" s="1"/>
  <c r="CB715" i="1"/>
  <c r="CD715" i="1" s="1"/>
  <c r="CC715" i="1"/>
  <c r="CC714" i="1"/>
  <c r="CB714" i="1"/>
  <c r="CD714" i="1" s="1"/>
  <c r="CB713" i="1"/>
  <c r="CD713" i="1" s="1"/>
  <c r="CC713" i="1"/>
  <c r="CB712" i="1"/>
  <c r="CD712" i="1" s="1"/>
  <c r="CC712" i="1"/>
  <c r="CB701" i="1"/>
  <c r="CC701" i="1"/>
  <c r="CB700" i="1"/>
  <c r="CC700" i="1"/>
  <c r="CB699" i="1"/>
  <c r="CC699" i="1"/>
  <c r="CB698" i="1"/>
  <c r="CD698" i="1" s="1"/>
  <c r="CC698" i="1"/>
  <c r="CB697" i="1"/>
  <c r="CC697" i="1"/>
  <c r="CB172" i="1"/>
  <c r="CC172" i="1"/>
  <c r="CB171" i="1"/>
  <c r="CC171" i="1"/>
  <c r="CB170" i="1"/>
  <c r="CC170" i="1"/>
  <c r="CB169" i="1"/>
  <c r="CC169" i="1"/>
  <c r="CB168" i="1"/>
  <c r="CC168" i="1"/>
  <c r="CC167" i="1"/>
  <c r="CB167" i="1"/>
  <c r="CB166" i="1"/>
  <c r="CC166" i="1"/>
  <c r="CB165" i="1"/>
  <c r="CC165" i="1"/>
  <c r="CB164" i="1"/>
  <c r="CC164" i="1"/>
  <c r="CB163" i="1"/>
  <c r="CC163" i="1"/>
  <c r="CB162" i="1"/>
  <c r="CC162" i="1"/>
  <c r="CB151" i="1"/>
  <c r="CC151" i="1"/>
  <c r="CC150" i="1"/>
  <c r="CB150" i="1"/>
  <c r="CD150" i="1" s="1"/>
  <c r="CC149" i="1"/>
  <c r="CB149" i="1"/>
  <c r="CD149" i="1" s="1"/>
  <c r="CB148" i="1"/>
  <c r="CC148" i="1"/>
  <c r="CC147" i="1"/>
  <c r="CB147" i="1"/>
  <c r="CC146" i="1"/>
  <c r="CB146" i="1"/>
  <c r="CD146" i="1" s="1"/>
  <c r="CB145" i="1"/>
  <c r="CC145" i="1"/>
  <c r="CB144" i="1"/>
  <c r="CC144" i="1"/>
  <c r="CC143" i="1"/>
  <c r="CB143" i="1"/>
  <c r="CD143" i="1" s="1"/>
  <c r="CC142" i="1"/>
  <c r="CB142" i="1"/>
  <c r="CC141" i="1"/>
  <c r="CB141" i="1"/>
  <c r="CC140" i="1"/>
  <c r="CB140" i="1"/>
  <c r="CC129" i="1"/>
  <c r="CB129" i="1"/>
  <c r="CC128" i="1"/>
  <c r="CB128" i="1"/>
  <c r="CD128" i="1" s="1"/>
  <c r="CB127" i="1"/>
  <c r="CC127" i="1"/>
  <c r="CB126" i="1"/>
  <c r="CC126" i="1"/>
  <c r="CB125" i="1"/>
  <c r="CC125" i="1"/>
  <c r="CB124" i="1"/>
  <c r="CC124" i="1"/>
  <c r="CB123" i="1"/>
  <c r="CC123" i="1"/>
  <c r="CB122" i="1"/>
  <c r="CC122" i="1"/>
  <c r="CB121" i="1"/>
  <c r="CC121" i="1"/>
  <c r="CB120" i="1"/>
  <c r="CC120" i="1"/>
  <c r="CC119" i="1"/>
  <c r="CB119" i="1"/>
  <c r="CD119" i="1" s="1"/>
  <c r="CB118" i="1"/>
  <c r="CC118" i="1"/>
  <c r="CB107" i="1"/>
  <c r="CC107" i="1"/>
  <c r="CB106" i="1"/>
  <c r="CC106" i="1"/>
  <c r="CC105" i="1"/>
  <c r="CB105" i="1"/>
  <c r="CC104" i="1"/>
  <c r="CB104" i="1"/>
  <c r="CB103" i="1"/>
  <c r="CC103" i="1"/>
  <c r="CB102" i="1"/>
  <c r="CC102" i="1"/>
  <c r="CB101" i="1"/>
  <c r="CC101" i="1"/>
  <c r="CB100" i="1"/>
  <c r="CC100" i="1"/>
  <c r="CC99" i="1"/>
  <c r="CB99" i="1"/>
  <c r="CB98" i="1"/>
  <c r="CC98" i="1"/>
  <c r="CB97" i="1"/>
  <c r="CC97" i="1"/>
  <c r="CB96" i="1"/>
  <c r="CC96" i="1"/>
  <c r="CB85" i="1"/>
  <c r="CC85" i="1"/>
  <c r="CB84" i="1"/>
  <c r="CC84" i="1"/>
  <c r="CB83" i="1"/>
  <c r="CC83" i="1"/>
  <c r="CC82" i="1"/>
  <c r="CB82" i="1"/>
  <c r="CD82" i="1" s="1"/>
  <c r="CC81" i="1"/>
  <c r="CB81" i="1"/>
  <c r="CD81" i="1" s="1"/>
  <c r="CB80" i="1"/>
  <c r="CC80" i="1"/>
  <c r="CC79" i="1"/>
  <c r="CB79" i="1"/>
  <c r="CC78" i="1"/>
  <c r="CB78" i="1"/>
  <c r="CC77" i="1"/>
  <c r="CB77" i="1"/>
  <c r="CD77" i="1" s="1"/>
  <c r="CC76" i="1"/>
  <c r="CB76" i="1"/>
  <c r="CD76" i="1" s="1"/>
  <c r="CB75" i="1"/>
  <c r="CC75" i="1"/>
  <c r="CB74" i="1"/>
  <c r="CC74" i="1"/>
  <c r="CC63" i="1"/>
  <c r="CB63" i="1"/>
  <c r="CB62" i="1"/>
  <c r="CC62" i="1"/>
  <c r="CC61" i="1"/>
  <c r="CB61" i="1"/>
  <c r="CC60" i="1"/>
  <c r="CB60" i="1"/>
  <c r="CC59" i="1"/>
  <c r="CB59" i="1"/>
  <c r="CD59" i="1" s="1"/>
  <c r="CC58" i="1"/>
  <c r="CB58" i="1"/>
  <c r="CC57" i="1"/>
  <c r="CB57" i="1"/>
  <c r="CC56" i="1"/>
  <c r="CB56" i="1"/>
  <c r="CD56" i="1" s="1"/>
  <c r="CC55" i="1"/>
  <c r="CB55" i="1"/>
  <c r="CD55" i="1" s="1"/>
  <c r="CC54" i="1"/>
  <c r="CB54" i="1"/>
  <c r="CD54" i="1" s="1"/>
  <c r="CC53" i="1"/>
  <c r="CB53" i="1"/>
  <c r="CD53" i="1" s="1"/>
  <c r="CC52" i="1"/>
  <c r="CB52" i="1"/>
  <c r="CD52" i="1" s="1"/>
  <c r="CC41" i="1"/>
  <c r="CB41" i="1"/>
  <c r="CD41" i="1" s="1"/>
  <c r="CC40" i="1"/>
  <c r="CB40" i="1"/>
  <c r="CC39" i="1"/>
  <c r="CB39" i="1"/>
  <c r="CC38" i="1"/>
  <c r="CB38" i="1"/>
  <c r="CC37" i="1"/>
  <c r="CB37" i="1"/>
  <c r="CC36" i="1"/>
  <c r="CB36" i="1"/>
  <c r="CD36" i="1" s="1"/>
  <c r="CC35" i="1"/>
  <c r="CB35" i="1"/>
  <c r="CD35" i="1" s="1"/>
  <c r="CH35" i="1" s="1"/>
  <c r="CC34" i="1"/>
  <c r="CB34" i="1"/>
  <c r="CD34" i="1" s="1"/>
  <c r="CH34" i="1" s="1"/>
  <c r="CC33" i="1"/>
  <c r="CB33" i="1"/>
  <c r="CC32" i="1"/>
  <c r="CB32" i="1"/>
  <c r="CC31" i="1"/>
  <c r="CB31" i="1"/>
  <c r="CC30" i="1"/>
  <c r="CB30" i="1"/>
  <c r="CC19" i="1"/>
  <c r="CB19" i="1"/>
  <c r="CD19" i="1" s="1"/>
  <c r="CC18" i="1"/>
  <c r="CB18" i="1"/>
  <c r="CC17" i="1"/>
  <c r="CB17" i="1"/>
  <c r="CC16" i="1"/>
  <c r="CB16" i="1"/>
  <c r="CD16" i="1" s="1"/>
  <c r="CB15" i="1"/>
  <c r="CC15" i="1"/>
  <c r="CB14" i="1"/>
  <c r="CC14" i="1"/>
  <c r="CB13" i="1"/>
  <c r="CC13" i="1"/>
  <c r="CB12" i="1"/>
  <c r="CC12" i="1"/>
  <c r="CB11" i="1"/>
  <c r="CC11" i="1"/>
  <c r="CC10" i="1"/>
  <c r="CB10" i="1"/>
  <c r="CB9" i="1"/>
  <c r="CC9" i="1"/>
  <c r="CC8" i="1"/>
  <c r="CB8" i="1"/>
  <c r="CB322" i="1"/>
  <c r="CD322" i="1" s="1"/>
  <c r="CC322" i="1"/>
  <c r="CB323" i="1"/>
  <c r="CD323" i="1" s="1"/>
  <c r="CC323" i="1"/>
  <c r="CB324" i="1"/>
  <c r="CC324" i="1"/>
  <c r="CC325" i="1"/>
  <c r="CB325" i="1"/>
  <c r="CD325" i="1" s="1"/>
  <c r="CH325" i="1" s="1"/>
  <c r="CB326" i="1"/>
  <c r="CC326" i="1"/>
  <c r="CC327" i="1"/>
  <c r="CB327" i="1"/>
  <c r="CD327" i="1" s="1"/>
  <c r="CC338" i="1"/>
  <c r="CB338" i="1"/>
  <c r="CD338" i="1" s="1"/>
  <c r="CB339" i="1"/>
  <c r="CD339" i="1" s="1"/>
  <c r="CC339" i="1"/>
  <c r="CB340" i="1"/>
  <c r="CD340" i="1" s="1"/>
  <c r="CC340" i="1"/>
  <c r="CB341" i="1"/>
  <c r="CC341" i="1"/>
  <c r="CC342" i="1"/>
  <c r="CB342" i="1"/>
  <c r="CB343" i="1"/>
  <c r="CD343" i="1" s="1"/>
  <c r="CC343" i="1"/>
  <c r="CB344" i="1"/>
  <c r="CC344" i="1"/>
  <c r="CB345" i="1"/>
  <c r="CC345" i="1"/>
  <c r="CC346" i="1"/>
  <c r="CB346" i="1"/>
  <c r="CB347" i="1"/>
  <c r="CD347" i="1" s="1"/>
  <c r="CC347" i="1"/>
  <c r="CB348" i="1"/>
  <c r="CD348" i="1" s="1"/>
  <c r="CC348" i="1"/>
  <c r="CC349" i="1"/>
  <c r="CB349" i="1"/>
  <c r="CC360" i="1"/>
  <c r="CB360" i="1"/>
  <c r="CD360" i="1" s="1"/>
  <c r="CC361" i="1"/>
  <c r="CB361" i="1"/>
  <c r="CD361" i="1" s="1"/>
  <c r="CB362" i="1"/>
  <c r="CD362" i="1" s="1"/>
  <c r="CC362" i="1"/>
  <c r="CC363" i="1"/>
  <c r="CB363" i="1"/>
  <c r="CD363" i="1" s="1"/>
  <c r="CC364" i="1"/>
  <c r="CB364" i="1"/>
  <c r="CD364" i="1" s="1"/>
  <c r="CC365" i="1"/>
  <c r="CB365" i="1"/>
  <c r="CD365" i="1" s="1"/>
  <c r="CB366" i="1"/>
  <c r="CC366" i="1"/>
  <c r="CC367" i="1"/>
  <c r="CB367" i="1"/>
  <c r="CB368" i="1"/>
  <c r="CC368" i="1"/>
  <c r="CC369" i="1"/>
  <c r="CB369" i="1"/>
  <c r="CC370" i="1"/>
  <c r="CB370" i="1"/>
  <c r="CD370" i="1" s="1"/>
  <c r="CB371" i="1"/>
  <c r="CC371" i="1"/>
  <c r="CB382" i="1"/>
  <c r="CD382" i="1" s="1"/>
  <c r="CC382" i="1"/>
  <c r="CB383" i="1"/>
  <c r="CC383" i="1"/>
  <c r="CB384" i="1"/>
  <c r="CD384" i="1" s="1"/>
  <c r="CC384" i="1"/>
  <c r="CB385" i="1"/>
  <c r="CD385" i="1" s="1"/>
  <c r="CC385" i="1"/>
  <c r="CC386" i="1"/>
  <c r="CB386" i="1"/>
  <c r="CB387" i="1"/>
  <c r="CD387" i="1" s="1"/>
  <c r="CC387" i="1"/>
  <c r="CB388" i="1"/>
  <c r="CD388" i="1" s="1"/>
  <c r="CC388" i="1"/>
  <c r="CC389" i="1"/>
  <c r="CB389" i="1"/>
  <c r="CD389" i="1" s="1"/>
  <c r="CB390" i="1"/>
  <c r="CC390" i="1"/>
  <c r="CC391" i="1"/>
  <c r="CB391" i="1"/>
  <c r="CD391" i="1" s="1"/>
  <c r="CC392" i="1"/>
  <c r="CB392" i="1"/>
  <c r="CD392" i="1" s="1"/>
  <c r="CC393" i="1"/>
  <c r="CB393" i="1"/>
  <c r="CB404" i="1"/>
  <c r="CD404" i="1" s="1"/>
  <c r="CC404" i="1"/>
  <c r="CC405" i="1"/>
  <c r="CB405" i="1"/>
  <c r="CD405" i="1" s="1"/>
  <c r="CB406" i="1"/>
  <c r="CD406" i="1" s="1"/>
  <c r="CC406" i="1"/>
  <c r="CB407" i="1"/>
  <c r="CD407" i="1" s="1"/>
  <c r="CC407" i="1"/>
  <c r="CB408" i="1"/>
  <c r="CC408" i="1"/>
  <c r="CB409" i="1"/>
  <c r="CC409" i="1"/>
  <c r="CC410" i="1"/>
  <c r="CB410" i="1"/>
  <c r="CD410" i="1" s="1"/>
  <c r="CB411" i="1"/>
  <c r="CD411" i="1" s="1"/>
  <c r="CC411" i="1"/>
  <c r="CB412" i="1"/>
  <c r="CC412" i="1"/>
  <c r="CC413" i="1"/>
  <c r="CB413" i="1"/>
  <c r="CD413" i="1" s="1"/>
  <c r="CB414" i="1"/>
  <c r="CC414" i="1"/>
  <c r="CB415" i="1"/>
  <c r="CD415" i="1" s="1"/>
  <c r="CC415" i="1"/>
  <c r="CB426" i="1"/>
  <c r="CC426" i="1"/>
  <c r="CC427" i="1"/>
  <c r="CB427" i="1"/>
  <c r="CD427" i="1" s="1"/>
  <c r="CB428" i="1"/>
  <c r="CD428" i="1" s="1"/>
  <c r="CC428" i="1"/>
  <c r="CB429" i="1"/>
  <c r="CC429" i="1"/>
  <c r="CB430" i="1"/>
  <c r="CC430" i="1"/>
  <c r="CB431" i="1"/>
  <c r="CD431" i="1" s="1"/>
  <c r="CC431" i="1"/>
  <c r="CC432" i="1"/>
  <c r="CB432" i="1"/>
  <c r="CD432" i="1" s="1"/>
  <c r="CB433" i="1"/>
  <c r="CC433" i="1"/>
  <c r="CB434" i="1"/>
  <c r="CD434" i="1" s="1"/>
  <c r="CC434" i="1"/>
  <c r="CC435" i="1"/>
  <c r="CB435" i="1"/>
  <c r="CD435" i="1" s="1"/>
  <c r="CB436" i="1"/>
  <c r="CC436" i="1"/>
  <c r="CB437" i="1"/>
  <c r="CC437" i="1"/>
  <c r="CC448" i="1"/>
  <c r="CB448" i="1"/>
  <c r="CD448" i="1" s="1"/>
  <c r="CB449" i="1"/>
  <c r="CD449" i="1" s="1"/>
  <c r="CC449" i="1"/>
  <c r="CC450" i="1"/>
  <c r="CB450" i="1"/>
  <c r="CD450" i="1" s="1"/>
  <c r="CC451" i="1"/>
  <c r="CB451" i="1"/>
  <c r="CD451" i="1" s="1"/>
  <c r="CB452" i="1"/>
  <c r="CD452" i="1" s="1"/>
  <c r="CC452" i="1"/>
  <c r="CC453" i="1"/>
  <c r="CB453" i="1"/>
  <c r="CD453" i="1" s="1"/>
  <c r="CB454" i="1"/>
  <c r="CC454" i="1"/>
  <c r="CB455" i="1"/>
  <c r="CD455" i="1" s="1"/>
  <c r="CC455" i="1"/>
  <c r="CB456" i="1"/>
  <c r="CC456" i="1"/>
  <c r="CB457" i="1"/>
  <c r="CC457" i="1"/>
  <c r="CC458" i="1"/>
  <c r="CB458" i="1"/>
  <c r="CD458" i="1" s="1"/>
  <c r="CB459" i="1"/>
  <c r="CD459" i="1" s="1"/>
  <c r="CC459" i="1"/>
  <c r="CB470" i="1"/>
  <c r="CD470" i="1" s="1"/>
  <c r="CC470" i="1"/>
  <c r="CB471" i="1"/>
  <c r="CC471" i="1"/>
  <c r="CB472" i="1"/>
  <c r="CD472" i="1" s="1"/>
  <c r="CC472" i="1"/>
  <c r="CB473" i="1"/>
  <c r="CC473" i="1"/>
  <c r="CB474" i="1"/>
  <c r="CC474" i="1"/>
  <c r="CC475" i="1"/>
  <c r="CB475" i="1"/>
  <c r="CB476" i="1"/>
  <c r="CC476" i="1"/>
  <c r="CB477" i="1"/>
  <c r="CD477" i="1" s="1"/>
  <c r="CC477" i="1"/>
  <c r="CB478" i="1"/>
  <c r="CC478" i="1"/>
  <c r="CB479" i="1"/>
  <c r="CC479" i="1"/>
  <c r="CB480" i="1"/>
  <c r="CC480" i="1"/>
  <c r="CB481" i="1"/>
  <c r="CD481" i="1" s="1"/>
  <c r="CC481" i="1"/>
  <c r="CC492" i="1"/>
  <c r="CB492" i="1"/>
  <c r="CD492" i="1" s="1"/>
  <c r="CB493" i="1"/>
  <c r="CC493" i="1"/>
  <c r="CB494" i="1"/>
  <c r="CD494" i="1" s="1"/>
  <c r="CC494" i="1"/>
  <c r="CB495" i="1"/>
  <c r="CD495" i="1" s="1"/>
  <c r="CC495" i="1"/>
  <c r="CB496" i="1"/>
  <c r="CC496" i="1"/>
  <c r="CB497" i="1"/>
  <c r="CC497" i="1"/>
  <c r="CB498" i="1"/>
  <c r="CC498" i="1"/>
  <c r="CB499" i="1"/>
  <c r="CD499" i="1" s="1"/>
  <c r="CC499" i="1"/>
  <c r="CB500" i="1"/>
  <c r="CC500" i="1"/>
  <c r="CC501" i="1"/>
  <c r="CB501" i="1"/>
  <c r="CC502" i="1"/>
  <c r="CB502" i="1"/>
  <c r="CD502" i="1" s="1"/>
  <c r="CB503" i="1"/>
  <c r="CD503" i="1" s="1"/>
  <c r="CC503" i="1"/>
  <c r="CC514" i="1"/>
  <c r="CB514" i="1"/>
  <c r="CD514" i="1" s="1"/>
  <c r="CB515" i="1"/>
  <c r="CC515" i="1"/>
  <c r="CC516" i="1"/>
  <c r="CB516" i="1"/>
  <c r="CD516" i="1" s="1"/>
  <c r="CC517" i="1"/>
  <c r="CB517" i="1"/>
  <c r="CD517" i="1" s="1"/>
  <c r="CC518" i="1"/>
  <c r="CB518" i="1"/>
  <c r="CD518" i="1" s="1"/>
  <c r="CB519" i="1"/>
  <c r="CC519" i="1"/>
  <c r="CC520" i="1"/>
  <c r="CB520" i="1"/>
  <c r="CD520" i="1" s="1"/>
  <c r="CB521" i="1"/>
  <c r="CC521" i="1"/>
  <c r="CC522" i="1"/>
  <c r="CB522" i="1"/>
  <c r="CD522" i="1" s="1"/>
  <c r="CB523" i="1"/>
  <c r="CC523" i="1"/>
  <c r="CB524" i="1"/>
  <c r="CC524" i="1"/>
  <c r="CB525" i="1"/>
  <c r="CC525" i="1"/>
  <c r="CC536" i="1"/>
  <c r="CB536" i="1"/>
  <c r="CD536" i="1" s="1"/>
  <c r="CB537" i="1"/>
  <c r="CD537" i="1" s="1"/>
  <c r="CC537" i="1"/>
  <c r="CB538" i="1"/>
  <c r="CD538" i="1" s="1"/>
  <c r="CC538" i="1"/>
  <c r="CC539" i="1"/>
  <c r="CB539" i="1"/>
  <c r="CD539" i="1" s="1"/>
  <c r="CC540" i="1"/>
  <c r="CB540" i="1"/>
  <c r="CD540" i="1" s="1"/>
  <c r="CC541" i="1"/>
  <c r="CB541" i="1"/>
  <c r="CD541" i="1" s="1"/>
  <c r="CB542" i="1"/>
  <c r="CC542" i="1"/>
  <c r="CC543" i="1"/>
  <c r="CB543" i="1"/>
  <c r="CB544" i="1"/>
  <c r="CC544" i="1"/>
  <c r="CB545" i="1"/>
  <c r="CD545" i="1" s="1"/>
  <c r="CC545" i="1"/>
  <c r="CG545" i="1" s="1"/>
  <c r="CC546" i="1"/>
  <c r="CB546" i="1"/>
  <c r="CD546" i="1" s="1"/>
  <c r="CB547" i="1"/>
  <c r="CC547" i="1"/>
  <c r="CB558" i="1"/>
  <c r="CD558" i="1" s="1"/>
  <c r="CC558" i="1"/>
  <c r="CB559" i="1"/>
  <c r="CC559" i="1"/>
  <c r="CB560" i="1"/>
  <c r="CC560" i="1"/>
  <c r="CB561" i="1"/>
  <c r="CC561" i="1"/>
  <c r="CB562" i="1"/>
  <c r="CD562" i="1" s="1"/>
  <c r="CC562" i="1"/>
  <c r="CB563" i="1"/>
  <c r="CC563" i="1"/>
  <c r="CB564" i="1"/>
  <c r="CD564" i="1" s="1"/>
  <c r="CC564" i="1"/>
  <c r="CB565" i="1"/>
  <c r="CD565" i="1" s="1"/>
  <c r="CC565" i="1"/>
  <c r="CC566" i="1"/>
  <c r="CB566" i="1"/>
  <c r="CD566" i="1" s="1"/>
  <c r="CB567" i="1"/>
  <c r="CD567" i="1" s="1"/>
  <c r="CC567" i="1"/>
  <c r="CB568" i="1"/>
  <c r="CC568" i="1"/>
  <c r="CB569" i="1"/>
  <c r="CC569" i="1"/>
  <c r="CB580" i="1"/>
  <c r="CD580" i="1" s="1"/>
  <c r="CC580" i="1"/>
  <c r="CB581" i="1"/>
  <c r="CC581" i="1"/>
  <c r="CC582" i="1"/>
  <c r="CB582" i="1"/>
  <c r="CD582" i="1" s="1"/>
  <c r="BO734" i="1"/>
  <c r="BN734" i="1"/>
  <c r="BN746" i="1" s="1"/>
  <c r="BP768" i="1"/>
  <c r="BL768" i="1"/>
  <c r="BL790" i="1"/>
  <c r="BP790" i="1"/>
  <c r="BW32" i="1"/>
  <c r="BX32" i="1"/>
  <c r="BY32" i="1"/>
  <c r="BY31" i="1"/>
  <c r="BW31" i="1"/>
  <c r="BX31" i="1"/>
  <c r="BX30" i="1"/>
  <c r="BY30" i="1"/>
  <c r="BW30" i="1"/>
  <c r="BY19" i="1"/>
  <c r="BW19" i="1"/>
  <c r="BX19" i="1"/>
  <c r="BX18" i="1"/>
  <c r="BY18" i="1"/>
  <c r="BW18" i="1"/>
  <c r="BY17" i="1"/>
  <c r="BW17" i="1"/>
  <c r="BX17" i="1"/>
  <c r="BX16" i="1"/>
  <c r="BY16" i="1"/>
  <c r="BW16" i="1"/>
  <c r="BW15" i="1"/>
  <c r="BY15" i="1"/>
  <c r="BX15" i="1"/>
  <c r="BX14" i="1"/>
  <c r="BW14" i="1"/>
  <c r="BY14" i="1"/>
  <c r="BY13" i="1"/>
  <c r="BX13" i="1"/>
  <c r="BW13" i="1"/>
  <c r="BY12" i="1"/>
  <c r="BX12" i="1"/>
  <c r="BW12" i="1"/>
  <c r="BW11" i="1"/>
  <c r="BX11" i="1"/>
  <c r="BY11" i="1"/>
  <c r="BY10" i="1"/>
  <c r="BX10" i="1"/>
  <c r="BW10" i="1"/>
  <c r="BW9" i="1"/>
  <c r="BX9" i="1"/>
  <c r="BY9" i="1"/>
  <c r="BX8" i="1"/>
  <c r="BY8" i="1"/>
  <c r="BW8" i="1"/>
  <c r="BZ6" i="1" s="1"/>
  <c r="AX606" i="1"/>
  <c r="AV606" i="1"/>
  <c r="AW606" i="1"/>
  <c r="AX605" i="1"/>
  <c r="AV605" i="1"/>
  <c r="AW605" i="1"/>
  <c r="AX33" i="1"/>
  <c r="AW33" i="1"/>
  <c r="AV33" i="1"/>
  <c r="AV32" i="1"/>
  <c r="AX32" i="1"/>
  <c r="AW32" i="1"/>
  <c r="AW31" i="1"/>
  <c r="AX31" i="1"/>
  <c r="AV31" i="1"/>
  <c r="AW30" i="1"/>
  <c r="AX30" i="1"/>
  <c r="AV30" i="1"/>
  <c r="AV19" i="1"/>
  <c r="AW19" i="1"/>
  <c r="AX19" i="1"/>
  <c r="AW18" i="1"/>
  <c r="AV18" i="1"/>
  <c r="AX18" i="1"/>
  <c r="AV17" i="1"/>
  <c r="AW17" i="1"/>
  <c r="AX17" i="1"/>
  <c r="AV16" i="1"/>
  <c r="AW16" i="1"/>
  <c r="AX16" i="1"/>
  <c r="AV15" i="1"/>
  <c r="AX15" i="1"/>
  <c r="AW15" i="1"/>
  <c r="AX14" i="1"/>
  <c r="AW14" i="1"/>
  <c r="AV14" i="1"/>
  <c r="AV13" i="1"/>
  <c r="AX13" i="1"/>
  <c r="AW13" i="1"/>
  <c r="AX12" i="1"/>
  <c r="AV12" i="1"/>
  <c r="AW12" i="1"/>
  <c r="AW11" i="1"/>
  <c r="AV11" i="1"/>
  <c r="AX11" i="1"/>
  <c r="AV10" i="1"/>
  <c r="AW10" i="1"/>
  <c r="AX10" i="1"/>
  <c r="AV9" i="1"/>
  <c r="AW9" i="1"/>
  <c r="AX9" i="1"/>
  <c r="AX8" i="1"/>
  <c r="AV8" i="1"/>
  <c r="AW8" i="1"/>
  <c r="AR642" i="1"/>
  <c r="AR643" i="1" s="1"/>
  <c r="AF646" i="1"/>
  <c r="AE646" i="1"/>
  <c r="AD646" i="1"/>
  <c r="AG644" i="1" s="1"/>
  <c r="AE634" i="1"/>
  <c r="AD634" i="1"/>
  <c r="AD633" i="1"/>
  <c r="AF633" i="1"/>
  <c r="AE633" i="1"/>
  <c r="AF632" i="1"/>
  <c r="AD632" i="1"/>
  <c r="AE632" i="1"/>
  <c r="AF631" i="1"/>
  <c r="AD631" i="1"/>
  <c r="AE631" i="1"/>
  <c r="AF630" i="1"/>
  <c r="AE630" i="1"/>
  <c r="AD630" i="1"/>
  <c r="AE629" i="1"/>
  <c r="AF629" i="1"/>
  <c r="AD629" i="1"/>
  <c r="AE628" i="1"/>
  <c r="AF628" i="1"/>
  <c r="AD628" i="1"/>
  <c r="AE627" i="1"/>
  <c r="AD627" i="1"/>
  <c r="AF627" i="1"/>
  <c r="AE626" i="1"/>
  <c r="AF626" i="1"/>
  <c r="AD626" i="1"/>
  <c r="AF625" i="1"/>
  <c r="AE625" i="1"/>
  <c r="AD625" i="1"/>
  <c r="AF624" i="1"/>
  <c r="AD624" i="1"/>
  <c r="AE624" i="1"/>
  <c r="AE613" i="1"/>
  <c r="AF613" i="1"/>
  <c r="AD613" i="1"/>
  <c r="AF612" i="1"/>
  <c r="AE612" i="1"/>
  <c r="AD612" i="1"/>
  <c r="AF611" i="1"/>
  <c r="AD611" i="1"/>
  <c r="AE611" i="1"/>
  <c r="AE610" i="1"/>
  <c r="AF610" i="1"/>
  <c r="AD610" i="1"/>
  <c r="AF609" i="1"/>
  <c r="AE609" i="1"/>
  <c r="AD609" i="1"/>
  <c r="AD608" i="1"/>
  <c r="AF608" i="1"/>
  <c r="AE608" i="1"/>
  <c r="AF607" i="1"/>
  <c r="AE607" i="1"/>
  <c r="AD607" i="1"/>
  <c r="AD606" i="1"/>
  <c r="AE606" i="1"/>
  <c r="AF606" i="1"/>
  <c r="AD605" i="1"/>
  <c r="AF605" i="1"/>
  <c r="AE605" i="1"/>
  <c r="AF33" i="1"/>
  <c r="AE33" i="1"/>
  <c r="AD33" i="1"/>
  <c r="AD32" i="1"/>
  <c r="AE32" i="1"/>
  <c r="AF32" i="1"/>
  <c r="AF31" i="1"/>
  <c r="AE31" i="1"/>
  <c r="AD31" i="1"/>
  <c r="AD30" i="1"/>
  <c r="AF30" i="1"/>
  <c r="AE30" i="1"/>
  <c r="AE19" i="1"/>
  <c r="AD19" i="1"/>
  <c r="AF19" i="1"/>
  <c r="AF18" i="1"/>
  <c r="AD18" i="1"/>
  <c r="AE18" i="1"/>
  <c r="AF17" i="1"/>
  <c r="AD17" i="1"/>
  <c r="AE17" i="1"/>
  <c r="AF16" i="1"/>
  <c r="AE16" i="1"/>
  <c r="AD16" i="1"/>
  <c r="AE15" i="1"/>
  <c r="AD15" i="1"/>
  <c r="AF15" i="1"/>
  <c r="AF14" i="1"/>
  <c r="AD14" i="1"/>
  <c r="AE14" i="1"/>
  <c r="AE13" i="1"/>
  <c r="AF13" i="1"/>
  <c r="AD13" i="1"/>
  <c r="AF12" i="1"/>
  <c r="AE12" i="1"/>
  <c r="AD12" i="1"/>
  <c r="AF11" i="1"/>
  <c r="AD11" i="1"/>
  <c r="AE11" i="1"/>
  <c r="AD10" i="1"/>
  <c r="AF10" i="1"/>
  <c r="AE10" i="1"/>
  <c r="AD9" i="1"/>
  <c r="AF9" i="1"/>
  <c r="AE9" i="1"/>
  <c r="AD8" i="1"/>
  <c r="AE8" i="1"/>
  <c r="AF8" i="1"/>
  <c r="BF608" i="1"/>
  <c r="BG608" i="1"/>
  <c r="BE608" i="1"/>
  <c r="BE607" i="1"/>
  <c r="BF607" i="1"/>
  <c r="BG607" i="1"/>
  <c r="BG606" i="1"/>
  <c r="BE606" i="1"/>
  <c r="BF606" i="1"/>
  <c r="BF605" i="1"/>
  <c r="BE605" i="1"/>
  <c r="BG605" i="1"/>
  <c r="BG33" i="1"/>
  <c r="BE33" i="1"/>
  <c r="BF33" i="1"/>
  <c r="BF32" i="1"/>
  <c r="BE32" i="1"/>
  <c r="BG32" i="1"/>
  <c r="BF31" i="1"/>
  <c r="BG31" i="1"/>
  <c r="BE31" i="1"/>
  <c r="BE30" i="1"/>
  <c r="BG30" i="1"/>
  <c r="BF30" i="1"/>
  <c r="BE19" i="1"/>
  <c r="BF19" i="1"/>
  <c r="BG19" i="1"/>
  <c r="BF18" i="1"/>
  <c r="BG18" i="1"/>
  <c r="BE18" i="1"/>
  <c r="BG17" i="1"/>
  <c r="BF17" i="1"/>
  <c r="BE17" i="1"/>
  <c r="BE16" i="1"/>
  <c r="BG16" i="1"/>
  <c r="BF16" i="1"/>
  <c r="BF15" i="1"/>
  <c r="BE15" i="1"/>
  <c r="BG15" i="1"/>
  <c r="BG14" i="1"/>
  <c r="BF14" i="1"/>
  <c r="BE14" i="1"/>
  <c r="BG13" i="1"/>
  <c r="BE13" i="1"/>
  <c r="BF13" i="1"/>
  <c r="BE12" i="1"/>
  <c r="BG12" i="1"/>
  <c r="BF12" i="1"/>
  <c r="BG11" i="1"/>
  <c r="BE11" i="1"/>
  <c r="BF11" i="1"/>
  <c r="BE10" i="1"/>
  <c r="BG10" i="1"/>
  <c r="BF10" i="1"/>
  <c r="BG9" i="1"/>
  <c r="BE9" i="1"/>
  <c r="BF9" i="1"/>
  <c r="BG8" i="1"/>
  <c r="BC20" i="1" s="1"/>
  <c r="BE8" i="1"/>
  <c r="BA20" i="1" s="1"/>
  <c r="BF8" i="1"/>
  <c r="BB20" i="1" s="1"/>
  <c r="AN605" i="1"/>
  <c r="AO605" i="1"/>
  <c r="AM605" i="1"/>
  <c r="AM606" i="1"/>
  <c r="AN606" i="1"/>
  <c r="AO606" i="1"/>
  <c r="AN607" i="1"/>
  <c r="AO607" i="1"/>
  <c r="AM607" i="1"/>
  <c r="AN608" i="1"/>
  <c r="AM608" i="1"/>
  <c r="AO608" i="1"/>
  <c r="AM609" i="1"/>
  <c r="AN609" i="1"/>
  <c r="AO609" i="1"/>
  <c r="AN610" i="1"/>
  <c r="AM610" i="1"/>
  <c r="AO610" i="1"/>
  <c r="AN611" i="1"/>
  <c r="AM611" i="1"/>
  <c r="AO611" i="1"/>
  <c r="AN612" i="1"/>
  <c r="AM612" i="1"/>
  <c r="AO612" i="1"/>
  <c r="AN613" i="1"/>
  <c r="AM613" i="1"/>
  <c r="AO613" i="1"/>
  <c r="AM624" i="1"/>
  <c r="AO624" i="1"/>
  <c r="AN624" i="1"/>
  <c r="AO625" i="1"/>
  <c r="AN625" i="1"/>
  <c r="AM625" i="1"/>
  <c r="AM626" i="1"/>
  <c r="AO626" i="1"/>
  <c r="AN626" i="1"/>
  <c r="AM627" i="1"/>
  <c r="AN627" i="1"/>
  <c r="AO627" i="1"/>
  <c r="AO629" i="1"/>
  <c r="AM629" i="1"/>
  <c r="AN629" i="1"/>
  <c r="AN630" i="1"/>
  <c r="AO630" i="1"/>
  <c r="AM630" i="1"/>
  <c r="AO631" i="1"/>
  <c r="AN631" i="1"/>
  <c r="AM631" i="1"/>
  <c r="AO632" i="1"/>
  <c r="AN632" i="1"/>
  <c r="AM632" i="1"/>
  <c r="AO633" i="1"/>
  <c r="AM633" i="1"/>
  <c r="AN633" i="1"/>
  <c r="AN634" i="1"/>
  <c r="AM634" i="1"/>
  <c r="AM635" i="1"/>
  <c r="AN635" i="1"/>
  <c r="AO635" i="1"/>
  <c r="AN646" i="1"/>
  <c r="AM646" i="1"/>
  <c r="AO646" i="1"/>
  <c r="AN647" i="1"/>
  <c r="AM647" i="1"/>
  <c r="AO647" i="1"/>
  <c r="AN648" i="1"/>
  <c r="AM648" i="1"/>
  <c r="AO648" i="1"/>
  <c r="AN649" i="1"/>
  <c r="AO649" i="1"/>
  <c r="AM649" i="1"/>
  <c r="AO650" i="1"/>
  <c r="AM650" i="1"/>
  <c r="AN650" i="1"/>
  <c r="AO651" i="1"/>
  <c r="AN651" i="1"/>
  <c r="AM651" i="1"/>
  <c r="AN652" i="1"/>
  <c r="AO652" i="1"/>
  <c r="AM652" i="1"/>
  <c r="AM653" i="1"/>
  <c r="AN653" i="1"/>
  <c r="AO653" i="1"/>
  <c r="AO654" i="1"/>
  <c r="AN654" i="1"/>
  <c r="AM654" i="1"/>
  <c r="AO655" i="1"/>
  <c r="AN655" i="1"/>
  <c r="AM655" i="1"/>
  <c r="AO656" i="1"/>
  <c r="AN656" i="1"/>
  <c r="AM656" i="1"/>
  <c r="AN657" i="1"/>
  <c r="AO657" i="1"/>
  <c r="AM657" i="1"/>
  <c r="AN668" i="1"/>
  <c r="AO668" i="1"/>
  <c r="AM668" i="1"/>
  <c r="AM669" i="1"/>
  <c r="AO669" i="1"/>
  <c r="AN669" i="1"/>
  <c r="AN670" i="1"/>
  <c r="AO670" i="1"/>
  <c r="AM670" i="1"/>
  <c r="AM671" i="1"/>
  <c r="AO671" i="1"/>
  <c r="AN671" i="1"/>
  <c r="AM672" i="1"/>
  <c r="AO672" i="1"/>
  <c r="AN672" i="1"/>
  <c r="AO673" i="1"/>
  <c r="AM673" i="1"/>
  <c r="AN673" i="1"/>
  <c r="AN693" i="1"/>
  <c r="AO693" i="1"/>
  <c r="AM693" i="1"/>
  <c r="AO694" i="1"/>
  <c r="AM694" i="1"/>
  <c r="AN694" i="1"/>
  <c r="AO695" i="1"/>
  <c r="AM695" i="1"/>
  <c r="AN695" i="1"/>
  <c r="AO696" i="1"/>
  <c r="AM696" i="1"/>
  <c r="AN696" i="1"/>
  <c r="AO697" i="1"/>
  <c r="AM697" i="1"/>
  <c r="AN697" i="1"/>
  <c r="AN698" i="1"/>
  <c r="AO698" i="1"/>
  <c r="AM698" i="1"/>
  <c r="AN699" i="1"/>
  <c r="AM699" i="1"/>
  <c r="AO699" i="1"/>
  <c r="AM700" i="1"/>
  <c r="AO700" i="1"/>
  <c r="AN700" i="1"/>
  <c r="AM701" i="1"/>
  <c r="AO701" i="1"/>
  <c r="AN701" i="1"/>
  <c r="AN713" i="1"/>
  <c r="AM713" i="1"/>
  <c r="AO713" i="1"/>
  <c r="AM715" i="1"/>
  <c r="AO715" i="1"/>
  <c r="AN715" i="1"/>
  <c r="AN716" i="1"/>
  <c r="AM716" i="1"/>
  <c r="AO716" i="1"/>
  <c r="AN717" i="1"/>
  <c r="AM717" i="1"/>
  <c r="AO717" i="1"/>
  <c r="AN718" i="1"/>
  <c r="AM718" i="1"/>
  <c r="AO718" i="1"/>
  <c r="AO720" i="1"/>
  <c r="AM720" i="1"/>
  <c r="AN720" i="1"/>
  <c r="AO721" i="1"/>
  <c r="AM721" i="1"/>
  <c r="AN721" i="1"/>
  <c r="AO722" i="1"/>
  <c r="AM722" i="1"/>
  <c r="AN722" i="1"/>
  <c r="AN723" i="1"/>
  <c r="AM723" i="1"/>
  <c r="AO723" i="1"/>
  <c r="AN734" i="1"/>
  <c r="AO734" i="1"/>
  <c r="AM734" i="1"/>
  <c r="AM735" i="1"/>
  <c r="AN735" i="1"/>
  <c r="AO735" i="1"/>
  <c r="AM736" i="1"/>
  <c r="AN736" i="1"/>
  <c r="AO736" i="1"/>
  <c r="AM737" i="1"/>
  <c r="AN737" i="1"/>
  <c r="AO737" i="1"/>
  <c r="AN738" i="1"/>
  <c r="AM738" i="1"/>
  <c r="AO738" i="1"/>
  <c r="AN739" i="1"/>
  <c r="AM739" i="1"/>
  <c r="AO739" i="1"/>
  <c r="AM740" i="1"/>
  <c r="AN740" i="1"/>
  <c r="AO740" i="1"/>
  <c r="AM741" i="1"/>
  <c r="AN741" i="1"/>
  <c r="AO741" i="1"/>
  <c r="AO742" i="1"/>
  <c r="AN742" i="1"/>
  <c r="AM742" i="1"/>
  <c r="AN743" i="1"/>
  <c r="AM743" i="1"/>
  <c r="AO743" i="1"/>
  <c r="AN744" i="1"/>
  <c r="AO744" i="1"/>
  <c r="AM744" i="1"/>
  <c r="AO745" i="1"/>
  <c r="AM745" i="1"/>
  <c r="AN745" i="1"/>
  <c r="AM756" i="1"/>
  <c r="AO756" i="1"/>
  <c r="AN756" i="1"/>
  <c r="AO757" i="1"/>
  <c r="AN757" i="1"/>
  <c r="AM757" i="1"/>
  <c r="AO758" i="1"/>
  <c r="AN758" i="1"/>
  <c r="AM758" i="1"/>
  <c r="AO759" i="1"/>
  <c r="AN759" i="1"/>
  <c r="AM759" i="1"/>
  <c r="AO760" i="1"/>
  <c r="AM760" i="1"/>
  <c r="AN760" i="1"/>
  <c r="AO761" i="1"/>
  <c r="AN761" i="1"/>
  <c r="AM761" i="1"/>
  <c r="AN762" i="1"/>
  <c r="AM762" i="1"/>
  <c r="AO762" i="1"/>
  <c r="AO763" i="1"/>
  <c r="AM763" i="1"/>
  <c r="AN763" i="1"/>
  <c r="AM764" i="1"/>
  <c r="AO764" i="1"/>
  <c r="AN764" i="1"/>
  <c r="AM766" i="1"/>
  <c r="AO766" i="1"/>
  <c r="AN766" i="1"/>
  <c r="AN767" i="1"/>
  <c r="AO767" i="1"/>
  <c r="AM767" i="1"/>
  <c r="AM778" i="1"/>
  <c r="AO778" i="1"/>
  <c r="AN778" i="1"/>
  <c r="AM779" i="1"/>
  <c r="AN779" i="1"/>
  <c r="AO779" i="1"/>
  <c r="AO780" i="1"/>
  <c r="AN780" i="1"/>
  <c r="AM780" i="1"/>
  <c r="AM781" i="1"/>
  <c r="AN781" i="1"/>
  <c r="AO781" i="1"/>
  <c r="AM782" i="1"/>
  <c r="AO782" i="1"/>
  <c r="AN782" i="1"/>
  <c r="AN783" i="1"/>
  <c r="AO783" i="1"/>
  <c r="AM783" i="1"/>
  <c r="AN784" i="1"/>
  <c r="AM784" i="1"/>
  <c r="AO784" i="1"/>
  <c r="AM785" i="1"/>
  <c r="AN785" i="1"/>
  <c r="AO785" i="1"/>
  <c r="AM786" i="1"/>
  <c r="AN786" i="1"/>
  <c r="AO786" i="1"/>
  <c r="AO787" i="1"/>
  <c r="AN787" i="1"/>
  <c r="AM787" i="1"/>
  <c r="AO788" i="1"/>
  <c r="AN788" i="1"/>
  <c r="AM788" i="1"/>
  <c r="AN789" i="1"/>
  <c r="AO789" i="1"/>
  <c r="AM789" i="1"/>
  <c r="AM790" i="1" s="1"/>
  <c r="AO800" i="1"/>
  <c r="AN800" i="1"/>
  <c r="AM800" i="1"/>
  <c r="AO801" i="1"/>
  <c r="AN801" i="1"/>
  <c r="AM801" i="1"/>
  <c r="AN802" i="1"/>
  <c r="AO802" i="1"/>
  <c r="AM802" i="1"/>
  <c r="AN804" i="1"/>
  <c r="AO804" i="1"/>
  <c r="AM804" i="1"/>
  <c r="AO805" i="1"/>
  <c r="AN805" i="1"/>
  <c r="AM805" i="1"/>
  <c r="AO806" i="1"/>
  <c r="AN806" i="1"/>
  <c r="AM806" i="1"/>
  <c r="AM807" i="1"/>
  <c r="AO807" i="1"/>
  <c r="AN807" i="1"/>
  <c r="AM809" i="1"/>
  <c r="AO809" i="1"/>
  <c r="AN809" i="1"/>
  <c r="AO810" i="1"/>
  <c r="AN810" i="1"/>
  <c r="AM810" i="1"/>
  <c r="AM811" i="1"/>
  <c r="AN811" i="1"/>
  <c r="AO811" i="1"/>
  <c r="AO822" i="1"/>
  <c r="AM822" i="1"/>
  <c r="AN822" i="1"/>
  <c r="AO33" i="1"/>
  <c r="AN33" i="1"/>
  <c r="AM33" i="1"/>
  <c r="AO32" i="1"/>
  <c r="AN32" i="1"/>
  <c r="AM32" i="1"/>
  <c r="AM31" i="1"/>
  <c r="AO31" i="1"/>
  <c r="AN31" i="1"/>
  <c r="AM30" i="1"/>
  <c r="AO30" i="1"/>
  <c r="AN30" i="1"/>
  <c r="AO19" i="1"/>
  <c r="AN19" i="1"/>
  <c r="AM19" i="1"/>
  <c r="AO18" i="1"/>
  <c r="AN18" i="1"/>
  <c r="AM18" i="1"/>
  <c r="AO17" i="1"/>
  <c r="AN17" i="1"/>
  <c r="AM17" i="1"/>
  <c r="AO16" i="1"/>
  <c r="AN16" i="1"/>
  <c r="AM16" i="1"/>
  <c r="AO15" i="1"/>
  <c r="AN15" i="1"/>
  <c r="AM15" i="1"/>
  <c r="AM14" i="1"/>
  <c r="AO14" i="1"/>
  <c r="AN14" i="1"/>
  <c r="AM13" i="1"/>
  <c r="AO13" i="1"/>
  <c r="AN13" i="1"/>
  <c r="AO12" i="1"/>
  <c r="AN12" i="1"/>
  <c r="AM12" i="1"/>
  <c r="AO11" i="1"/>
  <c r="AM11" i="1"/>
  <c r="AN11" i="1"/>
  <c r="AM10" i="1"/>
  <c r="AN10" i="1"/>
  <c r="AO10" i="1"/>
  <c r="AO9" i="1"/>
  <c r="AM9" i="1"/>
  <c r="AN9" i="1"/>
  <c r="AO8" i="1"/>
  <c r="AN8" i="1"/>
  <c r="AM8" i="1"/>
  <c r="BY658" i="1"/>
  <c r="BW761" i="1"/>
  <c r="BS768" i="1" s="1"/>
  <c r="BX761" i="1"/>
  <c r="BT768" i="1" s="1"/>
  <c r="BY790" i="1"/>
  <c r="BN744" i="1"/>
  <c r="BO744" i="1"/>
  <c r="BN778" i="1"/>
  <c r="BO778" i="1"/>
  <c r="BJ724" i="1"/>
  <c r="BG658" i="1"/>
  <c r="BE715" i="1"/>
  <c r="BF715" i="1"/>
  <c r="BE721" i="1"/>
  <c r="BF721" i="1"/>
  <c r="BF778" i="1"/>
  <c r="BE778" i="1"/>
  <c r="BG790" i="1"/>
  <c r="BE802" i="1"/>
  <c r="BG802" i="1"/>
  <c r="BF802" i="1"/>
  <c r="BE805" i="1"/>
  <c r="BG805" i="1"/>
  <c r="AV766" i="1"/>
  <c r="AW766" i="1"/>
  <c r="AV780" i="1"/>
  <c r="AR790" i="1" s="1"/>
  <c r="AX780" i="1"/>
  <c r="AV805" i="1"/>
  <c r="AW805" i="1"/>
  <c r="AX805" i="1"/>
  <c r="AD790" i="1"/>
  <c r="AE807" i="1"/>
  <c r="AD807" i="1"/>
  <c r="U360" i="1"/>
  <c r="W605" i="1"/>
  <c r="W606" i="1"/>
  <c r="V606" i="1"/>
  <c r="U606" i="1"/>
  <c r="V607" i="1"/>
  <c r="U607" i="1"/>
  <c r="W607" i="1"/>
  <c r="U608" i="1"/>
  <c r="V608" i="1"/>
  <c r="W608" i="1"/>
  <c r="W609" i="1"/>
  <c r="U609" i="1"/>
  <c r="V609" i="1"/>
  <c r="U610" i="1"/>
  <c r="W610" i="1"/>
  <c r="V610" i="1"/>
  <c r="W611" i="1"/>
  <c r="U611" i="1"/>
  <c r="V611" i="1"/>
  <c r="W612" i="1"/>
  <c r="V612" i="1"/>
  <c r="U612" i="1"/>
  <c r="V613" i="1"/>
  <c r="U613" i="1"/>
  <c r="W613" i="1"/>
  <c r="U624" i="1"/>
  <c r="V624" i="1"/>
  <c r="W624" i="1"/>
  <c r="W625" i="1"/>
  <c r="U625" i="1"/>
  <c r="V625" i="1"/>
  <c r="V626" i="1"/>
  <c r="U626" i="1"/>
  <c r="W626" i="1"/>
  <c r="W627" i="1"/>
  <c r="V627" i="1"/>
  <c r="U627" i="1"/>
  <c r="U628" i="1"/>
  <c r="W628" i="1"/>
  <c r="V629" i="1"/>
  <c r="W629" i="1"/>
  <c r="U629" i="1"/>
  <c r="V630" i="1"/>
  <c r="U630" i="1"/>
  <c r="W630" i="1"/>
  <c r="W631" i="1"/>
  <c r="U631" i="1"/>
  <c r="V631" i="1"/>
  <c r="W632" i="1"/>
  <c r="W633" i="1"/>
  <c r="U633" i="1"/>
  <c r="V633" i="1"/>
  <c r="V634" i="1"/>
  <c r="U634" i="1"/>
  <c r="V635" i="1"/>
  <c r="U635" i="1"/>
  <c r="W635" i="1"/>
  <c r="W646" i="1"/>
  <c r="V646" i="1"/>
  <c r="U646" i="1"/>
  <c r="W647" i="1"/>
  <c r="U647" i="1"/>
  <c r="V647" i="1"/>
  <c r="U648" i="1"/>
  <c r="V648" i="1"/>
  <c r="W648" i="1"/>
  <c r="W649" i="1"/>
  <c r="V649" i="1"/>
  <c r="U649" i="1"/>
  <c r="U650" i="1"/>
  <c r="W650" i="1"/>
  <c r="V650" i="1"/>
  <c r="W651" i="1"/>
  <c r="U651" i="1"/>
  <c r="V651" i="1"/>
  <c r="W652" i="1"/>
  <c r="U652" i="1"/>
  <c r="V652" i="1"/>
  <c r="V653" i="1"/>
  <c r="U653" i="1"/>
  <c r="W653" i="1"/>
  <c r="U654" i="1"/>
  <c r="V654" i="1"/>
  <c r="W654" i="1"/>
  <c r="U655" i="1"/>
  <c r="V655" i="1"/>
  <c r="W655" i="1"/>
  <c r="U656" i="1"/>
  <c r="W656" i="1"/>
  <c r="V656" i="1"/>
  <c r="U657" i="1"/>
  <c r="W657" i="1"/>
  <c r="V657" i="1"/>
  <c r="U668" i="1"/>
  <c r="V668" i="1"/>
  <c r="W668" i="1"/>
  <c r="U669" i="1"/>
  <c r="V669" i="1"/>
  <c r="W669" i="1"/>
  <c r="V670" i="1"/>
  <c r="W670" i="1"/>
  <c r="U670" i="1"/>
  <c r="U671" i="1"/>
  <c r="W671" i="1"/>
  <c r="V671" i="1"/>
  <c r="W672" i="1"/>
  <c r="U672" i="1"/>
  <c r="V672" i="1"/>
  <c r="V673" i="1"/>
  <c r="W673" i="1"/>
  <c r="U673" i="1"/>
  <c r="V693" i="1"/>
  <c r="W693" i="1"/>
  <c r="U694" i="1"/>
  <c r="V694" i="1"/>
  <c r="W694" i="1"/>
  <c r="W695" i="1"/>
  <c r="V695" i="1"/>
  <c r="U695" i="1"/>
  <c r="W696" i="1"/>
  <c r="V696" i="1"/>
  <c r="U696" i="1"/>
  <c r="V697" i="1"/>
  <c r="U697" i="1"/>
  <c r="W697" i="1"/>
  <c r="V698" i="1"/>
  <c r="W698" i="1"/>
  <c r="U698" i="1"/>
  <c r="U699" i="1"/>
  <c r="W699" i="1"/>
  <c r="V699" i="1"/>
  <c r="V700" i="1"/>
  <c r="W700" i="1"/>
  <c r="U700" i="1"/>
  <c r="W701" i="1"/>
  <c r="U701" i="1"/>
  <c r="V701" i="1"/>
  <c r="W712" i="1"/>
  <c r="V712" i="1"/>
  <c r="U712" i="1"/>
  <c r="U713" i="1"/>
  <c r="V713" i="1"/>
  <c r="W713" i="1"/>
  <c r="U714" i="1"/>
  <c r="V714" i="1"/>
  <c r="W714" i="1"/>
  <c r="U715" i="1"/>
  <c r="V715" i="1"/>
  <c r="W715" i="1"/>
  <c r="U716" i="1"/>
  <c r="W716" i="1"/>
  <c r="V716" i="1"/>
  <c r="W717" i="1"/>
  <c r="U718" i="1"/>
  <c r="W718" i="1"/>
  <c r="V718" i="1"/>
  <c r="W719" i="1"/>
  <c r="U719" i="1"/>
  <c r="V719" i="1"/>
  <c r="W720" i="1"/>
  <c r="V720" i="1"/>
  <c r="U720" i="1"/>
  <c r="W721" i="1"/>
  <c r="U721" i="1"/>
  <c r="V721" i="1"/>
  <c r="U722" i="1"/>
  <c r="V722" i="1"/>
  <c r="W722" i="1"/>
  <c r="U723" i="1"/>
  <c r="V723" i="1"/>
  <c r="W723" i="1"/>
  <c r="W734" i="1"/>
  <c r="U734" i="1"/>
  <c r="V734" i="1"/>
  <c r="W735" i="1"/>
  <c r="V735" i="1"/>
  <c r="U735" i="1"/>
  <c r="W736" i="1"/>
  <c r="V736" i="1"/>
  <c r="U736" i="1"/>
  <c r="V737" i="1"/>
  <c r="W737" i="1"/>
  <c r="U737" i="1"/>
  <c r="U738" i="1"/>
  <c r="V738" i="1"/>
  <c r="W738" i="1"/>
  <c r="W739" i="1"/>
  <c r="U739" i="1"/>
  <c r="V739" i="1"/>
  <c r="U740" i="1"/>
  <c r="W740" i="1"/>
  <c r="V740" i="1"/>
  <c r="U741" i="1"/>
  <c r="V741" i="1"/>
  <c r="W741" i="1"/>
  <c r="W742" i="1"/>
  <c r="U742" i="1"/>
  <c r="V742" i="1"/>
  <c r="W743" i="1"/>
  <c r="U743" i="1"/>
  <c r="V743" i="1"/>
  <c r="W744" i="1"/>
  <c r="U744" i="1"/>
  <c r="V744" i="1"/>
  <c r="U745" i="1"/>
  <c r="V745" i="1"/>
  <c r="W745" i="1"/>
  <c r="W756" i="1"/>
  <c r="U756" i="1"/>
  <c r="V756" i="1"/>
  <c r="W757" i="1"/>
  <c r="U757" i="1"/>
  <c r="V757" i="1"/>
  <c r="W758" i="1"/>
  <c r="U758" i="1"/>
  <c r="V758" i="1"/>
  <c r="W759" i="1"/>
  <c r="V759" i="1"/>
  <c r="U759" i="1"/>
  <c r="U760" i="1"/>
  <c r="W760" i="1"/>
  <c r="V760" i="1"/>
  <c r="V761" i="1"/>
  <c r="W761" i="1"/>
  <c r="U761" i="1"/>
  <c r="W762" i="1"/>
  <c r="U762" i="1"/>
  <c r="V762" i="1"/>
  <c r="W764" i="1"/>
  <c r="W765" i="1"/>
  <c r="W766" i="1"/>
  <c r="W767" i="1"/>
  <c r="V778" i="1"/>
  <c r="U778" i="1"/>
  <c r="W778" i="1"/>
  <c r="V779" i="1"/>
  <c r="U779" i="1"/>
  <c r="W779" i="1"/>
  <c r="U780" i="1"/>
  <c r="W780" i="1"/>
  <c r="V780" i="1"/>
  <c r="V781" i="1"/>
  <c r="U781" i="1"/>
  <c r="W781" i="1"/>
  <c r="U782" i="1"/>
  <c r="W782" i="1"/>
  <c r="V782" i="1"/>
  <c r="W783" i="1"/>
  <c r="U783" i="1"/>
  <c r="V783" i="1"/>
  <c r="W784" i="1"/>
  <c r="U784" i="1"/>
  <c r="V784" i="1"/>
  <c r="U785" i="1"/>
  <c r="W785" i="1"/>
  <c r="V785" i="1"/>
  <c r="W786" i="1"/>
  <c r="U786" i="1"/>
  <c r="V786" i="1"/>
  <c r="W787" i="1"/>
  <c r="V787" i="1"/>
  <c r="U787" i="1"/>
  <c r="U788" i="1"/>
  <c r="W788" i="1"/>
  <c r="V788" i="1"/>
  <c r="W789" i="1"/>
  <c r="U789" i="1"/>
  <c r="V789" i="1"/>
  <c r="V800" i="1"/>
  <c r="W801" i="1"/>
  <c r="W802" i="1"/>
  <c r="W803" i="1"/>
  <c r="V803" i="1"/>
  <c r="U803" i="1"/>
  <c r="W804" i="1"/>
  <c r="U804" i="1"/>
  <c r="V804" i="1"/>
  <c r="V805" i="1"/>
  <c r="W805" i="1"/>
  <c r="U805" i="1"/>
  <c r="V806" i="1"/>
  <c r="W807" i="1"/>
  <c r="V807" i="1"/>
  <c r="U807" i="1"/>
  <c r="V809" i="1"/>
  <c r="U809" i="1"/>
  <c r="W809" i="1"/>
  <c r="V810" i="1"/>
  <c r="U810" i="1"/>
  <c r="W810" i="1"/>
  <c r="W811" i="1"/>
  <c r="W822" i="1"/>
  <c r="U822" i="1"/>
  <c r="V822" i="1"/>
  <c r="U823" i="1"/>
  <c r="W33" i="1"/>
  <c r="V33" i="1"/>
  <c r="U33" i="1"/>
  <c r="W32" i="1"/>
  <c r="U32" i="1"/>
  <c r="V32" i="1"/>
  <c r="W31" i="1"/>
  <c r="V31" i="1"/>
  <c r="U31" i="1"/>
  <c r="W30" i="1"/>
  <c r="V30" i="1"/>
  <c r="U30" i="1"/>
  <c r="W19" i="1"/>
  <c r="V19" i="1"/>
  <c r="U19" i="1"/>
  <c r="W18" i="1"/>
  <c r="V18" i="1"/>
  <c r="U18" i="1"/>
  <c r="W17" i="1"/>
  <c r="V17" i="1"/>
  <c r="U17" i="1"/>
  <c r="W16" i="1"/>
  <c r="V16" i="1"/>
  <c r="U16" i="1"/>
  <c r="W15" i="1"/>
  <c r="V15" i="1"/>
  <c r="U15" i="1"/>
  <c r="W14" i="1"/>
  <c r="V14" i="1"/>
  <c r="U14" i="1"/>
  <c r="W13" i="1"/>
  <c r="V13" i="1"/>
  <c r="U13" i="1"/>
  <c r="W12" i="1"/>
  <c r="V12" i="1"/>
  <c r="U12" i="1"/>
  <c r="W11" i="1"/>
  <c r="V11" i="1"/>
  <c r="U11" i="1"/>
  <c r="W10" i="1"/>
  <c r="V10" i="1"/>
  <c r="U10" i="1"/>
  <c r="W9" i="1"/>
  <c r="V9" i="1"/>
  <c r="U9" i="1"/>
  <c r="W8" i="1"/>
  <c r="V8" i="1"/>
  <c r="U8" i="1"/>
  <c r="K636" i="1"/>
  <c r="AO634" i="1"/>
  <c r="BP634" i="1"/>
  <c r="W634" i="1"/>
  <c r="AX634" i="1"/>
  <c r="AT636" i="1" s="1"/>
  <c r="AF634" i="1"/>
  <c r="BG634" i="1"/>
  <c r="BC636" i="1" s="1"/>
  <c r="BY634" i="1"/>
  <c r="AF790" i="1"/>
  <c r="AG776" i="1"/>
  <c r="BQ754" i="1"/>
  <c r="BH754" i="1"/>
  <c r="BZ732" i="1"/>
  <c r="AY732" i="1"/>
  <c r="AG732" i="1"/>
  <c r="BQ710" i="1"/>
  <c r="BH710" i="1"/>
  <c r="BQ644" i="1"/>
  <c r="U693" i="1"/>
  <c r="CQ715" i="1"/>
  <c r="CO823" i="1"/>
  <c r="BQ6" i="1"/>
  <c r="K834" i="1"/>
  <c r="J834" i="1"/>
  <c r="I834" i="1"/>
  <c r="U824" i="1"/>
  <c r="U826" i="1"/>
  <c r="AM849" i="1"/>
  <c r="U871" i="1"/>
  <c r="BE894" i="1"/>
  <c r="U899" i="1"/>
  <c r="AM830" i="1"/>
  <c r="U846" i="1"/>
  <c r="U852" i="1"/>
  <c r="AV852" i="1"/>
  <c r="AM867" i="1"/>
  <c r="AM871" i="1"/>
  <c r="BE874" i="1"/>
  <c r="AX830" i="1"/>
  <c r="U831" i="1"/>
  <c r="W844" i="1"/>
  <c r="BE855" i="1"/>
  <c r="U867" i="1"/>
  <c r="AV891" i="1"/>
  <c r="BW895" i="1"/>
  <c r="W896" i="1"/>
  <c r="U897" i="1"/>
  <c r="BN899" i="1"/>
  <c r="AM845" i="1"/>
  <c r="U890" i="1"/>
  <c r="AM899" i="1"/>
  <c r="AV449" i="1"/>
  <c r="BN831" i="1"/>
  <c r="AM676" i="1"/>
  <c r="V679" i="1"/>
  <c r="BW690" i="1"/>
  <c r="BW826" i="1"/>
  <c r="U827" i="1"/>
  <c r="BE830" i="1"/>
  <c r="U845" i="1"/>
  <c r="AD849" i="1"/>
  <c r="AM851" i="1"/>
  <c r="U868" i="1"/>
  <c r="BN895" i="1"/>
  <c r="AD896" i="1"/>
  <c r="AM898" i="1"/>
  <c r="CQ822" i="1"/>
  <c r="CP822" i="1"/>
  <c r="CO822" i="1"/>
  <c r="CQ811" i="1"/>
  <c r="CP811" i="1"/>
  <c r="CO811" i="1"/>
  <c r="CP810" i="1"/>
  <c r="CO810" i="1"/>
  <c r="CQ810" i="1"/>
  <c r="CP809" i="1"/>
  <c r="CO809" i="1"/>
  <c r="CQ809" i="1"/>
  <c r="CO808" i="1"/>
  <c r="CP808" i="1"/>
  <c r="CQ808" i="1"/>
  <c r="CP807" i="1"/>
  <c r="CO807" i="1"/>
  <c r="CQ807" i="1"/>
  <c r="CP806" i="1"/>
  <c r="CQ806" i="1"/>
  <c r="CO806" i="1"/>
  <c r="CQ805" i="1"/>
  <c r="CO805" i="1"/>
  <c r="CP805" i="1"/>
  <c r="CQ804" i="1"/>
  <c r="CO804" i="1"/>
  <c r="CP804" i="1"/>
  <c r="CQ803" i="1"/>
  <c r="CP803" i="1"/>
  <c r="CO803" i="1"/>
  <c r="CP802" i="1"/>
  <c r="CQ802" i="1"/>
  <c r="CO802" i="1"/>
  <c r="CP801" i="1"/>
  <c r="CQ801" i="1"/>
  <c r="CO801" i="1"/>
  <c r="CO800" i="1"/>
  <c r="CK812" i="1" s="1"/>
  <c r="CP800" i="1"/>
  <c r="CL812" i="1" s="1"/>
  <c r="CQ800" i="1"/>
  <c r="CM812" i="1" s="1"/>
  <c r="CQ789" i="1"/>
  <c r="CO789" i="1"/>
  <c r="CP789" i="1"/>
  <c r="CO788" i="1"/>
  <c r="CP788" i="1"/>
  <c r="CQ788" i="1"/>
  <c r="CQ787" i="1"/>
  <c r="CP787" i="1"/>
  <c r="CO787" i="1"/>
  <c r="CO786" i="1"/>
  <c r="CQ786" i="1"/>
  <c r="CP786" i="1"/>
  <c r="CQ785" i="1"/>
  <c r="CO785" i="1"/>
  <c r="CP785" i="1"/>
  <c r="CO784" i="1"/>
  <c r="CP784" i="1"/>
  <c r="CQ784" i="1"/>
  <c r="CP783" i="1"/>
  <c r="CQ783" i="1"/>
  <c r="CO783" i="1"/>
  <c r="CQ782" i="1"/>
  <c r="CP782" i="1"/>
  <c r="CO782" i="1"/>
  <c r="CO781" i="1"/>
  <c r="CQ781" i="1"/>
  <c r="CP781" i="1"/>
  <c r="CQ780" i="1"/>
  <c r="CP780" i="1"/>
  <c r="CO780" i="1"/>
  <c r="CO779" i="1"/>
  <c r="CP779" i="1"/>
  <c r="CQ779" i="1"/>
  <c r="CO778" i="1"/>
  <c r="CK790" i="1" s="1"/>
  <c r="CP778" i="1"/>
  <c r="CL790" i="1" s="1"/>
  <c r="CQ778" i="1"/>
  <c r="CM790" i="1" s="1"/>
  <c r="CP767" i="1"/>
  <c r="CQ767" i="1"/>
  <c r="CO767" i="1"/>
  <c r="CO766" i="1"/>
  <c r="CQ766" i="1"/>
  <c r="CP766" i="1"/>
  <c r="CQ765" i="1"/>
  <c r="CP765" i="1"/>
  <c r="CO765" i="1"/>
  <c r="CP764" i="1"/>
  <c r="CQ764" i="1"/>
  <c r="CO764" i="1"/>
  <c r="CO763" i="1"/>
  <c r="CQ763" i="1"/>
  <c r="CP763" i="1"/>
  <c r="CO762" i="1"/>
  <c r="CP762" i="1"/>
  <c r="CQ762" i="1"/>
  <c r="CQ761" i="1"/>
  <c r="CO761" i="1"/>
  <c r="CP761" i="1"/>
  <c r="CO760" i="1"/>
  <c r="CQ760" i="1"/>
  <c r="CP760" i="1"/>
  <c r="CQ759" i="1"/>
  <c r="CP759" i="1"/>
  <c r="CO759" i="1"/>
  <c r="CQ758" i="1"/>
  <c r="CP758" i="1"/>
  <c r="CO758" i="1"/>
  <c r="CQ757" i="1"/>
  <c r="CP757" i="1"/>
  <c r="CO757" i="1"/>
  <c r="CO756" i="1"/>
  <c r="CK768" i="1" s="1"/>
  <c r="CP756" i="1"/>
  <c r="CL768" i="1" s="1"/>
  <c r="CQ756" i="1"/>
  <c r="CM768" i="1" s="1"/>
  <c r="CQ745" i="1"/>
  <c r="CP745" i="1"/>
  <c r="CO745" i="1"/>
  <c r="CQ744" i="1"/>
  <c r="CO744" i="1"/>
  <c r="CP744" i="1"/>
  <c r="CP743" i="1"/>
  <c r="CQ743" i="1"/>
  <c r="CO743" i="1"/>
  <c r="CO742" i="1"/>
  <c r="CQ742" i="1"/>
  <c r="CP742" i="1"/>
  <c r="CQ741" i="1"/>
  <c r="CO741" i="1"/>
  <c r="CP741" i="1"/>
  <c r="CO740" i="1"/>
  <c r="CQ740" i="1"/>
  <c r="CP740" i="1"/>
  <c r="CQ739" i="1"/>
  <c r="CP739" i="1"/>
  <c r="CO739" i="1"/>
  <c r="CO738" i="1"/>
  <c r="CP738" i="1"/>
  <c r="CQ738" i="1"/>
  <c r="CO737" i="1"/>
  <c r="CP737" i="1"/>
  <c r="CQ737" i="1"/>
  <c r="CQ736" i="1"/>
  <c r="CP736" i="1"/>
  <c r="CO736" i="1"/>
  <c r="CP735" i="1"/>
  <c r="CO735" i="1"/>
  <c r="CQ735" i="1"/>
  <c r="CQ734" i="1"/>
  <c r="CM746" i="1" s="1"/>
  <c r="CP734" i="1"/>
  <c r="CL746" i="1" s="1"/>
  <c r="CO734" i="1"/>
  <c r="CK746" i="1" s="1"/>
  <c r="CP32" i="1"/>
  <c r="CQ32" i="1"/>
  <c r="CO32" i="1"/>
  <c r="CO31" i="1"/>
  <c r="CP31" i="1"/>
  <c r="CQ31" i="1"/>
  <c r="CP30" i="1"/>
  <c r="CQ30" i="1"/>
  <c r="CO30" i="1"/>
  <c r="CO19" i="1"/>
  <c r="CP19" i="1"/>
  <c r="CQ19" i="1"/>
  <c r="CO18" i="1"/>
  <c r="CP18" i="1"/>
  <c r="CQ18" i="1"/>
  <c r="CQ17" i="1"/>
  <c r="CO17" i="1"/>
  <c r="CP17" i="1"/>
  <c r="CO16" i="1"/>
  <c r="CP16" i="1"/>
  <c r="CQ16" i="1"/>
  <c r="CP15" i="1"/>
  <c r="CO15" i="1"/>
  <c r="CQ15" i="1"/>
  <c r="CQ14" i="1"/>
  <c r="CP14" i="1"/>
  <c r="CO14" i="1"/>
  <c r="CP13" i="1"/>
  <c r="CO13" i="1"/>
  <c r="CQ13" i="1"/>
  <c r="CO12" i="1"/>
  <c r="CQ12" i="1"/>
  <c r="CP12" i="1"/>
  <c r="CP11" i="1"/>
  <c r="CQ11" i="1"/>
  <c r="CO11" i="1"/>
  <c r="CP10" i="1"/>
  <c r="CO10" i="1"/>
  <c r="CQ10" i="1"/>
  <c r="CO9" i="1"/>
  <c r="CP9" i="1"/>
  <c r="CQ9" i="1"/>
  <c r="CQ8" i="1"/>
  <c r="CO8" i="1"/>
  <c r="CP8" i="1"/>
  <c r="CL20" i="1" s="1"/>
  <c r="BY899" i="1"/>
  <c r="AF899" i="1"/>
  <c r="BP899" i="1"/>
  <c r="BG899" i="1"/>
  <c r="AX899" i="1"/>
  <c r="CQ899" i="1"/>
  <c r="AO899" i="1"/>
  <c r="W899" i="1"/>
  <c r="AN899" i="1"/>
  <c r="V899" i="1"/>
  <c r="CP899" i="1"/>
  <c r="BO899" i="1"/>
  <c r="BF899" i="1"/>
  <c r="AW899" i="1"/>
  <c r="BX899" i="1"/>
  <c r="AE899" i="1"/>
  <c r="CO899" i="1"/>
  <c r="BE899" i="1"/>
  <c r="AD899" i="1"/>
  <c r="BW899" i="1"/>
  <c r="AV899" i="1"/>
  <c r="BG898" i="1"/>
  <c r="BY898" i="1"/>
  <c r="AO898" i="1"/>
  <c r="BP898" i="1"/>
  <c r="AX898" i="1"/>
  <c r="AF898" i="1"/>
  <c r="W898" i="1"/>
  <c r="CQ898" i="1"/>
  <c r="AW898" i="1"/>
  <c r="BX898" i="1"/>
  <c r="CP898" i="1"/>
  <c r="AN898" i="1"/>
  <c r="BF898" i="1"/>
  <c r="V898" i="1"/>
  <c r="AE898" i="1"/>
  <c r="BO898" i="1"/>
  <c r="AV898" i="1"/>
  <c r="BN898" i="1"/>
  <c r="U898" i="1"/>
  <c r="BW898" i="1"/>
  <c r="AD898" i="1"/>
  <c r="CO898" i="1"/>
  <c r="BE898" i="1"/>
  <c r="BY897" i="1"/>
  <c r="AX897" i="1"/>
  <c r="BP897" i="1"/>
  <c r="BG897" i="1"/>
  <c r="AO897" i="1"/>
  <c r="CQ897" i="1"/>
  <c r="AF897" i="1"/>
  <c r="W897" i="1"/>
  <c r="BX897" i="1"/>
  <c r="AN897" i="1"/>
  <c r="AE897" i="1"/>
  <c r="V897" i="1"/>
  <c r="AW897" i="1"/>
  <c r="BO897" i="1"/>
  <c r="BF897" i="1"/>
  <c r="CP897" i="1"/>
  <c r="BW897" i="1"/>
  <c r="AD897" i="1"/>
  <c r="BN897" i="1"/>
  <c r="BE897" i="1"/>
  <c r="AM897" i="1"/>
  <c r="AV897" i="1"/>
  <c r="CO897" i="1"/>
  <c r="BP896" i="1"/>
  <c r="CQ896" i="1"/>
  <c r="AX896" i="1"/>
  <c r="BG896" i="1"/>
  <c r="AF896" i="1"/>
  <c r="AO896" i="1"/>
  <c r="BY896" i="1"/>
  <c r="CP896" i="1"/>
  <c r="BO896" i="1"/>
  <c r="AE896" i="1"/>
  <c r="BF896" i="1"/>
  <c r="AN896" i="1"/>
  <c r="AW896" i="1"/>
  <c r="BX896" i="1"/>
  <c r="BE896" i="1"/>
  <c r="AM896" i="1"/>
  <c r="BN896" i="1"/>
  <c r="AV896" i="1"/>
  <c r="BW896" i="1"/>
  <c r="CO896" i="1"/>
  <c r="BY895" i="1"/>
  <c r="AX895" i="1"/>
  <c r="AF895" i="1"/>
  <c r="CQ895" i="1"/>
  <c r="BP895" i="1"/>
  <c r="BG895" i="1"/>
  <c r="W895" i="1"/>
  <c r="AO895" i="1"/>
  <c r="V895" i="1"/>
  <c r="CP895" i="1"/>
  <c r="AW895" i="1"/>
  <c r="AN895" i="1"/>
  <c r="BF895" i="1"/>
  <c r="BX895" i="1"/>
  <c r="AE895" i="1"/>
  <c r="BO895" i="1"/>
  <c r="AD895" i="1"/>
  <c r="AM895" i="1"/>
  <c r="BE895" i="1"/>
  <c r="AV895" i="1"/>
  <c r="CO895" i="1"/>
  <c r="U895" i="1"/>
  <c r="CQ894" i="1"/>
  <c r="AF894" i="1"/>
  <c r="BG894" i="1"/>
  <c r="AX894" i="1"/>
  <c r="W894" i="1"/>
  <c r="BY894" i="1"/>
  <c r="AO894" i="1"/>
  <c r="BP894" i="1"/>
  <c r="AW894" i="1"/>
  <c r="BX894" i="1"/>
  <c r="BF894" i="1"/>
  <c r="CP894" i="1"/>
  <c r="BO894" i="1"/>
  <c r="V894" i="1"/>
  <c r="AN894" i="1"/>
  <c r="CO894" i="1"/>
  <c r="U894" i="1"/>
  <c r="BN894" i="1"/>
  <c r="BW894" i="1"/>
  <c r="AM894" i="1"/>
  <c r="AV894" i="1"/>
  <c r="BY893" i="1"/>
  <c r="BG893" i="1"/>
  <c r="AO893" i="1"/>
  <c r="AF893" i="1"/>
  <c r="W893" i="1"/>
  <c r="BP893" i="1"/>
  <c r="CQ893" i="1"/>
  <c r="AX893" i="1"/>
  <c r="BF893" i="1"/>
  <c r="AE893" i="1"/>
  <c r="V893" i="1"/>
  <c r="AN893" i="1"/>
  <c r="BO893" i="1"/>
  <c r="AW893" i="1"/>
  <c r="CP893" i="1"/>
  <c r="CO893" i="1"/>
  <c r="BN893" i="1"/>
  <c r="AV893" i="1"/>
  <c r="AM893" i="1"/>
  <c r="AD893" i="1"/>
  <c r="U893" i="1"/>
  <c r="BE893" i="1"/>
  <c r="BG892" i="1"/>
  <c r="AF892" i="1"/>
  <c r="BP892" i="1"/>
  <c r="AX892" i="1"/>
  <c r="CQ892" i="1"/>
  <c r="W892" i="1"/>
  <c r="BY892" i="1"/>
  <c r="AO892" i="1"/>
  <c r="BO892" i="1"/>
  <c r="CP892" i="1"/>
  <c r="AE892" i="1"/>
  <c r="V892" i="1"/>
  <c r="BX892" i="1"/>
  <c r="AN892" i="1"/>
  <c r="AW892" i="1"/>
  <c r="BF892" i="1"/>
  <c r="CO892" i="1"/>
  <c r="U892" i="1"/>
  <c r="AM892" i="1"/>
  <c r="AD892" i="1"/>
  <c r="BE892" i="1"/>
  <c r="BN892" i="1"/>
  <c r="BW892" i="1"/>
  <c r="AV892" i="1"/>
  <c r="BP891" i="1"/>
  <c r="CQ891" i="1"/>
  <c r="BY891" i="1"/>
  <c r="AO891" i="1"/>
  <c r="AF891" i="1"/>
  <c r="W891" i="1"/>
  <c r="AX891" i="1"/>
  <c r="BG891" i="1"/>
  <c r="AW891" i="1"/>
  <c r="AE891" i="1"/>
  <c r="BF891" i="1"/>
  <c r="BX891" i="1"/>
  <c r="BO891" i="1"/>
  <c r="V891" i="1"/>
  <c r="AN891" i="1"/>
  <c r="CP891" i="1"/>
  <c r="CO891" i="1"/>
  <c r="BN891" i="1"/>
  <c r="BE891" i="1"/>
  <c r="AM891" i="1"/>
  <c r="BW891" i="1"/>
  <c r="AD891" i="1"/>
  <c r="U891" i="1"/>
  <c r="BY890" i="1"/>
  <c r="AX890" i="1"/>
  <c r="AO890" i="1"/>
  <c r="CQ890" i="1"/>
  <c r="AF890" i="1"/>
  <c r="W890" i="1"/>
  <c r="BP890" i="1"/>
  <c r="BG890" i="1"/>
  <c r="V890" i="1"/>
  <c r="CP890" i="1"/>
  <c r="AN890" i="1"/>
  <c r="AW890" i="1"/>
  <c r="BF890" i="1"/>
  <c r="AE890" i="1"/>
  <c r="BX890" i="1"/>
  <c r="BO890" i="1"/>
  <c r="AD890" i="1"/>
  <c r="BN890" i="1"/>
  <c r="BE890" i="1"/>
  <c r="AM890" i="1"/>
  <c r="CO890" i="1"/>
  <c r="AV890" i="1"/>
  <c r="BW890" i="1"/>
  <c r="AF889" i="1"/>
  <c r="CQ889" i="1"/>
  <c r="AO889" i="1"/>
  <c r="AX889" i="1"/>
  <c r="W889" i="1"/>
  <c r="BY889" i="1"/>
  <c r="BG889" i="1"/>
  <c r="BP889" i="1"/>
  <c r="BX889" i="1"/>
  <c r="BF889" i="1"/>
  <c r="AW889" i="1"/>
  <c r="V889" i="1"/>
  <c r="AE889" i="1"/>
  <c r="AN889" i="1"/>
  <c r="CP889" i="1"/>
  <c r="BO889" i="1"/>
  <c r="U889" i="1"/>
  <c r="AD889" i="1"/>
  <c r="BN889" i="1"/>
  <c r="AV889" i="1"/>
  <c r="CO889" i="1"/>
  <c r="BE889" i="1"/>
  <c r="AM889" i="1"/>
  <c r="BW889" i="1"/>
  <c r="K900" i="1"/>
  <c r="BP888" i="1"/>
  <c r="AX888" i="1"/>
  <c r="BG888" i="1"/>
  <c r="AO888" i="1"/>
  <c r="W888" i="1"/>
  <c r="BY888" i="1"/>
  <c r="CQ888" i="1"/>
  <c r="AF888" i="1"/>
  <c r="J900" i="1"/>
  <c r="AW888" i="1"/>
  <c r="BX888" i="1"/>
  <c r="BF888" i="1"/>
  <c r="BO888" i="1"/>
  <c r="V888" i="1"/>
  <c r="CP888" i="1"/>
  <c r="AN888" i="1"/>
  <c r="AE888" i="1"/>
  <c r="I900" i="1"/>
  <c r="AD888" i="1"/>
  <c r="BW888" i="1"/>
  <c r="U888" i="1"/>
  <c r="BN888" i="1"/>
  <c r="BE888" i="1"/>
  <c r="AV888" i="1"/>
  <c r="CO888" i="1"/>
  <c r="AM888" i="1"/>
  <c r="BP877" i="1"/>
  <c r="BY877" i="1"/>
  <c r="W877" i="1"/>
  <c r="AO877" i="1"/>
  <c r="BG877" i="1"/>
  <c r="AX877" i="1"/>
  <c r="CQ877" i="1"/>
  <c r="AF877" i="1"/>
  <c r="BX877" i="1"/>
  <c r="BF877" i="1"/>
  <c r="CP877" i="1"/>
  <c r="BO877" i="1"/>
  <c r="V877" i="1"/>
  <c r="AE877" i="1"/>
  <c r="AW877" i="1"/>
  <c r="AN877" i="1"/>
  <c r="BW877" i="1"/>
  <c r="CO877" i="1"/>
  <c r="U877" i="1"/>
  <c r="BN877" i="1"/>
  <c r="AM877" i="1"/>
  <c r="AD877" i="1"/>
  <c r="BE877" i="1"/>
  <c r="AV877" i="1"/>
  <c r="AO876" i="1"/>
  <c r="AX876" i="1"/>
  <c r="W876" i="1"/>
  <c r="BP876" i="1"/>
  <c r="BY876" i="1"/>
  <c r="CQ876" i="1"/>
  <c r="BG876" i="1"/>
  <c r="AF876" i="1"/>
  <c r="BF876" i="1"/>
  <c r="CP876" i="1"/>
  <c r="V876" i="1"/>
  <c r="AN876" i="1"/>
  <c r="BO876" i="1"/>
  <c r="AE876" i="1"/>
  <c r="AW876" i="1"/>
  <c r="BX876" i="1"/>
  <c r="CO876" i="1"/>
  <c r="AD876" i="1"/>
  <c r="AM876" i="1"/>
  <c r="AV876" i="1"/>
  <c r="BW876" i="1"/>
  <c r="U876" i="1"/>
  <c r="BE876" i="1"/>
  <c r="BN876" i="1"/>
  <c r="BP875" i="1"/>
  <c r="AX875" i="1"/>
  <c r="AF875" i="1"/>
  <c r="BY875" i="1"/>
  <c r="AO875" i="1"/>
  <c r="BG875" i="1"/>
  <c r="W875" i="1"/>
  <c r="CQ875" i="1"/>
  <c r="CP875" i="1"/>
  <c r="BO875" i="1"/>
  <c r="BF875" i="1"/>
  <c r="AN875" i="1"/>
  <c r="AE875" i="1"/>
  <c r="AW875" i="1"/>
  <c r="BX875" i="1"/>
  <c r="V875" i="1"/>
  <c r="BE875" i="1"/>
  <c r="AV875" i="1"/>
  <c r="AM875" i="1"/>
  <c r="AD875" i="1"/>
  <c r="BN875" i="1"/>
  <c r="U875" i="1"/>
  <c r="CO875" i="1"/>
  <c r="BW875" i="1"/>
  <c r="BY874" i="1"/>
  <c r="W874" i="1"/>
  <c r="AF874" i="1"/>
  <c r="AX874" i="1"/>
  <c r="CQ874" i="1"/>
  <c r="AO874" i="1"/>
  <c r="BG874" i="1"/>
  <c r="BP874" i="1"/>
  <c r="BF874" i="1"/>
  <c r="AW874" i="1"/>
  <c r="AN874" i="1"/>
  <c r="AE874" i="1"/>
  <c r="CP874" i="1"/>
  <c r="BX874" i="1"/>
  <c r="BO874" i="1"/>
  <c r="AM874" i="1"/>
  <c r="CO874" i="1"/>
  <c r="BN874" i="1"/>
  <c r="BW874" i="1"/>
  <c r="AD874" i="1"/>
  <c r="AV874" i="1"/>
  <c r="BP873" i="1"/>
  <c r="BY873" i="1"/>
  <c r="CQ873" i="1"/>
  <c r="AX873" i="1"/>
  <c r="W873" i="1"/>
  <c r="AF873" i="1"/>
  <c r="AO873" i="1"/>
  <c r="BG873" i="1"/>
  <c r="BO873" i="1"/>
  <c r="CP873" i="1"/>
  <c r="AE873" i="1"/>
  <c r="BF873" i="1"/>
  <c r="V873" i="1"/>
  <c r="BX873" i="1"/>
  <c r="AN873" i="1"/>
  <c r="AW873" i="1"/>
  <c r="U873" i="1"/>
  <c r="BW873" i="1"/>
  <c r="BE873" i="1"/>
  <c r="BN873" i="1"/>
  <c r="AV873" i="1"/>
  <c r="CO873" i="1"/>
  <c r="AM873" i="1"/>
  <c r="AD873" i="1"/>
  <c r="BY872" i="1"/>
  <c r="AF872" i="1"/>
  <c r="W872" i="1"/>
  <c r="AO872" i="1"/>
  <c r="BG872" i="1"/>
  <c r="CQ872" i="1"/>
  <c r="BP872" i="1"/>
  <c r="AX872" i="1"/>
  <c r="V872" i="1"/>
  <c r="BO872" i="1"/>
  <c r="BF872" i="1"/>
  <c r="BX872" i="1"/>
  <c r="AE872" i="1"/>
  <c r="AW872" i="1"/>
  <c r="AN872" i="1"/>
  <c r="CP872" i="1"/>
  <c r="BN872" i="1"/>
  <c r="BE872" i="1"/>
  <c r="AM872" i="1"/>
  <c r="AD872" i="1"/>
  <c r="U872" i="1"/>
  <c r="CO872" i="1"/>
  <c r="BW872" i="1"/>
  <c r="AV872" i="1"/>
  <c r="CQ871" i="1"/>
  <c r="BY871" i="1"/>
  <c r="AX871" i="1"/>
  <c r="W871" i="1"/>
  <c r="AO871" i="1"/>
  <c r="BG871" i="1"/>
  <c r="AF871" i="1"/>
  <c r="BP871" i="1"/>
  <c r="BO871" i="1"/>
  <c r="CP871" i="1"/>
  <c r="AE871" i="1"/>
  <c r="BX871" i="1"/>
  <c r="AN871" i="1"/>
  <c r="V871" i="1"/>
  <c r="AW871" i="1"/>
  <c r="BF871" i="1"/>
  <c r="AV871" i="1"/>
  <c r="BW871" i="1"/>
  <c r="BE871" i="1"/>
  <c r="AD871" i="1"/>
  <c r="BN871" i="1"/>
  <c r="CO871" i="1"/>
  <c r="AX870" i="1"/>
  <c r="BY870" i="1"/>
  <c r="CQ870" i="1"/>
  <c r="W870" i="1"/>
  <c r="AO870" i="1"/>
  <c r="BP870" i="1"/>
  <c r="BG870" i="1"/>
  <c r="AF870" i="1"/>
  <c r="BO870" i="1"/>
  <c r="V870" i="1"/>
  <c r="AN870" i="1"/>
  <c r="AW870" i="1"/>
  <c r="AE870" i="1"/>
  <c r="CP870" i="1"/>
  <c r="BX870" i="1"/>
  <c r="BF870" i="1"/>
  <c r="BN870" i="1"/>
  <c r="BE870" i="1"/>
  <c r="AM870" i="1"/>
  <c r="AD870" i="1"/>
  <c r="CO870" i="1"/>
  <c r="BW870" i="1"/>
  <c r="U870" i="1"/>
  <c r="AV870" i="1"/>
  <c r="BP869" i="1"/>
  <c r="AX869" i="1"/>
  <c r="AF869" i="1"/>
  <c r="AO869" i="1"/>
  <c r="W869" i="1"/>
  <c r="BY869" i="1"/>
  <c r="CQ869" i="1"/>
  <c r="BG869" i="1"/>
  <c r="V869" i="1"/>
  <c r="BF869" i="1"/>
  <c r="AN869" i="1"/>
  <c r="AW869" i="1"/>
  <c r="BX869" i="1"/>
  <c r="AE869" i="1"/>
  <c r="BO869" i="1"/>
  <c r="CP869" i="1"/>
  <c r="BN869" i="1"/>
  <c r="AD869" i="1"/>
  <c r="U869" i="1"/>
  <c r="CO869" i="1"/>
  <c r="AM869" i="1"/>
  <c r="BW869" i="1"/>
  <c r="BE869" i="1"/>
  <c r="AV869" i="1"/>
  <c r="BG868" i="1"/>
  <c r="W868" i="1"/>
  <c r="AF868" i="1"/>
  <c r="AO868" i="1"/>
  <c r="CQ868" i="1"/>
  <c r="BP868" i="1"/>
  <c r="BY868" i="1"/>
  <c r="AX868" i="1"/>
  <c r="BX868" i="1"/>
  <c r="AE868" i="1"/>
  <c r="AW868" i="1"/>
  <c r="CP868" i="1"/>
  <c r="V868" i="1"/>
  <c r="AN868" i="1"/>
  <c r="BF868" i="1"/>
  <c r="BO868" i="1"/>
  <c r="AV868" i="1"/>
  <c r="AM868" i="1"/>
  <c r="AD868" i="1"/>
  <c r="BN868" i="1"/>
  <c r="CO868" i="1"/>
  <c r="BE868" i="1"/>
  <c r="BW868" i="1"/>
  <c r="AO867" i="1"/>
  <c r="AX867" i="1"/>
  <c r="BP867" i="1"/>
  <c r="CQ867" i="1"/>
  <c r="BG867" i="1"/>
  <c r="W867" i="1"/>
  <c r="BY867" i="1"/>
  <c r="AF867" i="1"/>
  <c r="AW867" i="1"/>
  <c r="BX867" i="1"/>
  <c r="V867" i="1"/>
  <c r="CP867" i="1"/>
  <c r="BO867" i="1"/>
  <c r="AN867" i="1"/>
  <c r="BF867" i="1"/>
  <c r="AV867" i="1"/>
  <c r="CO867" i="1"/>
  <c r="BW867" i="1"/>
  <c r="BE867" i="1"/>
  <c r="BN867" i="1"/>
  <c r="K878" i="1"/>
  <c r="AX866" i="1"/>
  <c r="AF866" i="1"/>
  <c r="AO866" i="1"/>
  <c r="BG866" i="1"/>
  <c r="BP866" i="1"/>
  <c r="BY866" i="1"/>
  <c r="CQ866" i="1"/>
  <c r="W866" i="1"/>
  <c r="J878" i="1"/>
  <c r="V866" i="1"/>
  <c r="BF866" i="1"/>
  <c r="BO866" i="1"/>
  <c r="CP866" i="1"/>
  <c r="BX866" i="1"/>
  <c r="AW866" i="1"/>
  <c r="AN866" i="1"/>
  <c r="AE866" i="1"/>
  <c r="I878" i="1"/>
  <c r="U866" i="1"/>
  <c r="AD866" i="1"/>
  <c r="AV866" i="1"/>
  <c r="BE866" i="1"/>
  <c r="BW866" i="1"/>
  <c r="AM866" i="1"/>
  <c r="CO866" i="1"/>
  <c r="BN866" i="1"/>
  <c r="BP855" i="1"/>
  <c r="BG855" i="1"/>
  <c r="AO855" i="1"/>
  <c r="CQ855" i="1"/>
  <c r="BY855" i="1"/>
  <c r="AX855" i="1"/>
  <c r="AF855" i="1"/>
  <c r="W855" i="1"/>
  <c r="AN855" i="1"/>
  <c r="BX855" i="1"/>
  <c r="BF855" i="1"/>
  <c r="AE855" i="1"/>
  <c r="BO855" i="1"/>
  <c r="V855" i="1"/>
  <c r="CP855" i="1"/>
  <c r="AW855" i="1"/>
  <c r="BW855" i="1"/>
  <c r="AD855" i="1"/>
  <c r="U855" i="1"/>
  <c r="CO855" i="1"/>
  <c r="AM855" i="1"/>
  <c r="BN855" i="1"/>
  <c r="AV855" i="1"/>
  <c r="BG854" i="1"/>
  <c r="W854" i="1"/>
  <c r="CQ854" i="1"/>
  <c r="AO854" i="1"/>
  <c r="BY854" i="1"/>
  <c r="AF854" i="1"/>
  <c r="AX854" i="1"/>
  <c r="BP854" i="1"/>
  <c r="V854" i="1"/>
  <c r="AW854" i="1"/>
  <c r="AE854" i="1"/>
  <c r="BF854" i="1"/>
  <c r="CP854" i="1"/>
  <c r="AN854" i="1"/>
  <c r="BO854" i="1"/>
  <c r="BX854" i="1"/>
  <c r="AM854" i="1"/>
  <c r="BE854" i="1"/>
  <c r="BW854" i="1"/>
  <c r="U854" i="1"/>
  <c r="AV854" i="1"/>
  <c r="AD854" i="1"/>
  <c r="BN854" i="1"/>
  <c r="CO854" i="1"/>
  <c r="AX853" i="1"/>
  <c r="AF853" i="1"/>
  <c r="CQ853" i="1"/>
  <c r="BY853" i="1"/>
  <c r="AO853" i="1"/>
  <c r="W853" i="1"/>
  <c r="BP853" i="1"/>
  <c r="BG853" i="1"/>
  <c r="AE853" i="1"/>
  <c r="AN853" i="1"/>
  <c r="BF853" i="1"/>
  <c r="BO853" i="1"/>
  <c r="BX853" i="1"/>
  <c r="V853" i="1"/>
  <c r="AW853" i="1"/>
  <c r="CP853" i="1"/>
  <c r="CO853" i="1"/>
  <c r="BN853" i="1"/>
  <c r="AV853" i="1"/>
  <c r="BW853" i="1"/>
  <c r="AD853" i="1"/>
  <c r="U853" i="1"/>
  <c r="BE853" i="1"/>
  <c r="AM853" i="1"/>
  <c r="CQ852" i="1"/>
  <c r="BY852" i="1"/>
  <c r="BP852" i="1"/>
  <c r="W852" i="1"/>
  <c r="AO852" i="1"/>
  <c r="AF852" i="1"/>
  <c r="BG852" i="1"/>
  <c r="AX852" i="1"/>
  <c r="BF852" i="1"/>
  <c r="CP852" i="1"/>
  <c r="AN852" i="1"/>
  <c r="AE852" i="1"/>
  <c r="BO852" i="1"/>
  <c r="V852" i="1"/>
  <c r="AW852" i="1"/>
  <c r="BX852" i="1"/>
  <c r="AM852" i="1"/>
  <c r="BN852" i="1"/>
  <c r="BE852" i="1"/>
  <c r="AD852" i="1"/>
  <c r="CO852" i="1"/>
  <c r="BW852" i="1"/>
  <c r="CQ851" i="1"/>
  <c r="AF851" i="1"/>
  <c r="AX851" i="1"/>
  <c r="W851" i="1"/>
  <c r="BP851" i="1"/>
  <c r="AO851" i="1"/>
  <c r="BY851" i="1"/>
  <c r="BG851" i="1"/>
  <c r="BF851" i="1"/>
  <c r="AW851" i="1"/>
  <c r="AN851" i="1"/>
  <c r="V851" i="1"/>
  <c r="BO851" i="1"/>
  <c r="CP851" i="1"/>
  <c r="AE851" i="1"/>
  <c r="BX851" i="1"/>
  <c r="U851" i="1"/>
  <c r="AV851" i="1"/>
  <c r="AD851" i="1"/>
  <c r="CO851" i="1"/>
  <c r="BN851" i="1"/>
  <c r="BE851" i="1"/>
  <c r="BW851" i="1"/>
  <c r="CQ850" i="1"/>
  <c r="AF850" i="1"/>
  <c r="AX850" i="1"/>
  <c r="BP850" i="1"/>
  <c r="W850" i="1"/>
  <c r="AO850" i="1"/>
  <c r="BY850" i="1"/>
  <c r="BG850" i="1"/>
  <c r="BX850" i="1"/>
  <c r="BO850" i="1"/>
  <c r="CP850" i="1"/>
  <c r="AN850" i="1"/>
  <c r="V850" i="1"/>
  <c r="BF850" i="1"/>
  <c r="AE850" i="1"/>
  <c r="AW850" i="1"/>
  <c r="CO850" i="1"/>
  <c r="AM850" i="1"/>
  <c r="AD850" i="1"/>
  <c r="BE850" i="1"/>
  <c r="AV850" i="1"/>
  <c r="BN850" i="1"/>
  <c r="BW850" i="1"/>
  <c r="U850" i="1"/>
  <c r="BG849" i="1"/>
  <c r="BY849" i="1"/>
  <c r="AF849" i="1"/>
  <c r="BP849" i="1"/>
  <c r="AX849" i="1"/>
  <c r="CQ849" i="1"/>
  <c r="AO849" i="1"/>
  <c r="W849" i="1"/>
  <c r="AE849" i="1"/>
  <c r="AW849" i="1"/>
  <c r="V849" i="1"/>
  <c r="BX849" i="1"/>
  <c r="CP849" i="1"/>
  <c r="BF849" i="1"/>
  <c r="AN849" i="1"/>
  <c r="BO849" i="1"/>
  <c r="AV849" i="1"/>
  <c r="CO849" i="1"/>
  <c r="BW849" i="1"/>
  <c r="BE849" i="1"/>
  <c r="BN849" i="1"/>
  <c r="U849" i="1"/>
  <c r="W848" i="1"/>
  <c r="AF848" i="1"/>
  <c r="CQ848" i="1"/>
  <c r="AX848" i="1"/>
  <c r="BY848" i="1"/>
  <c r="BG848" i="1"/>
  <c r="AO848" i="1"/>
  <c r="BP848" i="1"/>
  <c r="AE848" i="1"/>
  <c r="BF848" i="1"/>
  <c r="BX848" i="1"/>
  <c r="V848" i="1"/>
  <c r="AW848" i="1"/>
  <c r="CP848" i="1"/>
  <c r="BO848" i="1"/>
  <c r="AN848" i="1"/>
  <c r="AD848" i="1"/>
  <c r="BE848" i="1"/>
  <c r="BW848" i="1"/>
  <c r="U848" i="1"/>
  <c r="BN848" i="1"/>
  <c r="CO848" i="1"/>
  <c r="AM848" i="1"/>
  <c r="AV848" i="1"/>
  <c r="CQ847" i="1"/>
  <c r="W847" i="1"/>
  <c r="AX847" i="1"/>
  <c r="BY847" i="1"/>
  <c r="BG847" i="1"/>
  <c r="AO847" i="1"/>
  <c r="AF847" i="1"/>
  <c r="BP847" i="1"/>
  <c r="BF847" i="1"/>
  <c r="AW847" i="1"/>
  <c r="CP847" i="1"/>
  <c r="AE847" i="1"/>
  <c r="BO847" i="1"/>
  <c r="V847" i="1"/>
  <c r="BX847" i="1"/>
  <c r="AN847" i="1"/>
  <c r="BE847" i="1"/>
  <c r="AV847" i="1"/>
  <c r="AM847" i="1"/>
  <c r="U847" i="1"/>
  <c r="AD847" i="1"/>
  <c r="BN847" i="1"/>
  <c r="CO847" i="1"/>
  <c r="BW847" i="1"/>
  <c r="BY846" i="1"/>
  <c r="BG846" i="1"/>
  <c r="AX846" i="1"/>
  <c r="CQ846" i="1"/>
  <c r="BP846" i="1"/>
  <c r="AF846" i="1"/>
  <c r="AO846" i="1"/>
  <c r="W846" i="1"/>
  <c r="V846" i="1"/>
  <c r="BF846" i="1"/>
  <c r="BO846" i="1"/>
  <c r="AW846" i="1"/>
  <c r="CP846" i="1"/>
  <c r="AN846" i="1"/>
  <c r="BX846" i="1"/>
  <c r="AM846" i="1"/>
  <c r="BE846" i="1"/>
  <c r="AV846" i="1"/>
  <c r="BN846" i="1"/>
  <c r="CO846" i="1"/>
  <c r="BW846" i="1"/>
  <c r="BP845" i="1"/>
  <c r="CQ845" i="1"/>
  <c r="AO845" i="1"/>
  <c r="AF845" i="1"/>
  <c r="BY845" i="1"/>
  <c r="BG845" i="1"/>
  <c r="AX845" i="1"/>
  <c r="W845" i="1"/>
  <c r="AE845" i="1"/>
  <c r="BF845" i="1"/>
  <c r="V845" i="1"/>
  <c r="BX845" i="1"/>
  <c r="CP845" i="1"/>
  <c r="BO845" i="1"/>
  <c r="AW845" i="1"/>
  <c r="AN845" i="1"/>
  <c r="CO845" i="1"/>
  <c r="BN845" i="1"/>
  <c r="AV845" i="1"/>
  <c r="BE845" i="1"/>
  <c r="AD845" i="1"/>
  <c r="BW845" i="1"/>
  <c r="K856" i="1"/>
  <c r="BP844" i="1"/>
  <c r="AF844" i="1"/>
  <c r="AB856" i="1" s="1"/>
  <c r="CQ844" i="1"/>
  <c r="CM856" i="1" s="1"/>
  <c r="AO844" i="1"/>
  <c r="AK856" i="1" s="1"/>
  <c r="BG844" i="1"/>
  <c r="BC856" i="1" s="1"/>
  <c r="BY844" i="1"/>
  <c r="BU856" i="1" s="1"/>
  <c r="AX844" i="1"/>
  <c r="AT856" i="1" s="1"/>
  <c r="J856" i="1"/>
  <c r="V844" i="1"/>
  <c r="R856" i="1" s="1"/>
  <c r="BO844" i="1"/>
  <c r="BK856" i="1" s="1"/>
  <c r="BF844" i="1"/>
  <c r="BB856" i="1" s="1"/>
  <c r="AW844" i="1"/>
  <c r="AS856" i="1" s="1"/>
  <c r="CP844" i="1"/>
  <c r="CL856" i="1" s="1"/>
  <c r="BX844" i="1"/>
  <c r="BT856" i="1" s="1"/>
  <c r="AN844" i="1"/>
  <c r="AJ856" i="1" s="1"/>
  <c r="AE844" i="1"/>
  <c r="I856" i="1"/>
  <c r="AM844" i="1"/>
  <c r="AI856" i="1" s="1"/>
  <c r="AV844" i="1"/>
  <c r="AR856" i="1" s="1"/>
  <c r="BW844" i="1"/>
  <c r="BS856" i="1" s="1"/>
  <c r="AD844" i="1"/>
  <c r="CO844" i="1"/>
  <c r="CK856" i="1" s="1"/>
  <c r="BN844" i="1"/>
  <c r="BJ856" i="1" s="1"/>
  <c r="BE844" i="1"/>
  <c r="BA856" i="1" s="1"/>
  <c r="U844" i="1"/>
  <c r="Q856" i="1" s="1"/>
  <c r="W833" i="1"/>
  <c r="BP833" i="1"/>
  <c r="AX833" i="1"/>
  <c r="BG833" i="1"/>
  <c r="CQ833" i="1"/>
  <c r="AF833" i="1"/>
  <c r="AO833" i="1"/>
  <c r="BY833" i="1"/>
  <c r="BF833" i="1"/>
  <c r="V833" i="1"/>
  <c r="BO833" i="1"/>
  <c r="AE833" i="1"/>
  <c r="AN833" i="1"/>
  <c r="BX833" i="1"/>
  <c r="CP833" i="1"/>
  <c r="AW833" i="1"/>
  <c r="CO833" i="1"/>
  <c r="U833" i="1"/>
  <c r="AM833" i="1"/>
  <c r="BN833" i="1"/>
  <c r="BW833" i="1"/>
  <c r="BE833" i="1"/>
  <c r="AV833" i="1"/>
  <c r="AD833" i="1"/>
  <c r="AF832" i="1"/>
  <c r="BG832" i="1"/>
  <c r="AO832" i="1"/>
  <c r="AX832" i="1"/>
  <c r="CQ832" i="1"/>
  <c r="BY832" i="1"/>
  <c r="BP832" i="1"/>
  <c r="W832" i="1"/>
  <c r="BO832" i="1"/>
  <c r="BF832" i="1"/>
  <c r="V832" i="1"/>
  <c r="CP832" i="1"/>
  <c r="AE832" i="1"/>
  <c r="BX832" i="1"/>
  <c r="AW832" i="1"/>
  <c r="AN832" i="1"/>
  <c r="BW832" i="1"/>
  <c r="BE832" i="1"/>
  <c r="AV832" i="1"/>
  <c r="CO832" i="1"/>
  <c r="AM832" i="1"/>
  <c r="AD832" i="1"/>
  <c r="U832" i="1"/>
  <c r="BN832" i="1"/>
  <c r="W831" i="1"/>
  <c r="AF831" i="1"/>
  <c r="BG831" i="1"/>
  <c r="CQ831" i="1"/>
  <c r="BY831" i="1"/>
  <c r="BP831" i="1"/>
  <c r="AX831" i="1"/>
  <c r="AO831" i="1"/>
  <c r="AW831" i="1"/>
  <c r="BO831" i="1"/>
  <c r="AN831" i="1"/>
  <c r="CP831" i="1"/>
  <c r="BF831" i="1"/>
  <c r="V831" i="1"/>
  <c r="AE831" i="1"/>
  <c r="BX831" i="1"/>
  <c r="BE831" i="1"/>
  <c r="AD831" i="1"/>
  <c r="CO831" i="1"/>
  <c r="BW831" i="1"/>
  <c r="AM831" i="1"/>
  <c r="AV831" i="1"/>
  <c r="BP830" i="1"/>
  <c r="BG830" i="1"/>
  <c r="W830" i="1"/>
  <c r="AF830" i="1"/>
  <c r="AO830" i="1"/>
  <c r="CQ830" i="1"/>
  <c r="BY830" i="1"/>
  <c r="BX830" i="1"/>
  <c r="CP830" i="1"/>
  <c r="AE830" i="1"/>
  <c r="V830" i="1"/>
  <c r="AN830" i="1"/>
  <c r="BO830" i="1"/>
  <c r="BF830" i="1"/>
  <c r="BN830" i="1"/>
  <c r="CO830" i="1"/>
  <c r="U830" i="1"/>
  <c r="AD830" i="1"/>
  <c r="BW830" i="1"/>
  <c r="BG829" i="1"/>
  <c r="BP829" i="1"/>
  <c r="AX829" i="1"/>
  <c r="CQ829" i="1"/>
  <c r="AF829" i="1"/>
  <c r="AO829" i="1"/>
  <c r="BY829" i="1"/>
  <c r="W829" i="1"/>
  <c r="BX829" i="1"/>
  <c r="AW829" i="1"/>
  <c r="BF829" i="1"/>
  <c r="CP829" i="1"/>
  <c r="AE829" i="1"/>
  <c r="BO829" i="1"/>
  <c r="AN829" i="1"/>
  <c r="V829" i="1"/>
  <c r="AV829" i="1"/>
  <c r="AD829" i="1"/>
  <c r="AM829" i="1"/>
  <c r="U829" i="1"/>
  <c r="CO829" i="1"/>
  <c r="BN829" i="1"/>
  <c r="BW829" i="1"/>
  <c r="BE829" i="1"/>
  <c r="BG828" i="1"/>
  <c r="BY828" i="1"/>
  <c r="AF828" i="1"/>
  <c r="CQ828" i="1"/>
  <c r="AO828" i="1"/>
  <c r="AX828" i="1"/>
  <c r="BP828" i="1"/>
  <c r="W828" i="1"/>
  <c r="AE828" i="1"/>
  <c r="V828" i="1"/>
  <c r="BF828" i="1"/>
  <c r="BX828" i="1"/>
  <c r="AW828" i="1"/>
  <c r="BO828" i="1"/>
  <c r="AN828" i="1"/>
  <c r="CP828" i="1"/>
  <c r="CO828" i="1"/>
  <c r="U828" i="1"/>
  <c r="BW828" i="1"/>
  <c r="BE828" i="1"/>
  <c r="BN828" i="1"/>
  <c r="AV828" i="1"/>
  <c r="AM828" i="1"/>
  <c r="AD828" i="1"/>
  <c r="CQ827" i="1"/>
  <c r="BP827" i="1"/>
  <c r="BY827" i="1"/>
  <c r="W827" i="1"/>
  <c r="BG827" i="1"/>
  <c r="AX827" i="1"/>
  <c r="AO827" i="1"/>
  <c r="AF827" i="1"/>
  <c r="AE827" i="1"/>
  <c r="V827" i="1"/>
  <c r="AN827" i="1"/>
  <c r="AW827" i="1"/>
  <c r="CP827" i="1"/>
  <c r="BO827" i="1"/>
  <c r="BF827" i="1"/>
  <c r="BX827" i="1"/>
  <c r="AM827" i="1"/>
  <c r="AV827" i="1"/>
  <c r="BE827" i="1"/>
  <c r="AD827" i="1"/>
  <c r="CO827" i="1"/>
  <c r="BN827" i="1"/>
  <c r="BW827" i="1"/>
  <c r="BP826" i="1"/>
  <c r="AF826" i="1"/>
  <c r="AO826" i="1"/>
  <c r="BG826" i="1"/>
  <c r="BY826" i="1"/>
  <c r="CQ826" i="1"/>
  <c r="AX826" i="1"/>
  <c r="W826" i="1"/>
  <c r="BX826" i="1"/>
  <c r="BF826" i="1"/>
  <c r="AW826" i="1"/>
  <c r="AE826" i="1"/>
  <c r="CP826" i="1"/>
  <c r="BO826" i="1"/>
  <c r="AN826" i="1"/>
  <c r="V826" i="1"/>
  <c r="CO826" i="1"/>
  <c r="AD826" i="1"/>
  <c r="BN826" i="1"/>
  <c r="BE826" i="1"/>
  <c r="AV826" i="1"/>
  <c r="AM826" i="1"/>
  <c r="BG825" i="1"/>
  <c r="BP825" i="1"/>
  <c r="W825" i="1"/>
  <c r="AO825" i="1"/>
  <c r="AF825" i="1"/>
  <c r="AX825" i="1"/>
  <c r="CQ825" i="1"/>
  <c r="BY825" i="1"/>
  <c r="CP825" i="1"/>
  <c r="BF825" i="1"/>
  <c r="AN825" i="1"/>
  <c r="V825" i="1"/>
  <c r="AW825" i="1"/>
  <c r="AE825" i="1"/>
  <c r="BX825" i="1"/>
  <c r="BO825" i="1"/>
  <c r="U825" i="1"/>
  <c r="AD825" i="1"/>
  <c r="AM825" i="1"/>
  <c r="BN825" i="1"/>
  <c r="BW825" i="1"/>
  <c r="BE825" i="1"/>
  <c r="CO825" i="1"/>
  <c r="AV825" i="1"/>
  <c r="CQ824" i="1"/>
  <c r="BP824" i="1"/>
  <c r="BY824" i="1"/>
  <c r="AF824" i="1"/>
  <c r="AO824" i="1"/>
  <c r="W824" i="1"/>
  <c r="BG824" i="1"/>
  <c r="AX824" i="1"/>
  <c r="BX824" i="1"/>
  <c r="CP824" i="1"/>
  <c r="AE824" i="1"/>
  <c r="BF824" i="1"/>
  <c r="AW824" i="1"/>
  <c r="AN824" i="1"/>
  <c r="V824" i="1"/>
  <c r="BO824" i="1"/>
  <c r="BN824" i="1"/>
  <c r="AV824" i="1"/>
  <c r="BW824" i="1"/>
  <c r="BS834" i="1" s="1"/>
  <c r="CO824" i="1"/>
  <c r="AM824" i="1"/>
  <c r="AD824" i="1"/>
  <c r="BE824" i="1"/>
  <c r="BA834" i="1" s="1"/>
  <c r="AO823" i="1"/>
  <c r="AX823" i="1"/>
  <c r="BG823" i="1"/>
  <c r="BC834" i="1" s="1"/>
  <c r="BP823" i="1"/>
  <c r="AF823" i="1"/>
  <c r="BY823" i="1"/>
  <c r="BU834" i="1" s="1"/>
  <c r="W823" i="1"/>
  <c r="CQ823" i="1"/>
  <c r="AN823" i="1"/>
  <c r="CP823" i="1"/>
  <c r="BF823" i="1"/>
  <c r="BB834" i="1" s="1"/>
  <c r="AW823" i="1"/>
  <c r="BO823" i="1"/>
  <c r="V823" i="1"/>
  <c r="BX823" i="1"/>
  <c r="BT834" i="1" s="1"/>
  <c r="W692" i="1"/>
  <c r="AO692" i="1"/>
  <c r="BY692" i="1"/>
  <c r="AX692" i="1"/>
  <c r="BG692" i="1"/>
  <c r="BP692" i="1"/>
  <c r="AF692" i="1"/>
  <c r="AN692" i="1"/>
  <c r="BX692" i="1"/>
  <c r="BO692" i="1"/>
  <c r="AE692" i="1"/>
  <c r="V692" i="1"/>
  <c r="BF692" i="1"/>
  <c r="AW692" i="1"/>
  <c r="AV692" i="1"/>
  <c r="AM692" i="1"/>
  <c r="AD692" i="1"/>
  <c r="BN692" i="1"/>
  <c r="U692" i="1"/>
  <c r="BW692" i="1"/>
  <c r="BE692" i="1"/>
  <c r="AF691" i="1"/>
  <c r="W691" i="1"/>
  <c r="AO691" i="1"/>
  <c r="AX691" i="1"/>
  <c r="BG691" i="1"/>
  <c r="BP691" i="1"/>
  <c r="BY691" i="1"/>
  <c r="AN691" i="1"/>
  <c r="AE691" i="1"/>
  <c r="V691" i="1"/>
  <c r="BX691" i="1"/>
  <c r="BO691" i="1"/>
  <c r="BF691" i="1"/>
  <c r="AW691" i="1"/>
  <c r="BW691" i="1"/>
  <c r="AV691" i="1"/>
  <c r="BN691" i="1"/>
  <c r="AM691" i="1"/>
  <c r="BE691" i="1"/>
  <c r="AD691" i="1"/>
  <c r="U691" i="1"/>
  <c r="W690" i="1"/>
  <c r="AF690" i="1"/>
  <c r="AB702" i="1" s="1"/>
  <c r="AO690" i="1"/>
  <c r="BY690" i="1"/>
  <c r="BU702" i="1" s="1"/>
  <c r="BP690" i="1"/>
  <c r="BG690" i="1"/>
  <c r="BC702" i="1" s="1"/>
  <c r="AN690" i="1"/>
  <c r="V690" i="1"/>
  <c r="AE690" i="1"/>
  <c r="AA702" i="1" s="1"/>
  <c r="BF690" i="1"/>
  <c r="BB702" i="1" s="1"/>
  <c r="BO690" i="1"/>
  <c r="BX690" i="1"/>
  <c r="AD690" i="1"/>
  <c r="Z702" i="1" s="1"/>
  <c r="Z686" i="1" s="1"/>
  <c r="Z687" i="1" s="1"/>
  <c r="U690" i="1"/>
  <c r="BE690" i="1"/>
  <c r="BA702" i="1" s="1"/>
  <c r="BA686" i="1" s="1"/>
  <c r="BA687" i="1" s="1"/>
  <c r="AM690" i="1"/>
  <c r="BN690" i="1"/>
  <c r="AO679" i="1"/>
  <c r="W679" i="1"/>
  <c r="BP679" i="1"/>
  <c r="AX679" i="1"/>
  <c r="AF679" i="1"/>
  <c r="BG679" i="1"/>
  <c r="BY679" i="1"/>
  <c r="AW679" i="1"/>
  <c r="AN679" i="1"/>
  <c r="BF679" i="1"/>
  <c r="AE679" i="1"/>
  <c r="BX679" i="1"/>
  <c r="BO679" i="1"/>
  <c r="AD679" i="1"/>
  <c r="BE679" i="1"/>
  <c r="U679" i="1"/>
  <c r="BN679" i="1"/>
  <c r="AM679" i="1"/>
  <c r="AV679" i="1"/>
  <c r="BW679" i="1"/>
  <c r="AO678" i="1"/>
  <c r="BY678" i="1"/>
  <c r="BP678" i="1"/>
  <c r="AX678" i="1"/>
  <c r="W678" i="1"/>
  <c r="BG678" i="1"/>
  <c r="AF678" i="1"/>
  <c r="BO678" i="1"/>
  <c r="V678" i="1"/>
  <c r="AE678" i="1"/>
  <c r="AN678" i="1"/>
  <c r="AW678" i="1"/>
  <c r="BF678" i="1"/>
  <c r="BX678" i="1"/>
  <c r="BW678" i="1"/>
  <c r="AV678" i="1"/>
  <c r="BN678" i="1"/>
  <c r="U678" i="1"/>
  <c r="AD678" i="1"/>
  <c r="AM678" i="1"/>
  <c r="BE678" i="1"/>
  <c r="BP677" i="1"/>
  <c r="W677" i="1"/>
  <c r="AF677" i="1"/>
  <c r="AX677" i="1"/>
  <c r="AO677" i="1"/>
  <c r="BG677" i="1"/>
  <c r="BY677" i="1"/>
  <c r="AE677" i="1"/>
  <c r="AN677" i="1"/>
  <c r="V677" i="1"/>
  <c r="AW677" i="1"/>
  <c r="BF677" i="1"/>
  <c r="BX677" i="1"/>
  <c r="BO677" i="1"/>
  <c r="AV677" i="1"/>
  <c r="U677" i="1"/>
  <c r="AM677" i="1"/>
  <c r="BW677" i="1"/>
  <c r="BN677" i="1"/>
  <c r="BE677" i="1"/>
  <c r="AD677" i="1"/>
  <c r="BP676" i="1"/>
  <c r="AX676" i="1"/>
  <c r="BG676" i="1"/>
  <c r="W676" i="1"/>
  <c r="BY676" i="1"/>
  <c r="AF676" i="1"/>
  <c r="AO676" i="1"/>
  <c r="BX676" i="1"/>
  <c r="BF676" i="1"/>
  <c r="AW676" i="1"/>
  <c r="V676" i="1"/>
  <c r="AE676" i="1"/>
  <c r="AN676" i="1"/>
  <c r="BO676" i="1"/>
  <c r="U676" i="1"/>
  <c r="AD676" i="1"/>
  <c r="BN676" i="1"/>
  <c r="BW676" i="1"/>
  <c r="BE676" i="1"/>
  <c r="AV676" i="1"/>
  <c r="AE675" i="1"/>
  <c r="V675" i="1"/>
  <c r="BX675" i="1"/>
  <c r="AW675" i="1"/>
  <c r="BO675" i="1"/>
  <c r="AN675" i="1"/>
  <c r="BF675" i="1"/>
  <c r="BW675" i="1"/>
  <c r="AD675" i="1"/>
  <c r="U675" i="1"/>
  <c r="AM675" i="1"/>
  <c r="AV675" i="1"/>
  <c r="BE675" i="1"/>
  <c r="BN675" i="1"/>
  <c r="AX674" i="1"/>
  <c r="AO674" i="1"/>
  <c r="BY674" i="1"/>
  <c r="BP674" i="1"/>
  <c r="W674" i="1"/>
  <c r="AF674" i="1"/>
  <c r="V674" i="1"/>
  <c r="BX674" i="1"/>
  <c r="BO674" i="1"/>
  <c r="AW674" i="1"/>
  <c r="AS680" i="1" s="1"/>
  <c r="AN674" i="1"/>
  <c r="AE674" i="1"/>
  <c r="AA680" i="1" s="1"/>
  <c r="BW674" i="1"/>
  <c r="BN674" i="1"/>
  <c r="AM674" i="1"/>
  <c r="AD674" i="1"/>
  <c r="Z680" i="1" s="1"/>
  <c r="U674" i="1"/>
  <c r="AV674" i="1"/>
  <c r="AR680" i="1" s="1"/>
  <c r="BP673" i="1"/>
  <c r="BG673" i="1"/>
  <c r="BY673" i="1"/>
  <c r="BO673" i="1"/>
  <c r="BK680" i="1" s="1"/>
  <c r="BF673" i="1"/>
  <c r="BX673" i="1"/>
  <c r="BT680" i="1" s="1"/>
  <c r="BN673" i="1"/>
  <c r="BJ680" i="1" s="1"/>
  <c r="BE673" i="1"/>
  <c r="BW673" i="1"/>
  <c r="BS680" i="1" s="1"/>
  <c r="W449" i="1"/>
  <c r="AO449" i="1"/>
  <c r="AF449" i="1"/>
  <c r="AE449" i="1"/>
  <c r="V449" i="1"/>
  <c r="AN449" i="1"/>
  <c r="U449" i="1"/>
  <c r="AM449" i="1"/>
  <c r="AD449" i="1"/>
  <c r="K460" i="1"/>
  <c r="W448" i="1"/>
  <c r="BY448" i="1"/>
  <c r="BG448" i="1"/>
  <c r="AO448" i="1"/>
  <c r="AF448" i="1"/>
  <c r="BP448" i="1"/>
  <c r="J460" i="1"/>
  <c r="V448" i="1"/>
  <c r="BF448" i="1"/>
  <c r="BO448" i="1"/>
  <c r="BX448" i="1"/>
  <c r="AN448" i="1"/>
  <c r="AE448" i="1"/>
  <c r="I460" i="1"/>
  <c r="AD448" i="1"/>
  <c r="U448" i="1"/>
  <c r="BW448" i="1"/>
  <c r="BN448" i="1"/>
  <c r="BE448" i="1"/>
  <c r="AV448" i="1"/>
  <c r="AM448" i="1"/>
  <c r="W437" i="1"/>
  <c r="AF437" i="1"/>
  <c r="BY437" i="1"/>
  <c r="AO437" i="1"/>
  <c r="AX437" i="1"/>
  <c r="BG437" i="1"/>
  <c r="BP437" i="1"/>
  <c r="V437" i="1"/>
  <c r="AW437" i="1"/>
  <c r="BF437" i="1"/>
  <c r="AE437" i="1"/>
  <c r="AN437" i="1"/>
  <c r="BX437" i="1"/>
  <c r="BO437" i="1"/>
  <c r="BN437" i="1"/>
  <c r="AD437" i="1"/>
  <c r="AM437" i="1"/>
  <c r="AV437" i="1"/>
  <c r="BE437" i="1"/>
  <c r="BW437" i="1"/>
  <c r="AD635" i="1"/>
  <c r="AE635" i="1"/>
  <c r="AV658" i="1"/>
  <c r="AY644" i="1"/>
  <c r="BW655" i="1"/>
  <c r="BS658" i="1" s="1"/>
  <c r="BX655" i="1"/>
  <c r="BT658" i="1" s="1"/>
  <c r="BE656" i="1"/>
  <c r="BA658" i="1" s="1"/>
  <c r="BF656" i="1"/>
  <c r="BB658" i="1" s="1"/>
  <c r="AD680" i="1"/>
  <c r="AE680" i="1"/>
  <c r="AV680" i="1"/>
  <c r="AW680" i="1"/>
  <c r="BN680" i="1"/>
  <c r="BO680" i="1"/>
  <c r="BE789" i="1"/>
  <c r="BF789" i="1"/>
  <c r="BN789" i="1"/>
  <c r="BO789" i="1"/>
  <c r="BW789" i="1"/>
  <c r="BS790" i="1" s="1"/>
  <c r="BX789" i="1"/>
  <c r="BT790" i="1" s="1"/>
  <c r="BX800" i="1"/>
  <c r="BW800" i="1"/>
  <c r="V801" i="1"/>
  <c r="U801" i="1"/>
  <c r="BX801" i="1"/>
  <c r="BW801" i="1"/>
  <c r="BN802" i="1"/>
  <c r="BO802" i="1"/>
  <c r="BX802" i="1"/>
  <c r="BW802" i="1"/>
  <c r="AN803" i="1"/>
  <c r="AM803" i="1"/>
  <c r="AO803" i="1"/>
  <c r="BN803" i="1"/>
  <c r="BP803" i="1"/>
  <c r="BY803" i="1"/>
  <c r="BU812" i="1" s="1"/>
  <c r="BX803" i="1"/>
  <c r="BW803" i="1"/>
  <c r="BW804" i="1"/>
  <c r="BX804" i="1"/>
  <c r="V808" i="1"/>
  <c r="W808" i="1"/>
  <c r="U808" i="1"/>
  <c r="AN808" i="1"/>
  <c r="AM808" i="1"/>
  <c r="AV808" i="1"/>
  <c r="AV812" i="1" s="1"/>
  <c r="AW808" i="1"/>
  <c r="AX808" i="1"/>
  <c r="BF808" i="1"/>
  <c r="BF812" i="1" s="1"/>
  <c r="BE808" i="1"/>
  <c r="BE812" i="1" s="1"/>
  <c r="BG808" i="1"/>
  <c r="AD809" i="1"/>
  <c r="AE809" i="1"/>
  <c r="BW810" i="1"/>
  <c r="BX810" i="1"/>
  <c r="BN811" i="1"/>
  <c r="BO811" i="1"/>
  <c r="AE822" i="1"/>
  <c r="AF822" i="1"/>
  <c r="AB834" i="1" s="1"/>
  <c r="BN822" i="1"/>
  <c r="BJ834" i="1" s="1"/>
  <c r="BO822" i="1"/>
  <c r="BK834" i="1" s="1"/>
  <c r="BH798" i="1"/>
  <c r="K702" i="1"/>
  <c r="J702" i="1"/>
  <c r="I702" i="1"/>
  <c r="V605" i="1"/>
  <c r="U605" i="1"/>
  <c r="AM450" i="1"/>
  <c r="V452" i="1"/>
  <c r="AF453" i="1"/>
  <c r="W453" i="1"/>
  <c r="BP453" i="1"/>
  <c r="AO453" i="1"/>
  <c r="AX453" i="1"/>
  <c r="BG453" i="1"/>
  <c r="AE453" i="1"/>
  <c r="V453" i="1"/>
  <c r="AN453" i="1"/>
  <c r="BO453" i="1"/>
  <c r="AW453" i="1"/>
  <c r="BF453" i="1"/>
  <c r="AD453" i="1"/>
  <c r="BN453" i="1"/>
  <c r="U453" i="1"/>
  <c r="AM453" i="1"/>
  <c r="AV453" i="1"/>
  <c r="BE453" i="1"/>
  <c r="BY452" i="1"/>
  <c r="BP452" i="1"/>
  <c r="BG452" i="1"/>
  <c r="AX452" i="1"/>
  <c r="AO452" i="1"/>
  <c r="AF452" i="1"/>
  <c r="W452" i="1"/>
  <c r="AE452" i="1"/>
  <c r="BF452" i="1"/>
  <c r="AN452" i="1"/>
  <c r="BO452" i="1"/>
  <c r="BX452" i="1"/>
  <c r="AW452" i="1"/>
  <c r="AM452" i="1"/>
  <c r="BN452" i="1"/>
  <c r="U452" i="1"/>
  <c r="BW452" i="1"/>
  <c r="AV452" i="1"/>
  <c r="AD452" i="1"/>
  <c r="BE452" i="1"/>
  <c r="AX451" i="1"/>
  <c r="W451" i="1"/>
  <c r="BG451" i="1"/>
  <c r="BP451" i="1"/>
  <c r="BY451" i="1"/>
  <c r="AO451" i="1"/>
  <c r="AF451" i="1"/>
  <c r="V451" i="1"/>
  <c r="AE451" i="1"/>
  <c r="AN451" i="1"/>
  <c r="BO451" i="1"/>
  <c r="BF451" i="1"/>
  <c r="AW451" i="1"/>
  <c r="BX451" i="1"/>
  <c r="BE451" i="1"/>
  <c r="U451" i="1"/>
  <c r="AD451" i="1"/>
  <c r="AM451" i="1"/>
  <c r="AV451" i="1"/>
  <c r="BW451" i="1"/>
  <c r="BN451" i="1"/>
  <c r="AX450" i="1"/>
  <c r="BP450" i="1"/>
  <c r="BY450" i="1"/>
  <c r="BG450" i="1"/>
  <c r="AO450" i="1"/>
  <c r="W450" i="1"/>
  <c r="AF450" i="1"/>
  <c r="BX450" i="1"/>
  <c r="BO450" i="1"/>
  <c r="BF450" i="1"/>
  <c r="AW450" i="1"/>
  <c r="AN450" i="1"/>
  <c r="V450" i="1"/>
  <c r="AE450" i="1"/>
  <c r="AD450" i="1"/>
  <c r="BE450" i="1"/>
  <c r="BW450" i="1"/>
  <c r="U450" i="1"/>
  <c r="BN450" i="1"/>
  <c r="AV450" i="1"/>
  <c r="BG449" i="1"/>
  <c r="BY449" i="1"/>
  <c r="AX449" i="1"/>
  <c r="BP449" i="1"/>
  <c r="BF449" i="1"/>
  <c r="BO449" i="1"/>
  <c r="AW449" i="1"/>
  <c r="BX449" i="1"/>
  <c r="BN449" i="1"/>
  <c r="BW449" i="1"/>
  <c r="BE449" i="1"/>
  <c r="AW448" i="1"/>
  <c r="AX448" i="1"/>
  <c r="BF674" i="1"/>
  <c r="BG674" i="1"/>
  <c r="BE674" i="1"/>
  <c r="AX768" i="1"/>
  <c r="U806" i="1"/>
  <c r="W806" i="1"/>
  <c r="U811" i="1"/>
  <c r="V811" i="1"/>
  <c r="U874" i="1"/>
  <c r="V874" i="1"/>
  <c r="BY453" i="1"/>
  <c r="BX453" i="1"/>
  <c r="BW453" i="1"/>
  <c r="U563" i="1"/>
  <c r="AD563" i="1"/>
  <c r="V565" i="1"/>
  <c r="W568" i="1"/>
  <c r="BW568" i="1"/>
  <c r="V580" i="1"/>
  <c r="W584" i="1"/>
  <c r="U589" i="1"/>
  <c r="W604" i="1"/>
  <c r="BG604" i="1"/>
  <c r="BP604" i="1"/>
  <c r="BY604" i="1"/>
  <c r="AF604" i="1"/>
  <c r="AO604" i="1"/>
  <c r="AX604" i="1"/>
  <c r="BO604" i="1"/>
  <c r="BX604" i="1"/>
  <c r="V604" i="1"/>
  <c r="AE604" i="1"/>
  <c r="AN604" i="1"/>
  <c r="AW604" i="1"/>
  <c r="BF604" i="1"/>
  <c r="BW604" i="1"/>
  <c r="BN604" i="1"/>
  <c r="BE604" i="1"/>
  <c r="AV604" i="1"/>
  <c r="AM604" i="1"/>
  <c r="U604" i="1"/>
  <c r="AD604" i="1"/>
  <c r="BP603" i="1"/>
  <c r="W603" i="1"/>
  <c r="AO603" i="1"/>
  <c r="BG603" i="1"/>
  <c r="AX603" i="1"/>
  <c r="AF603" i="1"/>
  <c r="BY603" i="1"/>
  <c r="BO603" i="1"/>
  <c r="BF603" i="1"/>
  <c r="AE603" i="1"/>
  <c r="V603" i="1"/>
  <c r="AN603" i="1"/>
  <c r="AW603" i="1"/>
  <c r="BX603" i="1"/>
  <c r="BW603" i="1"/>
  <c r="BN603" i="1"/>
  <c r="BE603" i="1"/>
  <c r="AM603" i="1"/>
  <c r="AD603" i="1"/>
  <c r="AV603" i="1"/>
  <c r="U603" i="1"/>
  <c r="K614" i="1"/>
  <c r="BG602" i="1"/>
  <c r="AX602" i="1"/>
  <c r="AO602" i="1"/>
  <c r="W602" i="1"/>
  <c r="S614" i="1" s="1"/>
  <c r="AF602" i="1"/>
  <c r="BY602" i="1"/>
  <c r="BU614" i="1" s="1"/>
  <c r="BP602" i="1"/>
  <c r="J614" i="1"/>
  <c r="BF602" i="1"/>
  <c r="BX602" i="1"/>
  <c r="BT614" i="1" s="1"/>
  <c r="AW602" i="1"/>
  <c r="BO602" i="1"/>
  <c r="BK614" i="1" s="1"/>
  <c r="AN602" i="1"/>
  <c r="AE602" i="1"/>
  <c r="V602" i="1"/>
  <c r="R614" i="1" s="1"/>
  <c r="I614" i="1"/>
  <c r="BW602" i="1"/>
  <c r="BS614" i="1" s="1"/>
  <c r="BS598" i="1" s="1"/>
  <c r="BS599" i="1" s="1"/>
  <c r="BE602" i="1"/>
  <c r="AV602" i="1"/>
  <c r="AM602" i="1"/>
  <c r="AD602" i="1"/>
  <c r="BN602" i="1"/>
  <c r="BJ614" i="1" s="1"/>
  <c r="U602" i="1"/>
  <c r="Q614" i="1" s="1"/>
  <c r="Q598" i="1" s="1"/>
  <c r="Q599" i="1" s="1"/>
  <c r="BP591" i="1"/>
  <c r="W591" i="1"/>
  <c r="AO591" i="1"/>
  <c r="AX591" i="1"/>
  <c r="AF591" i="1"/>
  <c r="BG591" i="1"/>
  <c r="BY591" i="1"/>
  <c r="BX591" i="1"/>
  <c r="BO591" i="1"/>
  <c r="AN591" i="1"/>
  <c r="V591" i="1"/>
  <c r="AE591" i="1"/>
  <c r="AW591" i="1"/>
  <c r="BF591" i="1"/>
  <c r="AV591" i="1"/>
  <c r="BE591" i="1"/>
  <c r="U591" i="1"/>
  <c r="AD591" i="1"/>
  <c r="BN591" i="1"/>
  <c r="AM591" i="1"/>
  <c r="BW591" i="1"/>
  <c r="AX590" i="1"/>
  <c r="AF590" i="1"/>
  <c r="W590" i="1"/>
  <c r="AO590" i="1"/>
  <c r="BY590" i="1"/>
  <c r="BP590" i="1"/>
  <c r="BG590" i="1"/>
  <c r="BX590" i="1"/>
  <c r="V590" i="1"/>
  <c r="AE590" i="1"/>
  <c r="BF590" i="1"/>
  <c r="AN590" i="1"/>
  <c r="BO590" i="1"/>
  <c r="AW590" i="1"/>
  <c r="BN590" i="1"/>
  <c r="AD590" i="1"/>
  <c r="BW590" i="1"/>
  <c r="AM590" i="1"/>
  <c r="AV590" i="1"/>
  <c r="BE590" i="1"/>
  <c r="U590" i="1"/>
  <c r="AO589" i="1"/>
  <c r="AX589" i="1"/>
  <c r="BG589" i="1"/>
  <c r="BY589" i="1"/>
  <c r="AF589" i="1"/>
  <c r="W589" i="1"/>
  <c r="BP589" i="1"/>
  <c r="AW589" i="1"/>
  <c r="BF589" i="1"/>
  <c r="BX589" i="1"/>
  <c r="AN589" i="1"/>
  <c r="AE589" i="1"/>
  <c r="BO589" i="1"/>
  <c r="V589" i="1"/>
  <c r="BN589" i="1"/>
  <c r="BE589" i="1"/>
  <c r="AV589" i="1"/>
  <c r="AD589" i="1"/>
  <c r="AM589" i="1"/>
  <c r="BW589" i="1"/>
  <c r="BP588" i="1"/>
  <c r="AX588" i="1"/>
  <c r="W588" i="1"/>
  <c r="BG588" i="1"/>
  <c r="AF588" i="1"/>
  <c r="AO588" i="1"/>
  <c r="BY588" i="1"/>
  <c r="AE588" i="1"/>
  <c r="V588" i="1"/>
  <c r="BO588" i="1"/>
  <c r="BF588" i="1"/>
  <c r="AW588" i="1"/>
  <c r="AN588" i="1"/>
  <c r="BE588" i="1"/>
  <c r="AD588" i="1"/>
  <c r="AM588" i="1"/>
  <c r="BN588" i="1"/>
  <c r="U588" i="1"/>
  <c r="AV588" i="1"/>
  <c r="AO587" i="1"/>
  <c r="BP587" i="1"/>
  <c r="AX587" i="1"/>
  <c r="AF587" i="1"/>
  <c r="BY587" i="1"/>
  <c r="BG587" i="1"/>
  <c r="W587" i="1"/>
  <c r="AN587" i="1"/>
  <c r="AW587" i="1"/>
  <c r="BO587" i="1"/>
  <c r="BF587" i="1"/>
  <c r="BX587" i="1"/>
  <c r="AE587" i="1"/>
  <c r="V587" i="1"/>
  <c r="BE587" i="1"/>
  <c r="AM587" i="1"/>
  <c r="BN587" i="1"/>
  <c r="AD587" i="1"/>
  <c r="BW587" i="1"/>
  <c r="AV587" i="1"/>
  <c r="U587" i="1"/>
  <c r="W586" i="1"/>
  <c r="AF586" i="1"/>
  <c r="AX586" i="1"/>
  <c r="AO586" i="1"/>
  <c r="BY586" i="1"/>
  <c r="BP586" i="1"/>
  <c r="BG586" i="1"/>
  <c r="AE586" i="1"/>
  <c r="AN586" i="1"/>
  <c r="AW586" i="1"/>
  <c r="BX586" i="1"/>
  <c r="V586" i="1"/>
  <c r="BO586" i="1"/>
  <c r="BF586" i="1"/>
  <c r="AM586" i="1"/>
  <c r="AV586" i="1"/>
  <c r="U586" i="1"/>
  <c r="BE586" i="1"/>
  <c r="BW586" i="1"/>
  <c r="BN586" i="1"/>
  <c r="AD586" i="1"/>
  <c r="AF585" i="1"/>
  <c r="AX585" i="1"/>
  <c r="BP585" i="1"/>
  <c r="AO585" i="1"/>
  <c r="W585" i="1"/>
  <c r="BY585" i="1"/>
  <c r="BG585" i="1"/>
  <c r="BO585" i="1"/>
  <c r="AN585" i="1"/>
  <c r="BF585" i="1"/>
  <c r="V585" i="1"/>
  <c r="AW585" i="1"/>
  <c r="BX585" i="1"/>
  <c r="AE585" i="1"/>
  <c r="BN585" i="1"/>
  <c r="BE585" i="1"/>
  <c r="AV585" i="1"/>
  <c r="AM585" i="1"/>
  <c r="AD585" i="1"/>
  <c r="U585" i="1"/>
  <c r="BW585" i="1"/>
  <c r="BY584" i="1"/>
  <c r="BP584" i="1"/>
  <c r="AF584" i="1"/>
  <c r="BG584" i="1"/>
  <c r="AO584" i="1"/>
  <c r="AX584" i="1"/>
  <c r="V584" i="1"/>
  <c r="BX584" i="1"/>
  <c r="AE584" i="1"/>
  <c r="BO584" i="1"/>
  <c r="BF584" i="1"/>
  <c r="AW584" i="1"/>
  <c r="AN584" i="1"/>
  <c r="AM584" i="1"/>
  <c r="BN584" i="1"/>
  <c r="BW584" i="1"/>
  <c r="AD584" i="1"/>
  <c r="U584" i="1"/>
  <c r="BE584" i="1"/>
  <c r="AV584" i="1"/>
  <c r="AX583" i="1"/>
  <c r="BP583" i="1"/>
  <c r="BG583" i="1"/>
  <c r="W583" i="1"/>
  <c r="AO583" i="1"/>
  <c r="AF583" i="1"/>
  <c r="BY583" i="1"/>
  <c r="AE583" i="1"/>
  <c r="BO583" i="1"/>
  <c r="BF583" i="1"/>
  <c r="V583" i="1"/>
  <c r="AW583" i="1"/>
  <c r="AN583" i="1"/>
  <c r="BX583" i="1"/>
  <c r="BN583" i="1"/>
  <c r="BW583" i="1"/>
  <c r="AV583" i="1"/>
  <c r="U583" i="1"/>
  <c r="AD583" i="1"/>
  <c r="AM583" i="1"/>
  <c r="BE583" i="1"/>
  <c r="AX582" i="1"/>
  <c r="AO582" i="1"/>
  <c r="BG582" i="1"/>
  <c r="AF582" i="1"/>
  <c r="W582" i="1"/>
  <c r="BP582" i="1"/>
  <c r="BY582" i="1"/>
  <c r="BF582" i="1"/>
  <c r="BO582" i="1"/>
  <c r="AN582" i="1"/>
  <c r="BX582" i="1"/>
  <c r="AE582" i="1"/>
  <c r="AW582" i="1"/>
  <c r="V582" i="1"/>
  <c r="BE582" i="1"/>
  <c r="BN582" i="1"/>
  <c r="AV582" i="1"/>
  <c r="BW582" i="1"/>
  <c r="AM582" i="1"/>
  <c r="AD582" i="1"/>
  <c r="U582" i="1"/>
  <c r="BY581" i="1"/>
  <c r="BP581" i="1"/>
  <c r="BG581" i="1"/>
  <c r="AX581" i="1"/>
  <c r="AO581" i="1"/>
  <c r="AF581" i="1"/>
  <c r="W581" i="1"/>
  <c r="BX581" i="1"/>
  <c r="BO581" i="1"/>
  <c r="BF581" i="1"/>
  <c r="AW581" i="1"/>
  <c r="AN581" i="1"/>
  <c r="AE581" i="1"/>
  <c r="V581" i="1"/>
  <c r="BE581" i="1"/>
  <c r="BN581" i="1"/>
  <c r="AM581" i="1"/>
  <c r="AD581" i="1"/>
  <c r="AV581" i="1"/>
  <c r="BW581" i="1"/>
  <c r="U581" i="1"/>
  <c r="K592" i="1"/>
  <c r="AF580" i="1"/>
  <c r="AB592" i="1" s="1"/>
  <c r="AO580" i="1"/>
  <c r="AK592" i="1" s="1"/>
  <c r="AX580" i="1"/>
  <c r="AT592" i="1" s="1"/>
  <c r="W580" i="1"/>
  <c r="S592" i="1" s="1"/>
  <c r="BY580" i="1"/>
  <c r="BU592" i="1" s="1"/>
  <c r="BP580" i="1"/>
  <c r="BG580" i="1"/>
  <c r="BC592" i="1" s="1"/>
  <c r="J592" i="1"/>
  <c r="AN580" i="1"/>
  <c r="AJ592" i="1" s="1"/>
  <c r="AW580" i="1"/>
  <c r="AS592" i="1" s="1"/>
  <c r="AE580" i="1"/>
  <c r="AA592" i="1" s="1"/>
  <c r="BX580" i="1"/>
  <c r="BO580" i="1"/>
  <c r="BK592" i="1" s="1"/>
  <c r="BF580" i="1"/>
  <c r="BB592" i="1" s="1"/>
  <c r="I592" i="1"/>
  <c r="AM580" i="1"/>
  <c r="AI592" i="1" s="1"/>
  <c r="AI576" i="1" s="1"/>
  <c r="AI577" i="1" s="1"/>
  <c r="AV580" i="1"/>
  <c r="AR592" i="1" s="1"/>
  <c r="AR576" i="1" s="1"/>
  <c r="AR577" i="1" s="1"/>
  <c r="BE580" i="1"/>
  <c r="BA592" i="1" s="1"/>
  <c r="BA576" i="1" s="1"/>
  <c r="BA577" i="1" s="1"/>
  <c r="U580" i="1"/>
  <c r="Q592" i="1" s="1"/>
  <c r="AD580" i="1"/>
  <c r="Z592" i="1" s="1"/>
  <c r="Z576" i="1" s="1"/>
  <c r="Z577" i="1" s="1"/>
  <c r="BW580" i="1"/>
  <c r="BN580" i="1"/>
  <c r="AO569" i="1"/>
  <c r="BG569" i="1"/>
  <c r="AF569" i="1"/>
  <c r="BP569" i="1"/>
  <c r="W569" i="1"/>
  <c r="AX569" i="1"/>
  <c r="BY569" i="1"/>
  <c r="AN569" i="1"/>
  <c r="AW569" i="1"/>
  <c r="BF569" i="1"/>
  <c r="BO569" i="1"/>
  <c r="BX569" i="1"/>
  <c r="V569" i="1"/>
  <c r="AE569" i="1"/>
  <c r="AM569" i="1"/>
  <c r="BN569" i="1"/>
  <c r="BE569" i="1"/>
  <c r="AV569" i="1"/>
  <c r="U569" i="1"/>
  <c r="AD569" i="1"/>
  <c r="BW569" i="1"/>
  <c r="AO568" i="1"/>
  <c r="BP568" i="1"/>
  <c r="AX568" i="1"/>
  <c r="BY568" i="1"/>
  <c r="BG568" i="1"/>
  <c r="AF568" i="1"/>
  <c r="AN568" i="1"/>
  <c r="BX568" i="1"/>
  <c r="BO568" i="1"/>
  <c r="AW568" i="1"/>
  <c r="BF568" i="1"/>
  <c r="AE568" i="1"/>
  <c r="V568" i="1"/>
  <c r="BN568" i="1"/>
  <c r="AV568" i="1"/>
  <c r="BE568" i="1"/>
  <c r="U568" i="1"/>
  <c r="AM568" i="1"/>
  <c r="AD568" i="1"/>
  <c r="W567" i="1"/>
  <c r="AX567" i="1"/>
  <c r="AO567" i="1"/>
  <c r="AF567" i="1"/>
  <c r="BY567" i="1"/>
  <c r="BP567" i="1"/>
  <c r="BG567" i="1"/>
  <c r="AE567" i="1"/>
  <c r="AN567" i="1"/>
  <c r="BX567" i="1"/>
  <c r="AW567" i="1"/>
  <c r="BO567" i="1"/>
  <c r="V567" i="1"/>
  <c r="BF567" i="1"/>
  <c r="BW567" i="1"/>
  <c r="AV567" i="1"/>
  <c r="AD567" i="1"/>
  <c r="BN567" i="1"/>
  <c r="U567" i="1"/>
  <c r="AM567" i="1"/>
  <c r="BE567" i="1"/>
  <c r="AF566" i="1"/>
  <c r="AO566" i="1"/>
  <c r="BP566" i="1"/>
  <c r="W566" i="1"/>
  <c r="BG566" i="1"/>
  <c r="AX566" i="1"/>
  <c r="BY566" i="1"/>
  <c r="BF566" i="1"/>
  <c r="AW566" i="1"/>
  <c r="AN566" i="1"/>
  <c r="AE566" i="1"/>
  <c r="V566" i="1"/>
  <c r="BX566" i="1"/>
  <c r="BO566" i="1"/>
  <c r="AD566" i="1"/>
  <c r="U566" i="1"/>
  <c r="AM566" i="1"/>
  <c r="BN566" i="1"/>
  <c r="BE566" i="1"/>
  <c r="BW566" i="1"/>
  <c r="AV566" i="1"/>
  <c r="BY565" i="1"/>
  <c r="AF565" i="1"/>
  <c r="AO565" i="1"/>
  <c r="BG565" i="1"/>
  <c r="BP565" i="1"/>
  <c r="AX565" i="1"/>
  <c r="W565" i="1"/>
  <c r="AE565" i="1"/>
  <c r="AN565" i="1"/>
  <c r="AW565" i="1"/>
  <c r="BO565" i="1"/>
  <c r="BX565" i="1"/>
  <c r="BF565" i="1"/>
  <c r="AD565" i="1"/>
  <c r="AM565" i="1"/>
  <c r="BN565" i="1"/>
  <c r="BW565" i="1"/>
  <c r="AV565" i="1"/>
  <c r="BE565" i="1"/>
  <c r="U565" i="1"/>
  <c r="AX564" i="1"/>
  <c r="BY564" i="1"/>
  <c r="BG564" i="1"/>
  <c r="BP564" i="1"/>
  <c r="AO564" i="1"/>
  <c r="W564" i="1"/>
  <c r="AF564" i="1"/>
  <c r="BO564" i="1"/>
  <c r="BF564" i="1"/>
  <c r="AW564" i="1"/>
  <c r="AN564" i="1"/>
  <c r="AE564" i="1"/>
  <c r="BX564" i="1"/>
  <c r="V564" i="1"/>
  <c r="BN564" i="1"/>
  <c r="BE564" i="1"/>
  <c r="AV564" i="1"/>
  <c r="AM564" i="1"/>
  <c r="AD564" i="1"/>
  <c r="BW564" i="1"/>
  <c r="U564" i="1"/>
  <c r="BY563" i="1"/>
  <c r="BP563" i="1"/>
  <c r="BG563" i="1"/>
  <c r="AX563" i="1"/>
  <c r="AO563" i="1"/>
  <c r="AF563" i="1"/>
  <c r="W563" i="1"/>
  <c r="BX563" i="1"/>
  <c r="AN563" i="1"/>
  <c r="BO563" i="1"/>
  <c r="BF563" i="1"/>
  <c r="AW563" i="1"/>
  <c r="AE563" i="1"/>
  <c r="V563" i="1"/>
  <c r="AM563" i="1"/>
  <c r="BW563" i="1"/>
  <c r="BN563" i="1"/>
  <c r="AV563" i="1"/>
  <c r="BE563" i="1"/>
  <c r="W562" i="1"/>
  <c r="AO562" i="1"/>
  <c r="BG562" i="1"/>
  <c r="AX562" i="1"/>
  <c r="BY562" i="1"/>
  <c r="BP562" i="1"/>
  <c r="V562" i="1"/>
  <c r="AN562" i="1"/>
  <c r="AW562" i="1"/>
  <c r="BF562" i="1"/>
  <c r="BX562" i="1"/>
  <c r="BO562" i="1"/>
  <c r="AM562" i="1"/>
  <c r="AV562" i="1"/>
  <c r="BE562" i="1"/>
  <c r="U562" i="1"/>
  <c r="BW562" i="1"/>
  <c r="BN562" i="1"/>
  <c r="AO561" i="1"/>
  <c r="AX561" i="1"/>
  <c r="BP561" i="1"/>
  <c r="W561" i="1"/>
  <c r="AF561" i="1"/>
  <c r="BY561" i="1"/>
  <c r="BG561" i="1"/>
  <c r="BO561" i="1"/>
  <c r="V561" i="1"/>
  <c r="BF561" i="1"/>
  <c r="AW561" i="1"/>
  <c r="AN561" i="1"/>
  <c r="BX561" i="1"/>
  <c r="AE561" i="1"/>
  <c r="AV561" i="1"/>
  <c r="U561" i="1"/>
  <c r="BE561" i="1"/>
  <c r="BW561" i="1"/>
  <c r="BN561" i="1"/>
  <c r="AM561" i="1"/>
  <c r="AD561" i="1"/>
  <c r="AX560" i="1"/>
  <c r="BG560" i="1"/>
  <c r="BP560" i="1"/>
  <c r="BY560" i="1"/>
  <c r="W560" i="1"/>
  <c r="AO560" i="1"/>
  <c r="AF560" i="1"/>
  <c r="AE560" i="1"/>
  <c r="V560" i="1"/>
  <c r="AW560" i="1"/>
  <c r="BX560" i="1"/>
  <c r="BO560" i="1"/>
  <c r="BF560" i="1"/>
  <c r="AN560" i="1"/>
  <c r="BN560" i="1"/>
  <c r="BE560" i="1"/>
  <c r="AV560" i="1"/>
  <c r="AM560" i="1"/>
  <c r="BW560" i="1"/>
  <c r="AD560" i="1"/>
  <c r="U560" i="1"/>
  <c r="AO38" i="1"/>
  <c r="W38" i="1"/>
  <c r="AF38" i="1"/>
  <c r="AN38" i="1"/>
  <c r="V38" i="1"/>
  <c r="AE38" i="1"/>
  <c r="AV38" i="1"/>
  <c r="AM38" i="1"/>
  <c r="U38" i="1"/>
  <c r="AD38" i="1"/>
  <c r="BG37" i="1"/>
  <c r="AF37" i="1"/>
  <c r="BY37" i="1"/>
  <c r="AX37" i="1"/>
  <c r="AO37" i="1"/>
  <c r="BP37" i="1"/>
  <c r="W37" i="1"/>
  <c r="CQ37" i="1"/>
  <c r="BO37" i="1"/>
  <c r="BF37" i="1"/>
  <c r="AW37" i="1"/>
  <c r="AN37" i="1"/>
  <c r="AE37" i="1"/>
  <c r="V37" i="1"/>
  <c r="CP37" i="1"/>
  <c r="BX37" i="1"/>
  <c r="BW37" i="1"/>
  <c r="BN37" i="1"/>
  <c r="AM37" i="1"/>
  <c r="BE37" i="1"/>
  <c r="AD37" i="1"/>
  <c r="CO37" i="1"/>
  <c r="AV37" i="1"/>
  <c r="U37" i="1"/>
  <c r="AX36" i="1"/>
  <c r="W36" i="1"/>
  <c r="AF36" i="1"/>
  <c r="AO36" i="1"/>
  <c r="BP36" i="1"/>
  <c r="BG36" i="1"/>
  <c r="BY36" i="1"/>
  <c r="CQ36" i="1"/>
  <c r="BX36" i="1"/>
  <c r="V36" i="1"/>
  <c r="AE36" i="1"/>
  <c r="AW36" i="1"/>
  <c r="AN36" i="1"/>
  <c r="BF36" i="1"/>
  <c r="BO36" i="1"/>
  <c r="CP36" i="1"/>
  <c r="BE36" i="1"/>
  <c r="U36" i="1"/>
  <c r="AD36" i="1"/>
  <c r="AM36" i="1"/>
  <c r="BN36" i="1"/>
  <c r="BW36" i="1"/>
  <c r="AV36" i="1"/>
  <c r="CO36" i="1"/>
  <c r="CQ35" i="1"/>
  <c r="AF35" i="1"/>
  <c r="W35" i="1"/>
  <c r="BP35" i="1"/>
  <c r="BG35" i="1"/>
  <c r="AX35" i="1"/>
  <c r="AO35" i="1"/>
  <c r="BY35" i="1"/>
  <c r="BX35" i="1"/>
  <c r="CP35" i="1"/>
  <c r="AN35" i="1"/>
  <c r="AW35" i="1"/>
  <c r="BO35" i="1"/>
  <c r="BF35" i="1"/>
  <c r="AE35" i="1"/>
  <c r="V35" i="1"/>
  <c r="CO35" i="1"/>
  <c r="BW35" i="1"/>
  <c r="BN35" i="1"/>
  <c r="AV35" i="1"/>
  <c r="AM35" i="1"/>
  <c r="AD35" i="1"/>
  <c r="BE35" i="1"/>
  <c r="U35" i="1"/>
  <c r="BG34" i="1"/>
  <c r="BP34" i="1"/>
  <c r="CQ34" i="1"/>
  <c r="BY34" i="1"/>
  <c r="AX34" i="1"/>
  <c r="AO34" i="1"/>
  <c r="AF34" i="1"/>
  <c r="W34" i="1"/>
  <c r="BF34" i="1"/>
  <c r="CP34" i="1"/>
  <c r="AW34" i="1"/>
  <c r="AN34" i="1"/>
  <c r="BX34" i="1"/>
  <c r="AE34" i="1"/>
  <c r="BO34" i="1"/>
  <c r="V34" i="1"/>
  <c r="AV34" i="1"/>
  <c r="CO34" i="1"/>
  <c r="BN34" i="1"/>
  <c r="AM34" i="1"/>
  <c r="AD34" i="1"/>
  <c r="BE34" i="1"/>
  <c r="BW34" i="1"/>
  <c r="U34" i="1"/>
  <c r="BP33" i="1"/>
  <c r="BY33" i="1"/>
  <c r="CQ33" i="1"/>
  <c r="BO33" i="1"/>
  <c r="BX33" i="1"/>
  <c r="CP33" i="1"/>
  <c r="CO33" i="1"/>
  <c r="BW33" i="1"/>
  <c r="BN790" i="1"/>
  <c r="BN834" i="1"/>
  <c r="BW834" i="1"/>
  <c r="AD846" i="1"/>
  <c r="AE846" i="1"/>
  <c r="BW893" i="1"/>
  <c r="BX893" i="1"/>
  <c r="AD894" i="1"/>
  <c r="AE894" i="1"/>
  <c r="U437" i="1"/>
  <c r="BE455" i="1"/>
  <c r="U473" i="1"/>
  <c r="U476" i="1"/>
  <c r="AD476" i="1"/>
  <c r="U481" i="1"/>
  <c r="AD481" i="1"/>
  <c r="AM492" i="1"/>
  <c r="AV501" i="1"/>
  <c r="U503" i="1"/>
  <c r="AM524" i="1"/>
  <c r="AV524" i="1"/>
  <c r="U538" i="1"/>
  <c r="AM540" i="1"/>
  <c r="AX559" i="1"/>
  <c r="AO559" i="1"/>
  <c r="W559" i="1"/>
  <c r="BY559" i="1"/>
  <c r="BG559" i="1"/>
  <c r="AF559" i="1"/>
  <c r="BP559" i="1"/>
  <c r="AW559" i="1"/>
  <c r="BF559" i="1"/>
  <c r="AN559" i="1"/>
  <c r="V559" i="1"/>
  <c r="BO559" i="1"/>
  <c r="BX559" i="1"/>
  <c r="AE559" i="1"/>
  <c r="AV559" i="1"/>
  <c r="AM559" i="1"/>
  <c r="BE559" i="1"/>
  <c r="U559" i="1"/>
  <c r="AD559" i="1"/>
  <c r="BN559" i="1"/>
  <c r="BW559" i="1"/>
  <c r="K570" i="1"/>
  <c r="BP558" i="1"/>
  <c r="W558" i="1"/>
  <c r="S570" i="1" s="1"/>
  <c r="AF558" i="1"/>
  <c r="BG558" i="1"/>
  <c r="BC570" i="1" s="1"/>
  <c r="AO558" i="1"/>
  <c r="AX558" i="1"/>
  <c r="AT570" i="1" s="1"/>
  <c r="BY558" i="1"/>
  <c r="BU570" i="1" s="1"/>
  <c r="J570" i="1"/>
  <c r="BO558" i="1"/>
  <c r="BK570" i="1" s="1"/>
  <c r="BF558" i="1"/>
  <c r="BB570" i="1" s="1"/>
  <c r="AE558" i="1"/>
  <c r="BX558" i="1"/>
  <c r="BT570" i="1" s="1"/>
  <c r="AN558" i="1"/>
  <c r="AW558" i="1"/>
  <c r="AS570" i="1" s="1"/>
  <c r="V558" i="1"/>
  <c r="R570" i="1" s="1"/>
  <c r="I570" i="1"/>
  <c r="BE558" i="1"/>
  <c r="BA570" i="1" s="1"/>
  <c r="BA554" i="1" s="1"/>
  <c r="BA555" i="1" s="1"/>
  <c r="BN558" i="1"/>
  <c r="AD558" i="1"/>
  <c r="U558" i="1"/>
  <c r="Q570" i="1" s="1"/>
  <c r="Q554" i="1" s="1"/>
  <c r="Q555" i="1" s="1"/>
  <c r="BW558" i="1"/>
  <c r="BS570" i="1" s="1"/>
  <c r="BS554" i="1" s="1"/>
  <c r="BS555" i="1" s="1"/>
  <c r="AM558" i="1"/>
  <c r="AV558" i="1"/>
  <c r="AR570" i="1" s="1"/>
  <c r="AR554" i="1" s="1"/>
  <c r="AR555" i="1" s="1"/>
  <c r="BG547" i="1"/>
  <c r="AO547" i="1"/>
  <c r="BP547" i="1"/>
  <c r="AX547" i="1"/>
  <c r="W547" i="1"/>
  <c r="AF547" i="1"/>
  <c r="BY547" i="1"/>
  <c r="BO547" i="1"/>
  <c r="AW547" i="1"/>
  <c r="BF547" i="1"/>
  <c r="V547" i="1"/>
  <c r="AE547" i="1"/>
  <c r="AN547" i="1"/>
  <c r="BX547" i="1"/>
  <c r="BW547" i="1"/>
  <c r="AV547" i="1"/>
  <c r="BN547" i="1"/>
  <c r="BE547" i="1"/>
  <c r="U547" i="1"/>
  <c r="AD547" i="1"/>
  <c r="AM547" i="1"/>
  <c r="BY546" i="1"/>
  <c r="AX546" i="1"/>
  <c r="BG546" i="1"/>
  <c r="BP546" i="1"/>
  <c r="AO546" i="1"/>
  <c r="W546" i="1"/>
  <c r="AF546" i="1"/>
  <c r="BX546" i="1"/>
  <c r="AW546" i="1"/>
  <c r="AE546" i="1"/>
  <c r="V546" i="1"/>
  <c r="BO546" i="1"/>
  <c r="AN546" i="1"/>
  <c r="BF546" i="1"/>
  <c r="BE546" i="1"/>
  <c r="BN546" i="1"/>
  <c r="U546" i="1"/>
  <c r="AM546" i="1"/>
  <c r="BW546" i="1"/>
  <c r="AV546" i="1"/>
  <c r="AD546" i="1"/>
  <c r="AO545" i="1"/>
  <c r="AX545" i="1"/>
  <c r="W545" i="1"/>
  <c r="BP545" i="1"/>
  <c r="BY545" i="1"/>
  <c r="BG545" i="1"/>
  <c r="AF545" i="1"/>
  <c r="V545" i="1"/>
  <c r="BX545" i="1"/>
  <c r="BO545" i="1"/>
  <c r="BF545" i="1"/>
  <c r="AW545" i="1"/>
  <c r="AN545" i="1"/>
  <c r="AE545" i="1"/>
  <c r="BW545" i="1"/>
  <c r="AV545" i="1"/>
  <c r="BE545" i="1"/>
  <c r="BN545" i="1"/>
  <c r="AM545" i="1"/>
  <c r="AD545" i="1"/>
  <c r="U545" i="1"/>
  <c r="BP544" i="1"/>
  <c r="BY544" i="1"/>
  <c r="BG544" i="1"/>
  <c r="AO544" i="1"/>
  <c r="AF544" i="1"/>
  <c r="AX544" i="1"/>
  <c r="W544" i="1"/>
  <c r="BF544" i="1"/>
  <c r="BO544" i="1"/>
  <c r="AN544" i="1"/>
  <c r="AW544" i="1"/>
  <c r="AE544" i="1"/>
  <c r="V544" i="1"/>
  <c r="BE544" i="1"/>
  <c r="U544" i="1"/>
  <c r="AD544" i="1"/>
  <c r="AM544" i="1"/>
  <c r="AV544" i="1"/>
  <c r="BN544" i="1"/>
  <c r="BY543" i="1"/>
  <c r="BP543" i="1"/>
  <c r="BG543" i="1"/>
  <c r="AX543" i="1"/>
  <c r="AO543" i="1"/>
  <c r="AF543" i="1"/>
  <c r="W543" i="1"/>
  <c r="BO543" i="1"/>
  <c r="BX543" i="1"/>
  <c r="BF543" i="1"/>
  <c r="AW543" i="1"/>
  <c r="AN543" i="1"/>
  <c r="AE543" i="1"/>
  <c r="V543" i="1"/>
  <c r="BW543" i="1"/>
  <c r="BN543" i="1"/>
  <c r="BE543" i="1"/>
  <c r="AV543" i="1"/>
  <c r="AM543" i="1"/>
  <c r="AD543" i="1"/>
  <c r="U543" i="1"/>
  <c r="AF542" i="1"/>
  <c r="BY542" i="1"/>
  <c r="BP542" i="1"/>
  <c r="BG542" i="1"/>
  <c r="AX542" i="1"/>
  <c r="AO542" i="1"/>
  <c r="W542" i="1"/>
  <c r="AN542" i="1"/>
  <c r="V542" i="1"/>
  <c r="AE542" i="1"/>
  <c r="AW542" i="1"/>
  <c r="BF542" i="1"/>
  <c r="BX542" i="1"/>
  <c r="BO542" i="1"/>
  <c r="AM542" i="1"/>
  <c r="AD542" i="1"/>
  <c r="U542" i="1"/>
  <c r="BW542" i="1"/>
  <c r="AV542" i="1"/>
  <c r="BE542" i="1"/>
  <c r="BN542" i="1"/>
  <c r="W541" i="1"/>
  <c r="BP541" i="1"/>
  <c r="AF541" i="1"/>
  <c r="AO541" i="1"/>
  <c r="AX541" i="1"/>
  <c r="BY541" i="1"/>
  <c r="BG541" i="1"/>
  <c r="AW541" i="1"/>
  <c r="V541" i="1"/>
  <c r="AE541" i="1"/>
  <c r="BX541" i="1"/>
  <c r="AN541" i="1"/>
  <c r="BF541" i="1"/>
  <c r="BO541" i="1"/>
  <c r="U541" i="1"/>
  <c r="AM541" i="1"/>
  <c r="AV541" i="1"/>
  <c r="BE541" i="1"/>
  <c r="BN541" i="1"/>
  <c r="BW541" i="1"/>
  <c r="AD541" i="1"/>
  <c r="W540" i="1"/>
  <c r="AF540" i="1"/>
  <c r="AO540" i="1"/>
  <c r="AX540" i="1"/>
  <c r="BG540" i="1"/>
  <c r="BY540" i="1"/>
  <c r="BP540" i="1"/>
  <c r="AE540" i="1"/>
  <c r="AN540" i="1"/>
  <c r="BX540" i="1"/>
  <c r="BF540" i="1"/>
  <c r="AW540" i="1"/>
  <c r="V540" i="1"/>
  <c r="BO540" i="1"/>
  <c r="AD540" i="1"/>
  <c r="AV540" i="1"/>
  <c r="BE540" i="1"/>
  <c r="BW540" i="1"/>
  <c r="U540" i="1"/>
  <c r="BN540" i="1"/>
  <c r="W539" i="1"/>
  <c r="AO539" i="1"/>
  <c r="AF539" i="1"/>
  <c r="BP539" i="1"/>
  <c r="BY539" i="1"/>
  <c r="BG539" i="1"/>
  <c r="AX539" i="1"/>
  <c r="AE539" i="1"/>
  <c r="BX539" i="1"/>
  <c r="BF539" i="1"/>
  <c r="BO539" i="1"/>
  <c r="AW539" i="1"/>
  <c r="V539" i="1"/>
  <c r="AN539" i="1"/>
  <c r="BE539" i="1"/>
  <c r="AD539" i="1"/>
  <c r="BW539" i="1"/>
  <c r="AM539" i="1"/>
  <c r="AV539" i="1"/>
  <c r="U539" i="1"/>
  <c r="BN539" i="1"/>
  <c r="BY538" i="1"/>
  <c r="BG538" i="1"/>
  <c r="BP538" i="1"/>
  <c r="AF538" i="1"/>
  <c r="W538" i="1"/>
  <c r="AO538" i="1"/>
  <c r="AX538" i="1"/>
  <c r="AN538" i="1"/>
  <c r="V538" i="1"/>
  <c r="BF538" i="1"/>
  <c r="AW538" i="1"/>
  <c r="AE538" i="1"/>
  <c r="BX538" i="1"/>
  <c r="BO538" i="1"/>
  <c r="AV538" i="1"/>
  <c r="AM538" i="1"/>
  <c r="BE538" i="1"/>
  <c r="AD538" i="1"/>
  <c r="BN538" i="1"/>
  <c r="BW538" i="1"/>
  <c r="AF537" i="1"/>
  <c r="W537" i="1"/>
  <c r="AO537" i="1"/>
  <c r="AX537" i="1"/>
  <c r="BP537" i="1"/>
  <c r="BY537" i="1"/>
  <c r="BG537" i="1"/>
  <c r="BX537" i="1"/>
  <c r="AE537" i="1"/>
  <c r="AN537" i="1"/>
  <c r="V537" i="1"/>
  <c r="AW537" i="1"/>
  <c r="BO537" i="1"/>
  <c r="BF537" i="1"/>
  <c r="U537" i="1"/>
  <c r="AD537" i="1"/>
  <c r="AM537" i="1"/>
  <c r="AV537" i="1"/>
  <c r="BE537" i="1"/>
  <c r="BN537" i="1"/>
  <c r="BW537" i="1"/>
  <c r="K548" i="1"/>
  <c r="AO536" i="1"/>
  <c r="AK548" i="1" s="1"/>
  <c r="AX536" i="1"/>
  <c r="AT548" i="1" s="1"/>
  <c r="AF536" i="1"/>
  <c r="BY536" i="1"/>
  <c r="BU548" i="1" s="1"/>
  <c r="BG536" i="1"/>
  <c r="BC548" i="1" s="1"/>
  <c r="BP536" i="1"/>
  <c r="W536" i="1"/>
  <c r="S548" i="1" s="1"/>
  <c r="J548" i="1"/>
  <c r="BO536" i="1"/>
  <c r="BK548" i="1" s="1"/>
  <c r="AN536" i="1"/>
  <c r="AJ548" i="1" s="1"/>
  <c r="AW536" i="1"/>
  <c r="BF536" i="1"/>
  <c r="BB548" i="1" s="1"/>
  <c r="AE536" i="1"/>
  <c r="V536" i="1"/>
  <c r="R548" i="1" s="1"/>
  <c r="I548" i="1"/>
  <c r="AM536" i="1"/>
  <c r="AI548" i="1" s="1"/>
  <c r="AI532" i="1" s="1"/>
  <c r="AI533" i="1" s="1"/>
  <c r="AV536" i="1"/>
  <c r="AR548" i="1" s="1"/>
  <c r="AR532" i="1" s="1"/>
  <c r="AR533" i="1" s="1"/>
  <c r="BN536" i="1"/>
  <c r="BE536" i="1"/>
  <c r="BA548" i="1" s="1"/>
  <c r="BA532" i="1" s="1"/>
  <c r="BA533" i="1" s="1"/>
  <c r="AD536" i="1"/>
  <c r="U536" i="1"/>
  <c r="Q548" i="1" s="1"/>
  <c r="Q532" i="1" s="1"/>
  <c r="Q533" i="1" s="1"/>
  <c r="W525" i="1"/>
  <c r="AX525" i="1"/>
  <c r="BG525" i="1"/>
  <c r="AF525" i="1"/>
  <c r="AO525" i="1"/>
  <c r="BY525" i="1"/>
  <c r="BP525" i="1"/>
  <c r="AE525" i="1"/>
  <c r="V525" i="1"/>
  <c r="AW525" i="1"/>
  <c r="BF525" i="1"/>
  <c r="BX525" i="1"/>
  <c r="AN525" i="1"/>
  <c r="BO525" i="1"/>
  <c r="AD525" i="1"/>
  <c r="AM525" i="1"/>
  <c r="BE525" i="1"/>
  <c r="BW525" i="1"/>
  <c r="U525" i="1"/>
  <c r="AV525" i="1"/>
  <c r="BN525" i="1"/>
  <c r="AO524" i="1"/>
  <c r="BG524" i="1"/>
  <c r="BY524" i="1"/>
  <c r="BP524" i="1"/>
  <c r="AF524" i="1"/>
  <c r="AX524" i="1"/>
  <c r="W524" i="1"/>
  <c r="AW524" i="1"/>
  <c r="AN524" i="1"/>
  <c r="BX524" i="1"/>
  <c r="BO524" i="1"/>
  <c r="BF524" i="1"/>
  <c r="AE524" i="1"/>
  <c r="V524" i="1"/>
  <c r="BN524" i="1"/>
  <c r="BW524" i="1"/>
  <c r="BE524" i="1"/>
  <c r="AD524" i="1"/>
  <c r="U524" i="1"/>
  <c r="BG523" i="1"/>
  <c r="BY523" i="1"/>
  <c r="BP523" i="1"/>
  <c r="AX523" i="1"/>
  <c r="AO523" i="1"/>
  <c r="AF523" i="1"/>
  <c r="W523" i="1"/>
  <c r="AE523" i="1"/>
  <c r="AN523" i="1"/>
  <c r="BO523" i="1"/>
  <c r="AW523" i="1"/>
  <c r="V523" i="1"/>
  <c r="BF523" i="1"/>
  <c r="BX523" i="1"/>
  <c r="AD523" i="1"/>
  <c r="AM523" i="1"/>
  <c r="BW523" i="1"/>
  <c r="BN523" i="1"/>
  <c r="BE523" i="1"/>
  <c r="U523" i="1"/>
  <c r="AV523" i="1"/>
  <c r="AF522" i="1"/>
  <c r="AX522" i="1"/>
  <c r="BG522" i="1"/>
  <c r="BP522" i="1"/>
  <c r="AO522" i="1"/>
  <c r="BY522" i="1"/>
  <c r="W522" i="1"/>
  <c r="AE522" i="1"/>
  <c r="AN522" i="1"/>
  <c r="BF522" i="1"/>
  <c r="BO522" i="1"/>
  <c r="V522" i="1"/>
  <c r="AW522" i="1"/>
  <c r="BX522" i="1"/>
  <c r="AM522" i="1"/>
  <c r="AV522" i="1"/>
  <c r="BE522" i="1"/>
  <c r="BN522" i="1"/>
  <c r="BW522" i="1"/>
  <c r="AD522" i="1"/>
  <c r="U522" i="1"/>
  <c r="AX521" i="1"/>
  <c r="AO521" i="1"/>
  <c r="BP521" i="1"/>
  <c r="AF521" i="1"/>
  <c r="W521" i="1"/>
  <c r="BY521" i="1"/>
  <c r="BG521" i="1"/>
  <c r="V521" i="1"/>
  <c r="AE521" i="1"/>
  <c r="AN521" i="1"/>
  <c r="BF521" i="1"/>
  <c r="BO521" i="1"/>
  <c r="BX521" i="1"/>
  <c r="AW521" i="1"/>
  <c r="BE521" i="1"/>
  <c r="BW521" i="1"/>
  <c r="BN521" i="1"/>
  <c r="AV521" i="1"/>
  <c r="AM521" i="1"/>
  <c r="AD521" i="1"/>
  <c r="U521" i="1"/>
  <c r="AF520" i="1"/>
  <c r="W520" i="1"/>
  <c r="BP520" i="1"/>
  <c r="BY520" i="1"/>
  <c r="BG520" i="1"/>
  <c r="AX520" i="1"/>
  <c r="AO520" i="1"/>
  <c r="AN520" i="1"/>
  <c r="AE520" i="1"/>
  <c r="V520" i="1"/>
  <c r="BX520" i="1"/>
  <c r="BO520" i="1"/>
  <c r="BF520" i="1"/>
  <c r="AW520" i="1"/>
  <c r="AM520" i="1"/>
  <c r="AD520" i="1"/>
  <c r="BW520" i="1"/>
  <c r="U520" i="1"/>
  <c r="BN520" i="1"/>
  <c r="BE520" i="1"/>
  <c r="AV520" i="1"/>
  <c r="BY519" i="1"/>
  <c r="BG519" i="1"/>
  <c r="AX519" i="1"/>
  <c r="AO519" i="1"/>
  <c r="BP519" i="1"/>
  <c r="AF519" i="1"/>
  <c r="W519" i="1"/>
  <c r="V519" i="1"/>
  <c r="BX519" i="1"/>
  <c r="BO519" i="1"/>
  <c r="AN519" i="1"/>
  <c r="BF519" i="1"/>
  <c r="AE519" i="1"/>
  <c r="AW519" i="1"/>
  <c r="AV519" i="1"/>
  <c r="U519" i="1"/>
  <c r="BW519" i="1"/>
  <c r="BN519" i="1"/>
  <c r="BE519" i="1"/>
  <c r="AM519" i="1"/>
  <c r="AD519" i="1"/>
  <c r="AF518" i="1"/>
  <c r="AX518" i="1"/>
  <c r="BP518" i="1"/>
  <c r="AO518" i="1"/>
  <c r="BG518" i="1"/>
  <c r="BY518" i="1"/>
  <c r="W518" i="1"/>
  <c r="BF518" i="1"/>
  <c r="AN518" i="1"/>
  <c r="BX518" i="1"/>
  <c r="AE518" i="1"/>
  <c r="BO518" i="1"/>
  <c r="AW518" i="1"/>
  <c r="V518" i="1"/>
  <c r="AM518" i="1"/>
  <c r="BE518" i="1"/>
  <c r="BW518" i="1"/>
  <c r="AD518" i="1"/>
  <c r="AV518" i="1"/>
  <c r="BN518" i="1"/>
  <c r="U518" i="1"/>
  <c r="BY517" i="1"/>
  <c r="BP517" i="1"/>
  <c r="BG517" i="1"/>
  <c r="AX517" i="1"/>
  <c r="AO517" i="1"/>
  <c r="AF517" i="1"/>
  <c r="W517" i="1"/>
  <c r="BX517" i="1"/>
  <c r="BO517" i="1"/>
  <c r="BF517" i="1"/>
  <c r="AW517" i="1"/>
  <c r="AN517" i="1"/>
  <c r="AE517" i="1"/>
  <c r="V517" i="1"/>
  <c r="AM517" i="1"/>
  <c r="BN517" i="1"/>
  <c r="AV517" i="1"/>
  <c r="AD517" i="1"/>
  <c r="BE517" i="1"/>
  <c r="BW517" i="1"/>
  <c r="U517" i="1"/>
  <c r="BY516" i="1"/>
  <c r="AF516" i="1"/>
  <c r="W516" i="1"/>
  <c r="BP516" i="1"/>
  <c r="AX516" i="1"/>
  <c r="AO516" i="1"/>
  <c r="BG516" i="1"/>
  <c r="BX516" i="1"/>
  <c r="BO516" i="1"/>
  <c r="BF516" i="1"/>
  <c r="AN516" i="1"/>
  <c r="AE516" i="1"/>
  <c r="V516" i="1"/>
  <c r="BW516" i="1"/>
  <c r="BN516" i="1"/>
  <c r="BE516" i="1"/>
  <c r="AM516" i="1"/>
  <c r="AD516" i="1"/>
  <c r="U516" i="1"/>
  <c r="BY515" i="1"/>
  <c r="BG515" i="1"/>
  <c r="BP515" i="1"/>
  <c r="AX515" i="1"/>
  <c r="AO515" i="1"/>
  <c r="AF515" i="1"/>
  <c r="W515" i="1"/>
  <c r="BX515" i="1"/>
  <c r="BO515" i="1"/>
  <c r="BF515" i="1"/>
  <c r="AW515" i="1"/>
  <c r="AN515" i="1"/>
  <c r="AE515" i="1"/>
  <c r="V515" i="1"/>
  <c r="AM515" i="1"/>
  <c r="BN515" i="1"/>
  <c r="AV515" i="1"/>
  <c r="AD515" i="1"/>
  <c r="BE515" i="1"/>
  <c r="BW515" i="1"/>
  <c r="U515" i="1"/>
  <c r="K526" i="1"/>
  <c r="BY514" i="1"/>
  <c r="BU526" i="1" s="1"/>
  <c r="BP514" i="1"/>
  <c r="BG514" i="1"/>
  <c r="BC526" i="1" s="1"/>
  <c r="AX514" i="1"/>
  <c r="AT526" i="1" s="1"/>
  <c r="AO514" i="1"/>
  <c r="AK526" i="1" s="1"/>
  <c r="AF514" i="1"/>
  <c r="AB526" i="1" s="1"/>
  <c r="W514" i="1"/>
  <c r="S526" i="1" s="1"/>
  <c r="J526" i="1"/>
  <c r="BX514" i="1"/>
  <c r="BT526" i="1" s="1"/>
  <c r="BO514" i="1"/>
  <c r="BK526" i="1" s="1"/>
  <c r="BF514" i="1"/>
  <c r="BB526" i="1" s="1"/>
  <c r="AW514" i="1"/>
  <c r="AN514" i="1"/>
  <c r="AJ526" i="1" s="1"/>
  <c r="AE514" i="1"/>
  <c r="AA526" i="1" s="1"/>
  <c r="V514" i="1"/>
  <c r="R526" i="1" s="1"/>
  <c r="I526" i="1"/>
  <c r="BE514" i="1"/>
  <c r="BA526" i="1" s="1"/>
  <c r="BA510" i="1" s="1"/>
  <c r="BA511" i="1" s="1"/>
  <c r="BN514" i="1"/>
  <c r="AM514" i="1"/>
  <c r="AI526" i="1" s="1"/>
  <c r="AI510" i="1" s="1"/>
  <c r="AI511" i="1" s="1"/>
  <c r="AD514" i="1"/>
  <c r="Z526" i="1" s="1"/>
  <c r="Z510" i="1" s="1"/>
  <c r="Z511" i="1" s="1"/>
  <c r="AV514" i="1"/>
  <c r="BW514" i="1"/>
  <c r="BS526" i="1" s="1"/>
  <c r="BS510" i="1" s="1"/>
  <c r="BS511" i="1" s="1"/>
  <c r="U514" i="1"/>
  <c r="Q526" i="1" s="1"/>
  <c r="Q510" i="1" s="1"/>
  <c r="Q511" i="1" s="1"/>
  <c r="BY503" i="1"/>
  <c r="AO503" i="1"/>
  <c r="AF503" i="1"/>
  <c r="AX503" i="1"/>
  <c r="BG503" i="1"/>
  <c r="BP503" i="1"/>
  <c r="W503" i="1"/>
  <c r="AE503" i="1"/>
  <c r="AW503" i="1"/>
  <c r="BO503" i="1"/>
  <c r="BF503" i="1"/>
  <c r="V503" i="1"/>
  <c r="AN503" i="1"/>
  <c r="BX503" i="1"/>
  <c r="BE503" i="1"/>
  <c r="AV503" i="1"/>
  <c r="AM503" i="1"/>
  <c r="AD503" i="1"/>
  <c r="BN503" i="1"/>
  <c r="BW503" i="1"/>
  <c r="BP502" i="1"/>
  <c r="BY502" i="1"/>
  <c r="W502" i="1"/>
  <c r="AF502" i="1"/>
  <c r="AO502" i="1"/>
  <c r="AX502" i="1"/>
  <c r="BG502" i="1"/>
  <c r="BF502" i="1"/>
  <c r="V502" i="1"/>
  <c r="AE502" i="1"/>
  <c r="AN502" i="1"/>
  <c r="AW502" i="1"/>
  <c r="BX502" i="1"/>
  <c r="BO502" i="1"/>
  <c r="BW502" i="1"/>
  <c r="U502" i="1"/>
  <c r="AD502" i="1"/>
  <c r="AV502" i="1"/>
  <c r="AM502" i="1"/>
  <c r="BN502" i="1"/>
  <c r="BE502" i="1"/>
  <c r="W501" i="1"/>
  <c r="AF501" i="1"/>
  <c r="AO501" i="1"/>
  <c r="AX501" i="1"/>
  <c r="BY501" i="1"/>
  <c r="BP501" i="1"/>
  <c r="BG501" i="1"/>
  <c r="AE501" i="1"/>
  <c r="AN501" i="1"/>
  <c r="AW501" i="1"/>
  <c r="BF501" i="1"/>
  <c r="BO501" i="1"/>
  <c r="BX501" i="1"/>
  <c r="V501" i="1"/>
  <c r="AD501" i="1"/>
  <c r="U501" i="1"/>
  <c r="BW501" i="1"/>
  <c r="BN501" i="1"/>
  <c r="BE501" i="1"/>
  <c r="AM501" i="1"/>
  <c r="AX500" i="1"/>
  <c r="BY500" i="1"/>
  <c r="AF500" i="1"/>
  <c r="W500" i="1"/>
  <c r="BG500" i="1"/>
  <c r="BP500" i="1"/>
  <c r="AO500" i="1"/>
  <c r="V500" i="1"/>
  <c r="AE500" i="1"/>
  <c r="BX500" i="1"/>
  <c r="BF500" i="1"/>
  <c r="BO500" i="1"/>
  <c r="AW500" i="1"/>
  <c r="AN500" i="1"/>
  <c r="AM500" i="1"/>
  <c r="AV500" i="1"/>
  <c r="BW500" i="1"/>
  <c r="BN500" i="1"/>
  <c r="BE500" i="1"/>
  <c r="AD500" i="1"/>
  <c r="U500" i="1"/>
  <c r="AF499" i="1"/>
  <c r="AO499" i="1"/>
  <c r="BY499" i="1"/>
  <c r="BG499" i="1"/>
  <c r="BP499" i="1"/>
  <c r="AX499" i="1"/>
  <c r="W499" i="1"/>
  <c r="AN499" i="1"/>
  <c r="AW499" i="1"/>
  <c r="BF499" i="1"/>
  <c r="BX499" i="1"/>
  <c r="BO499" i="1"/>
  <c r="AE499" i="1"/>
  <c r="V499" i="1"/>
  <c r="AM499" i="1"/>
  <c r="AV499" i="1"/>
  <c r="BW499" i="1"/>
  <c r="BN499" i="1"/>
  <c r="BE499" i="1"/>
  <c r="AD499" i="1"/>
  <c r="U499" i="1"/>
  <c r="BP498" i="1"/>
  <c r="BG498" i="1"/>
  <c r="AX498" i="1"/>
  <c r="AO498" i="1"/>
  <c r="AF498" i="1"/>
  <c r="W498" i="1"/>
  <c r="BY498" i="1"/>
  <c r="BO498" i="1"/>
  <c r="BX498" i="1"/>
  <c r="V498" i="1"/>
  <c r="AE498" i="1"/>
  <c r="AN498" i="1"/>
  <c r="AW498" i="1"/>
  <c r="BF498" i="1"/>
  <c r="AV498" i="1"/>
  <c r="AD498" i="1"/>
  <c r="AM498" i="1"/>
  <c r="BE498" i="1"/>
  <c r="BN498" i="1"/>
  <c r="BW498" i="1"/>
  <c r="U498" i="1"/>
  <c r="BG497" i="1"/>
  <c r="AX497" i="1"/>
  <c r="AF497" i="1"/>
  <c r="W497" i="1"/>
  <c r="AO497" i="1"/>
  <c r="BP497" i="1"/>
  <c r="BY497" i="1"/>
  <c r="BO497" i="1"/>
  <c r="V497" i="1"/>
  <c r="AE497" i="1"/>
  <c r="BX497" i="1"/>
  <c r="AN497" i="1"/>
  <c r="AW497" i="1"/>
  <c r="BF497" i="1"/>
  <c r="AM497" i="1"/>
  <c r="BN497" i="1"/>
  <c r="U497" i="1"/>
  <c r="AD497" i="1"/>
  <c r="AV497" i="1"/>
  <c r="BE497" i="1"/>
  <c r="BW497" i="1"/>
  <c r="BG496" i="1"/>
  <c r="AO496" i="1"/>
  <c r="BP496" i="1"/>
  <c r="BY496" i="1"/>
  <c r="AF496" i="1"/>
  <c r="W496" i="1"/>
  <c r="AX496" i="1"/>
  <c r="BX496" i="1"/>
  <c r="AE496" i="1"/>
  <c r="V496" i="1"/>
  <c r="BF496" i="1"/>
  <c r="AN496" i="1"/>
  <c r="AW496" i="1"/>
  <c r="BO496" i="1"/>
  <c r="AD496" i="1"/>
  <c r="U496" i="1"/>
  <c r="BW496" i="1"/>
  <c r="BE496" i="1"/>
  <c r="BN496" i="1"/>
  <c r="AV496" i="1"/>
  <c r="AM496" i="1"/>
  <c r="BY495" i="1"/>
  <c r="BG495" i="1"/>
  <c r="AO495" i="1"/>
  <c r="AX495" i="1"/>
  <c r="AF495" i="1"/>
  <c r="BP495" i="1"/>
  <c r="W495" i="1"/>
  <c r="AN495" i="1"/>
  <c r="AE495" i="1"/>
  <c r="V495" i="1"/>
  <c r="BX495" i="1"/>
  <c r="BF495" i="1"/>
  <c r="AW495" i="1"/>
  <c r="BO495" i="1"/>
  <c r="BN495" i="1"/>
  <c r="BE495" i="1"/>
  <c r="AM495" i="1"/>
  <c r="AD495" i="1"/>
  <c r="BW495" i="1"/>
  <c r="U495" i="1"/>
  <c r="AV495" i="1"/>
  <c r="BP494" i="1"/>
  <c r="AX494" i="1"/>
  <c r="AO494" i="1"/>
  <c r="AF494" i="1"/>
  <c r="BG494" i="1"/>
  <c r="W494" i="1"/>
  <c r="BY494" i="1"/>
  <c r="BF494" i="1"/>
  <c r="AW494" i="1"/>
  <c r="AN494" i="1"/>
  <c r="AE494" i="1"/>
  <c r="V494" i="1"/>
  <c r="BO494" i="1"/>
  <c r="BX494" i="1"/>
  <c r="BW494" i="1"/>
  <c r="BN494" i="1"/>
  <c r="BE494" i="1"/>
  <c r="AV494" i="1"/>
  <c r="AM494" i="1"/>
  <c r="U494" i="1"/>
  <c r="AD494" i="1"/>
  <c r="AF493" i="1"/>
  <c r="AO493" i="1"/>
  <c r="AX493" i="1"/>
  <c r="BG493" i="1"/>
  <c r="BP493" i="1"/>
  <c r="BY493" i="1"/>
  <c r="W493" i="1"/>
  <c r="BF493" i="1"/>
  <c r="AN493" i="1"/>
  <c r="V493" i="1"/>
  <c r="AE493" i="1"/>
  <c r="AW493" i="1"/>
  <c r="BO493" i="1"/>
  <c r="BX493" i="1"/>
  <c r="U493" i="1"/>
  <c r="AD493" i="1"/>
  <c r="AV493" i="1"/>
  <c r="AM493" i="1"/>
  <c r="BN493" i="1"/>
  <c r="BW493" i="1"/>
  <c r="BE493" i="1"/>
  <c r="K504" i="1"/>
  <c r="BY492" i="1"/>
  <c r="BU504" i="1" s="1"/>
  <c r="W492" i="1"/>
  <c r="S504" i="1" s="1"/>
  <c r="BP492" i="1"/>
  <c r="BG492" i="1"/>
  <c r="BC504" i="1" s="1"/>
  <c r="AX492" i="1"/>
  <c r="AT504" i="1" s="1"/>
  <c r="AO492" i="1"/>
  <c r="AK504" i="1" s="1"/>
  <c r="AF492" i="1"/>
  <c r="AB504" i="1" s="1"/>
  <c r="J504" i="1"/>
  <c r="BX492" i="1"/>
  <c r="BT504" i="1" s="1"/>
  <c r="BO492" i="1"/>
  <c r="BK504" i="1" s="1"/>
  <c r="BF492" i="1"/>
  <c r="BB504" i="1" s="1"/>
  <c r="AW492" i="1"/>
  <c r="AS504" i="1" s="1"/>
  <c r="V492" i="1"/>
  <c r="R504" i="1" s="1"/>
  <c r="AN492" i="1"/>
  <c r="AJ504" i="1" s="1"/>
  <c r="AE492" i="1"/>
  <c r="AA504" i="1" s="1"/>
  <c r="I504" i="1"/>
  <c r="BW492" i="1"/>
  <c r="BS504" i="1" s="1"/>
  <c r="BS488" i="1" s="1"/>
  <c r="BS489" i="1" s="1"/>
  <c r="BE492" i="1"/>
  <c r="BA504" i="1" s="1"/>
  <c r="BA488" i="1" s="1"/>
  <c r="BA489" i="1" s="1"/>
  <c r="U492" i="1"/>
  <c r="Q504" i="1" s="1"/>
  <c r="Q488" i="1" s="1"/>
  <c r="Q489" i="1" s="1"/>
  <c r="AV492" i="1"/>
  <c r="AR504" i="1" s="1"/>
  <c r="AR488" i="1" s="1"/>
  <c r="AR489" i="1" s="1"/>
  <c r="BN492" i="1"/>
  <c r="AD492" i="1"/>
  <c r="Z504" i="1" s="1"/>
  <c r="Z488" i="1" s="1"/>
  <c r="Z489" i="1" s="1"/>
  <c r="BP481" i="1"/>
  <c r="AX481" i="1"/>
  <c r="BY481" i="1"/>
  <c r="BG481" i="1"/>
  <c r="AO481" i="1"/>
  <c r="AF481" i="1"/>
  <c r="W481" i="1"/>
  <c r="BF481" i="1"/>
  <c r="BO481" i="1"/>
  <c r="AN481" i="1"/>
  <c r="BX481" i="1"/>
  <c r="AE481" i="1"/>
  <c r="AW481" i="1"/>
  <c r="V481" i="1"/>
  <c r="BN481" i="1"/>
  <c r="BW481" i="1"/>
  <c r="AV481" i="1"/>
  <c r="BE481" i="1"/>
  <c r="AM481" i="1"/>
  <c r="W480" i="1"/>
  <c r="BG480" i="1"/>
  <c r="AX480" i="1"/>
  <c r="AF480" i="1"/>
  <c r="BY480" i="1"/>
  <c r="AO480" i="1"/>
  <c r="BP480" i="1"/>
  <c r="AN480" i="1"/>
  <c r="AW480" i="1"/>
  <c r="AE480" i="1"/>
  <c r="V480" i="1"/>
  <c r="BO480" i="1"/>
  <c r="BF480" i="1"/>
  <c r="BX480" i="1"/>
  <c r="AM480" i="1"/>
  <c r="BW480" i="1"/>
  <c r="AD480" i="1"/>
  <c r="BN480" i="1"/>
  <c r="U480" i="1"/>
  <c r="BE480" i="1"/>
  <c r="AV480" i="1"/>
  <c r="AX479" i="1"/>
  <c r="BY479" i="1"/>
  <c r="BG479" i="1"/>
  <c r="W479" i="1"/>
  <c r="BP479" i="1"/>
  <c r="AF479" i="1"/>
  <c r="AO479" i="1"/>
  <c r="AW479" i="1"/>
  <c r="BF479" i="1"/>
  <c r="BO479" i="1"/>
  <c r="BX479" i="1"/>
  <c r="AE479" i="1"/>
  <c r="AN479" i="1"/>
  <c r="V479" i="1"/>
  <c r="BW479" i="1"/>
  <c r="BN479" i="1"/>
  <c r="BE479" i="1"/>
  <c r="AM479" i="1"/>
  <c r="AD479" i="1"/>
  <c r="AV479" i="1"/>
  <c r="U479" i="1"/>
  <c r="BP478" i="1"/>
  <c r="BG478" i="1"/>
  <c r="AO478" i="1"/>
  <c r="AF478" i="1"/>
  <c r="W478" i="1"/>
  <c r="AX478" i="1"/>
  <c r="BY478" i="1"/>
  <c r="BW478" i="1"/>
  <c r="U478" i="1"/>
  <c r="BN478" i="1"/>
  <c r="BE478" i="1"/>
  <c r="AV478" i="1"/>
  <c r="AM478" i="1"/>
  <c r="AD478" i="1"/>
  <c r="BY477" i="1"/>
  <c r="AO477" i="1"/>
  <c r="W477" i="1"/>
  <c r="BG477" i="1"/>
  <c r="AX477" i="1"/>
  <c r="AF477" i="1"/>
  <c r="BP477" i="1"/>
  <c r="V477" i="1"/>
  <c r="AW477" i="1"/>
  <c r="BF477" i="1"/>
  <c r="BO477" i="1"/>
  <c r="BX477" i="1"/>
  <c r="AE477" i="1"/>
  <c r="AN477" i="1"/>
  <c r="BN477" i="1"/>
  <c r="AM477" i="1"/>
  <c r="BW477" i="1"/>
  <c r="BE477" i="1"/>
  <c r="U477" i="1"/>
  <c r="AV477" i="1"/>
  <c r="AD477" i="1"/>
  <c r="BY476" i="1"/>
  <c r="BP476" i="1"/>
  <c r="W476" i="1"/>
  <c r="AF476" i="1"/>
  <c r="BG476" i="1"/>
  <c r="AO476" i="1"/>
  <c r="AX476" i="1"/>
  <c r="BX476" i="1"/>
  <c r="BO476" i="1"/>
  <c r="V476" i="1"/>
  <c r="AE476" i="1"/>
  <c r="AW476" i="1"/>
  <c r="AN476" i="1"/>
  <c r="BF476" i="1"/>
  <c r="AV476" i="1"/>
  <c r="BE476" i="1"/>
  <c r="BN476" i="1"/>
  <c r="BW476" i="1"/>
  <c r="AM476" i="1"/>
  <c r="AX475" i="1"/>
  <c r="W475" i="1"/>
  <c r="AO475" i="1"/>
  <c r="BP475" i="1"/>
  <c r="BG475" i="1"/>
  <c r="AF475" i="1"/>
  <c r="BY475" i="1"/>
  <c r="AN475" i="1"/>
  <c r="BO475" i="1"/>
  <c r="AE475" i="1"/>
  <c r="AW475" i="1"/>
  <c r="BF475" i="1"/>
  <c r="V475" i="1"/>
  <c r="BX475" i="1"/>
  <c r="BN475" i="1"/>
  <c r="AV475" i="1"/>
  <c r="BE475" i="1"/>
  <c r="U475" i="1"/>
  <c r="AD475" i="1"/>
  <c r="BW475" i="1"/>
  <c r="AM475" i="1"/>
  <c r="BP474" i="1"/>
  <c r="BY474" i="1"/>
  <c r="W474" i="1"/>
  <c r="BG474" i="1"/>
  <c r="AF474" i="1"/>
  <c r="AO474" i="1"/>
  <c r="AX474" i="1"/>
  <c r="BO474" i="1"/>
  <c r="BX474" i="1"/>
  <c r="V474" i="1"/>
  <c r="AN474" i="1"/>
  <c r="AE474" i="1"/>
  <c r="AW474" i="1"/>
  <c r="BF474" i="1"/>
  <c r="BN474" i="1"/>
  <c r="BW474" i="1"/>
  <c r="U474" i="1"/>
  <c r="AD474" i="1"/>
  <c r="AM474" i="1"/>
  <c r="BE474" i="1"/>
  <c r="AV474" i="1"/>
  <c r="BF473" i="1"/>
  <c r="BO473" i="1"/>
  <c r="BX473" i="1"/>
  <c r="V473" i="1"/>
  <c r="AE473" i="1"/>
  <c r="AN473" i="1"/>
  <c r="AW473" i="1"/>
  <c r="AV473" i="1"/>
  <c r="BW473" i="1"/>
  <c r="BN473" i="1"/>
  <c r="BE473" i="1"/>
  <c r="AM473" i="1"/>
  <c r="AD473" i="1"/>
  <c r="AX472" i="1"/>
  <c r="W472" i="1"/>
  <c r="BG472" i="1"/>
  <c r="BP472" i="1"/>
  <c r="BY472" i="1"/>
  <c r="AF472" i="1"/>
  <c r="AO472" i="1"/>
  <c r="BX472" i="1"/>
  <c r="AW472" i="1"/>
  <c r="V472" i="1"/>
  <c r="BF472" i="1"/>
  <c r="AE472" i="1"/>
  <c r="BO472" i="1"/>
  <c r="AN472" i="1"/>
  <c r="AV472" i="1"/>
  <c r="BE472" i="1"/>
  <c r="BN472" i="1"/>
  <c r="BW472" i="1"/>
  <c r="U472" i="1"/>
  <c r="AD472" i="1"/>
  <c r="AM472" i="1"/>
  <c r="BY471" i="1"/>
  <c r="AX471" i="1"/>
  <c r="W471" i="1"/>
  <c r="AO471" i="1"/>
  <c r="AF471" i="1"/>
  <c r="BP471" i="1"/>
  <c r="BG471" i="1"/>
  <c r="AW471" i="1"/>
  <c r="AN471" i="1"/>
  <c r="AE471" i="1"/>
  <c r="V471" i="1"/>
  <c r="BX471" i="1"/>
  <c r="BO471" i="1"/>
  <c r="BF471" i="1"/>
  <c r="BE471" i="1"/>
  <c r="AD471" i="1"/>
  <c r="AM471" i="1"/>
  <c r="AV471" i="1"/>
  <c r="BN471" i="1"/>
  <c r="BW471" i="1"/>
  <c r="U471" i="1"/>
  <c r="K482" i="1"/>
  <c r="AO470" i="1"/>
  <c r="BP470" i="1"/>
  <c r="AF470" i="1"/>
  <c r="W470" i="1"/>
  <c r="BG470" i="1"/>
  <c r="AX470" i="1"/>
  <c r="BY470" i="1"/>
  <c r="J482" i="1"/>
  <c r="AN470" i="1"/>
  <c r="AE470" i="1"/>
  <c r="V470" i="1"/>
  <c r="BX470" i="1"/>
  <c r="BF470" i="1"/>
  <c r="AW470" i="1"/>
  <c r="BO470" i="1"/>
  <c r="I482" i="1"/>
  <c r="AD470" i="1"/>
  <c r="BW470" i="1"/>
  <c r="U470" i="1"/>
  <c r="BE470" i="1"/>
  <c r="AM470" i="1"/>
  <c r="BN470" i="1"/>
  <c r="AV470" i="1"/>
  <c r="BY459" i="1"/>
  <c r="AO459" i="1"/>
  <c r="W459" i="1"/>
  <c r="BP459" i="1"/>
  <c r="AX459" i="1"/>
  <c r="AF459" i="1"/>
  <c r="BG459" i="1"/>
  <c r="AN459" i="1"/>
  <c r="BX459" i="1"/>
  <c r="V459" i="1"/>
  <c r="BO459" i="1"/>
  <c r="AW459" i="1"/>
  <c r="AE459" i="1"/>
  <c r="BF459" i="1"/>
  <c r="BW459" i="1"/>
  <c r="AM459" i="1"/>
  <c r="AV459" i="1"/>
  <c r="BE459" i="1"/>
  <c r="BN459" i="1"/>
  <c r="U459" i="1"/>
  <c r="AD459" i="1"/>
  <c r="AF458" i="1"/>
  <c r="W458" i="1"/>
  <c r="BP458" i="1"/>
  <c r="BY458" i="1"/>
  <c r="BG458" i="1"/>
  <c r="AX458" i="1"/>
  <c r="AO458" i="1"/>
  <c r="AE458" i="1"/>
  <c r="V458" i="1"/>
  <c r="AN458" i="1"/>
  <c r="BX458" i="1"/>
  <c r="AW458" i="1"/>
  <c r="BO458" i="1"/>
  <c r="BF458" i="1"/>
  <c r="AM458" i="1"/>
  <c r="AD458" i="1"/>
  <c r="U458" i="1"/>
  <c r="BW458" i="1"/>
  <c r="BE458" i="1"/>
  <c r="AV458" i="1"/>
  <c r="BN458" i="1"/>
  <c r="AF457" i="1"/>
  <c r="W457" i="1"/>
  <c r="BY457" i="1"/>
  <c r="BP457" i="1"/>
  <c r="BG457" i="1"/>
  <c r="AX457" i="1"/>
  <c r="AO457" i="1"/>
  <c r="AN457" i="1"/>
  <c r="BF457" i="1"/>
  <c r="AW457" i="1"/>
  <c r="BO457" i="1"/>
  <c r="BX457" i="1"/>
  <c r="V457" i="1"/>
  <c r="AE457" i="1"/>
  <c r="BN457" i="1"/>
  <c r="U457" i="1"/>
  <c r="BE457" i="1"/>
  <c r="AM457" i="1"/>
  <c r="AV457" i="1"/>
  <c r="AD457" i="1"/>
  <c r="BW457" i="1"/>
  <c r="W456" i="1"/>
  <c r="AX456" i="1"/>
  <c r="AF456" i="1"/>
  <c r="BP456" i="1"/>
  <c r="BG456" i="1"/>
  <c r="BY456" i="1"/>
  <c r="AO456" i="1"/>
  <c r="V456" i="1"/>
  <c r="BX456" i="1"/>
  <c r="BO456" i="1"/>
  <c r="AE456" i="1"/>
  <c r="AW456" i="1"/>
  <c r="AN456" i="1"/>
  <c r="BF456" i="1"/>
  <c r="BW456" i="1"/>
  <c r="U456" i="1"/>
  <c r="BE456" i="1"/>
  <c r="AV456" i="1"/>
  <c r="AD456" i="1"/>
  <c r="AM456" i="1"/>
  <c r="BN456" i="1"/>
  <c r="AX455" i="1"/>
  <c r="AF455" i="1"/>
  <c r="AO455" i="1"/>
  <c r="BP455" i="1"/>
  <c r="BG455" i="1"/>
  <c r="BY455" i="1"/>
  <c r="W455" i="1"/>
  <c r="AN455" i="1"/>
  <c r="AE455" i="1"/>
  <c r="BF455" i="1"/>
  <c r="V455" i="1"/>
  <c r="BX455" i="1"/>
  <c r="BO455" i="1"/>
  <c r="AW455" i="1"/>
  <c r="U455" i="1"/>
  <c r="AD455" i="1"/>
  <c r="BW455" i="1"/>
  <c r="AV455" i="1"/>
  <c r="AM455" i="1"/>
  <c r="BN455" i="1"/>
  <c r="BP454" i="1"/>
  <c r="AF454" i="1"/>
  <c r="BG454" i="1"/>
  <c r="W454" i="1"/>
  <c r="BY454" i="1"/>
  <c r="AO454" i="1"/>
  <c r="AX454" i="1"/>
  <c r="BO454" i="1"/>
  <c r="AE454" i="1"/>
  <c r="BF454" i="1"/>
  <c r="AW454" i="1"/>
  <c r="V454" i="1"/>
  <c r="AN454" i="1"/>
  <c r="BX454" i="1"/>
  <c r="AD454" i="1"/>
  <c r="BN454" i="1"/>
  <c r="BE454" i="1"/>
  <c r="AV454" i="1"/>
  <c r="AM454" i="1"/>
  <c r="BW454" i="1"/>
  <c r="U454" i="1"/>
  <c r="AO80" i="1"/>
  <c r="AF80" i="1"/>
  <c r="W80" i="1"/>
  <c r="AN80" i="1"/>
  <c r="AE80" i="1"/>
  <c r="V80" i="1"/>
  <c r="AD80" i="1"/>
  <c r="AM80" i="1"/>
  <c r="U80" i="1"/>
  <c r="BP79" i="1"/>
  <c r="AX79" i="1"/>
  <c r="AO79" i="1"/>
  <c r="BY79" i="1"/>
  <c r="BG79" i="1"/>
  <c r="W79" i="1"/>
  <c r="AF79" i="1"/>
  <c r="BX79" i="1"/>
  <c r="BF79" i="1"/>
  <c r="AW79" i="1"/>
  <c r="AN79" i="1"/>
  <c r="AE79" i="1"/>
  <c r="BO79" i="1"/>
  <c r="V79" i="1"/>
  <c r="BW79" i="1"/>
  <c r="AV79" i="1"/>
  <c r="U79" i="1"/>
  <c r="AD79" i="1"/>
  <c r="BE79" i="1"/>
  <c r="AM79" i="1"/>
  <c r="BN79" i="1"/>
  <c r="AO78" i="1"/>
  <c r="AF78" i="1"/>
  <c r="W78" i="1"/>
  <c r="BY78" i="1"/>
  <c r="BP78" i="1"/>
  <c r="BG78" i="1"/>
  <c r="AX78" i="1"/>
  <c r="BF78" i="1"/>
  <c r="AW78" i="1"/>
  <c r="V78" i="1"/>
  <c r="AN78" i="1"/>
  <c r="AE78" i="1"/>
  <c r="BX78" i="1"/>
  <c r="BO78" i="1"/>
  <c r="AD78" i="1"/>
  <c r="AV78" i="1"/>
  <c r="BW78" i="1"/>
  <c r="BE78" i="1"/>
  <c r="AM78" i="1"/>
  <c r="BN78" i="1"/>
  <c r="U78" i="1"/>
  <c r="AX77" i="1"/>
  <c r="BY77" i="1"/>
  <c r="W77" i="1"/>
  <c r="BP77" i="1"/>
  <c r="AO77" i="1"/>
  <c r="AF77" i="1"/>
  <c r="BG77" i="1"/>
  <c r="V77" i="1"/>
  <c r="AE77" i="1"/>
  <c r="BO77" i="1"/>
  <c r="BF77" i="1"/>
  <c r="BX77" i="1"/>
  <c r="AW77" i="1"/>
  <c r="AN77" i="1"/>
  <c r="U77" i="1"/>
  <c r="AV77" i="1"/>
  <c r="AM77" i="1"/>
  <c r="BN77" i="1"/>
  <c r="BE77" i="1"/>
  <c r="AD77" i="1"/>
  <c r="BW77" i="1"/>
  <c r="BG76" i="1"/>
  <c r="AO76" i="1"/>
  <c r="BP76" i="1"/>
  <c r="AX76" i="1"/>
  <c r="AF76" i="1"/>
  <c r="W76" i="1"/>
  <c r="BY76" i="1"/>
  <c r="BO76" i="1"/>
  <c r="AW76" i="1"/>
  <c r="AN76" i="1"/>
  <c r="BF76" i="1"/>
  <c r="AE76" i="1"/>
  <c r="BX76" i="1"/>
  <c r="V76" i="1"/>
  <c r="AV76" i="1"/>
  <c r="BE76" i="1"/>
  <c r="BN76" i="1"/>
  <c r="AM76" i="1"/>
  <c r="BW76" i="1"/>
  <c r="AD76" i="1"/>
  <c r="U76" i="1"/>
  <c r="BY75" i="1"/>
  <c r="AO75" i="1"/>
  <c r="AF75" i="1"/>
  <c r="W75" i="1"/>
  <c r="BP75" i="1"/>
  <c r="BG75" i="1"/>
  <c r="AX75" i="1"/>
  <c r="AN75" i="1"/>
  <c r="V75" i="1"/>
  <c r="AW75" i="1"/>
  <c r="BX75" i="1"/>
  <c r="BO75" i="1"/>
  <c r="AE75" i="1"/>
  <c r="BF75" i="1"/>
  <c r="U75" i="1"/>
  <c r="AV75" i="1"/>
  <c r="BW75" i="1"/>
  <c r="AD75" i="1"/>
  <c r="BN75" i="1"/>
  <c r="BE75" i="1"/>
  <c r="AM75" i="1"/>
  <c r="K86" i="1"/>
  <c r="AX74" i="1"/>
  <c r="AO74" i="1"/>
  <c r="W74" i="1"/>
  <c r="AF74" i="1"/>
  <c r="BY74" i="1"/>
  <c r="BP74" i="1"/>
  <c r="BG74" i="1"/>
  <c r="J86" i="1"/>
  <c r="BX74" i="1"/>
  <c r="AE74" i="1"/>
  <c r="BO74" i="1"/>
  <c r="BF74" i="1"/>
  <c r="AN74" i="1"/>
  <c r="V74" i="1"/>
  <c r="AW74" i="1"/>
  <c r="I86" i="1"/>
  <c r="U74" i="1"/>
  <c r="AD74" i="1"/>
  <c r="BN74" i="1"/>
  <c r="BE74" i="1"/>
  <c r="AV74" i="1"/>
  <c r="AM74" i="1"/>
  <c r="BW74" i="1"/>
  <c r="AO63" i="1"/>
  <c r="BG63" i="1"/>
  <c r="W63" i="1"/>
  <c r="AX63" i="1"/>
  <c r="AF63" i="1"/>
  <c r="BP63" i="1"/>
  <c r="BY63" i="1"/>
  <c r="AE63" i="1"/>
  <c r="AN63" i="1"/>
  <c r="AW63" i="1"/>
  <c r="BF63" i="1"/>
  <c r="BO63" i="1"/>
  <c r="BX63" i="1"/>
  <c r="V63" i="1"/>
  <c r="BE63" i="1"/>
  <c r="BN63" i="1"/>
  <c r="AM63" i="1"/>
  <c r="AD63" i="1"/>
  <c r="U63" i="1"/>
  <c r="AV63" i="1"/>
  <c r="BW63" i="1"/>
  <c r="BY62" i="1"/>
  <c r="BP62" i="1"/>
  <c r="W62" i="1"/>
  <c r="AF62" i="1"/>
  <c r="AO62" i="1"/>
  <c r="BG62" i="1"/>
  <c r="AX62" i="1"/>
  <c r="BX62" i="1"/>
  <c r="V62" i="1"/>
  <c r="AE62" i="1"/>
  <c r="AN62" i="1"/>
  <c r="AW62" i="1"/>
  <c r="BF62" i="1"/>
  <c r="BO62" i="1"/>
  <c r="AV62" i="1"/>
  <c r="AD62" i="1"/>
  <c r="U62" i="1"/>
  <c r="BE62" i="1"/>
  <c r="BN62" i="1"/>
  <c r="AM62" i="1"/>
  <c r="BW62" i="1"/>
  <c r="BG61" i="1"/>
  <c r="W61" i="1"/>
  <c r="BP61" i="1"/>
  <c r="BY61" i="1"/>
  <c r="AX61" i="1"/>
  <c r="AO61" i="1"/>
  <c r="AF61" i="1"/>
  <c r="BF61" i="1"/>
  <c r="BO61" i="1"/>
  <c r="BX61" i="1"/>
  <c r="V61" i="1"/>
  <c r="AE61" i="1"/>
  <c r="AW61" i="1"/>
  <c r="AN61" i="1"/>
  <c r="BN61" i="1"/>
  <c r="AD61" i="1"/>
  <c r="BW61" i="1"/>
  <c r="U61" i="1"/>
  <c r="BE61" i="1"/>
  <c r="AV61" i="1"/>
  <c r="AM61" i="1"/>
  <c r="BG60" i="1"/>
  <c r="BY60" i="1"/>
  <c r="AX60" i="1"/>
  <c r="BP60" i="1"/>
  <c r="W60" i="1"/>
  <c r="AF60" i="1"/>
  <c r="AO60" i="1"/>
  <c r="AW60" i="1"/>
  <c r="BX60" i="1"/>
  <c r="V60" i="1"/>
  <c r="BF60" i="1"/>
  <c r="AE60" i="1"/>
  <c r="AN60" i="1"/>
  <c r="BO60" i="1"/>
  <c r="BN60" i="1"/>
  <c r="U60" i="1"/>
  <c r="BE60" i="1"/>
  <c r="AM60" i="1"/>
  <c r="AV60" i="1"/>
  <c r="BW60" i="1"/>
  <c r="AD60" i="1"/>
  <c r="BG59" i="1"/>
  <c r="W59" i="1"/>
  <c r="AF59" i="1"/>
  <c r="BP59" i="1"/>
  <c r="AO59" i="1"/>
  <c r="AX59" i="1"/>
  <c r="BY59" i="1"/>
  <c r="BO59" i="1"/>
  <c r="V59" i="1"/>
  <c r="AE59" i="1"/>
  <c r="AN59" i="1"/>
  <c r="AW59" i="1"/>
  <c r="BF59" i="1"/>
  <c r="BX59" i="1"/>
  <c r="BW59" i="1"/>
  <c r="U59" i="1"/>
  <c r="AM59" i="1"/>
  <c r="BE59" i="1"/>
  <c r="BN59" i="1"/>
  <c r="AV59" i="1"/>
  <c r="AD59" i="1"/>
  <c r="AX58" i="1"/>
  <c r="AO58" i="1"/>
  <c r="W58" i="1"/>
  <c r="AF58" i="1"/>
  <c r="BG58" i="1"/>
  <c r="BP58" i="1"/>
  <c r="BY58" i="1"/>
  <c r="AW58" i="1"/>
  <c r="BF58" i="1"/>
  <c r="V58" i="1"/>
  <c r="AN58" i="1"/>
  <c r="AE58" i="1"/>
  <c r="BX58" i="1"/>
  <c r="BO58" i="1"/>
  <c r="AV58" i="1"/>
  <c r="BN58" i="1"/>
  <c r="AD58" i="1"/>
  <c r="AM58" i="1"/>
  <c r="U58" i="1"/>
  <c r="BE58" i="1"/>
  <c r="BW58" i="1"/>
  <c r="BY57" i="1"/>
  <c r="BP57" i="1"/>
  <c r="BG57" i="1"/>
  <c r="AX57" i="1"/>
  <c r="AO57" i="1"/>
  <c r="W57" i="1"/>
  <c r="AF57" i="1"/>
  <c r="AW57" i="1"/>
  <c r="AN57" i="1"/>
  <c r="AE57" i="1"/>
  <c r="V57" i="1"/>
  <c r="BO57" i="1"/>
  <c r="BX57" i="1"/>
  <c r="BF57" i="1"/>
  <c r="AD57" i="1"/>
  <c r="BW57" i="1"/>
  <c r="U57" i="1"/>
  <c r="BE57" i="1"/>
  <c r="AV57" i="1"/>
  <c r="AM57" i="1"/>
  <c r="BN57" i="1"/>
  <c r="AO56" i="1"/>
  <c r="AX56" i="1"/>
  <c r="BG56" i="1"/>
  <c r="BP56" i="1"/>
  <c r="BY56" i="1"/>
  <c r="W56" i="1"/>
  <c r="AF56" i="1"/>
  <c r="AN56" i="1"/>
  <c r="AW56" i="1"/>
  <c r="BF56" i="1"/>
  <c r="BO56" i="1"/>
  <c r="BX56" i="1"/>
  <c r="V56" i="1"/>
  <c r="AE56" i="1"/>
  <c r="AM56" i="1"/>
  <c r="BE56" i="1"/>
  <c r="BN56" i="1"/>
  <c r="AV56" i="1"/>
  <c r="BW56" i="1"/>
  <c r="AD56" i="1"/>
  <c r="U56" i="1"/>
  <c r="BG55" i="1"/>
  <c r="AX55" i="1"/>
  <c r="AO55" i="1"/>
  <c r="AF55" i="1"/>
  <c r="BP55" i="1"/>
  <c r="BY55" i="1"/>
  <c r="W55" i="1"/>
  <c r="BO55" i="1"/>
  <c r="V55" i="1"/>
  <c r="AN55" i="1"/>
  <c r="BX55" i="1"/>
  <c r="AW55" i="1"/>
  <c r="BF55" i="1"/>
  <c r="AE55" i="1"/>
  <c r="AV55" i="1"/>
  <c r="U55" i="1"/>
  <c r="AM55" i="1"/>
  <c r="AD55" i="1"/>
  <c r="BN55" i="1"/>
  <c r="BE55" i="1"/>
  <c r="BW55" i="1"/>
  <c r="AO54" i="1"/>
  <c r="BP54" i="1"/>
  <c r="AF54" i="1"/>
  <c r="W54" i="1"/>
  <c r="AX54" i="1"/>
  <c r="BG54" i="1"/>
  <c r="BY54" i="1"/>
  <c r="V54" i="1"/>
  <c r="BO54" i="1"/>
  <c r="BX54" i="1"/>
  <c r="AN54" i="1"/>
  <c r="AE54" i="1"/>
  <c r="BF54" i="1"/>
  <c r="AW54" i="1"/>
  <c r="BW54" i="1"/>
  <c r="BN54" i="1"/>
  <c r="U54" i="1"/>
  <c r="AD54" i="1"/>
  <c r="BE54" i="1"/>
  <c r="AM54" i="1"/>
  <c r="AV54" i="1"/>
  <c r="AF53" i="1"/>
  <c r="AO53" i="1"/>
  <c r="BY53" i="1"/>
  <c r="BP53" i="1"/>
  <c r="BG53" i="1"/>
  <c r="AX53" i="1"/>
  <c r="W53" i="1"/>
  <c r="AE53" i="1"/>
  <c r="AW53" i="1"/>
  <c r="BF53" i="1"/>
  <c r="BO53" i="1"/>
  <c r="BX53" i="1"/>
  <c r="AN53" i="1"/>
  <c r="V53" i="1"/>
  <c r="AD53" i="1"/>
  <c r="U53" i="1"/>
  <c r="AV53" i="1"/>
  <c r="BE53" i="1"/>
  <c r="BN53" i="1"/>
  <c r="BW53" i="1"/>
  <c r="AM53" i="1"/>
  <c r="K64" i="1"/>
  <c r="BP52" i="1"/>
  <c r="W52" i="1"/>
  <c r="S64" i="1" s="1"/>
  <c r="AF52" i="1"/>
  <c r="AB64" i="1" s="1"/>
  <c r="BY52" i="1"/>
  <c r="BU64" i="1" s="1"/>
  <c r="BG52" i="1"/>
  <c r="BC64" i="1" s="1"/>
  <c r="AO52" i="1"/>
  <c r="AX52" i="1"/>
  <c r="AT64" i="1" s="1"/>
  <c r="J64" i="1"/>
  <c r="AW52" i="1"/>
  <c r="BX52" i="1"/>
  <c r="BT64" i="1" s="1"/>
  <c r="AN52" i="1"/>
  <c r="AJ64" i="1" s="1"/>
  <c r="AE52" i="1"/>
  <c r="AA64" i="1" s="1"/>
  <c r="V52" i="1"/>
  <c r="R64" i="1" s="1"/>
  <c r="BO52" i="1"/>
  <c r="BK64" i="1" s="1"/>
  <c r="BF52" i="1"/>
  <c r="BB64" i="1" s="1"/>
  <c r="I64" i="1"/>
  <c r="U52" i="1"/>
  <c r="Q64" i="1" s="1"/>
  <c r="Q48" i="1" s="1"/>
  <c r="Q49" i="1" s="1"/>
  <c r="AD52" i="1"/>
  <c r="Z64" i="1" s="1"/>
  <c r="Z48" i="1" s="1"/>
  <c r="Z49" i="1" s="1"/>
  <c r="AM52" i="1"/>
  <c r="AV52" i="1"/>
  <c r="AR64" i="1" s="1"/>
  <c r="BE52" i="1"/>
  <c r="BA64" i="1" s="1"/>
  <c r="BA48" i="1" s="1"/>
  <c r="BA49" i="1" s="1"/>
  <c r="BW52" i="1"/>
  <c r="BS64" i="1" s="1"/>
  <c r="BS48" i="1" s="1"/>
  <c r="BS49" i="1" s="1"/>
  <c r="BN52" i="1"/>
  <c r="BG41" i="1"/>
  <c r="AX41" i="1"/>
  <c r="W41" i="1"/>
  <c r="AF41" i="1"/>
  <c r="AO41" i="1"/>
  <c r="BY41" i="1"/>
  <c r="BP41" i="1"/>
  <c r="BO41" i="1"/>
  <c r="BF41" i="1"/>
  <c r="AN41" i="1"/>
  <c r="V41" i="1"/>
  <c r="AE41" i="1"/>
  <c r="AW41" i="1"/>
  <c r="BX41" i="1"/>
  <c r="BN41" i="1"/>
  <c r="BE41" i="1"/>
  <c r="AM41" i="1"/>
  <c r="AD41" i="1"/>
  <c r="U41" i="1"/>
  <c r="AV41" i="1"/>
  <c r="BW41" i="1"/>
  <c r="AO40" i="1"/>
  <c r="AX40" i="1"/>
  <c r="BG40" i="1"/>
  <c r="BP40" i="1"/>
  <c r="BY40" i="1"/>
  <c r="W40" i="1"/>
  <c r="AF40" i="1"/>
  <c r="AW40" i="1"/>
  <c r="AN40" i="1"/>
  <c r="AE40" i="1"/>
  <c r="V40" i="1"/>
  <c r="BX40" i="1"/>
  <c r="BO40" i="1"/>
  <c r="BF40" i="1"/>
  <c r="BN40" i="1"/>
  <c r="BE40" i="1"/>
  <c r="AV40" i="1"/>
  <c r="AM40" i="1"/>
  <c r="AD40" i="1"/>
  <c r="U40" i="1"/>
  <c r="BW40" i="1"/>
  <c r="AX39" i="1"/>
  <c r="BY39" i="1"/>
  <c r="AO39" i="1"/>
  <c r="BP39" i="1"/>
  <c r="W39" i="1"/>
  <c r="AF39" i="1"/>
  <c r="BG39" i="1"/>
  <c r="AW39" i="1"/>
  <c r="V39" i="1"/>
  <c r="AN39" i="1"/>
  <c r="AE39" i="1"/>
  <c r="BX39" i="1"/>
  <c r="BO39" i="1"/>
  <c r="BF39" i="1"/>
  <c r="AV39" i="1"/>
  <c r="AD39" i="1"/>
  <c r="AM39" i="1"/>
  <c r="U39" i="1"/>
  <c r="BW39" i="1"/>
  <c r="BN39" i="1"/>
  <c r="BE39" i="1"/>
  <c r="AX38" i="1"/>
  <c r="BG38" i="1"/>
  <c r="BP38" i="1"/>
  <c r="BY38" i="1"/>
  <c r="AW38" i="1"/>
  <c r="BX38" i="1"/>
  <c r="BO38" i="1"/>
  <c r="BF38" i="1"/>
  <c r="BE38" i="1"/>
  <c r="BW38" i="1"/>
  <c r="BN38" i="1"/>
  <c r="AV636" i="1"/>
  <c r="AW636" i="1"/>
  <c r="BE636" i="1"/>
  <c r="BF636" i="1"/>
  <c r="BN636" i="1"/>
  <c r="BO636" i="1"/>
  <c r="V628" i="1"/>
  <c r="AO628" i="1"/>
  <c r="AN628" i="1"/>
  <c r="AM628" i="1"/>
  <c r="U632" i="1"/>
  <c r="V632" i="1"/>
  <c r="AM712" i="1"/>
  <c r="AN712" i="1"/>
  <c r="AM714" i="1"/>
  <c r="AN714" i="1"/>
  <c r="AV719" i="1"/>
  <c r="AR724" i="1" s="1"/>
  <c r="AW719" i="1"/>
  <c r="AS724" i="1" s="1"/>
  <c r="BE736" i="1"/>
  <c r="BF736" i="1"/>
  <c r="AV746" i="1"/>
  <c r="BW746" i="1"/>
  <c r="BF741" i="1"/>
  <c r="BE741" i="1"/>
  <c r="BE768" i="1"/>
  <c r="U763" i="1"/>
  <c r="W763" i="1"/>
  <c r="V763" i="1"/>
  <c r="AD763" i="1"/>
  <c r="AF763" i="1"/>
  <c r="AB768" i="1" s="1"/>
  <c r="AV763" i="1"/>
  <c r="AR768" i="1" s="1"/>
  <c r="AW763" i="1"/>
  <c r="AS768" i="1" s="1"/>
  <c r="V764" i="1"/>
  <c r="U764" i="1"/>
  <c r="U765" i="1"/>
  <c r="V765" i="1"/>
  <c r="AE765" i="1"/>
  <c r="AA768" i="1" s="1"/>
  <c r="AD765" i="1"/>
  <c r="AM765" i="1"/>
  <c r="AN765" i="1"/>
  <c r="V766" i="1"/>
  <c r="U766" i="1"/>
  <c r="V767" i="1"/>
  <c r="U767" i="1"/>
  <c r="AV790" i="1"/>
  <c r="W800" i="1"/>
  <c r="U800" i="1"/>
  <c r="AE800" i="1"/>
  <c r="AD800" i="1"/>
  <c r="V802" i="1"/>
  <c r="U802" i="1"/>
  <c r="AD808" i="1"/>
  <c r="AE808" i="1"/>
  <c r="AD823" i="1"/>
  <c r="Z834" i="1" s="1"/>
  <c r="AE823" i="1"/>
  <c r="AV830" i="1"/>
  <c r="AW830" i="1"/>
  <c r="AD867" i="1"/>
  <c r="AE867" i="1"/>
  <c r="U896" i="1"/>
  <c r="V896" i="1"/>
  <c r="CO38" i="1"/>
  <c r="CP38" i="1"/>
  <c r="CQ38" i="1"/>
  <c r="CO538" i="1"/>
  <c r="CP538" i="1"/>
  <c r="CQ538" i="1"/>
  <c r="CO539" i="1"/>
  <c r="CQ539" i="1"/>
  <c r="CP539" i="1"/>
  <c r="CP540" i="1"/>
  <c r="CQ540" i="1"/>
  <c r="CO540" i="1"/>
  <c r="CO541" i="1"/>
  <c r="CP541" i="1"/>
  <c r="CQ541" i="1"/>
  <c r="CO542" i="1"/>
  <c r="CP542" i="1"/>
  <c r="CQ542" i="1"/>
  <c r="CQ543" i="1"/>
  <c r="CP543" i="1"/>
  <c r="CO543" i="1"/>
  <c r="CP544" i="1"/>
  <c r="CO544" i="1"/>
  <c r="CQ544" i="1"/>
  <c r="CO545" i="1"/>
  <c r="CQ545" i="1"/>
  <c r="CP545" i="1"/>
  <c r="CP546" i="1"/>
  <c r="CO546" i="1"/>
  <c r="CQ546" i="1"/>
  <c r="CO547" i="1"/>
  <c r="CP547" i="1"/>
  <c r="CQ547" i="1"/>
  <c r="CP558" i="1"/>
  <c r="CO558" i="1"/>
  <c r="CQ558" i="1"/>
  <c r="CO559" i="1"/>
  <c r="CP559" i="1"/>
  <c r="CQ559" i="1"/>
  <c r="CQ560" i="1"/>
  <c r="CO560" i="1"/>
  <c r="CP560" i="1"/>
  <c r="CP561" i="1"/>
  <c r="CQ561" i="1"/>
  <c r="CO561" i="1"/>
  <c r="CP562" i="1"/>
  <c r="CO562" i="1"/>
  <c r="CQ562" i="1"/>
  <c r="CQ563" i="1"/>
  <c r="CP563" i="1"/>
  <c r="CO563" i="1"/>
  <c r="CP564" i="1"/>
  <c r="CO564" i="1"/>
  <c r="CQ564" i="1"/>
  <c r="CQ565" i="1"/>
  <c r="CO565" i="1"/>
  <c r="CP565" i="1"/>
  <c r="CQ566" i="1"/>
  <c r="CO566" i="1"/>
  <c r="CP566" i="1"/>
  <c r="CP567" i="1"/>
  <c r="CQ567" i="1"/>
  <c r="CO567" i="1"/>
  <c r="CQ568" i="1"/>
  <c r="CO568" i="1"/>
  <c r="CP568" i="1"/>
  <c r="CQ569" i="1"/>
  <c r="CP569" i="1"/>
  <c r="CO569" i="1"/>
  <c r="CQ580" i="1"/>
  <c r="CP580" i="1"/>
  <c r="CO580" i="1"/>
  <c r="CP581" i="1"/>
  <c r="CQ581" i="1"/>
  <c r="CO581" i="1"/>
  <c r="CP582" i="1"/>
  <c r="CQ582" i="1"/>
  <c r="CO582" i="1"/>
  <c r="CQ583" i="1"/>
  <c r="CP583" i="1"/>
  <c r="CO583" i="1"/>
  <c r="CP584" i="1"/>
  <c r="CO584" i="1"/>
  <c r="CQ584" i="1"/>
  <c r="CO585" i="1"/>
  <c r="CQ585" i="1"/>
  <c r="CP585" i="1"/>
  <c r="CQ586" i="1"/>
  <c r="CP586" i="1"/>
  <c r="CO586" i="1"/>
  <c r="CQ587" i="1"/>
  <c r="CP587" i="1"/>
  <c r="CO587" i="1"/>
  <c r="CQ588" i="1"/>
  <c r="CP588" i="1"/>
  <c r="CO588" i="1"/>
  <c r="CQ589" i="1"/>
  <c r="CO589" i="1"/>
  <c r="CP589" i="1"/>
  <c r="CP590" i="1"/>
  <c r="CO590" i="1"/>
  <c r="CQ590" i="1"/>
  <c r="CP591" i="1"/>
  <c r="CO591" i="1"/>
  <c r="CQ591" i="1"/>
  <c r="CQ602" i="1"/>
  <c r="CP602" i="1"/>
  <c r="CO602" i="1"/>
  <c r="CQ603" i="1"/>
  <c r="CP603" i="1"/>
  <c r="CO603" i="1"/>
  <c r="CO604" i="1"/>
  <c r="CQ604" i="1"/>
  <c r="CP604" i="1"/>
  <c r="CO605" i="1"/>
  <c r="CP605" i="1"/>
  <c r="CQ605" i="1"/>
  <c r="CP606" i="1"/>
  <c r="CQ606" i="1"/>
  <c r="CO606" i="1"/>
  <c r="CP607" i="1"/>
  <c r="CO607" i="1"/>
  <c r="CQ607" i="1"/>
  <c r="CQ608" i="1"/>
  <c r="CO608" i="1"/>
  <c r="CP608" i="1"/>
  <c r="CQ609" i="1"/>
  <c r="CP609" i="1"/>
  <c r="CO609" i="1"/>
  <c r="CP610" i="1"/>
  <c r="CQ610" i="1"/>
  <c r="CO610" i="1"/>
  <c r="CO611" i="1"/>
  <c r="CQ611" i="1"/>
  <c r="CP611" i="1"/>
  <c r="CQ612" i="1"/>
  <c r="CP612" i="1"/>
  <c r="CO612" i="1"/>
  <c r="CP613" i="1"/>
  <c r="CQ613" i="1"/>
  <c r="CO613" i="1"/>
  <c r="CQ624" i="1"/>
  <c r="CP624" i="1"/>
  <c r="CO624" i="1"/>
  <c r="CQ625" i="1"/>
  <c r="CO625" i="1"/>
  <c r="CP625" i="1"/>
  <c r="CO626" i="1"/>
  <c r="CP626" i="1"/>
  <c r="CQ626" i="1"/>
  <c r="CO627" i="1"/>
  <c r="CQ627" i="1"/>
  <c r="CP627" i="1"/>
  <c r="CO628" i="1"/>
  <c r="CP628" i="1"/>
  <c r="CQ628" i="1"/>
  <c r="CO629" i="1"/>
  <c r="CP629" i="1"/>
  <c r="CQ629" i="1"/>
  <c r="CO630" i="1"/>
  <c r="CP630" i="1"/>
  <c r="CQ630" i="1"/>
  <c r="CO631" i="1"/>
  <c r="CP631" i="1"/>
  <c r="CQ631" i="1"/>
  <c r="CQ632" i="1"/>
  <c r="CP632" i="1"/>
  <c r="CO632" i="1"/>
  <c r="CP633" i="1"/>
  <c r="CO633" i="1"/>
  <c r="CQ633" i="1"/>
  <c r="CP634" i="1"/>
  <c r="CO634" i="1"/>
  <c r="CQ634" i="1"/>
  <c r="CQ635" i="1"/>
  <c r="CO635" i="1"/>
  <c r="CP635" i="1"/>
  <c r="CQ646" i="1"/>
  <c r="CP646" i="1"/>
  <c r="CO646" i="1"/>
  <c r="CO647" i="1"/>
  <c r="CP647" i="1"/>
  <c r="CQ647" i="1"/>
  <c r="CO648" i="1"/>
  <c r="CP648" i="1"/>
  <c r="CQ648" i="1"/>
  <c r="CO649" i="1"/>
  <c r="CP649" i="1"/>
  <c r="CQ649" i="1"/>
  <c r="CQ650" i="1"/>
  <c r="CO650" i="1"/>
  <c r="CP650" i="1"/>
  <c r="CP651" i="1"/>
  <c r="CO651" i="1"/>
  <c r="CQ651" i="1"/>
  <c r="CO652" i="1"/>
  <c r="CQ652" i="1"/>
  <c r="CP652" i="1"/>
  <c r="CP653" i="1"/>
  <c r="CO653" i="1"/>
  <c r="CQ653" i="1"/>
  <c r="CQ654" i="1"/>
  <c r="CO654" i="1"/>
  <c r="CP654" i="1"/>
  <c r="CP655" i="1"/>
  <c r="CO655" i="1"/>
  <c r="CQ655" i="1"/>
  <c r="CO657" i="1"/>
  <c r="CQ657" i="1"/>
  <c r="CP657" i="1"/>
  <c r="CP668" i="1"/>
  <c r="CQ668" i="1"/>
  <c r="CO668" i="1"/>
  <c r="CQ669" i="1"/>
  <c r="CO669" i="1"/>
  <c r="CP669" i="1"/>
  <c r="CP670" i="1"/>
  <c r="CO670" i="1"/>
  <c r="CQ670" i="1"/>
  <c r="CO671" i="1"/>
  <c r="CQ671" i="1"/>
  <c r="CP671" i="1"/>
  <c r="CP672" i="1"/>
  <c r="CO672" i="1"/>
  <c r="CQ672" i="1"/>
  <c r="CQ673" i="1"/>
  <c r="CO673" i="1"/>
  <c r="CP673" i="1"/>
  <c r="CP674" i="1"/>
  <c r="CO674" i="1"/>
  <c r="CQ674" i="1"/>
  <c r="CO675" i="1"/>
  <c r="CP675" i="1"/>
  <c r="CP676" i="1"/>
  <c r="CO676" i="1"/>
  <c r="CQ676" i="1"/>
  <c r="CQ677" i="1"/>
  <c r="CO677" i="1"/>
  <c r="CP677" i="1"/>
  <c r="CO678" i="1"/>
  <c r="CP678" i="1"/>
  <c r="CQ678" i="1"/>
  <c r="CO679" i="1"/>
  <c r="CQ679" i="1"/>
  <c r="CP679" i="1"/>
  <c r="CO690" i="1"/>
  <c r="CP690" i="1"/>
  <c r="CQ690" i="1"/>
  <c r="CP691" i="1"/>
  <c r="CO691" i="1"/>
  <c r="CQ691" i="1"/>
  <c r="CQ692" i="1"/>
  <c r="CO692" i="1"/>
  <c r="CP692" i="1"/>
  <c r="CP693" i="1"/>
  <c r="CO693" i="1"/>
  <c r="CQ693" i="1"/>
  <c r="CO694" i="1"/>
  <c r="CQ694" i="1"/>
  <c r="CP694" i="1"/>
  <c r="CQ695" i="1"/>
  <c r="CP695" i="1"/>
  <c r="CO695" i="1"/>
  <c r="CP696" i="1"/>
  <c r="CQ696" i="1"/>
  <c r="CO696" i="1"/>
  <c r="CQ697" i="1"/>
  <c r="CO697" i="1"/>
  <c r="CP697" i="1"/>
  <c r="CO698" i="1"/>
  <c r="CQ698" i="1"/>
  <c r="CP698" i="1"/>
  <c r="CP699" i="1"/>
  <c r="CQ699" i="1"/>
  <c r="CO699" i="1"/>
  <c r="CO700" i="1"/>
  <c r="CQ700" i="1"/>
  <c r="CP700" i="1"/>
  <c r="CP701" i="1"/>
  <c r="CQ701" i="1"/>
  <c r="CO701" i="1"/>
  <c r="CO712" i="1"/>
  <c r="CQ712" i="1"/>
  <c r="CP712" i="1"/>
  <c r="CQ713" i="1"/>
  <c r="CO713" i="1"/>
  <c r="CP713" i="1"/>
  <c r="CO714" i="1"/>
  <c r="CP714" i="1"/>
  <c r="CQ714" i="1"/>
  <c r="CO715" i="1"/>
  <c r="CP715" i="1"/>
  <c r="CQ716" i="1"/>
  <c r="CP716" i="1"/>
  <c r="CO716" i="1"/>
  <c r="CQ717" i="1"/>
  <c r="CP717" i="1"/>
  <c r="CO717" i="1"/>
  <c r="CQ718" i="1"/>
  <c r="CP718" i="1"/>
  <c r="CO718" i="1"/>
  <c r="CQ720" i="1"/>
  <c r="CO720" i="1"/>
  <c r="CP720" i="1"/>
  <c r="CO721" i="1"/>
  <c r="CQ721" i="1"/>
  <c r="CP721" i="1"/>
  <c r="CO722" i="1"/>
  <c r="CP722" i="1"/>
  <c r="CQ722" i="1"/>
  <c r="CQ723" i="1"/>
  <c r="CP723" i="1"/>
  <c r="CO723" i="1"/>
  <c r="CO537" i="1"/>
  <c r="CQ537" i="1"/>
  <c r="CP537" i="1"/>
  <c r="CP536" i="1"/>
  <c r="CO536" i="1"/>
  <c r="CK548" i="1" s="1"/>
  <c r="CQ536" i="1"/>
  <c r="CM548" i="1" s="1"/>
  <c r="CQ525" i="1"/>
  <c r="CO525" i="1"/>
  <c r="CP525" i="1"/>
  <c r="CQ524" i="1"/>
  <c r="CP524" i="1"/>
  <c r="CO524" i="1"/>
  <c r="CQ523" i="1"/>
  <c r="CO523" i="1"/>
  <c r="CP523" i="1"/>
  <c r="CP522" i="1"/>
  <c r="CO522" i="1"/>
  <c r="CQ522" i="1"/>
  <c r="CO521" i="1"/>
  <c r="CP521" i="1"/>
  <c r="CQ521" i="1"/>
  <c r="CO520" i="1"/>
  <c r="CP520" i="1"/>
  <c r="CQ520" i="1"/>
  <c r="CQ519" i="1"/>
  <c r="CP519" i="1"/>
  <c r="CO519" i="1"/>
  <c r="CQ518" i="1"/>
  <c r="CP518" i="1"/>
  <c r="CO518" i="1"/>
  <c r="CP517" i="1"/>
  <c r="CO517" i="1"/>
  <c r="CQ517" i="1"/>
  <c r="CQ516" i="1"/>
  <c r="CP516" i="1"/>
  <c r="CO516" i="1"/>
  <c r="CP515" i="1"/>
  <c r="CO515" i="1"/>
  <c r="CQ515" i="1"/>
  <c r="CO514" i="1"/>
  <c r="CK526" i="1" s="1"/>
  <c r="CQ514" i="1"/>
  <c r="CM526" i="1" s="1"/>
  <c r="CP514" i="1"/>
  <c r="CL526" i="1" s="1"/>
  <c r="CQ503" i="1"/>
  <c r="CP503" i="1"/>
  <c r="CO503" i="1"/>
  <c r="CQ502" i="1"/>
  <c r="CP502" i="1"/>
  <c r="CO502" i="1"/>
  <c r="CQ501" i="1"/>
  <c r="CP501" i="1"/>
  <c r="CO501" i="1"/>
  <c r="CP500" i="1"/>
  <c r="CQ500" i="1"/>
  <c r="CO500" i="1"/>
  <c r="CP499" i="1"/>
  <c r="CO499" i="1"/>
  <c r="CQ499" i="1"/>
  <c r="CO498" i="1"/>
  <c r="CP498" i="1"/>
  <c r="CQ498" i="1"/>
  <c r="CO497" i="1"/>
  <c r="CP497" i="1"/>
  <c r="CQ497" i="1"/>
  <c r="CO496" i="1"/>
  <c r="CP496" i="1"/>
  <c r="CQ496" i="1"/>
  <c r="CO495" i="1"/>
  <c r="CP495" i="1"/>
  <c r="CQ495" i="1"/>
  <c r="CO494" i="1"/>
  <c r="CP494" i="1"/>
  <c r="CQ494" i="1"/>
  <c r="CQ493" i="1"/>
  <c r="CP493" i="1"/>
  <c r="CO493" i="1"/>
  <c r="CQ492" i="1"/>
  <c r="CM504" i="1" s="1"/>
  <c r="CP492" i="1"/>
  <c r="CL504" i="1" s="1"/>
  <c r="CO492" i="1"/>
  <c r="CK504" i="1" s="1"/>
  <c r="CK488" i="1" s="1"/>
  <c r="CK489" i="1" s="1"/>
  <c r="CQ481" i="1"/>
  <c r="CP481" i="1"/>
  <c r="CO481" i="1"/>
  <c r="CQ480" i="1"/>
  <c r="CP480" i="1"/>
  <c r="CO480" i="1"/>
  <c r="CQ479" i="1"/>
  <c r="CO479" i="1"/>
  <c r="CP479" i="1"/>
  <c r="CQ478" i="1"/>
  <c r="CO478" i="1"/>
  <c r="CP478" i="1"/>
  <c r="CQ477" i="1"/>
  <c r="CP477" i="1"/>
  <c r="CO477" i="1"/>
  <c r="CP476" i="1"/>
  <c r="CO476" i="1"/>
  <c r="CQ476" i="1"/>
  <c r="CQ475" i="1"/>
  <c r="CP475" i="1"/>
  <c r="CO475" i="1"/>
  <c r="CQ474" i="1"/>
  <c r="CP474" i="1"/>
  <c r="CO474" i="1"/>
  <c r="CP473" i="1"/>
  <c r="CO473" i="1"/>
  <c r="CO472" i="1"/>
  <c r="CP472" i="1"/>
  <c r="CQ472" i="1"/>
  <c r="CO471" i="1"/>
  <c r="CP471" i="1"/>
  <c r="CQ471" i="1"/>
  <c r="CO470" i="1"/>
  <c r="CK482" i="1" s="1"/>
  <c r="CP470" i="1"/>
  <c r="CL482" i="1" s="1"/>
  <c r="CQ470" i="1"/>
  <c r="CP459" i="1"/>
  <c r="CQ459" i="1"/>
  <c r="CO459" i="1"/>
  <c r="CO458" i="1"/>
  <c r="CQ458" i="1"/>
  <c r="CP458" i="1"/>
  <c r="CO457" i="1"/>
  <c r="CP457" i="1"/>
  <c r="CQ457" i="1"/>
  <c r="CQ456" i="1"/>
  <c r="CP456" i="1"/>
  <c r="CO456" i="1"/>
  <c r="CP455" i="1"/>
  <c r="CO455" i="1"/>
  <c r="CQ455" i="1"/>
  <c r="CP454" i="1"/>
  <c r="CQ454" i="1"/>
  <c r="CO454" i="1"/>
  <c r="CO453" i="1"/>
  <c r="CQ453" i="1"/>
  <c r="CP453" i="1"/>
  <c r="CO452" i="1"/>
  <c r="CP452" i="1"/>
  <c r="CQ452" i="1"/>
  <c r="CO451" i="1"/>
  <c r="CP451" i="1"/>
  <c r="CQ451" i="1"/>
  <c r="CP450" i="1"/>
  <c r="CO450" i="1"/>
  <c r="CQ450" i="1"/>
  <c r="CQ448" i="1"/>
  <c r="CP448" i="1"/>
  <c r="CO448" i="1"/>
  <c r="CQ437" i="1"/>
  <c r="CO437" i="1"/>
  <c r="CP437" i="1"/>
  <c r="CQ79" i="1"/>
  <c r="CP79" i="1"/>
  <c r="CO79" i="1"/>
  <c r="CQ78" i="1"/>
  <c r="CP78" i="1"/>
  <c r="CO78" i="1"/>
  <c r="CQ77" i="1"/>
  <c r="CP77" i="1"/>
  <c r="CO77" i="1"/>
  <c r="CQ76" i="1"/>
  <c r="CP76" i="1"/>
  <c r="CO76" i="1"/>
  <c r="CO75" i="1"/>
  <c r="CP75" i="1"/>
  <c r="CQ75" i="1"/>
  <c r="CO74" i="1"/>
  <c r="CP74" i="1"/>
  <c r="CQ74" i="1"/>
  <c r="CO63" i="1"/>
  <c r="CP63" i="1"/>
  <c r="CQ63" i="1"/>
  <c r="CP62" i="1"/>
  <c r="CO62" i="1"/>
  <c r="CQ62" i="1"/>
  <c r="CQ61" i="1"/>
  <c r="CP61" i="1"/>
  <c r="CO61" i="1"/>
  <c r="CQ60" i="1"/>
  <c r="CO60" i="1"/>
  <c r="CP60" i="1"/>
  <c r="CP59" i="1"/>
  <c r="CO59" i="1"/>
  <c r="CQ59" i="1"/>
  <c r="CQ58" i="1"/>
  <c r="CP58" i="1"/>
  <c r="CO58" i="1"/>
  <c r="CQ57" i="1"/>
  <c r="CO57" i="1"/>
  <c r="CP57" i="1"/>
  <c r="CQ56" i="1"/>
  <c r="CP56" i="1"/>
  <c r="CO56" i="1"/>
  <c r="CP55" i="1"/>
  <c r="CO55" i="1"/>
  <c r="CQ55" i="1"/>
  <c r="CO54" i="1"/>
  <c r="CP54" i="1"/>
  <c r="CQ54" i="1"/>
  <c r="CP53" i="1"/>
  <c r="CQ53" i="1"/>
  <c r="CO53" i="1"/>
  <c r="CQ52" i="1"/>
  <c r="CM64" i="1" s="1"/>
  <c r="CO52" i="1"/>
  <c r="CK64" i="1" s="1"/>
  <c r="CP52" i="1"/>
  <c r="CL64" i="1" s="1"/>
  <c r="CP41" i="1"/>
  <c r="CQ41" i="1"/>
  <c r="CO41" i="1"/>
  <c r="CQ40" i="1"/>
  <c r="CP40" i="1"/>
  <c r="CO40" i="1"/>
  <c r="CQ39" i="1"/>
  <c r="CP39" i="1"/>
  <c r="CO39" i="1"/>
  <c r="BE128" i="1"/>
  <c r="V140" i="1"/>
  <c r="BE142" i="1"/>
  <c r="CO142" i="1"/>
  <c r="AD146" i="1"/>
  <c r="CO409" i="1"/>
  <c r="AD428" i="1"/>
  <c r="AW274" i="1"/>
  <c r="AD295" i="1"/>
  <c r="BE295" i="1"/>
  <c r="BN295" i="1"/>
  <c r="AD302" i="1"/>
  <c r="AW304" i="1"/>
  <c r="AV320" i="1"/>
  <c r="BE320" i="1"/>
  <c r="BN320" i="1"/>
  <c r="AM324" i="1"/>
  <c r="AD338" i="1"/>
  <c r="V341" i="1"/>
  <c r="BN363" i="1"/>
  <c r="AD383" i="1"/>
  <c r="BX385" i="1"/>
  <c r="AD390" i="1"/>
  <c r="AD393" i="1"/>
  <c r="AM408" i="1"/>
  <c r="CO408" i="1"/>
  <c r="AV410" i="1"/>
  <c r="AE413" i="1"/>
  <c r="U426" i="1"/>
  <c r="AO436" i="1"/>
  <c r="BP436" i="1"/>
  <c r="CQ436" i="1"/>
  <c r="BY436" i="1"/>
  <c r="BG436" i="1"/>
  <c r="AX436" i="1"/>
  <c r="AF436" i="1"/>
  <c r="W436" i="1"/>
  <c r="BX436" i="1"/>
  <c r="BF436" i="1"/>
  <c r="CP436" i="1"/>
  <c r="AE436" i="1"/>
  <c r="AW436" i="1"/>
  <c r="AN436" i="1"/>
  <c r="BO436" i="1"/>
  <c r="V436" i="1"/>
  <c r="AD436" i="1"/>
  <c r="U436" i="1"/>
  <c r="BN436" i="1"/>
  <c r="AM436" i="1"/>
  <c r="CO436" i="1"/>
  <c r="AV436" i="1"/>
  <c r="BE436" i="1"/>
  <c r="BW436" i="1"/>
  <c r="W435" i="1"/>
  <c r="AX435" i="1"/>
  <c r="BP435" i="1"/>
  <c r="CQ435" i="1"/>
  <c r="BY435" i="1"/>
  <c r="BG435" i="1"/>
  <c r="AO435" i="1"/>
  <c r="AF435" i="1"/>
  <c r="BF435" i="1"/>
  <c r="AE435" i="1"/>
  <c r="AN435" i="1"/>
  <c r="BX435" i="1"/>
  <c r="CP435" i="1"/>
  <c r="V435" i="1"/>
  <c r="AW435" i="1"/>
  <c r="BO435" i="1"/>
  <c r="AM435" i="1"/>
  <c r="AV435" i="1"/>
  <c r="BN435" i="1"/>
  <c r="U435" i="1"/>
  <c r="AD435" i="1"/>
  <c r="BE435" i="1"/>
  <c r="BW435" i="1"/>
  <c r="CO435" i="1"/>
  <c r="AF434" i="1"/>
  <c r="AO434" i="1"/>
  <c r="BG434" i="1"/>
  <c r="BY434" i="1"/>
  <c r="CQ434" i="1"/>
  <c r="W434" i="1"/>
  <c r="AX434" i="1"/>
  <c r="BP434" i="1"/>
  <c r="AN434" i="1"/>
  <c r="BF434" i="1"/>
  <c r="AE434" i="1"/>
  <c r="BX434" i="1"/>
  <c r="V434" i="1"/>
  <c r="CP434" i="1"/>
  <c r="BO434" i="1"/>
  <c r="AW434" i="1"/>
  <c r="BW434" i="1"/>
  <c r="CO434" i="1"/>
  <c r="U434" i="1"/>
  <c r="AM434" i="1"/>
  <c r="AV434" i="1"/>
  <c r="BN434" i="1"/>
  <c r="BE434" i="1"/>
  <c r="AD434" i="1"/>
  <c r="AX433" i="1"/>
  <c r="AO433" i="1"/>
  <c r="W433" i="1"/>
  <c r="AF433" i="1"/>
  <c r="CQ433" i="1"/>
  <c r="BY433" i="1"/>
  <c r="BP433" i="1"/>
  <c r="BG433" i="1"/>
  <c r="CP433" i="1"/>
  <c r="BX433" i="1"/>
  <c r="AW433" i="1"/>
  <c r="V433" i="1"/>
  <c r="BO433" i="1"/>
  <c r="AN433" i="1"/>
  <c r="AE433" i="1"/>
  <c r="BF433" i="1"/>
  <c r="AD433" i="1"/>
  <c r="CO433" i="1"/>
  <c r="BE433" i="1"/>
  <c r="BW433" i="1"/>
  <c r="U433" i="1"/>
  <c r="BN433" i="1"/>
  <c r="AV433" i="1"/>
  <c r="AM433" i="1"/>
  <c r="BP432" i="1"/>
  <c r="CQ432" i="1"/>
  <c r="AF432" i="1"/>
  <c r="W432" i="1"/>
  <c r="BY432" i="1"/>
  <c r="AO432" i="1"/>
  <c r="AX432" i="1"/>
  <c r="BG432" i="1"/>
  <c r="BO432" i="1"/>
  <c r="BF432" i="1"/>
  <c r="AW432" i="1"/>
  <c r="AN432" i="1"/>
  <c r="AE432" i="1"/>
  <c r="V432" i="1"/>
  <c r="CP432" i="1"/>
  <c r="BX432" i="1"/>
  <c r="BW432" i="1"/>
  <c r="BN432" i="1"/>
  <c r="AV432" i="1"/>
  <c r="CO432" i="1"/>
  <c r="U432" i="1"/>
  <c r="BE432" i="1"/>
  <c r="AD432" i="1"/>
  <c r="AM432" i="1"/>
  <c r="BG431" i="1"/>
  <c r="BP431" i="1"/>
  <c r="BY431" i="1"/>
  <c r="CQ431" i="1"/>
  <c r="AX431" i="1"/>
  <c r="W431" i="1"/>
  <c r="AO431" i="1"/>
  <c r="AF431" i="1"/>
  <c r="CP431" i="1"/>
  <c r="AE431" i="1"/>
  <c r="AN431" i="1"/>
  <c r="BF431" i="1"/>
  <c r="AW431" i="1"/>
  <c r="BX431" i="1"/>
  <c r="BO431" i="1"/>
  <c r="BE431" i="1"/>
  <c r="CO431" i="1"/>
  <c r="AM431" i="1"/>
  <c r="BW431" i="1"/>
  <c r="AD431" i="1"/>
  <c r="BN431" i="1"/>
  <c r="AV431" i="1"/>
  <c r="CQ430" i="1"/>
  <c r="BY430" i="1"/>
  <c r="BP430" i="1"/>
  <c r="BG430" i="1"/>
  <c r="AX430" i="1"/>
  <c r="AO430" i="1"/>
  <c r="AF430" i="1"/>
  <c r="W430" i="1"/>
  <c r="BO430" i="1"/>
  <c r="AE430" i="1"/>
  <c r="CP430" i="1"/>
  <c r="BX430" i="1"/>
  <c r="BF430" i="1"/>
  <c r="AW430" i="1"/>
  <c r="AN430" i="1"/>
  <c r="V430" i="1"/>
  <c r="U430" i="1"/>
  <c r="CO430" i="1"/>
  <c r="BW430" i="1"/>
  <c r="BN430" i="1"/>
  <c r="BE430" i="1"/>
  <c r="AV430" i="1"/>
  <c r="AM430" i="1"/>
  <c r="AD430" i="1"/>
  <c r="AF429" i="1"/>
  <c r="AO429" i="1"/>
  <c r="AX429" i="1"/>
  <c r="BG429" i="1"/>
  <c r="W429" i="1"/>
  <c r="BP429" i="1"/>
  <c r="CQ429" i="1"/>
  <c r="BY429" i="1"/>
  <c r="AN429" i="1"/>
  <c r="V429" i="1"/>
  <c r="BF429" i="1"/>
  <c r="BO429" i="1"/>
  <c r="AW429" i="1"/>
  <c r="AE429" i="1"/>
  <c r="CP429" i="1"/>
  <c r="BX429" i="1"/>
  <c r="AM429" i="1"/>
  <c r="AV429" i="1"/>
  <c r="BE429" i="1"/>
  <c r="U429" i="1"/>
  <c r="BN429" i="1"/>
  <c r="AD429" i="1"/>
  <c r="BW429" i="1"/>
  <c r="CO429" i="1"/>
  <c r="AO428" i="1"/>
  <c r="BG428" i="1"/>
  <c r="BY428" i="1"/>
  <c r="AF428" i="1"/>
  <c r="W428" i="1"/>
  <c r="BP428" i="1"/>
  <c r="AX428" i="1"/>
  <c r="CQ428" i="1"/>
  <c r="V428" i="1"/>
  <c r="AN428" i="1"/>
  <c r="CP428" i="1"/>
  <c r="AW428" i="1"/>
  <c r="BX428" i="1"/>
  <c r="BO428" i="1"/>
  <c r="BF428" i="1"/>
  <c r="AE428" i="1"/>
  <c r="CO428" i="1"/>
  <c r="AM428" i="1"/>
  <c r="U428" i="1"/>
  <c r="BW428" i="1"/>
  <c r="BN428" i="1"/>
  <c r="BE428" i="1"/>
  <c r="AV428" i="1"/>
  <c r="BP427" i="1"/>
  <c r="CQ427" i="1"/>
  <c r="BY427" i="1"/>
  <c r="BG427" i="1"/>
  <c r="AX427" i="1"/>
  <c r="AO427" i="1"/>
  <c r="AF427" i="1"/>
  <c r="W427" i="1"/>
  <c r="BO427" i="1"/>
  <c r="BF427" i="1"/>
  <c r="AN427" i="1"/>
  <c r="V427" i="1"/>
  <c r="CP427" i="1"/>
  <c r="BX427" i="1"/>
  <c r="AE427" i="1"/>
  <c r="AW427" i="1"/>
  <c r="BN427" i="1"/>
  <c r="BW427" i="1"/>
  <c r="AM427" i="1"/>
  <c r="CO427" i="1"/>
  <c r="U427" i="1"/>
  <c r="AD427" i="1"/>
  <c r="BE427" i="1"/>
  <c r="AV427" i="1"/>
  <c r="W426" i="1"/>
  <c r="S438" i="1" s="1"/>
  <c r="AX426" i="1"/>
  <c r="AT438" i="1" s="1"/>
  <c r="BG426" i="1"/>
  <c r="BC438" i="1" s="1"/>
  <c r="K438" i="1"/>
  <c r="BP426" i="1"/>
  <c r="CQ426" i="1"/>
  <c r="CM438" i="1" s="1"/>
  <c r="BY426" i="1"/>
  <c r="BU438" i="1" s="1"/>
  <c r="AO426" i="1"/>
  <c r="AK438" i="1" s="1"/>
  <c r="AF426" i="1"/>
  <c r="BO426" i="1"/>
  <c r="BK438" i="1" s="1"/>
  <c r="BX426" i="1"/>
  <c r="BT438" i="1" s="1"/>
  <c r="J438" i="1"/>
  <c r="AN426" i="1"/>
  <c r="AJ438" i="1" s="1"/>
  <c r="AE426" i="1"/>
  <c r="AA438" i="1" s="1"/>
  <c r="BF426" i="1"/>
  <c r="BB438" i="1" s="1"/>
  <c r="AW426" i="1"/>
  <c r="AS438" i="1" s="1"/>
  <c r="CP426" i="1"/>
  <c r="CL438" i="1" s="1"/>
  <c r="V426" i="1"/>
  <c r="I438" i="1"/>
  <c r="BE426" i="1"/>
  <c r="BA438" i="1" s="1"/>
  <c r="BA422" i="1" s="1"/>
  <c r="BA423" i="1" s="1"/>
  <c r="BN426" i="1"/>
  <c r="AD426" i="1"/>
  <c r="Z438" i="1" s="1"/>
  <c r="Z422" i="1" s="1"/>
  <c r="Z423" i="1" s="1"/>
  <c r="AM426" i="1"/>
  <c r="AI438" i="1" s="1"/>
  <c r="AI422" i="1" s="1"/>
  <c r="AI423" i="1" s="1"/>
  <c r="BW426" i="1"/>
  <c r="BS438" i="1" s="1"/>
  <c r="BS422" i="1" s="1"/>
  <c r="BS423" i="1" s="1"/>
  <c r="AV426" i="1"/>
  <c r="AR438" i="1" s="1"/>
  <c r="AR422" i="1" s="1"/>
  <c r="AR423" i="1" s="1"/>
  <c r="CO426" i="1"/>
  <c r="CK438" i="1" s="1"/>
  <c r="CK422" i="1" s="1"/>
  <c r="CK423" i="1" s="1"/>
  <c r="W415" i="1"/>
  <c r="AF415" i="1"/>
  <c r="AX415" i="1"/>
  <c r="CQ415" i="1"/>
  <c r="BP415" i="1"/>
  <c r="AO415" i="1"/>
  <c r="BG415" i="1"/>
  <c r="BY415" i="1"/>
  <c r="CP415" i="1"/>
  <c r="AN415" i="1"/>
  <c r="BF415" i="1"/>
  <c r="AE415" i="1"/>
  <c r="V415" i="1"/>
  <c r="AW415" i="1"/>
  <c r="BX415" i="1"/>
  <c r="BO415" i="1"/>
  <c r="BW415" i="1"/>
  <c r="AV415" i="1"/>
  <c r="U415" i="1"/>
  <c r="AM415" i="1"/>
  <c r="CO415" i="1"/>
  <c r="BN415" i="1"/>
  <c r="AD415" i="1"/>
  <c r="BE415" i="1"/>
  <c r="W414" i="1"/>
  <c r="AX414" i="1"/>
  <c r="CQ414" i="1"/>
  <c r="BP414" i="1"/>
  <c r="AO414" i="1"/>
  <c r="AF414" i="1"/>
  <c r="BG414" i="1"/>
  <c r="BY414" i="1"/>
  <c r="CP414" i="1"/>
  <c r="BX414" i="1"/>
  <c r="V414" i="1"/>
  <c r="AE414" i="1"/>
  <c r="AN414" i="1"/>
  <c r="AW414" i="1"/>
  <c r="BF414" i="1"/>
  <c r="BO414" i="1"/>
  <c r="BE414" i="1"/>
  <c r="AM414" i="1"/>
  <c r="BW414" i="1"/>
  <c r="BN414" i="1"/>
  <c r="AV414" i="1"/>
  <c r="U414" i="1"/>
  <c r="CO414" i="1"/>
  <c r="AD414" i="1"/>
  <c r="AO413" i="1"/>
  <c r="BG413" i="1"/>
  <c r="BP413" i="1"/>
  <c r="BY413" i="1"/>
  <c r="AX413" i="1"/>
  <c r="W413" i="1"/>
  <c r="AF413" i="1"/>
  <c r="CQ413" i="1"/>
  <c r="BX413" i="1"/>
  <c r="BO413" i="1"/>
  <c r="CP413" i="1"/>
  <c r="V413" i="1"/>
  <c r="BF413" i="1"/>
  <c r="AW413" i="1"/>
  <c r="AN413" i="1"/>
  <c r="CO413" i="1"/>
  <c r="BN413" i="1"/>
  <c r="AV413" i="1"/>
  <c r="BW413" i="1"/>
  <c r="BE413" i="1"/>
  <c r="U413" i="1"/>
  <c r="AD413" i="1"/>
  <c r="AM413" i="1"/>
  <c r="W412" i="1"/>
  <c r="BY412" i="1"/>
  <c r="BG412" i="1"/>
  <c r="BP412" i="1"/>
  <c r="AF412" i="1"/>
  <c r="AO412" i="1"/>
  <c r="AX412" i="1"/>
  <c r="CQ412" i="1"/>
  <c r="BF412" i="1"/>
  <c r="CP412" i="1"/>
  <c r="BX412" i="1"/>
  <c r="BO412" i="1"/>
  <c r="AE412" i="1"/>
  <c r="V412" i="1"/>
  <c r="AN412" i="1"/>
  <c r="AW412" i="1"/>
  <c r="AV412" i="1"/>
  <c r="AM412" i="1"/>
  <c r="U412" i="1"/>
  <c r="BN412" i="1"/>
  <c r="BW412" i="1"/>
  <c r="CO412" i="1"/>
  <c r="BE412" i="1"/>
  <c r="AD412" i="1"/>
  <c r="AX411" i="1"/>
  <c r="AO411" i="1"/>
  <c r="BP411" i="1"/>
  <c r="BY411" i="1"/>
  <c r="W411" i="1"/>
  <c r="BG411" i="1"/>
  <c r="CQ411" i="1"/>
  <c r="AF411" i="1"/>
  <c r="BO411" i="1"/>
  <c r="BX411" i="1"/>
  <c r="CP411" i="1"/>
  <c r="AW411" i="1"/>
  <c r="V411" i="1"/>
  <c r="AE411" i="1"/>
  <c r="AN411" i="1"/>
  <c r="BF411" i="1"/>
  <c r="BN411" i="1"/>
  <c r="BW411" i="1"/>
  <c r="AM411" i="1"/>
  <c r="AV411" i="1"/>
  <c r="CO411" i="1"/>
  <c r="BE411" i="1"/>
  <c r="AD411" i="1"/>
  <c r="U411" i="1"/>
  <c r="BP410" i="1"/>
  <c r="BG410" i="1"/>
  <c r="AX410" i="1"/>
  <c r="AO410" i="1"/>
  <c r="CQ410" i="1"/>
  <c r="BY410" i="1"/>
  <c r="AF410" i="1"/>
  <c r="W410" i="1"/>
  <c r="BX410" i="1"/>
  <c r="BO410" i="1"/>
  <c r="BF410" i="1"/>
  <c r="AN410" i="1"/>
  <c r="AW410" i="1"/>
  <c r="AE410" i="1"/>
  <c r="V410" i="1"/>
  <c r="CP410" i="1"/>
  <c r="BN410" i="1"/>
  <c r="CO410" i="1"/>
  <c r="BE410" i="1"/>
  <c r="AM410" i="1"/>
  <c r="BW410" i="1"/>
  <c r="U410" i="1"/>
  <c r="AD410" i="1"/>
  <c r="BP409" i="1"/>
  <c r="W409" i="1"/>
  <c r="AX409" i="1"/>
  <c r="BG409" i="1"/>
  <c r="AF409" i="1"/>
  <c r="AO409" i="1"/>
  <c r="BY409" i="1"/>
  <c r="CQ409" i="1"/>
  <c r="V409" i="1"/>
  <c r="AE409" i="1"/>
  <c r="AW409" i="1"/>
  <c r="AN409" i="1"/>
  <c r="BO409" i="1"/>
  <c r="CP409" i="1"/>
  <c r="BX409" i="1"/>
  <c r="BF409" i="1"/>
  <c r="BE409" i="1"/>
  <c r="BN409" i="1"/>
  <c r="BW409" i="1"/>
  <c r="AV409" i="1"/>
  <c r="AM409" i="1"/>
  <c r="AD409" i="1"/>
  <c r="U409" i="1"/>
  <c r="BP408" i="1"/>
  <c r="AF408" i="1"/>
  <c r="AX408" i="1"/>
  <c r="BY408" i="1"/>
  <c r="AO408" i="1"/>
  <c r="W408" i="1"/>
  <c r="BG408" i="1"/>
  <c r="CQ408" i="1"/>
  <c r="AW408" i="1"/>
  <c r="BF408" i="1"/>
  <c r="BO408" i="1"/>
  <c r="V408" i="1"/>
  <c r="BX408" i="1"/>
  <c r="CP408" i="1"/>
  <c r="AE408" i="1"/>
  <c r="AN408" i="1"/>
  <c r="AD408" i="1"/>
  <c r="BW408" i="1"/>
  <c r="BN408" i="1"/>
  <c r="BE408" i="1"/>
  <c r="AV408" i="1"/>
  <c r="U408" i="1"/>
  <c r="CQ407" i="1"/>
  <c r="BP407" i="1"/>
  <c r="BY407" i="1"/>
  <c r="W407" i="1"/>
  <c r="BG407" i="1"/>
  <c r="AX407" i="1"/>
  <c r="AO407" i="1"/>
  <c r="AF407" i="1"/>
  <c r="AE407" i="1"/>
  <c r="BX407" i="1"/>
  <c r="BO407" i="1"/>
  <c r="BF407" i="1"/>
  <c r="CP407" i="1"/>
  <c r="V407" i="1"/>
  <c r="AW407" i="1"/>
  <c r="AN407" i="1"/>
  <c r="U407" i="1"/>
  <c r="AV407" i="1"/>
  <c r="AD407" i="1"/>
  <c r="AM407" i="1"/>
  <c r="BE407" i="1"/>
  <c r="BN407" i="1"/>
  <c r="CO407" i="1"/>
  <c r="BW407" i="1"/>
  <c r="BP406" i="1"/>
  <c r="CQ406" i="1"/>
  <c r="BG406" i="1"/>
  <c r="AX406" i="1"/>
  <c r="AO406" i="1"/>
  <c r="AF406" i="1"/>
  <c r="W406" i="1"/>
  <c r="BY406" i="1"/>
  <c r="BX406" i="1"/>
  <c r="BO406" i="1"/>
  <c r="BF406" i="1"/>
  <c r="AW406" i="1"/>
  <c r="AN406" i="1"/>
  <c r="V406" i="1"/>
  <c r="AE406" i="1"/>
  <c r="CP406" i="1"/>
  <c r="BW406" i="1"/>
  <c r="BN406" i="1"/>
  <c r="BE406" i="1"/>
  <c r="CO406" i="1"/>
  <c r="AV406" i="1"/>
  <c r="AM406" i="1"/>
  <c r="AD406" i="1"/>
  <c r="U406" i="1"/>
  <c r="AX405" i="1"/>
  <c r="CQ405" i="1"/>
  <c r="BY405" i="1"/>
  <c r="BP405" i="1"/>
  <c r="BG405" i="1"/>
  <c r="AO405" i="1"/>
  <c r="AF405" i="1"/>
  <c r="W405" i="1"/>
  <c r="BX405" i="1"/>
  <c r="BO405" i="1"/>
  <c r="BF405" i="1"/>
  <c r="AW405" i="1"/>
  <c r="AN405" i="1"/>
  <c r="V405" i="1"/>
  <c r="AE405" i="1"/>
  <c r="CP405" i="1"/>
  <c r="AD405" i="1"/>
  <c r="BE405" i="1"/>
  <c r="AM405" i="1"/>
  <c r="BW405" i="1"/>
  <c r="BN405" i="1"/>
  <c r="AV405" i="1"/>
  <c r="U405" i="1"/>
  <c r="CO405" i="1"/>
  <c r="BP404" i="1"/>
  <c r="AF404" i="1"/>
  <c r="AB416" i="1" s="1"/>
  <c r="AO404" i="1"/>
  <c r="AK416" i="1" s="1"/>
  <c r="W404" i="1"/>
  <c r="S416" i="1" s="1"/>
  <c r="AX404" i="1"/>
  <c r="AT416" i="1" s="1"/>
  <c r="BG404" i="1"/>
  <c r="BC416" i="1" s="1"/>
  <c r="K416" i="1"/>
  <c r="BY404" i="1"/>
  <c r="BU416" i="1" s="1"/>
  <c r="CQ404" i="1"/>
  <c r="CM416" i="1" s="1"/>
  <c r="AE404" i="1"/>
  <c r="AA416" i="1" s="1"/>
  <c r="V404" i="1"/>
  <c r="R416" i="1" s="1"/>
  <c r="BO404" i="1"/>
  <c r="BK416" i="1" s="1"/>
  <c r="BX404" i="1"/>
  <c r="BT416" i="1" s="1"/>
  <c r="CP404" i="1"/>
  <c r="CL416" i="1" s="1"/>
  <c r="J416" i="1"/>
  <c r="AN404" i="1"/>
  <c r="AJ416" i="1" s="1"/>
  <c r="BF404" i="1"/>
  <c r="BB416" i="1" s="1"/>
  <c r="AW404" i="1"/>
  <c r="AS416" i="1" s="1"/>
  <c r="U404" i="1"/>
  <c r="Q416" i="1" s="1"/>
  <c r="Q400" i="1" s="1"/>
  <c r="Q401" i="1" s="1"/>
  <c r="CO404" i="1"/>
  <c r="CK416" i="1" s="1"/>
  <c r="CK400" i="1" s="1"/>
  <c r="CK401" i="1" s="1"/>
  <c r="I416" i="1"/>
  <c r="AM404" i="1"/>
  <c r="AI416" i="1" s="1"/>
  <c r="AI400" i="1" s="1"/>
  <c r="AI401" i="1" s="1"/>
  <c r="BW404" i="1"/>
  <c r="BS416" i="1" s="1"/>
  <c r="BS400" i="1" s="1"/>
  <c r="BS401" i="1" s="1"/>
  <c r="BE404" i="1"/>
  <c r="BA416" i="1" s="1"/>
  <c r="BA400" i="1" s="1"/>
  <c r="BA401" i="1" s="1"/>
  <c r="BN404" i="1"/>
  <c r="AV404" i="1"/>
  <c r="AR416" i="1" s="1"/>
  <c r="AR400" i="1" s="1"/>
  <c r="AR401" i="1" s="1"/>
  <c r="AD404" i="1"/>
  <c r="Z416" i="1" s="1"/>
  <c r="Z400" i="1" s="1"/>
  <c r="Z401" i="1" s="1"/>
  <c r="BP393" i="1"/>
  <c r="AF393" i="1"/>
  <c r="AO393" i="1"/>
  <c r="AX393" i="1"/>
  <c r="BY393" i="1"/>
  <c r="BG393" i="1"/>
  <c r="CQ393" i="1"/>
  <c r="W393" i="1"/>
  <c r="V393" i="1"/>
  <c r="AE393" i="1"/>
  <c r="AN393" i="1"/>
  <c r="BO393" i="1"/>
  <c r="BX393" i="1"/>
  <c r="AW393" i="1"/>
  <c r="CP393" i="1"/>
  <c r="BF393" i="1"/>
  <c r="AM393" i="1"/>
  <c r="U393" i="1"/>
  <c r="BW393" i="1"/>
  <c r="BN393" i="1"/>
  <c r="BE393" i="1"/>
  <c r="AV393" i="1"/>
  <c r="CO393" i="1"/>
  <c r="CQ392" i="1"/>
  <c r="AF392" i="1"/>
  <c r="BY392" i="1"/>
  <c r="BP392" i="1"/>
  <c r="BG392" i="1"/>
  <c r="AX392" i="1"/>
  <c r="AO392" i="1"/>
  <c r="W392" i="1"/>
  <c r="CP392" i="1"/>
  <c r="AE392" i="1"/>
  <c r="BX392" i="1"/>
  <c r="V392" i="1"/>
  <c r="BO392" i="1"/>
  <c r="BF392" i="1"/>
  <c r="AW392" i="1"/>
  <c r="AN392" i="1"/>
  <c r="CO392" i="1"/>
  <c r="BW392" i="1"/>
  <c r="AD392" i="1"/>
  <c r="BN392" i="1"/>
  <c r="BE392" i="1"/>
  <c r="AV392" i="1"/>
  <c r="U392" i="1"/>
  <c r="AM392" i="1"/>
  <c r="BG391" i="1"/>
  <c r="BY391" i="1"/>
  <c r="W391" i="1"/>
  <c r="AO391" i="1"/>
  <c r="BP391" i="1"/>
  <c r="AX391" i="1"/>
  <c r="CQ391" i="1"/>
  <c r="AF391" i="1"/>
  <c r="BX391" i="1"/>
  <c r="CP391" i="1"/>
  <c r="AN391" i="1"/>
  <c r="AE391" i="1"/>
  <c r="AW391" i="1"/>
  <c r="BF391" i="1"/>
  <c r="V391" i="1"/>
  <c r="BO391" i="1"/>
  <c r="AD391" i="1"/>
  <c r="AV391" i="1"/>
  <c r="BW391" i="1"/>
  <c r="AM391" i="1"/>
  <c r="U391" i="1"/>
  <c r="BN391" i="1"/>
  <c r="BE391" i="1"/>
  <c r="CO391" i="1"/>
  <c r="BG390" i="1"/>
  <c r="CQ390" i="1"/>
  <c r="BY390" i="1"/>
  <c r="BP390" i="1"/>
  <c r="W390" i="1"/>
  <c r="AX390" i="1"/>
  <c r="AO390" i="1"/>
  <c r="AF390" i="1"/>
  <c r="CP390" i="1"/>
  <c r="BX390" i="1"/>
  <c r="BO390" i="1"/>
  <c r="BF390" i="1"/>
  <c r="AW390" i="1"/>
  <c r="AN390" i="1"/>
  <c r="V390" i="1"/>
  <c r="AE390" i="1"/>
  <c r="CO390" i="1"/>
  <c r="BW390" i="1"/>
  <c r="BN390" i="1"/>
  <c r="BE390" i="1"/>
  <c r="AV390" i="1"/>
  <c r="AM390" i="1"/>
  <c r="U390" i="1"/>
  <c r="AX389" i="1"/>
  <c r="BG389" i="1"/>
  <c r="AO389" i="1"/>
  <c r="AF389" i="1"/>
  <c r="W389" i="1"/>
  <c r="CQ389" i="1"/>
  <c r="BY389" i="1"/>
  <c r="BP389" i="1"/>
  <c r="BF389" i="1"/>
  <c r="AE389" i="1"/>
  <c r="AN389" i="1"/>
  <c r="BX389" i="1"/>
  <c r="BO389" i="1"/>
  <c r="V389" i="1"/>
  <c r="AW389" i="1"/>
  <c r="CP389" i="1"/>
  <c r="BN389" i="1"/>
  <c r="BW389" i="1"/>
  <c r="AM389" i="1"/>
  <c r="BE389" i="1"/>
  <c r="AD389" i="1"/>
  <c r="AV389" i="1"/>
  <c r="CO389" i="1"/>
  <c r="U389" i="1"/>
  <c r="BG388" i="1"/>
  <c r="BY388" i="1"/>
  <c r="W388" i="1"/>
  <c r="AO388" i="1"/>
  <c r="BP388" i="1"/>
  <c r="AX388" i="1"/>
  <c r="CQ388" i="1"/>
  <c r="AF388" i="1"/>
  <c r="V388" i="1"/>
  <c r="BX388" i="1"/>
  <c r="AW388" i="1"/>
  <c r="BO388" i="1"/>
  <c r="CP388" i="1"/>
  <c r="BF388" i="1"/>
  <c r="AN388" i="1"/>
  <c r="AE388" i="1"/>
  <c r="CO388" i="1"/>
  <c r="AD388" i="1"/>
  <c r="BW388" i="1"/>
  <c r="AM388" i="1"/>
  <c r="BN388" i="1"/>
  <c r="U388" i="1"/>
  <c r="BE388" i="1"/>
  <c r="AV388" i="1"/>
  <c r="BY387" i="1"/>
  <c r="BP387" i="1"/>
  <c r="CQ387" i="1"/>
  <c r="W387" i="1"/>
  <c r="AF387" i="1"/>
  <c r="AO387" i="1"/>
  <c r="BG387" i="1"/>
  <c r="AX387" i="1"/>
  <c r="V387" i="1"/>
  <c r="BX387" i="1"/>
  <c r="CP387" i="1"/>
  <c r="BO387" i="1"/>
  <c r="BF387" i="1"/>
  <c r="AW387" i="1"/>
  <c r="AN387" i="1"/>
  <c r="AE387" i="1"/>
  <c r="AD387" i="1"/>
  <c r="BN387" i="1"/>
  <c r="BW387" i="1"/>
  <c r="CO387" i="1"/>
  <c r="BE387" i="1"/>
  <c r="AV387" i="1"/>
  <c r="U387" i="1"/>
  <c r="AM387" i="1"/>
  <c r="BG386" i="1"/>
  <c r="CQ386" i="1"/>
  <c r="AO386" i="1"/>
  <c r="BY386" i="1"/>
  <c r="BP386" i="1"/>
  <c r="AX386" i="1"/>
  <c r="AF386" i="1"/>
  <c r="W386" i="1"/>
  <c r="BO386" i="1"/>
  <c r="CP386" i="1"/>
  <c r="BX386" i="1"/>
  <c r="BF386" i="1"/>
  <c r="AW386" i="1"/>
  <c r="AN386" i="1"/>
  <c r="AE386" i="1"/>
  <c r="V386" i="1"/>
  <c r="CO386" i="1"/>
  <c r="BE386" i="1"/>
  <c r="U386" i="1"/>
  <c r="BW386" i="1"/>
  <c r="AD386" i="1"/>
  <c r="AM386" i="1"/>
  <c r="AV386" i="1"/>
  <c r="BN386" i="1"/>
  <c r="BP385" i="1"/>
  <c r="CQ385" i="1"/>
  <c r="BY385" i="1"/>
  <c r="BG385" i="1"/>
  <c r="AO385" i="1"/>
  <c r="AF385" i="1"/>
  <c r="AX385" i="1"/>
  <c r="W385" i="1"/>
  <c r="BO385" i="1"/>
  <c r="CP385" i="1"/>
  <c r="BF385" i="1"/>
  <c r="AN385" i="1"/>
  <c r="AE385" i="1"/>
  <c r="V385" i="1"/>
  <c r="AW385" i="1"/>
  <c r="BN385" i="1"/>
  <c r="BE385" i="1"/>
  <c r="AV385" i="1"/>
  <c r="AM385" i="1"/>
  <c r="AD385" i="1"/>
  <c r="BW385" i="1"/>
  <c r="CO385" i="1"/>
  <c r="U385" i="1"/>
  <c r="AX384" i="1"/>
  <c r="AO384" i="1"/>
  <c r="AF384" i="1"/>
  <c r="BY384" i="1"/>
  <c r="BP384" i="1"/>
  <c r="CQ384" i="1"/>
  <c r="W384" i="1"/>
  <c r="BG384" i="1"/>
  <c r="BF384" i="1"/>
  <c r="AW384" i="1"/>
  <c r="AN384" i="1"/>
  <c r="BX384" i="1"/>
  <c r="CP384" i="1"/>
  <c r="AE384" i="1"/>
  <c r="BO384" i="1"/>
  <c r="V384" i="1"/>
  <c r="BN384" i="1"/>
  <c r="CO384" i="1"/>
  <c r="BW384" i="1"/>
  <c r="U384" i="1"/>
  <c r="AD384" i="1"/>
  <c r="AM384" i="1"/>
  <c r="AV384" i="1"/>
  <c r="BE384" i="1"/>
  <c r="BP383" i="1"/>
  <c r="AO383" i="1"/>
  <c r="CQ383" i="1"/>
  <c r="BY383" i="1"/>
  <c r="BG383" i="1"/>
  <c r="AX383" i="1"/>
  <c r="AF383" i="1"/>
  <c r="W383" i="1"/>
  <c r="CP383" i="1"/>
  <c r="BX383" i="1"/>
  <c r="AN383" i="1"/>
  <c r="BO383" i="1"/>
  <c r="BF383" i="1"/>
  <c r="AW383" i="1"/>
  <c r="AE383" i="1"/>
  <c r="V383" i="1"/>
  <c r="AV383" i="1"/>
  <c r="AM383" i="1"/>
  <c r="CO383" i="1"/>
  <c r="BW383" i="1"/>
  <c r="BN383" i="1"/>
  <c r="BE383" i="1"/>
  <c r="U383" i="1"/>
  <c r="AO382" i="1"/>
  <c r="AK394" i="1" s="1"/>
  <c r="BG382" i="1"/>
  <c r="BC394" i="1" s="1"/>
  <c r="K394" i="1"/>
  <c r="CQ382" i="1"/>
  <c r="CM394" i="1" s="1"/>
  <c r="BY382" i="1"/>
  <c r="BU394" i="1" s="1"/>
  <c r="BP382" i="1"/>
  <c r="AX382" i="1"/>
  <c r="AT394" i="1" s="1"/>
  <c r="AF382" i="1"/>
  <c r="AB394" i="1" s="1"/>
  <c r="W382" i="1"/>
  <c r="S394" i="1" s="1"/>
  <c r="AW382" i="1"/>
  <c r="AS394" i="1" s="1"/>
  <c r="CP382" i="1"/>
  <c r="CL394" i="1" s="1"/>
  <c r="BO382" i="1"/>
  <c r="BK394" i="1" s="1"/>
  <c r="BF382" i="1"/>
  <c r="BB394" i="1" s="1"/>
  <c r="AN382" i="1"/>
  <c r="AJ394" i="1" s="1"/>
  <c r="J394" i="1"/>
  <c r="AE382" i="1"/>
  <c r="AA394" i="1" s="1"/>
  <c r="BX382" i="1"/>
  <c r="BT394" i="1" s="1"/>
  <c r="V382" i="1"/>
  <c r="R394" i="1" s="1"/>
  <c r="AV382" i="1"/>
  <c r="AR394" i="1" s="1"/>
  <c r="AR378" i="1" s="1"/>
  <c r="AR379" i="1" s="1"/>
  <c r="I394" i="1"/>
  <c r="AM382" i="1"/>
  <c r="AI394" i="1" s="1"/>
  <c r="AI378" i="1" s="1"/>
  <c r="AI379" i="1" s="1"/>
  <c r="CO382" i="1"/>
  <c r="CK394" i="1" s="1"/>
  <c r="CK378" i="1" s="1"/>
  <c r="CK379" i="1" s="1"/>
  <c r="BW382" i="1"/>
  <c r="BS394" i="1" s="1"/>
  <c r="BS378" i="1" s="1"/>
  <c r="BS379" i="1" s="1"/>
  <c r="AD382" i="1"/>
  <c r="Z394" i="1" s="1"/>
  <c r="Z378" i="1" s="1"/>
  <c r="Z379" i="1" s="1"/>
  <c r="BN382" i="1"/>
  <c r="BE382" i="1"/>
  <c r="BA394" i="1" s="1"/>
  <c r="BA378" i="1" s="1"/>
  <c r="BA379" i="1" s="1"/>
  <c r="U382" i="1"/>
  <c r="Q394" i="1" s="1"/>
  <c r="Q378" i="1" s="1"/>
  <c r="Q379" i="1" s="1"/>
  <c r="CQ371" i="1"/>
  <c r="AO371" i="1"/>
  <c r="BG371" i="1"/>
  <c r="BY371" i="1"/>
  <c r="AF371" i="1"/>
  <c r="W371" i="1"/>
  <c r="BP371" i="1"/>
  <c r="AX371" i="1"/>
  <c r="CP371" i="1"/>
  <c r="BX371" i="1"/>
  <c r="BO371" i="1"/>
  <c r="BF371" i="1"/>
  <c r="AW371" i="1"/>
  <c r="AN371" i="1"/>
  <c r="AE371" i="1"/>
  <c r="V371" i="1"/>
  <c r="CO371" i="1"/>
  <c r="BW371" i="1"/>
  <c r="BN371" i="1"/>
  <c r="AV371" i="1"/>
  <c r="AM371" i="1"/>
  <c r="AD371" i="1"/>
  <c r="BE371" i="1"/>
  <c r="U371" i="1"/>
  <c r="CQ370" i="1"/>
  <c r="BY370" i="1"/>
  <c r="BP370" i="1"/>
  <c r="BG370" i="1"/>
  <c r="AX370" i="1"/>
  <c r="AO370" i="1"/>
  <c r="AF370" i="1"/>
  <c r="W370" i="1"/>
  <c r="BF370" i="1"/>
  <c r="BX370" i="1"/>
  <c r="AW370" i="1"/>
  <c r="CP370" i="1"/>
  <c r="AN370" i="1"/>
  <c r="BO370" i="1"/>
  <c r="AE370" i="1"/>
  <c r="V370" i="1"/>
  <c r="CO370" i="1"/>
  <c r="BW370" i="1"/>
  <c r="BN370" i="1"/>
  <c r="BE370" i="1"/>
  <c r="AV370" i="1"/>
  <c r="U370" i="1"/>
  <c r="AD370" i="1"/>
  <c r="AM370" i="1"/>
  <c r="AX369" i="1"/>
  <c r="BG369" i="1"/>
  <c r="BP369" i="1"/>
  <c r="BY369" i="1"/>
  <c r="CQ369" i="1"/>
  <c r="W369" i="1"/>
  <c r="AF369" i="1"/>
  <c r="AO369" i="1"/>
  <c r="AW369" i="1"/>
  <c r="BF369" i="1"/>
  <c r="BX369" i="1"/>
  <c r="BO369" i="1"/>
  <c r="CP369" i="1"/>
  <c r="V369" i="1"/>
  <c r="AE369" i="1"/>
  <c r="AN369" i="1"/>
  <c r="BN369" i="1"/>
  <c r="BW369" i="1"/>
  <c r="CO369" i="1"/>
  <c r="BE369" i="1"/>
  <c r="U369" i="1"/>
  <c r="AD369" i="1"/>
  <c r="AM369" i="1"/>
  <c r="AV369" i="1"/>
  <c r="AX368" i="1"/>
  <c r="AO368" i="1"/>
  <c r="AF368" i="1"/>
  <c r="W368" i="1"/>
  <c r="BG368" i="1"/>
  <c r="CQ368" i="1"/>
  <c r="BY368" i="1"/>
  <c r="BP368" i="1"/>
  <c r="BO368" i="1"/>
  <c r="V368" i="1"/>
  <c r="BX368" i="1"/>
  <c r="AE368" i="1"/>
  <c r="AN368" i="1"/>
  <c r="AW368" i="1"/>
  <c r="CP368" i="1"/>
  <c r="BF368" i="1"/>
  <c r="BN368" i="1"/>
  <c r="BW368" i="1"/>
  <c r="AV368" i="1"/>
  <c r="CO368" i="1"/>
  <c r="U368" i="1"/>
  <c r="AD368" i="1"/>
  <c r="AM368" i="1"/>
  <c r="BE368" i="1"/>
  <c r="BP367" i="1"/>
  <c r="AX367" i="1"/>
  <c r="BG367" i="1"/>
  <c r="AF367" i="1"/>
  <c r="BY367" i="1"/>
  <c r="AO367" i="1"/>
  <c r="W367" i="1"/>
  <c r="CQ367" i="1"/>
  <c r="AW367" i="1"/>
  <c r="CP367" i="1"/>
  <c r="BF367" i="1"/>
  <c r="AN367" i="1"/>
  <c r="BO367" i="1"/>
  <c r="AE367" i="1"/>
  <c r="BX367" i="1"/>
  <c r="V367" i="1"/>
  <c r="BE367" i="1"/>
  <c r="BN367" i="1"/>
  <c r="BW367" i="1"/>
  <c r="AM367" i="1"/>
  <c r="AV367" i="1"/>
  <c r="U367" i="1"/>
  <c r="AD367" i="1"/>
  <c r="CO367" i="1"/>
  <c r="AX366" i="1"/>
  <c r="AO366" i="1"/>
  <c r="BP366" i="1"/>
  <c r="BY366" i="1"/>
  <c r="BG366" i="1"/>
  <c r="CQ366" i="1"/>
  <c r="AF366" i="1"/>
  <c r="W366" i="1"/>
  <c r="AW366" i="1"/>
  <c r="BF366" i="1"/>
  <c r="BO366" i="1"/>
  <c r="BX366" i="1"/>
  <c r="CP366" i="1"/>
  <c r="AE366" i="1"/>
  <c r="V366" i="1"/>
  <c r="AN366" i="1"/>
  <c r="AV366" i="1"/>
  <c r="AM366" i="1"/>
  <c r="CO366" i="1"/>
  <c r="BN366" i="1"/>
  <c r="BW366" i="1"/>
  <c r="BE366" i="1"/>
  <c r="U366" i="1"/>
  <c r="AD366" i="1"/>
  <c r="AO365" i="1"/>
  <c r="BP365" i="1"/>
  <c r="AX365" i="1"/>
  <c r="CQ365" i="1"/>
  <c r="AF365" i="1"/>
  <c r="BG365" i="1"/>
  <c r="BY365" i="1"/>
  <c r="W365" i="1"/>
  <c r="BX365" i="1"/>
  <c r="CP365" i="1"/>
  <c r="AN365" i="1"/>
  <c r="V365" i="1"/>
  <c r="AW365" i="1"/>
  <c r="BF365" i="1"/>
  <c r="BO365" i="1"/>
  <c r="AE365" i="1"/>
  <c r="BN365" i="1"/>
  <c r="CO365" i="1"/>
  <c r="AM365" i="1"/>
  <c r="U365" i="1"/>
  <c r="BW365" i="1"/>
  <c r="AD365" i="1"/>
  <c r="AV365" i="1"/>
  <c r="BE365" i="1"/>
  <c r="BP364" i="1"/>
  <c r="AO364" i="1"/>
  <c r="W364" i="1"/>
  <c r="BG364" i="1"/>
  <c r="CQ364" i="1"/>
  <c r="AF364" i="1"/>
  <c r="AX364" i="1"/>
  <c r="BY364" i="1"/>
  <c r="BO364" i="1"/>
  <c r="BF364" i="1"/>
  <c r="AN364" i="1"/>
  <c r="AE364" i="1"/>
  <c r="AW364" i="1"/>
  <c r="V364" i="1"/>
  <c r="CP364" i="1"/>
  <c r="BX364" i="1"/>
  <c r="BN364" i="1"/>
  <c r="BE364" i="1"/>
  <c r="AV364" i="1"/>
  <c r="AM364" i="1"/>
  <c r="AD364" i="1"/>
  <c r="U364" i="1"/>
  <c r="BW364" i="1"/>
  <c r="CO364" i="1"/>
  <c r="CQ363" i="1"/>
  <c r="BG363" i="1"/>
  <c r="BP363" i="1"/>
  <c r="BY363" i="1"/>
  <c r="W363" i="1"/>
  <c r="AF363" i="1"/>
  <c r="AO363" i="1"/>
  <c r="AX363" i="1"/>
  <c r="CP363" i="1"/>
  <c r="AE363" i="1"/>
  <c r="V363" i="1"/>
  <c r="BF363" i="1"/>
  <c r="BO363" i="1"/>
  <c r="BX363" i="1"/>
  <c r="AN363" i="1"/>
  <c r="AW363" i="1"/>
  <c r="AD363" i="1"/>
  <c r="BE363" i="1"/>
  <c r="CO363" i="1"/>
  <c r="BW363" i="1"/>
  <c r="AV363" i="1"/>
  <c r="U363" i="1"/>
  <c r="AM363" i="1"/>
  <c r="AF362" i="1"/>
  <c r="W362" i="1"/>
  <c r="BP362" i="1"/>
  <c r="AO362" i="1"/>
  <c r="AX362" i="1"/>
  <c r="CQ362" i="1"/>
  <c r="BG362" i="1"/>
  <c r="BY362" i="1"/>
  <c r="AE362" i="1"/>
  <c r="V362" i="1"/>
  <c r="CP362" i="1"/>
  <c r="BX362" i="1"/>
  <c r="BO362" i="1"/>
  <c r="BF362" i="1"/>
  <c r="AW362" i="1"/>
  <c r="AN362" i="1"/>
  <c r="BN362" i="1"/>
  <c r="CO362" i="1"/>
  <c r="U362" i="1"/>
  <c r="AM362" i="1"/>
  <c r="BE362" i="1"/>
  <c r="BW362" i="1"/>
  <c r="AV362" i="1"/>
  <c r="AD362" i="1"/>
  <c r="BY361" i="1"/>
  <c r="AF361" i="1"/>
  <c r="AX361" i="1"/>
  <c r="BG361" i="1"/>
  <c r="BP361" i="1"/>
  <c r="W361" i="1"/>
  <c r="CQ361" i="1"/>
  <c r="AO361" i="1"/>
  <c r="AN361" i="1"/>
  <c r="AE361" i="1"/>
  <c r="CP361" i="1"/>
  <c r="BF361" i="1"/>
  <c r="V361" i="1"/>
  <c r="BX361" i="1"/>
  <c r="BO361" i="1"/>
  <c r="AW361" i="1"/>
  <c r="CO361" i="1"/>
  <c r="CK372" i="1" s="1"/>
  <c r="I372" i="1"/>
  <c r="U361" i="1"/>
  <c r="BW361" i="1"/>
  <c r="BS372" i="1" s="1"/>
  <c r="AD361" i="1"/>
  <c r="Z372" i="1" s="1"/>
  <c r="BN361" i="1"/>
  <c r="BJ372" i="1" s="1"/>
  <c r="AM361" i="1"/>
  <c r="AI372" i="1" s="1"/>
  <c r="BE361" i="1"/>
  <c r="BA372" i="1" s="1"/>
  <c r="AV361" i="1"/>
  <c r="AR372" i="1" s="1"/>
  <c r="K372" i="1"/>
  <c r="AO360" i="1"/>
  <c r="AK372" i="1" s="1"/>
  <c r="AX360" i="1"/>
  <c r="AT372" i="1" s="1"/>
  <c r="BG360" i="1"/>
  <c r="BC372" i="1" s="1"/>
  <c r="BP360" i="1"/>
  <c r="W360" i="1"/>
  <c r="S372" i="1" s="1"/>
  <c r="BY360" i="1"/>
  <c r="BU372" i="1" s="1"/>
  <c r="CQ360" i="1"/>
  <c r="CM372" i="1" s="1"/>
  <c r="AF360" i="1"/>
  <c r="AB372" i="1" s="1"/>
  <c r="BX360" i="1"/>
  <c r="BT372" i="1" s="1"/>
  <c r="BF360" i="1"/>
  <c r="BB372" i="1" s="1"/>
  <c r="J372" i="1"/>
  <c r="AN360" i="1"/>
  <c r="AJ372" i="1" s="1"/>
  <c r="AW360" i="1"/>
  <c r="AS372" i="1" s="1"/>
  <c r="BO360" i="1"/>
  <c r="BK372" i="1" s="1"/>
  <c r="V360" i="1"/>
  <c r="R372" i="1" s="1"/>
  <c r="AE360" i="1"/>
  <c r="AA372" i="1" s="1"/>
  <c r="CP360" i="1"/>
  <c r="CL372" i="1" s="1"/>
  <c r="BY349" i="1"/>
  <c r="CQ349" i="1"/>
  <c r="W349" i="1"/>
  <c r="AF349" i="1"/>
  <c r="AO349" i="1"/>
  <c r="AX349" i="1"/>
  <c r="BG349" i="1"/>
  <c r="BP349" i="1"/>
  <c r="CP349" i="1"/>
  <c r="BX349" i="1"/>
  <c r="BO349" i="1"/>
  <c r="BF349" i="1"/>
  <c r="AW349" i="1"/>
  <c r="AN349" i="1"/>
  <c r="AE349" i="1"/>
  <c r="V349" i="1"/>
  <c r="AD349" i="1"/>
  <c r="CO349" i="1"/>
  <c r="BW349" i="1"/>
  <c r="BN349" i="1"/>
  <c r="BE349" i="1"/>
  <c r="AV349" i="1"/>
  <c r="AM349" i="1"/>
  <c r="U349" i="1"/>
  <c r="CQ348" i="1"/>
  <c r="BY348" i="1"/>
  <c r="BP348" i="1"/>
  <c r="BG348" i="1"/>
  <c r="AX348" i="1"/>
  <c r="AO348" i="1"/>
  <c r="AF348" i="1"/>
  <c r="W348" i="1"/>
  <c r="CP348" i="1"/>
  <c r="BX348" i="1"/>
  <c r="BO348" i="1"/>
  <c r="BF348" i="1"/>
  <c r="AW348" i="1"/>
  <c r="AN348" i="1"/>
  <c r="AE348" i="1"/>
  <c r="V348" i="1"/>
  <c r="BE348" i="1"/>
  <c r="AM348" i="1"/>
  <c r="CO348" i="1"/>
  <c r="BW348" i="1"/>
  <c r="AD348" i="1"/>
  <c r="AV348" i="1"/>
  <c r="U348" i="1"/>
  <c r="BN348" i="1"/>
  <c r="AO347" i="1"/>
  <c r="W347" i="1"/>
  <c r="AF347" i="1"/>
  <c r="BG347" i="1"/>
  <c r="AX347" i="1"/>
  <c r="BP347" i="1"/>
  <c r="BY347" i="1"/>
  <c r="CQ347" i="1"/>
  <c r="AE347" i="1"/>
  <c r="AN347" i="1"/>
  <c r="AW347" i="1"/>
  <c r="BF347" i="1"/>
  <c r="V347" i="1"/>
  <c r="BO347" i="1"/>
  <c r="BX347" i="1"/>
  <c r="CP347" i="1"/>
  <c r="AD347" i="1"/>
  <c r="AV347" i="1"/>
  <c r="BE347" i="1"/>
  <c r="BN347" i="1"/>
  <c r="BW347" i="1"/>
  <c r="AM347" i="1"/>
  <c r="U347" i="1"/>
  <c r="CO347" i="1"/>
  <c r="W346" i="1"/>
  <c r="AO346" i="1"/>
  <c r="AX346" i="1"/>
  <c r="BP346" i="1"/>
  <c r="BG346" i="1"/>
  <c r="CQ346" i="1"/>
  <c r="AF346" i="1"/>
  <c r="BY346" i="1"/>
  <c r="BF346" i="1"/>
  <c r="BO346" i="1"/>
  <c r="AN346" i="1"/>
  <c r="BX346" i="1"/>
  <c r="V346" i="1"/>
  <c r="CP346" i="1"/>
  <c r="AE346" i="1"/>
  <c r="AW346" i="1"/>
  <c r="AM346" i="1"/>
  <c r="BE346" i="1"/>
  <c r="CO346" i="1"/>
  <c r="BN346" i="1"/>
  <c r="BW346" i="1"/>
  <c r="AD346" i="1"/>
  <c r="U346" i="1"/>
  <c r="AV346" i="1"/>
  <c r="BY345" i="1"/>
  <c r="AF345" i="1"/>
  <c r="W345" i="1"/>
  <c r="BP345" i="1"/>
  <c r="BG345" i="1"/>
  <c r="CQ345" i="1"/>
  <c r="AX345" i="1"/>
  <c r="AO345" i="1"/>
  <c r="AW345" i="1"/>
  <c r="AE345" i="1"/>
  <c r="BX345" i="1"/>
  <c r="BF345" i="1"/>
  <c r="BO345" i="1"/>
  <c r="AN345" i="1"/>
  <c r="CP345" i="1"/>
  <c r="V345" i="1"/>
  <c r="AV345" i="1"/>
  <c r="BW345" i="1"/>
  <c r="AM345" i="1"/>
  <c r="CO345" i="1"/>
  <c r="AD345" i="1"/>
  <c r="BN345" i="1"/>
  <c r="BE345" i="1"/>
  <c r="U345" i="1"/>
  <c r="BG344" i="1"/>
  <c r="AX344" i="1"/>
  <c r="AO344" i="1"/>
  <c r="AF344" i="1"/>
  <c r="W344" i="1"/>
  <c r="CQ344" i="1"/>
  <c r="BY344" i="1"/>
  <c r="BP344" i="1"/>
  <c r="V344" i="1"/>
  <c r="AE344" i="1"/>
  <c r="AW344" i="1"/>
  <c r="AN344" i="1"/>
  <c r="BX344" i="1"/>
  <c r="BF344" i="1"/>
  <c r="BO344" i="1"/>
  <c r="CP344" i="1"/>
  <c r="CO344" i="1"/>
  <c r="AD344" i="1"/>
  <c r="AM344" i="1"/>
  <c r="BW344" i="1"/>
  <c r="AV344" i="1"/>
  <c r="BE344" i="1"/>
  <c r="BN344" i="1"/>
  <c r="U344" i="1"/>
  <c r="BG343" i="1"/>
  <c r="AX343" i="1"/>
  <c r="AO343" i="1"/>
  <c r="AF343" i="1"/>
  <c r="W343" i="1"/>
  <c r="CQ343" i="1"/>
  <c r="BY343" i="1"/>
  <c r="BP343" i="1"/>
  <c r="AN343" i="1"/>
  <c r="BF343" i="1"/>
  <c r="BO343" i="1"/>
  <c r="CP343" i="1"/>
  <c r="V343" i="1"/>
  <c r="BX343" i="1"/>
  <c r="AW343" i="1"/>
  <c r="AE343" i="1"/>
  <c r="AV343" i="1"/>
  <c r="BE343" i="1"/>
  <c r="BN343" i="1"/>
  <c r="BW343" i="1"/>
  <c r="CO343" i="1"/>
  <c r="U343" i="1"/>
  <c r="AD343" i="1"/>
  <c r="AM343" i="1"/>
  <c r="AX342" i="1"/>
  <c r="CQ342" i="1"/>
  <c r="W342" i="1"/>
  <c r="AO342" i="1"/>
  <c r="BG342" i="1"/>
  <c r="BY342" i="1"/>
  <c r="AF342" i="1"/>
  <c r="BP342" i="1"/>
  <c r="AE342" i="1"/>
  <c r="BO342" i="1"/>
  <c r="V342" i="1"/>
  <c r="BF342" i="1"/>
  <c r="AW342" i="1"/>
  <c r="CP342" i="1"/>
  <c r="AN342" i="1"/>
  <c r="BX342" i="1"/>
  <c r="AD342" i="1"/>
  <c r="BE342" i="1"/>
  <c r="BN342" i="1"/>
  <c r="AM342" i="1"/>
  <c r="CO342" i="1"/>
  <c r="U342" i="1"/>
  <c r="BW342" i="1"/>
  <c r="AV342" i="1"/>
  <c r="AX341" i="1"/>
  <c r="W341" i="1"/>
  <c r="BG341" i="1"/>
  <c r="BP341" i="1"/>
  <c r="AO341" i="1"/>
  <c r="AF341" i="1"/>
  <c r="BY341" i="1"/>
  <c r="CQ341" i="1"/>
  <c r="BF341" i="1"/>
  <c r="AW341" i="1"/>
  <c r="BO341" i="1"/>
  <c r="AE341" i="1"/>
  <c r="BX341" i="1"/>
  <c r="AN341" i="1"/>
  <c r="CP341" i="1"/>
  <c r="BE341" i="1"/>
  <c r="BN341" i="1"/>
  <c r="BW341" i="1"/>
  <c r="CO341" i="1"/>
  <c r="AD341" i="1"/>
  <c r="AV341" i="1"/>
  <c r="AM341" i="1"/>
  <c r="U341" i="1"/>
  <c r="AO340" i="1"/>
  <c r="AX340" i="1"/>
  <c r="BG340" i="1"/>
  <c r="BP340" i="1"/>
  <c r="W340" i="1"/>
  <c r="AF340" i="1"/>
  <c r="CQ340" i="1"/>
  <c r="BY340" i="1"/>
  <c r="AN340" i="1"/>
  <c r="AW340" i="1"/>
  <c r="V340" i="1"/>
  <c r="BF340" i="1"/>
  <c r="BX340" i="1"/>
  <c r="BO340" i="1"/>
  <c r="AE340" i="1"/>
  <c r="CP340" i="1"/>
  <c r="AV340" i="1"/>
  <c r="BN340" i="1"/>
  <c r="AD340" i="1"/>
  <c r="U340" i="1"/>
  <c r="BW340" i="1"/>
  <c r="BE340" i="1"/>
  <c r="AM340" i="1"/>
  <c r="CO340" i="1"/>
  <c r="AX339" i="1"/>
  <c r="AF339" i="1"/>
  <c r="AO339" i="1"/>
  <c r="BG339" i="1"/>
  <c r="BP339" i="1"/>
  <c r="BY339" i="1"/>
  <c r="CQ339" i="1"/>
  <c r="W339" i="1"/>
  <c r="AN339" i="1"/>
  <c r="AE339" i="1"/>
  <c r="CP339" i="1"/>
  <c r="BX339" i="1"/>
  <c r="BO339" i="1"/>
  <c r="BF339" i="1"/>
  <c r="AW339" i="1"/>
  <c r="V339" i="1"/>
  <c r="AV339" i="1"/>
  <c r="AM339" i="1"/>
  <c r="AD339" i="1"/>
  <c r="CO339" i="1"/>
  <c r="BW339" i="1"/>
  <c r="BN339" i="1"/>
  <c r="BE339" i="1"/>
  <c r="U339" i="1"/>
  <c r="BY338" i="1"/>
  <c r="BU350" i="1" s="1"/>
  <c r="K350" i="1"/>
  <c r="CQ338" i="1"/>
  <c r="CM350" i="1" s="1"/>
  <c r="BP338" i="1"/>
  <c r="BG338" i="1"/>
  <c r="BC350" i="1" s="1"/>
  <c r="AX338" i="1"/>
  <c r="AT350" i="1" s="1"/>
  <c r="AO338" i="1"/>
  <c r="AK350" i="1" s="1"/>
  <c r="AF338" i="1"/>
  <c r="AB350" i="1" s="1"/>
  <c r="W338" i="1"/>
  <c r="S350" i="1" s="1"/>
  <c r="BF338" i="1"/>
  <c r="BB350" i="1" s="1"/>
  <c r="BX338" i="1"/>
  <c r="BT350" i="1" s="1"/>
  <c r="AW338" i="1"/>
  <c r="AS350" i="1" s="1"/>
  <c r="CP338" i="1"/>
  <c r="CL350" i="1" s="1"/>
  <c r="AN338" i="1"/>
  <c r="AJ350" i="1" s="1"/>
  <c r="BO338" i="1"/>
  <c r="BK350" i="1" s="1"/>
  <c r="AE338" i="1"/>
  <c r="AA350" i="1" s="1"/>
  <c r="J350" i="1"/>
  <c r="V338" i="1"/>
  <c r="R350" i="1" s="1"/>
  <c r="BW338" i="1"/>
  <c r="BS350" i="1" s="1"/>
  <c r="BS334" i="1" s="1"/>
  <c r="BS335" i="1" s="1"/>
  <c r="CO338" i="1"/>
  <c r="CK350" i="1" s="1"/>
  <c r="CK334" i="1" s="1"/>
  <c r="CK335" i="1" s="1"/>
  <c r="AM338" i="1"/>
  <c r="AI350" i="1" s="1"/>
  <c r="AI334" i="1" s="1"/>
  <c r="AI335" i="1" s="1"/>
  <c r="BE338" i="1"/>
  <c r="BA350" i="1" s="1"/>
  <c r="BA334" i="1" s="1"/>
  <c r="BA335" i="1" s="1"/>
  <c r="I350" i="1"/>
  <c r="BN338" i="1"/>
  <c r="AV338" i="1"/>
  <c r="AR350" i="1" s="1"/>
  <c r="AR334" i="1" s="1"/>
  <c r="AR335" i="1" s="1"/>
  <c r="U338" i="1"/>
  <c r="Q350" i="1" s="1"/>
  <c r="Q334" i="1" s="1"/>
  <c r="Q335" i="1" s="1"/>
  <c r="CQ327" i="1"/>
  <c r="BY327" i="1"/>
  <c r="BP327" i="1"/>
  <c r="AO327" i="1"/>
  <c r="BG327" i="1"/>
  <c r="AX327" i="1"/>
  <c r="AF327" i="1"/>
  <c r="W327" i="1"/>
  <c r="CP327" i="1"/>
  <c r="BX327" i="1"/>
  <c r="BF327" i="1"/>
  <c r="AW327" i="1"/>
  <c r="BO327" i="1"/>
  <c r="AN327" i="1"/>
  <c r="AE327" i="1"/>
  <c r="V327" i="1"/>
  <c r="CO327" i="1"/>
  <c r="BW327" i="1"/>
  <c r="BN327" i="1"/>
  <c r="BE327" i="1"/>
  <c r="AV327" i="1"/>
  <c r="AM327" i="1"/>
  <c r="AD327" i="1"/>
  <c r="U327" i="1"/>
  <c r="CQ326" i="1"/>
  <c r="BG326" i="1"/>
  <c r="AX326" i="1"/>
  <c r="BY326" i="1"/>
  <c r="AF326" i="1"/>
  <c r="W326" i="1"/>
  <c r="BP326" i="1"/>
  <c r="AO326" i="1"/>
  <c r="CP326" i="1"/>
  <c r="BX326" i="1"/>
  <c r="AW326" i="1"/>
  <c r="BO326" i="1"/>
  <c r="AN326" i="1"/>
  <c r="BF326" i="1"/>
  <c r="AE326" i="1"/>
  <c r="V326" i="1"/>
  <c r="CO326" i="1"/>
  <c r="BW326" i="1"/>
  <c r="BN326" i="1"/>
  <c r="AV326" i="1"/>
  <c r="AM326" i="1"/>
  <c r="AD326" i="1"/>
  <c r="BE326" i="1"/>
  <c r="U326" i="1"/>
  <c r="CQ325" i="1"/>
  <c r="BY325" i="1"/>
  <c r="BP325" i="1"/>
  <c r="BG325" i="1"/>
  <c r="AX325" i="1"/>
  <c r="AO325" i="1"/>
  <c r="AF325" i="1"/>
  <c r="W325" i="1"/>
  <c r="CP325" i="1"/>
  <c r="BX325" i="1"/>
  <c r="BO325" i="1"/>
  <c r="BF325" i="1"/>
  <c r="AW325" i="1"/>
  <c r="AN325" i="1"/>
  <c r="AE325" i="1"/>
  <c r="V325" i="1"/>
  <c r="BE325" i="1"/>
  <c r="AM325" i="1"/>
  <c r="BN325" i="1"/>
  <c r="BW325" i="1"/>
  <c r="AD325" i="1"/>
  <c r="AV325" i="1"/>
  <c r="CO325" i="1"/>
  <c r="U325" i="1"/>
  <c r="BP324" i="1"/>
  <c r="AX324" i="1"/>
  <c r="BY324" i="1"/>
  <c r="BG324" i="1"/>
  <c r="CQ324" i="1"/>
  <c r="AO324" i="1"/>
  <c r="AF324" i="1"/>
  <c r="W324" i="1"/>
  <c r="AW324" i="1"/>
  <c r="V324" i="1"/>
  <c r="BX324" i="1"/>
  <c r="BF324" i="1"/>
  <c r="CP324" i="1"/>
  <c r="BO324" i="1"/>
  <c r="AN324" i="1"/>
  <c r="AE324" i="1"/>
  <c r="BW324" i="1"/>
  <c r="BE324" i="1"/>
  <c r="CO324" i="1"/>
  <c r="BN324" i="1"/>
  <c r="U324" i="1"/>
  <c r="AD324" i="1"/>
  <c r="AV324" i="1"/>
  <c r="AO323" i="1"/>
  <c r="W323" i="1"/>
  <c r="AF323" i="1"/>
  <c r="AX323" i="1"/>
  <c r="BG323" i="1"/>
  <c r="BP323" i="1"/>
  <c r="BY323" i="1"/>
  <c r="CQ323" i="1"/>
  <c r="V323" i="1"/>
  <c r="AE323" i="1"/>
  <c r="AN323" i="1"/>
  <c r="AW323" i="1"/>
  <c r="BF323" i="1"/>
  <c r="BO323" i="1"/>
  <c r="BX323" i="1"/>
  <c r="CP323" i="1"/>
  <c r="U323" i="1"/>
  <c r="CO323" i="1"/>
  <c r="BW323" i="1"/>
  <c r="BN323" i="1"/>
  <c r="BE323" i="1"/>
  <c r="AV323" i="1"/>
  <c r="AM323" i="1"/>
  <c r="AD323" i="1"/>
  <c r="CQ322" i="1"/>
  <c r="W322" i="1"/>
  <c r="AF322" i="1"/>
  <c r="AX322" i="1"/>
  <c r="AO322" i="1"/>
  <c r="BG322" i="1"/>
  <c r="BP322" i="1"/>
  <c r="BY322" i="1"/>
  <c r="V322" i="1"/>
  <c r="AN322" i="1"/>
  <c r="AE322" i="1"/>
  <c r="BO322" i="1"/>
  <c r="AW322" i="1"/>
  <c r="BX322" i="1"/>
  <c r="BF322" i="1"/>
  <c r="CP322" i="1"/>
  <c r="AM322" i="1"/>
  <c r="AD322" i="1"/>
  <c r="U322" i="1"/>
  <c r="CO322" i="1"/>
  <c r="BW322" i="1"/>
  <c r="BN322" i="1"/>
  <c r="BE322" i="1"/>
  <c r="AV322" i="1"/>
  <c r="BG321" i="1"/>
  <c r="BP321" i="1"/>
  <c r="BY321" i="1"/>
  <c r="CQ321" i="1"/>
  <c r="W321" i="1"/>
  <c r="AF321" i="1"/>
  <c r="AO321" i="1"/>
  <c r="AX321" i="1"/>
  <c r="CP321" i="1"/>
  <c r="BO321" i="1"/>
  <c r="BX321" i="1"/>
  <c r="V321" i="1"/>
  <c r="AE321" i="1"/>
  <c r="AN321" i="1"/>
  <c r="AW321" i="1"/>
  <c r="BF321" i="1"/>
  <c r="U321" i="1"/>
  <c r="BN321" i="1"/>
  <c r="BW321" i="1"/>
  <c r="CO321" i="1"/>
  <c r="BE321" i="1"/>
  <c r="AD321" i="1"/>
  <c r="AM321" i="1"/>
  <c r="AV321" i="1"/>
  <c r="W320" i="1"/>
  <c r="AF320" i="1"/>
  <c r="AO320" i="1"/>
  <c r="AX320" i="1"/>
  <c r="BG320" i="1"/>
  <c r="BP320" i="1"/>
  <c r="BY320" i="1"/>
  <c r="CQ320" i="1"/>
  <c r="AW320" i="1"/>
  <c r="AE320" i="1"/>
  <c r="V320" i="1"/>
  <c r="AN320" i="1"/>
  <c r="BF320" i="1"/>
  <c r="CP320" i="1"/>
  <c r="BX320" i="1"/>
  <c r="BO320" i="1"/>
  <c r="U320" i="1"/>
  <c r="AD320" i="1"/>
  <c r="AM320" i="1"/>
  <c r="CO320" i="1"/>
  <c r="BW320" i="1"/>
  <c r="CQ319" i="1"/>
  <c r="W319" i="1"/>
  <c r="BY319" i="1"/>
  <c r="AF319" i="1"/>
  <c r="AX319" i="1"/>
  <c r="BP319" i="1"/>
  <c r="BG319" i="1"/>
  <c r="AO319" i="1"/>
  <c r="CP319" i="1"/>
  <c r="V319" i="1"/>
  <c r="BX319" i="1"/>
  <c r="BO319" i="1"/>
  <c r="AN319" i="1"/>
  <c r="AW319" i="1"/>
  <c r="AE319" i="1"/>
  <c r="BF319" i="1"/>
  <c r="CO319" i="1"/>
  <c r="BW319" i="1"/>
  <c r="BN319" i="1"/>
  <c r="AD319" i="1"/>
  <c r="U319" i="1"/>
  <c r="AV319" i="1"/>
  <c r="AM319" i="1"/>
  <c r="BE319" i="1"/>
  <c r="BP318" i="1"/>
  <c r="AO318" i="1"/>
  <c r="CQ318" i="1"/>
  <c r="BG318" i="1"/>
  <c r="AX318" i="1"/>
  <c r="AF318" i="1"/>
  <c r="W318" i="1"/>
  <c r="BY318" i="1"/>
  <c r="AW318" i="1"/>
  <c r="BX318" i="1"/>
  <c r="BF318" i="1"/>
  <c r="CP318" i="1"/>
  <c r="AN318" i="1"/>
  <c r="BO318" i="1"/>
  <c r="AE318" i="1"/>
  <c r="V318" i="1"/>
  <c r="BW318" i="1"/>
  <c r="BN318" i="1"/>
  <c r="BE318" i="1"/>
  <c r="AV318" i="1"/>
  <c r="AM318" i="1"/>
  <c r="AD318" i="1"/>
  <c r="U318" i="1"/>
  <c r="CO318" i="1"/>
  <c r="AF317" i="1"/>
  <c r="AO317" i="1"/>
  <c r="BP317" i="1"/>
  <c r="W317" i="1"/>
  <c r="BG317" i="1"/>
  <c r="BY317" i="1"/>
  <c r="CQ317" i="1"/>
  <c r="AX317" i="1"/>
  <c r="AE317" i="1"/>
  <c r="AN317" i="1"/>
  <c r="CP317" i="1"/>
  <c r="BO317" i="1"/>
  <c r="BX317" i="1"/>
  <c r="AW317" i="1"/>
  <c r="BF317" i="1"/>
  <c r="V317" i="1"/>
  <c r="BE317" i="1"/>
  <c r="AM317" i="1"/>
  <c r="AV317" i="1"/>
  <c r="BW317" i="1"/>
  <c r="U317" i="1"/>
  <c r="BN317" i="1"/>
  <c r="AD317" i="1"/>
  <c r="CO317" i="1"/>
  <c r="CQ316" i="1"/>
  <c r="CM328" i="1" s="1"/>
  <c r="K328" i="1"/>
  <c r="AX316" i="1"/>
  <c r="AT328" i="1" s="1"/>
  <c r="AF316" i="1"/>
  <c r="AB328" i="1" s="1"/>
  <c r="BP316" i="1"/>
  <c r="BY316" i="1"/>
  <c r="BU328" i="1" s="1"/>
  <c r="W316" i="1"/>
  <c r="S328" i="1" s="1"/>
  <c r="BG316" i="1"/>
  <c r="BC328" i="1" s="1"/>
  <c r="AO316" i="1"/>
  <c r="AK328" i="1" s="1"/>
  <c r="AE316" i="1"/>
  <c r="AA328" i="1" s="1"/>
  <c r="CP316" i="1"/>
  <c r="CL328" i="1" s="1"/>
  <c r="V316" i="1"/>
  <c r="R328" i="1" s="1"/>
  <c r="BX316" i="1"/>
  <c r="BT328" i="1" s="1"/>
  <c r="BO316" i="1"/>
  <c r="BK328" i="1" s="1"/>
  <c r="BF316" i="1"/>
  <c r="BB328" i="1" s="1"/>
  <c r="AW316" i="1"/>
  <c r="AS328" i="1" s="1"/>
  <c r="J328" i="1"/>
  <c r="AN316" i="1"/>
  <c r="AJ328" i="1" s="1"/>
  <c r="CO316" i="1"/>
  <c r="CK328" i="1" s="1"/>
  <c r="CK312" i="1" s="1"/>
  <c r="CK313" i="1" s="1"/>
  <c r="U316" i="1"/>
  <c r="Q328" i="1" s="1"/>
  <c r="Q312" i="1" s="1"/>
  <c r="Q313" i="1" s="1"/>
  <c r="BW316" i="1"/>
  <c r="BS328" i="1" s="1"/>
  <c r="BS312" i="1" s="1"/>
  <c r="BS313" i="1" s="1"/>
  <c r="BN316" i="1"/>
  <c r="AD316" i="1"/>
  <c r="Z328" i="1" s="1"/>
  <c r="Z312" i="1" s="1"/>
  <c r="Z313" i="1" s="1"/>
  <c r="BE316" i="1"/>
  <c r="BA328" i="1" s="1"/>
  <c r="BA312" i="1" s="1"/>
  <c r="BA313" i="1" s="1"/>
  <c r="I328" i="1"/>
  <c r="AV316" i="1"/>
  <c r="AR328" i="1" s="1"/>
  <c r="AR312" i="1" s="1"/>
  <c r="AR313" i="1" s="1"/>
  <c r="AM316" i="1"/>
  <c r="AI328" i="1" s="1"/>
  <c r="AI312" i="1" s="1"/>
  <c r="AI313" i="1" s="1"/>
  <c r="CQ305" i="1"/>
  <c r="BG305" i="1"/>
  <c r="AX305" i="1"/>
  <c r="AO305" i="1"/>
  <c r="AF305" i="1"/>
  <c r="W305" i="1"/>
  <c r="BY305" i="1"/>
  <c r="BP305" i="1"/>
  <c r="BO305" i="1"/>
  <c r="BF305" i="1"/>
  <c r="AW305" i="1"/>
  <c r="AN305" i="1"/>
  <c r="AE305" i="1"/>
  <c r="V305" i="1"/>
  <c r="CP305" i="1"/>
  <c r="BX305" i="1"/>
  <c r="CO305" i="1"/>
  <c r="BN305" i="1"/>
  <c r="U305" i="1"/>
  <c r="AD305" i="1"/>
  <c r="AM305" i="1"/>
  <c r="AV305" i="1"/>
  <c r="BE305" i="1"/>
  <c r="BW305" i="1"/>
  <c r="CQ304" i="1"/>
  <c r="BY304" i="1"/>
  <c r="BP304" i="1"/>
  <c r="BG304" i="1"/>
  <c r="AX304" i="1"/>
  <c r="AO304" i="1"/>
  <c r="AF304" i="1"/>
  <c r="W304" i="1"/>
  <c r="CP304" i="1"/>
  <c r="BX304" i="1"/>
  <c r="BO304" i="1"/>
  <c r="BF304" i="1"/>
  <c r="AN304" i="1"/>
  <c r="AE304" i="1"/>
  <c r="V304" i="1"/>
  <c r="CO304" i="1"/>
  <c r="BW304" i="1"/>
  <c r="BN304" i="1"/>
  <c r="BE304" i="1"/>
  <c r="AV304" i="1"/>
  <c r="AM304" i="1"/>
  <c r="AD304" i="1"/>
  <c r="U304" i="1"/>
  <c r="CQ303" i="1"/>
  <c r="BY303" i="1"/>
  <c r="BP303" i="1"/>
  <c r="BG303" i="1"/>
  <c r="AX303" i="1"/>
  <c r="AO303" i="1"/>
  <c r="AF303" i="1"/>
  <c r="W303" i="1"/>
  <c r="BX303" i="1"/>
  <c r="AW303" i="1"/>
  <c r="CP303" i="1"/>
  <c r="AN303" i="1"/>
  <c r="BO303" i="1"/>
  <c r="AE303" i="1"/>
  <c r="BF303" i="1"/>
  <c r="V303" i="1"/>
  <c r="AM303" i="1"/>
  <c r="CO303" i="1"/>
  <c r="AV303" i="1"/>
  <c r="BN303" i="1"/>
  <c r="U303" i="1"/>
  <c r="BW303" i="1"/>
  <c r="BE303" i="1"/>
  <c r="AD303" i="1"/>
  <c r="W302" i="1"/>
  <c r="AF302" i="1"/>
  <c r="AX302" i="1"/>
  <c r="AO302" i="1"/>
  <c r="BP302" i="1"/>
  <c r="BG302" i="1"/>
  <c r="BY302" i="1"/>
  <c r="V302" i="1"/>
  <c r="AW302" i="1"/>
  <c r="BO302" i="1"/>
  <c r="BF302" i="1"/>
  <c r="BX302" i="1"/>
  <c r="AN302" i="1"/>
  <c r="AE302" i="1"/>
  <c r="AV302" i="1"/>
  <c r="BE302" i="1"/>
  <c r="BN302" i="1"/>
  <c r="U302" i="1"/>
  <c r="AM302" i="1"/>
  <c r="BW302" i="1"/>
  <c r="AF301" i="1"/>
  <c r="AO301" i="1"/>
  <c r="AX301" i="1"/>
  <c r="BP301" i="1"/>
  <c r="BG301" i="1"/>
  <c r="W301" i="1"/>
  <c r="BY301" i="1"/>
  <c r="CQ301" i="1"/>
  <c r="AE301" i="1"/>
  <c r="AN301" i="1"/>
  <c r="BX301" i="1"/>
  <c r="CP301" i="1"/>
  <c r="V301" i="1"/>
  <c r="BO301" i="1"/>
  <c r="BF301" i="1"/>
  <c r="AW301" i="1"/>
  <c r="U301" i="1"/>
  <c r="AD301" i="1"/>
  <c r="AM301" i="1"/>
  <c r="AV301" i="1"/>
  <c r="BN301" i="1"/>
  <c r="BW301" i="1"/>
  <c r="BE301" i="1"/>
  <c r="CO301" i="1"/>
  <c r="BG300" i="1"/>
  <c r="BY300" i="1"/>
  <c r="W300" i="1"/>
  <c r="AO300" i="1"/>
  <c r="BP300" i="1"/>
  <c r="AX300" i="1"/>
  <c r="CQ300" i="1"/>
  <c r="AF300" i="1"/>
  <c r="BF300" i="1"/>
  <c r="V300" i="1"/>
  <c r="AE300" i="1"/>
  <c r="AN300" i="1"/>
  <c r="AW300" i="1"/>
  <c r="CP300" i="1"/>
  <c r="BO300" i="1"/>
  <c r="BX300" i="1"/>
  <c r="U300" i="1"/>
  <c r="AM300" i="1"/>
  <c r="AD300" i="1"/>
  <c r="AV300" i="1"/>
  <c r="BW300" i="1"/>
  <c r="BN300" i="1"/>
  <c r="CO300" i="1"/>
  <c r="BE300" i="1"/>
  <c r="BY299" i="1"/>
  <c r="CQ299" i="1"/>
  <c r="AF299" i="1"/>
  <c r="AO299" i="1"/>
  <c r="W299" i="1"/>
  <c r="AX299" i="1"/>
  <c r="BG299" i="1"/>
  <c r="BP299" i="1"/>
  <c r="BO299" i="1"/>
  <c r="BF299" i="1"/>
  <c r="AN299" i="1"/>
  <c r="AE299" i="1"/>
  <c r="AW299" i="1"/>
  <c r="CP299" i="1"/>
  <c r="V299" i="1"/>
  <c r="BX299" i="1"/>
  <c r="CO299" i="1"/>
  <c r="U299" i="1"/>
  <c r="BW299" i="1"/>
  <c r="BN299" i="1"/>
  <c r="BE299" i="1"/>
  <c r="AV299" i="1"/>
  <c r="AM299" i="1"/>
  <c r="AD299" i="1"/>
  <c r="W298" i="1"/>
  <c r="BG298" i="1"/>
  <c r="AX298" i="1"/>
  <c r="BY298" i="1"/>
  <c r="AO298" i="1"/>
  <c r="BP298" i="1"/>
  <c r="CQ298" i="1"/>
  <c r="AF298" i="1"/>
  <c r="BF298" i="1"/>
  <c r="V298" i="1"/>
  <c r="BX298" i="1"/>
  <c r="AW298" i="1"/>
  <c r="AN298" i="1"/>
  <c r="CP298" i="1"/>
  <c r="AE298" i="1"/>
  <c r="BO298" i="1"/>
  <c r="AM298" i="1"/>
  <c r="BE298" i="1"/>
  <c r="BN298" i="1"/>
  <c r="BW298" i="1"/>
  <c r="AV298" i="1"/>
  <c r="CO298" i="1"/>
  <c r="U298" i="1"/>
  <c r="AD298" i="1"/>
  <c r="BG297" i="1"/>
  <c r="CQ297" i="1"/>
  <c r="BY297" i="1"/>
  <c r="BP297" i="1"/>
  <c r="AX297" i="1"/>
  <c r="AO297" i="1"/>
  <c r="AF297" i="1"/>
  <c r="W297" i="1"/>
  <c r="BF297" i="1"/>
  <c r="CP297" i="1"/>
  <c r="BX297" i="1"/>
  <c r="BO297" i="1"/>
  <c r="AW297" i="1"/>
  <c r="AN297" i="1"/>
  <c r="AE297" i="1"/>
  <c r="V297" i="1"/>
  <c r="BN297" i="1"/>
  <c r="CO297" i="1"/>
  <c r="BW297" i="1"/>
  <c r="BE297" i="1"/>
  <c r="AV297" i="1"/>
  <c r="AM297" i="1"/>
  <c r="AD297" i="1"/>
  <c r="U297" i="1"/>
  <c r="BP296" i="1"/>
  <c r="CQ296" i="1"/>
  <c r="BY296" i="1"/>
  <c r="BG296" i="1"/>
  <c r="AX296" i="1"/>
  <c r="AO296" i="1"/>
  <c r="AF296" i="1"/>
  <c r="W296" i="1"/>
  <c r="BX296" i="1"/>
  <c r="AW296" i="1"/>
  <c r="CP296" i="1"/>
  <c r="BF296" i="1"/>
  <c r="BO296" i="1"/>
  <c r="AN296" i="1"/>
  <c r="AE296" i="1"/>
  <c r="V296" i="1"/>
  <c r="AV296" i="1"/>
  <c r="CO296" i="1"/>
  <c r="BE296" i="1"/>
  <c r="BN296" i="1"/>
  <c r="BW296" i="1"/>
  <c r="AM296" i="1"/>
  <c r="AD296" i="1"/>
  <c r="U296" i="1"/>
  <c r="AO295" i="1"/>
  <c r="AX295" i="1"/>
  <c r="CQ295" i="1"/>
  <c r="BG295" i="1"/>
  <c r="BP295" i="1"/>
  <c r="BY295" i="1"/>
  <c r="W295" i="1"/>
  <c r="AF295" i="1"/>
  <c r="BF295" i="1"/>
  <c r="AN295" i="1"/>
  <c r="AW295" i="1"/>
  <c r="BO295" i="1"/>
  <c r="BX295" i="1"/>
  <c r="CP295" i="1"/>
  <c r="V295" i="1"/>
  <c r="AE295" i="1"/>
  <c r="AV295" i="1"/>
  <c r="BW295" i="1"/>
  <c r="CO295" i="1"/>
  <c r="AM295" i="1"/>
  <c r="U295" i="1"/>
  <c r="AO294" i="1"/>
  <c r="CQ294" i="1"/>
  <c r="AX294" i="1"/>
  <c r="K306" i="1"/>
  <c r="BY294" i="1"/>
  <c r="BG294" i="1"/>
  <c r="BP294" i="1"/>
  <c r="W294" i="1"/>
  <c r="AF294" i="1"/>
  <c r="AN294" i="1"/>
  <c r="AW294" i="1"/>
  <c r="BF294" i="1"/>
  <c r="J306" i="1"/>
  <c r="BX294" i="1"/>
  <c r="BO294" i="1"/>
  <c r="V294" i="1"/>
  <c r="CP294" i="1"/>
  <c r="AE294" i="1"/>
  <c r="U294" i="1"/>
  <c r="CO294" i="1"/>
  <c r="BW294" i="1"/>
  <c r="BN294" i="1"/>
  <c r="BE294" i="1"/>
  <c r="AV294" i="1"/>
  <c r="I306" i="1"/>
  <c r="AM294" i="1"/>
  <c r="AD294" i="1"/>
  <c r="AO283" i="1"/>
  <c r="BY283" i="1"/>
  <c r="AF283" i="1"/>
  <c r="W283" i="1"/>
  <c r="CQ283" i="1"/>
  <c r="AX283" i="1"/>
  <c r="BG283" i="1"/>
  <c r="BP283" i="1"/>
  <c r="BX283" i="1"/>
  <c r="AN283" i="1"/>
  <c r="BO283" i="1"/>
  <c r="AE283" i="1"/>
  <c r="V283" i="1"/>
  <c r="CP283" i="1"/>
  <c r="AW283" i="1"/>
  <c r="BF283" i="1"/>
  <c r="AV283" i="1"/>
  <c r="AM283" i="1"/>
  <c r="AD283" i="1"/>
  <c r="U283" i="1"/>
  <c r="BW283" i="1"/>
  <c r="BN283" i="1"/>
  <c r="BE283" i="1"/>
  <c r="CO283" i="1"/>
  <c r="CQ282" i="1"/>
  <c r="BG282" i="1"/>
  <c r="AO282" i="1"/>
  <c r="BY282" i="1"/>
  <c r="AF282" i="1"/>
  <c r="W282" i="1"/>
  <c r="AX282" i="1"/>
  <c r="BP282" i="1"/>
  <c r="CP282" i="1"/>
  <c r="BX282" i="1"/>
  <c r="BO282" i="1"/>
  <c r="AN282" i="1"/>
  <c r="AE282" i="1"/>
  <c r="BF282" i="1"/>
  <c r="AW282" i="1"/>
  <c r="V282" i="1"/>
  <c r="BE282" i="1"/>
  <c r="AV282" i="1"/>
  <c r="BN282" i="1"/>
  <c r="AM282" i="1"/>
  <c r="AD282" i="1"/>
  <c r="BW282" i="1"/>
  <c r="U282" i="1"/>
  <c r="CO282" i="1"/>
  <c r="BY281" i="1"/>
  <c r="BP281" i="1"/>
  <c r="BG281" i="1"/>
  <c r="W281" i="1"/>
  <c r="AF281" i="1"/>
  <c r="AX281" i="1"/>
  <c r="AO281" i="1"/>
  <c r="CQ281" i="1"/>
  <c r="AW281" i="1"/>
  <c r="AE281" i="1"/>
  <c r="BX281" i="1"/>
  <c r="BO281" i="1"/>
  <c r="V281" i="1"/>
  <c r="AN281" i="1"/>
  <c r="CP281" i="1"/>
  <c r="BF281" i="1"/>
  <c r="U281" i="1"/>
  <c r="BW281" i="1"/>
  <c r="BN281" i="1"/>
  <c r="AD281" i="1"/>
  <c r="AM281" i="1"/>
  <c r="BE281" i="1"/>
  <c r="CO281" i="1"/>
  <c r="AV281" i="1"/>
  <c r="BY280" i="1"/>
  <c r="AF280" i="1"/>
  <c r="BP280" i="1"/>
  <c r="AO280" i="1"/>
  <c r="AX280" i="1"/>
  <c r="BG280" i="1"/>
  <c r="CQ280" i="1"/>
  <c r="W280" i="1"/>
  <c r="CP280" i="1"/>
  <c r="AW280" i="1"/>
  <c r="BF280" i="1"/>
  <c r="BX280" i="1"/>
  <c r="AN280" i="1"/>
  <c r="BO280" i="1"/>
  <c r="AE280" i="1"/>
  <c r="V280" i="1"/>
  <c r="BE280" i="1"/>
  <c r="CO280" i="1"/>
  <c r="BW280" i="1"/>
  <c r="AD280" i="1"/>
  <c r="AM280" i="1"/>
  <c r="AV280" i="1"/>
  <c r="BN280" i="1"/>
  <c r="U280" i="1"/>
  <c r="CQ279" i="1"/>
  <c r="BY279" i="1"/>
  <c r="BP279" i="1"/>
  <c r="BG279" i="1"/>
  <c r="AX279" i="1"/>
  <c r="AO279" i="1"/>
  <c r="AF279" i="1"/>
  <c r="W279" i="1"/>
  <c r="CP279" i="1"/>
  <c r="BX279" i="1"/>
  <c r="BO279" i="1"/>
  <c r="BF279" i="1"/>
  <c r="AW279" i="1"/>
  <c r="AN279" i="1"/>
  <c r="AE279" i="1"/>
  <c r="V279" i="1"/>
  <c r="CO279" i="1"/>
  <c r="BW279" i="1"/>
  <c r="BN279" i="1"/>
  <c r="BE279" i="1"/>
  <c r="AV279" i="1"/>
  <c r="AM279" i="1"/>
  <c r="AD279" i="1"/>
  <c r="U279" i="1"/>
  <c r="CQ278" i="1"/>
  <c r="BY278" i="1"/>
  <c r="BP278" i="1"/>
  <c r="BG278" i="1"/>
  <c r="AX278" i="1"/>
  <c r="AO278" i="1"/>
  <c r="AF278" i="1"/>
  <c r="W278" i="1"/>
  <c r="BF278" i="1"/>
  <c r="BX278" i="1"/>
  <c r="CP278" i="1"/>
  <c r="AN278" i="1"/>
  <c r="BO278" i="1"/>
  <c r="AE278" i="1"/>
  <c r="AW278" i="1"/>
  <c r="V278" i="1"/>
  <c r="AV278" i="1"/>
  <c r="BE278" i="1"/>
  <c r="BN278" i="1"/>
  <c r="U278" i="1"/>
  <c r="CO278" i="1"/>
  <c r="AM278" i="1"/>
  <c r="AD278" i="1"/>
  <c r="BW278" i="1"/>
  <c r="CQ277" i="1"/>
  <c r="BY277" i="1"/>
  <c r="BG277" i="1"/>
  <c r="AX277" i="1"/>
  <c r="AF277" i="1"/>
  <c r="BP277" i="1"/>
  <c r="AO277" i="1"/>
  <c r="W277" i="1"/>
  <c r="AW277" i="1"/>
  <c r="V277" i="1"/>
  <c r="AN277" i="1"/>
  <c r="AE277" i="1"/>
  <c r="BO277" i="1"/>
  <c r="BX277" i="1"/>
  <c r="CP277" i="1"/>
  <c r="BF277" i="1"/>
  <c r="BN277" i="1"/>
  <c r="AV277" i="1"/>
  <c r="U277" i="1"/>
  <c r="BW277" i="1"/>
  <c r="AD277" i="1"/>
  <c r="AM277" i="1"/>
  <c r="CO277" i="1"/>
  <c r="BE277" i="1"/>
  <c r="AX276" i="1"/>
  <c r="BG276" i="1"/>
  <c r="BP276" i="1"/>
  <c r="CQ276" i="1"/>
  <c r="BY276" i="1"/>
  <c r="AF276" i="1"/>
  <c r="AO276" i="1"/>
  <c r="W276" i="1"/>
  <c r="BF276" i="1"/>
  <c r="BX276" i="1"/>
  <c r="BO276" i="1"/>
  <c r="AE276" i="1"/>
  <c r="AW276" i="1"/>
  <c r="AN276" i="1"/>
  <c r="V276" i="1"/>
  <c r="CP276" i="1"/>
  <c r="AD276" i="1"/>
  <c r="CO276" i="1"/>
  <c r="AM276" i="1"/>
  <c r="BW276" i="1"/>
  <c r="BN276" i="1"/>
  <c r="BE276" i="1"/>
  <c r="AV276" i="1"/>
  <c r="U276" i="1"/>
  <c r="W275" i="1"/>
  <c r="AF275" i="1"/>
  <c r="AO275" i="1"/>
  <c r="AX275" i="1"/>
  <c r="BG275" i="1"/>
  <c r="BY275" i="1"/>
  <c r="CQ275" i="1"/>
  <c r="BP275" i="1"/>
  <c r="V275" i="1"/>
  <c r="AE275" i="1"/>
  <c r="CP275" i="1"/>
  <c r="AW275" i="1"/>
  <c r="BF275" i="1"/>
  <c r="BO275" i="1"/>
  <c r="AN275" i="1"/>
  <c r="BX275" i="1"/>
  <c r="BE275" i="1"/>
  <c r="U275" i="1"/>
  <c r="AD275" i="1"/>
  <c r="AM275" i="1"/>
  <c r="AV275" i="1"/>
  <c r="BN275" i="1"/>
  <c r="BW275" i="1"/>
  <c r="CO275" i="1"/>
  <c r="CQ274" i="1"/>
  <c r="BY274" i="1"/>
  <c r="BP274" i="1"/>
  <c r="AO274" i="1"/>
  <c r="BG274" i="1"/>
  <c r="W274" i="1"/>
  <c r="AF274" i="1"/>
  <c r="AX274" i="1"/>
  <c r="BX274" i="1"/>
  <c r="AE274" i="1"/>
  <c r="CP274" i="1"/>
  <c r="V274" i="1"/>
  <c r="BO274" i="1"/>
  <c r="AN274" i="1"/>
  <c r="BF274" i="1"/>
  <c r="CO274" i="1"/>
  <c r="BW274" i="1"/>
  <c r="AV274" i="1"/>
  <c r="AM274" i="1"/>
  <c r="AD274" i="1"/>
  <c r="BE274" i="1"/>
  <c r="U274" i="1"/>
  <c r="BN274" i="1"/>
  <c r="AO273" i="1"/>
  <c r="AX273" i="1"/>
  <c r="BY273" i="1"/>
  <c r="CQ273" i="1"/>
  <c r="BG273" i="1"/>
  <c r="AF273" i="1"/>
  <c r="BP273" i="1"/>
  <c r="W273" i="1"/>
  <c r="BX273" i="1"/>
  <c r="CP273" i="1"/>
  <c r="V273" i="1"/>
  <c r="BF273" i="1"/>
  <c r="AE273" i="1"/>
  <c r="AN273" i="1"/>
  <c r="AW273" i="1"/>
  <c r="BO273" i="1"/>
  <c r="AV273" i="1"/>
  <c r="AD273" i="1"/>
  <c r="BW273" i="1"/>
  <c r="CO273" i="1"/>
  <c r="U273" i="1"/>
  <c r="BE273" i="1"/>
  <c r="AM273" i="1"/>
  <c r="BN273" i="1"/>
  <c r="CQ272" i="1"/>
  <c r="CM284" i="1" s="1"/>
  <c r="AF272" i="1"/>
  <c r="AB284" i="1" s="1"/>
  <c r="BY272" i="1"/>
  <c r="BU284" i="1" s="1"/>
  <c r="W272" i="1"/>
  <c r="S284" i="1" s="1"/>
  <c r="AO272" i="1"/>
  <c r="AK284" i="1" s="1"/>
  <c r="BP272" i="1"/>
  <c r="K284" i="1"/>
  <c r="BG272" i="1"/>
  <c r="BC284" i="1" s="1"/>
  <c r="AX272" i="1"/>
  <c r="AT284" i="1" s="1"/>
  <c r="BO272" i="1"/>
  <c r="BK284" i="1" s="1"/>
  <c r="BX272" i="1"/>
  <c r="BT284" i="1" s="1"/>
  <c r="CP272" i="1"/>
  <c r="CL284" i="1" s="1"/>
  <c r="AW272" i="1"/>
  <c r="AN272" i="1"/>
  <c r="AJ284" i="1" s="1"/>
  <c r="J284" i="1"/>
  <c r="AE272" i="1"/>
  <c r="AA284" i="1" s="1"/>
  <c r="V272" i="1"/>
  <c r="R284" i="1" s="1"/>
  <c r="BF272" i="1"/>
  <c r="BB284" i="1" s="1"/>
  <c r="BN272" i="1"/>
  <c r="AD272" i="1"/>
  <c r="Z284" i="1" s="1"/>
  <c r="Z268" i="1" s="1"/>
  <c r="Z269" i="1" s="1"/>
  <c r="U272" i="1"/>
  <c r="Q284" i="1" s="1"/>
  <c r="Q268" i="1" s="1"/>
  <c r="Q269" i="1" s="1"/>
  <c r="CO272" i="1"/>
  <c r="CK284" i="1" s="1"/>
  <c r="CK268" i="1" s="1"/>
  <c r="CK269" i="1" s="1"/>
  <c r="I284" i="1"/>
  <c r="AM272" i="1"/>
  <c r="AI284" i="1" s="1"/>
  <c r="AI268" i="1" s="1"/>
  <c r="AI269" i="1" s="1"/>
  <c r="AV272" i="1"/>
  <c r="AR284" i="1" s="1"/>
  <c r="BE272" i="1"/>
  <c r="BA284" i="1" s="1"/>
  <c r="BA268" i="1" s="1"/>
  <c r="BA269" i="1" s="1"/>
  <c r="BW272" i="1"/>
  <c r="BS284" i="1" s="1"/>
  <c r="BS268" i="1" s="1"/>
  <c r="BS269" i="1" s="1"/>
  <c r="AO261" i="1"/>
  <c r="AX261" i="1"/>
  <c r="BG261" i="1"/>
  <c r="BP261" i="1"/>
  <c r="AF261" i="1"/>
  <c r="BY261" i="1"/>
  <c r="CQ261" i="1"/>
  <c r="W261" i="1"/>
  <c r="AN261" i="1"/>
  <c r="AW261" i="1"/>
  <c r="BF261" i="1"/>
  <c r="BO261" i="1"/>
  <c r="BX261" i="1"/>
  <c r="V261" i="1"/>
  <c r="CP261" i="1"/>
  <c r="AE261" i="1"/>
  <c r="BW261" i="1"/>
  <c r="BN261" i="1"/>
  <c r="BE261" i="1"/>
  <c r="AM261" i="1"/>
  <c r="AD261" i="1"/>
  <c r="U261" i="1"/>
  <c r="AV261" i="1"/>
  <c r="CO261" i="1"/>
  <c r="AO260" i="1"/>
  <c r="AX260" i="1"/>
  <c r="BG260" i="1"/>
  <c r="BP260" i="1"/>
  <c r="CQ260" i="1"/>
  <c r="BY260" i="1"/>
  <c r="W260" i="1"/>
  <c r="AF260" i="1"/>
  <c r="AN260" i="1"/>
  <c r="AW260" i="1"/>
  <c r="BF260" i="1"/>
  <c r="BO260" i="1"/>
  <c r="BX260" i="1"/>
  <c r="CP260" i="1"/>
  <c r="V260" i="1"/>
  <c r="AE260" i="1"/>
  <c r="AM260" i="1"/>
  <c r="AV260" i="1"/>
  <c r="BE260" i="1"/>
  <c r="BN260" i="1"/>
  <c r="BW260" i="1"/>
  <c r="CO260" i="1"/>
  <c r="U260" i="1"/>
  <c r="AD260" i="1"/>
  <c r="AO259" i="1"/>
  <c r="AF259" i="1"/>
  <c r="W259" i="1"/>
  <c r="BY259" i="1"/>
  <c r="CQ259" i="1"/>
  <c r="BP259" i="1"/>
  <c r="BG259" i="1"/>
  <c r="AX259" i="1"/>
  <c r="AN259" i="1"/>
  <c r="BF259" i="1"/>
  <c r="V259" i="1"/>
  <c r="CP259" i="1"/>
  <c r="AW259" i="1"/>
  <c r="BX259" i="1"/>
  <c r="AE259" i="1"/>
  <c r="BO259" i="1"/>
  <c r="AV259" i="1"/>
  <c r="CO259" i="1"/>
  <c r="BW259" i="1"/>
  <c r="BN259" i="1"/>
  <c r="BE259" i="1"/>
  <c r="AM259" i="1"/>
  <c r="AD259" i="1"/>
  <c r="U259" i="1"/>
  <c r="W258" i="1"/>
  <c r="AF258" i="1"/>
  <c r="CQ258" i="1"/>
  <c r="AX258" i="1"/>
  <c r="BY258" i="1"/>
  <c r="BP258" i="1"/>
  <c r="BG258" i="1"/>
  <c r="AO258" i="1"/>
  <c r="V258" i="1"/>
  <c r="AE258" i="1"/>
  <c r="CP258" i="1"/>
  <c r="BX258" i="1"/>
  <c r="AW258" i="1"/>
  <c r="BO258" i="1"/>
  <c r="AN258" i="1"/>
  <c r="BF258" i="1"/>
  <c r="CO258" i="1"/>
  <c r="BW258" i="1"/>
  <c r="BN258" i="1"/>
  <c r="BE258" i="1"/>
  <c r="AV258" i="1"/>
  <c r="AM258" i="1"/>
  <c r="AD258" i="1"/>
  <c r="U258" i="1"/>
  <c r="BP257" i="1"/>
  <c r="CQ257" i="1"/>
  <c r="BY257" i="1"/>
  <c r="AX257" i="1"/>
  <c r="BG257" i="1"/>
  <c r="AF257" i="1"/>
  <c r="W257" i="1"/>
  <c r="AO257" i="1"/>
  <c r="AN257" i="1"/>
  <c r="V257" i="1"/>
  <c r="CP257" i="1"/>
  <c r="BX257" i="1"/>
  <c r="BF257" i="1"/>
  <c r="AE257" i="1"/>
  <c r="AW257" i="1"/>
  <c r="BO257" i="1"/>
  <c r="U257" i="1"/>
  <c r="CO257" i="1"/>
  <c r="BN257" i="1"/>
  <c r="AM257" i="1"/>
  <c r="BE257" i="1"/>
  <c r="AV257" i="1"/>
  <c r="AD257" i="1"/>
  <c r="BW257" i="1"/>
  <c r="W256" i="1"/>
  <c r="BG256" i="1"/>
  <c r="CQ256" i="1"/>
  <c r="BY256" i="1"/>
  <c r="BP256" i="1"/>
  <c r="AX256" i="1"/>
  <c r="AO256" i="1"/>
  <c r="AF256" i="1"/>
  <c r="AE256" i="1"/>
  <c r="BX256" i="1"/>
  <c r="CP256" i="1"/>
  <c r="BO256" i="1"/>
  <c r="BF256" i="1"/>
  <c r="AW256" i="1"/>
  <c r="V256" i="1"/>
  <c r="AN256" i="1"/>
  <c r="CO256" i="1"/>
  <c r="U256" i="1"/>
  <c r="BW256" i="1"/>
  <c r="BN256" i="1"/>
  <c r="BE256" i="1"/>
  <c r="AD256" i="1"/>
  <c r="AV256" i="1"/>
  <c r="AM256" i="1"/>
  <c r="BG255" i="1"/>
  <c r="BP255" i="1"/>
  <c r="W255" i="1"/>
  <c r="AX255" i="1"/>
  <c r="BY255" i="1"/>
  <c r="AF255" i="1"/>
  <c r="AO255" i="1"/>
  <c r="CQ255" i="1"/>
  <c r="V255" i="1"/>
  <c r="BX255" i="1"/>
  <c r="BO255" i="1"/>
  <c r="CP255" i="1"/>
  <c r="BF255" i="1"/>
  <c r="AW255" i="1"/>
  <c r="AE255" i="1"/>
  <c r="AN255" i="1"/>
  <c r="AD255" i="1"/>
  <c r="BW255" i="1"/>
  <c r="U255" i="1"/>
  <c r="BN255" i="1"/>
  <c r="BE255" i="1"/>
  <c r="AV255" i="1"/>
  <c r="CO255" i="1"/>
  <c r="AM255" i="1"/>
  <c r="AF254" i="1"/>
  <c r="AO254" i="1"/>
  <c r="AX254" i="1"/>
  <c r="W254" i="1"/>
  <c r="BG254" i="1"/>
  <c r="BP254" i="1"/>
  <c r="BY254" i="1"/>
  <c r="CQ254" i="1"/>
  <c r="BX254" i="1"/>
  <c r="BO254" i="1"/>
  <c r="BF254" i="1"/>
  <c r="AN254" i="1"/>
  <c r="AE254" i="1"/>
  <c r="V254" i="1"/>
  <c r="AW254" i="1"/>
  <c r="CP254" i="1"/>
  <c r="AM254" i="1"/>
  <c r="AV254" i="1"/>
  <c r="BE254" i="1"/>
  <c r="BN254" i="1"/>
  <c r="CO254" i="1"/>
  <c r="BW254" i="1"/>
  <c r="AD254" i="1"/>
  <c r="U254" i="1"/>
  <c r="BP253" i="1"/>
  <c r="AF253" i="1"/>
  <c r="BG253" i="1"/>
  <c r="W253" i="1"/>
  <c r="AX253" i="1"/>
  <c r="AO253" i="1"/>
  <c r="CQ253" i="1"/>
  <c r="BY253" i="1"/>
  <c r="V253" i="1"/>
  <c r="BX253" i="1"/>
  <c r="BO253" i="1"/>
  <c r="BF253" i="1"/>
  <c r="CP253" i="1"/>
  <c r="AW253" i="1"/>
  <c r="AE253" i="1"/>
  <c r="AN253" i="1"/>
  <c r="U253" i="1"/>
  <c r="AM253" i="1"/>
  <c r="BE253" i="1"/>
  <c r="CO253" i="1"/>
  <c r="AV253" i="1"/>
  <c r="BN253" i="1"/>
  <c r="BW253" i="1"/>
  <c r="AD253" i="1"/>
  <c r="BP252" i="1"/>
  <c r="AF252" i="1"/>
  <c r="BG252" i="1"/>
  <c r="AO252" i="1"/>
  <c r="BY252" i="1"/>
  <c r="CQ252" i="1"/>
  <c r="AX252" i="1"/>
  <c r="W252" i="1"/>
  <c r="AN252" i="1"/>
  <c r="AW252" i="1"/>
  <c r="BF252" i="1"/>
  <c r="BO252" i="1"/>
  <c r="BX252" i="1"/>
  <c r="AE252" i="1"/>
  <c r="V252" i="1"/>
  <c r="CP252" i="1"/>
  <c r="AM252" i="1"/>
  <c r="AV252" i="1"/>
  <c r="BE252" i="1"/>
  <c r="BN252" i="1"/>
  <c r="BW252" i="1"/>
  <c r="AD252" i="1"/>
  <c r="CO252" i="1"/>
  <c r="U252" i="1"/>
  <c r="BP251" i="1"/>
  <c r="BG251" i="1"/>
  <c r="AX251" i="1"/>
  <c r="AO251" i="1"/>
  <c r="AF251" i="1"/>
  <c r="W251" i="1"/>
  <c r="BY251" i="1"/>
  <c r="CQ251" i="1"/>
  <c r="BF251" i="1"/>
  <c r="AE251" i="1"/>
  <c r="AW251" i="1"/>
  <c r="V251" i="1"/>
  <c r="BX251" i="1"/>
  <c r="BO251" i="1"/>
  <c r="CP251" i="1"/>
  <c r="AN251" i="1"/>
  <c r="BN251" i="1"/>
  <c r="BW251" i="1"/>
  <c r="U251" i="1"/>
  <c r="AD251" i="1"/>
  <c r="AM251" i="1"/>
  <c r="CO251" i="1"/>
  <c r="AV251" i="1"/>
  <c r="BE251" i="1"/>
  <c r="K262" i="1"/>
  <c r="AX250" i="1"/>
  <c r="AT262" i="1" s="1"/>
  <c r="AO250" i="1"/>
  <c r="AK262" i="1" s="1"/>
  <c r="W250" i="1"/>
  <c r="S262" i="1" s="1"/>
  <c r="AF250" i="1"/>
  <c r="AB262" i="1" s="1"/>
  <c r="BY250" i="1"/>
  <c r="BU262" i="1" s="1"/>
  <c r="CQ250" i="1"/>
  <c r="CM262" i="1" s="1"/>
  <c r="BP250" i="1"/>
  <c r="BG250" i="1"/>
  <c r="BC262" i="1" s="1"/>
  <c r="BF250" i="1"/>
  <c r="BB262" i="1" s="1"/>
  <c r="AW250" i="1"/>
  <c r="AS262" i="1" s="1"/>
  <c r="AN250" i="1"/>
  <c r="AJ262" i="1" s="1"/>
  <c r="V250" i="1"/>
  <c r="R262" i="1" s="1"/>
  <c r="J262" i="1"/>
  <c r="AE250" i="1"/>
  <c r="AA262" i="1" s="1"/>
  <c r="CP250" i="1"/>
  <c r="CL262" i="1" s="1"/>
  <c r="BX250" i="1"/>
  <c r="BT262" i="1" s="1"/>
  <c r="BO250" i="1"/>
  <c r="BK262" i="1" s="1"/>
  <c r="I262" i="1"/>
  <c r="AM250" i="1"/>
  <c r="AI262" i="1" s="1"/>
  <c r="AI246" i="1" s="1"/>
  <c r="AI247" i="1" s="1"/>
  <c r="U250" i="1"/>
  <c r="Q262" i="1" s="1"/>
  <c r="Q246" i="1" s="1"/>
  <c r="Q247" i="1" s="1"/>
  <c r="AD250" i="1"/>
  <c r="Z262" i="1" s="1"/>
  <c r="Z246" i="1" s="1"/>
  <c r="Z247" i="1" s="1"/>
  <c r="AV250" i="1"/>
  <c r="AR262" i="1" s="1"/>
  <c r="AR246" i="1" s="1"/>
  <c r="AR247" i="1" s="1"/>
  <c r="BE250" i="1"/>
  <c r="BA262" i="1" s="1"/>
  <c r="BA246" i="1" s="1"/>
  <c r="BA247" i="1" s="1"/>
  <c r="BN250" i="1"/>
  <c r="BW250" i="1"/>
  <c r="BS262" i="1" s="1"/>
  <c r="BS246" i="1" s="1"/>
  <c r="BS247" i="1" s="1"/>
  <c r="CO250" i="1"/>
  <c r="CK262" i="1" s="1"/>
  <c r="CK246" i="1" s="1"/>
  <c r="CK247" i="1" s="1"/>
  <c r="W239" i="1"/>
  <c r="BG239" i="1"/>
  <c r="AO239" i="1"/>
  <c r="AX239" i="1"/>
  <c r="CQ239" i="1"/>
  <c r="BP239" i="1"/>
  <c r="AF239" i="1"/>
  <c r="BY239" i="1"/>
  <c r="BF239" i="1"/>
  <c r="BO239" i="1"/>
  <c r="AW239" i="1"/>
  <c r="AN239" i="1"/>
  <c r="CP239" i="1"/>
  <c r="AE239" i="1"/>
  <c r="V239" i="1"/>
  <c r="BX239" i="1"/>
  <c r="CO239" i="1"/>
  <c r="AD239" i="1"/>
  <c r="BW239" i="1"/>
  <c r="AM239" i="1"/>
  <c r="U239" i="1"/>
  <c r="BN239" i="1"/>
  <c r="BE239" i="1"/>
  <c r="AV239" i="1"/>
  <c r="BY238" i="1"/>
  <c r="BP238" i="1"/>
  <c r="CQ238" i="1"/>
  <c r="BG238" i="1"/>
  <c r="W238" i="1"/>
  <c r="AX238" i="1"/>
  <c r="AO238" i="1"/>
  <c r="AF238" i="1"/>
  <c r="BF238" i="1"/>
  <c r="AN238" i="1"/>
  <c r="AW238" i="1"/>
  <c r="BX238" i="1"/>
  <c r="CP238" i="1"/>
  <c r="V238" i="1"/>
  <c r="AE238" i="1"/>
  <c r="BO238" i="1"/>
  <c r="AM238" i="1"/>
  <c r="AD238" i="1"/>
  <c r="U238" i="1"/>
  <c r="CO238" i="1"/>
  <c r="BN238" i="1"/>
  <c r="BE238" i="1"/>
  <c r="AV238" i="1"/>
  <c r="BW238" i="1"/>
  <c r="AX237" i="1"/>
  <c r="BP237" i="1"/>
  <c r="AO237" i="1"/>
  <c r="AF237" i="1"/>
  <c r="BG237" i="1"/>
  <c r="W237" i="1"/>
  <c r="CQ237" i="1"/>
  <c r="BY237" i="1"/>
  <c r="AN237" i="1"/>
  <c r="BO237" i="1"/>
  <c r="AE237" i="1"/>
  <c r="AW237" i="1"/>
  <c r="CP237" i="1"/>
  <c r="V237" i="1"/>
  <c r="BF237" i="1"/>
  <c r="BX237" i="1"/>
  <c r="AD237" i="1"/>
  <c r="AV237" i="1"/>
  <c r="U237" i="1"/>
  <c r="AM237" i="1"/>
  <c r="CO237" i="1"/>
  <c r="BW237" i="1"/>
  <c r="BN237" i="1"/>
  <c r="BE237" i="1"/>
  <c r="AF236" i="1"/>
  <c r="AO236" i="1"/>
  <c r="AX236" i="1"/>
  <c r="BG236" i="1"/>
  <c r="BP236" i="1"/>
  <c r="CQ236" i="1"/>
  <c r="W236" i="1"/>
  <c r="BY236" i="1"/>
  <c r="BF236" i="1"/>
  <c r="CP236" i="1"/>
  <c r="BO236" i="1"/>
  <c r="AE236" i="1"/>
  <c r="V236" i="1"/>
  <c r="AN236" i="1"/>
  <c r="AW236" i="1"/>
  <c r="BX236" i="1"/>
  <c r="CO236" i="1"/>
  <c r="BE236" i="1"/>
  <c r="BN236" i="1"/>
  <c r="BW236" i="1"/>
  <c r="U236" i="1"/>
  <c r="AV236" i="1"/>
  <c r="AM236" i="1"/>
  <c r="AD236" i="1"/>
  <c r="CQ235" i="1"/>
  <c r="AF235" i="1"/>
  <c r="W235" i="1"/>
  <c r="BY235" i="1"/>
  <c r="BP235" i="1"/>
  <c r="BG235" i="1"/>
  <c r="AX235" i="1"/>
  <c r="AO235" i="1"/>
  <c r="BX235" i="1"/>
  <c r="BO235" i="1"/>
  <c r="CP235" i="1"/>
  <c r="AN235" i="1"/>
  <c r="V235" i="1"/>
  <c r="BF235" i="1"/>
  <c r="AW235" i="1"/>
  <c r="AE235" i="1"/>
  <c r="CO235" i="1"/>
  <c r="BN235" i="1"/>
  <c r="U235" i="1"/>
  <c r="AM235" i="1"/>
  <c r="BW235" i="1"/>
  <c r="BE235" i="1"/>
  <c r="AD235" i="1"/>
  <c r="AV235" i="1"/>
  <c r="CQ234" i="1"/>
  <c r="AO234" i="1"/>
  <c r="AX234" i="1"/>
  <c r="BG234" i="1"/>
  <c r="W234" i="1"/>
  <c r="BP234" i="1"/>
  <c r="BY234" i="1"/>
  <c r="AF234" i="1"/>
  <c r="AW234" i="1"/>
  <c r="BX234" i="1"/>
  <c r="CP234" i="1"/>
  <c r="BO234" i="1"/>
  <c r="AE234" i="1"/>
  <c r="V234" i="1"/>
  <c r="BF234" i="1"/>
  <c r="AN234" i="1"/>
  <c r="AD234" i="1"/>
  <c r="CO234" i="1"/>
  <c r="BN234" i="1"/>
  <c r="BW234" i="1"/>
  <c r="AV234" i="1"/>
  <c r="U234" i="1"/>
  <c r="AM234" i="1"/>
  <c r="BE234" i="1"/>
  <c r="AX233" i="1"/>
  <c r="W233" i="1"/>
  <c r="BG233" i="1"/>
  <c r="BP233" i="1"/>
  <c r="CQ233" i="1"/>
  <c r="AO233" i="1"/>
  <c r="BY233" i="1"/>
  <c r="AF233" i="1"/>
  <c r="AE233" i="1"/>
  <c r="V233" i="1"/>
  <c r="BO233" i="1"/>
  <c r="AW233" i="1"/>
  <c r="CP233" i="1"/>
  <c r="BX233" i="1"/>
  <c r="BF233" i="1"/>
  <c r="AN233" i="1"/>
  <c r="AD233" i="1"/>
  <c r="BE233" i="1"/>
  <c r="U233" i="1"/>
  <c r="BN233" i="1"/>
  <c r="AV233" i="1"/>
  <c r="BW233" i="1"/>
  <c r="CO233" i="1"/>
  <c r="AM233" i="1"/>
  <c r="CQ232" i="1"/>
  <c r="BY232" i="1"/>
  <c r="BP232" i="1"/>
  <c r="BG232" i="1"/>
  <c r="AX232" i="1"/>
  <c r="AO232" i="1"/>
  <c r="AF232" i="1"/>
  <c r="W232" i="1"/>
  <c r="AW232" i="1"/>
  <c r="CP232" i="1"/>
  <c r="V232" i="1"/>
  <c r="AE232" i="1"/>
  <c r="AN232" i="1"/>
  <c r="BF232" i="1"/>
  <c r="BO232" i="1"/>
  <c r="BX232" i="1"/>
  <c r="U232" i="1"/>
  <c r="AD232" i="1"/>
  <c r="AM232" i="1"/>
  <c r="AV232" i="1"/>
  <c r="BE232" i="1"/>
  <c r="BN232" i="1"/>
  <c r="BW232" i="1"/>
  <c r="CO232" i="1"/>
  <c r="AO231" i="1"/>
  <c r="CQ231" i="1"/>
  <c r="AX231" i="1"/>
  <c r="BG231" i="1"/>
  <c r="BP231" i="1"/>
  <c r="AF231" i="1"/>
  <c r="BY231" i="1"/>
  <c r="W231" i="1"/>
  <c r="BO231" i="1"/>
  <c r="AW231" i="1"/>
  <c r="CP231" i="1"/>
  <c r="BF231" i="1"/>
  <c r="BX231" i="1"/>
  <c r="AE231" i="1"/>
  <c r="AN231" i="1"/>
  <c r="V231" i="1"/>
  <c r="BE231" i="1"/>
  <c r="AM231" i="1"/>
  <c r="CO231" i="1"/>
  <c r="BW231" i="1"/>
  <c r="AD231" i="1"/>
  <c r="AV231" i="1"/>
  <c r="BN231" i="1"/>
  <c r="U231" i="1"/>
  <c r="CQ230" i="1"/>
  <c r="BY230" i="1"/>
  <c r="BP230" i="1"/>
  <c r="BG230" i="1"/>
  <c r="AX230" i="1"/>
  <c r="AO230" i="1"/>
  <c r="AF230" i="1"/>
  <c r="W230" i="1"/>
  <c r="CP230" i="1"/>
  <c r="BO230" i="1"/>
  <c r="BF230" i="1"/>
  <c r="AW230" i="1"/>
  <c r="AN230" i="1"/>
  <c r="BX230" i="1"/>
  <c r="AE230" i="1"/>
  <c r="V230" i="1"/>
  <c r="BN230" i="1"/>
  <c r="BE230" i="1"/>
  <c r="AV230" i="1"/>
  <c r="CO230" i="1"/>
  <c r="AM230" i="1"/>
  <c r="AD230" i="1"/>
  <c r="BW230" i="1"/>
  <c r="U230" i="1"/>
  <c r="CQ229" i="1"/>
  <c r="BY229" i="1"/>
  <c r="BP229" i="1"/>
  <c r="BG229" i="1"/>
  <c r="AX229" i="1"/>
  <c r="AO229" i="1"/>
  <c r="AF229" i="1"/>
  <c r="W229" i="1"/>
  <c r="BF229" i="1"/>
  <c r="BX229" i="1"/>
  <c r="AW229" i="1"/>
  <c r="AN229" i="1"/>
  <c r="BO229" i="1"/>
  <c r="AE229" i="1"/>
  <c r="CP229" i="1"/>
  <c r="V229" i="1"/>
  <c r="AV229" i="1"/>
  <c r="BN229" i="1"/>
  <c r="CO229" i="1"/>
  <c r="AM229" i="1"/>
  <c r="BW229" i="1"/>
  <c r="BE229" i="1"/>
  <c r="AD229" i="1"/>
  <c r="U229" i="1"/>
  <c r="K240" i="1"/>
  <c r="BP228" i="1"/>
  <c r="BG228" i="1"/>
  <c r="BC240" i="1" s="1"/>
  <c r="CQ228" i="1"/>
  <c r="CM240" i="1" s="1"/>
  <c r="W228" i="1"/>
  <c r="S240" i="1" s="1"/>
  <c r="AX228" i="1"/>
  <c r="AT240" i="1" s="1"/>
  <c r="AF228" i="1"/>
  <c r="AB240" i="1" s="1"/>
  <c r="AO228" i="1"/>
  <c r="AK240" i="1" s="1"/>
  <c r="BY228" i="1"/>
  <c r="BU240" i="1" s="1"/>
  <c r="AW228" i="1"/>
  <c r="AS240" i="1" s="1"/>
  <c r="BX228" i="1"/>
  <c r="BT240" i="1" s="1"/>
  <c r="BO228" i="1"/>
  <c r="BK240" i="1" s="1"/>
  <c r="BF228" i="1"/>
  <c r="BB240" i="1" s="1"/>
  <c r="V228" i="1"/>
  <c r="R240" i="1" s="1"/>
  <c r="J240" i="1"/>
  <c r="CP228" i="1"/>
  <c r="CL240" i="1" s="1"/>
  <c r="AN228" i="1"/>
  <c r="AJ240" i="1" s="1"/>
  <c r="AE228" i="1"/>
  <c r="AA240" i="1" s="1"/>
  <c r="AV228" i="1"/>
  <c r="AR240" i="1" s="1"/>
  <c r="AR224" i="1" s="1"/>
  <c r="AR225" i="1" s="1"/>
  <c r="AM228" i="1"/>
  <c r="AI240" i="1" s="1"/>
  <c r="AI224" i="1" s="1"/>
  <c r="AI225" i="1" s="1"/>
  <c r="AD228" i="1"/>
  <c r="Z240" i="1" s="1"/>
  <c r="Z224" i="1" s="1"/>
  <c r="Z225" i="1" s="1"/>
  <c r="CO228" i="1"/>
  <c r="CK240" i="1" s="1"/>
  <c r="CK224" i="1" s="1"/>
  <c r="CK225" i="1" s="1"/>
  <c r="U228" i="1"/>
  <c r="Q240" i="1" s="1"/>
  <c r="Q224" i="1" s="1"/>
  <c r="Q225" i="1" s="1"/>
  <c r="I240" i="1"/>
  <c r="BN228" i="1"/>
  <c r="BW228" i="1"/>
  <c r="BS240" i="1" s="1"/>
  <c r="BS224" i="1" s="1"/>
  <c r="BS225" i="1" s="1"/>
  <c r="BE228" i="1"/>
  <c r="BA240" i="1" s="1"/>
  <c r="BA224" i="1" s="1"/>
  <c r="BA225" i="1" s="1"/>
  <c r="BP217" i="1"/>
  <c r="BG217" i="1"/>
  <c r="AF217" i="1"/>
  <c r="W217" i="1"/>
  <c r="AO217" i="1"/>
  <c r="CQ217" i="1"/>
  <c r="AX217" i="1"/>
  <c r="BY217" i="1"/>
  <c r="BO217" i="1"/>
  <c r="BF217" i="1"/>
  <c r="AW217" i="1"/>
  <c r="AE217" i="1"/>
  <c r="AN217" i="1"/>
  <c r="V217" i="1"/>
  <c r="CP217" i="1"/>
  <c r="BX217" i="1"/>
  <c r="BN217" i="1"/>
  <c r="BE217" i="1"/>
  <c r="AM217" i="1"/>
  <c r="U217" i="1"/>
  <c r="AV217" i="1"/>
  <c r="CO217" i="1"/>
  <c r="AD217" i="1"/>
  <c r="BW217" i="1"/>
  <c r="AF216" i="1"/>
  <c r="W216" i="1"/>
  <c r="CQ216" i="1"/>
  <c r="BY216" i="1"/>
  <c r="BP216" i="1"/>
  <c r="BG216" i="1"/>
  <c r="AX216" i="1"/>
  <c r="AO216" i="1"/>
  <c r="BX216" i="1"/>
  <c r="BO216" i="1"/>
  <c r="AN216" i="1"/>
  <c r="V216" i="1"/>
  <c r="AE216" i="1"/>
  <c r="BF216" i="1"/>
  <c r="AW216" i="1"/>
  <c r="CP216" i="1"/>
  <c r="BE216" i="1"/>
  <c r="BW216" i="1"/>
  <c r="AM216" i="1"/>
  <c r="BN216" i="1"/>
  <c r="U216" i="1"/>
  <c r="AV216" i="1"/>
  <c r="AD216" i="1"/>
  <c r="CO216" i="1"/>
  <c r="AF215" i="1"/>
  <c r="AO215" i="1"/>
  <c r="AX215" i="1"/>
  <c r="BG215" i="1"/>
  <c r="W215" i="1"/>
  <c r="BP215" i="1"/>
  <c r="CQ215" i="1"/>
  <c r="BY215" i="1"/>
  <c r="BF215" i="1"/>
  <c r="AW215" i="1"/>
  <c r="V215" i="1"/>
  <c r="AN215" i="1"/>
  <c r="CP215" i="1"/>
  <c r="AE215" i="1"/>
  <c r="BX215" i="1"/>
  <c r="BO215" i="1"/>
  <c r="AM215" i="1"/>
  <c r="AV215" i="1"/>
  <c r="BE215" i="1"/>
  <c r="BN215" i="1"/>
  <c r="BW215" i="1"/>
  <c r="AD215" i="1"/>
  <c r="CO215" i="1"/>
  <c r="U215" i="1"/>
  <c r="BY214" i="1"/>
  <c r="W214" i="1"/>
  <c r="AF214" i="1"/>
  <c r="AO214" i="1"/>
  <c r="AX214" i="1"/>
  <c r="BG214" i="1"/>
  <c r="BP214" i="1"/>
  <c r="CQ214" i="1"/>
  <c r="BX214" i="1"/>
  <c r="AE214" i="1"/>
  <c r="AN214" i="1"/>
  <c r="V214" i="1"/>
  <c r="AW214" i="1"/>
  <c r="BF214" i="1"/>
  <c r="BO214" i="1"/>
  <c r="CP214" i="1"/>
  <c r="CO214" i="1"/>
  <c r="AD214" i="1"/>
  <c r="U214" i="1"/>
  <c r="AM214" i="1"/>
  <c r="BN214" i="1"/>
  <c r="BE214" i="1"/>
  <c r="AV214" i="1"/>
  <c r="BW214" i="1"/>
  <c r="BG213" i="1"/>
  <c r="AX213" i="1"/>
  <c r="AO213" i="1"/>
  <c r="W213" i="1"/>
  <c r="AF213" i="1"/>
  <c r="BY213" i="1"/>
  <c r="BP213" i="1"/>
  <c r="CQ213" i="1"/>
  <c r="BX213" i="1"/>
  <c r="AE213" i="1"/>
  <c r="BF213" i="1"/>
  <c r="AN213" i="1"/>
  <c r="BO213" i="1"/>
  <c r="AW213" i="1"/>
  <c r="V213" i="1"/>
  <c r="CP213" i="1"/>
  <c r="AD213" i="1"/>
  <c r="AM213" i="1"/>
  <c r="AV213" i="1"/>
  <c r="BE213" i="1"/>
  <c r="BN213" i="1"/>
  <c r="BW213" i="1"/>
  <c r="CO213" i="1"/>
  <c r="U213" i="1"/>
  <c r="BY212" i="1"/>
  <c r="BP212" i="1"/>
  <c r="W212" i="1"/>
  <c r="AF212" i="1"/>
  <c r="AO212" i="1"/>
  <c r="AX212" i="1"/>
  <c r="CQ212" i="1"/>
  <c r="BG212" i="1"/>
  <c r="CP212" i="1"/>
  <c r="BX212" i="1"/>
  <c r="BO212" i="1"/>
  <c r="AW212" i="1"/>
  <c r="AN212" i="1"/>
  <c r="V212" i="1"/>
  <c r="AE212" i="1"/>
  <c r="BF212" i="1"/>
  <c r="BW212" i="1"/>
  <c r="U212" i="1"/>
  <c r="AD212" i="1"/>
  <c r="AM212" i="1"/>
  <c r="AV212" i="1"/>
  <c r="CO212" i="1"/>
  <c r="BE212" i="1"/>
  <c r="BN212" i="1"/>
  <c r="BY211" i="1"/>
  <c r="CQ211" i="1"/>
  <c r="AO211" i="1"/>
  <c r="BP211" i="1"/>
  <c r="AF211" i="1"/>
  <c r="BG211" i="1"/>
  <c r="AX211" i="1"/>
  <c r="W211" i="1"/>
  <c r="AW211" i="1"/>
  <c r="AN211" i="1"/>
  <c r="AE211" i="1"/>
  <c r="V211" i="1"/>
  <c r="CP211" i="1"/>
  <c r="BX211" i="1"/>
  <c r="BO211" i="1"/>
  <c r="BF211" i="1"/>
  <c r="AV211" i="1"/>
  <c r="AM211" i="1"/>
  <c r="AD211" i="1"/>
  <c r="CO211" i="1"/>
  <c r="U211" i="1"/>
  <c r="BW211" i="1"/>
  <c r="BN211" i="1"/>
  <c r="BE211" i="1"/>
  <c r="CQ210" i="1"/>
  <c r="AF210" i="1"/>
  <c r="AX210" i="1"/>
  <c r="W210" i="1"/>
  <c r="BG210" i="1"/>
  <c r="BP210" i="1"/>
  <c r="AO210" i="1"/>
  <c r="BY210" i="1"/>
  <c r="AE210" i="1"/>
  <c r="AN210" i="1"/>
  <c r="BX210" i="1"/>
  <c r="CP210" i="1"/>
  <c r="BO210" i="1"/>
  <c r="BF210" i="1"/>
  <c r="V210" i="1"/>
  <c r="AW210" i="1"/>
  <c r="CO210" i="1"/>
  <c r="U210" i="1"/>
  <c r="AD210" i="1"/>
  <c r="AM210" i="1"/>
  <c r="AV210" i="1"/>
  <c r="BE210" i="1"/>
  <c r="BN210" i="1"/>
  <c r="BW210" i="1"/>
  <c r="BG209" i="1"/>
  <c r="AF209" i="1"/>
  <c r="CQ209" i="1"/>
  <c r="AO209" i="1"/>
  <c r="AX209" i="1"/>
  <c r="BY209" i="1"/>
  <c r="BP209" i="1"/>
  <c r="W209" i="1"/>
  <c r="AN209" i="1"/>
  <c r="CP209" i="1"/>
  <c r="AE209" i="1"/>
  <c r="BX209" i="1"/>
  <c r="AW209" i="1"/>
  <c r="BO209" i="1"/>
  <c r="BF209" i="1"/>
  <c r="V209" i="1"/>
  <c r="AM209" i="1"/>
  <c r="AD209" i="1"/>
  <c r="CO209" i="1"/>
  <c r="BE209" i="1"/>
  <c r="AV209" i="1"/>
  <c r="BW209" i="1"/>
  <c r="BN209" i="1"/>
  <c r="U209" i="1"/>
  <c r="AO208" i="1"/>
  <c r="AX208" i="1"/>
  <c r="BY208" i="1"/>
  <c r="BP208" i="1"/>
  <c r="CQ208" i="1"/>
  <c r="BG208" i="1"/>
  <c r="W208" i="1"/>
  <c r="AF208" i="1"/>
  <c r="BO208" i="1"/>
  <c r="BF208" i="1"/>
  <c r="AW208" i="1"/>
  <c r="AE208" i="1"/>
  <c r="V208" i="1"/>
  <c r="CP208" i="1"/>
  <c r="AN208" i="1"/>
  <c r="BX208" i="1"/>
  <c r="BW208" i="1"/>
  <c r="CO208" i="1"/>
  <c r="BN208" i="1"/>
  <c r="BE208" i="1"/>
  <c r="U208" i="1"/>
  <c r="AM208" i="1"/>
  <c r="AD208" i="1"/>
  <c r="AV208" i="1"/>
  <c r="BY207" i="1"/>
  <c r="CQ207" i="1"/>
  <c r="BP207" i="1"/>
  <c r="BG207" i="1"/>
  <c r="AO207" i="1"/>
  <c r="AF207" i="1"/>
  <c r="W207" i="1"/>
  <c r="AX207" i="1"/>
  <c r="BO207" i="1"/>
  <c r="BX207" i="1"/>
  <c r="CP207" i="1"/>
  <c r="V207" i="1"/>
  <c r="AE207" i="1"/>
  <c r="AN207" i="1"/>
  <c r="AW207" i="1"/>
  <c r="BF207" i="1"/>
  <c r="CO207" i="1"/>
  <c r="BW207" i="1"/>
  <c r="BN207" i="1"/>
  <c r="BE207" i="1"/>
  <c r="AV207" i="1"/>
  <c r="AM207" i="1"/>
  <c r="AD207" i="1"/>
  <c r="U207" i="1"/>
  <c r="AX206" i="1"/>
  <c r="AT218" i="1" s="1"/>
  <c r="AO206" i="1"/>
  <c r="AK218" i="1" s="1"/>
  <c r="AF206" i="1"/>
  <c r="AB218" i="1" s="1"/>
  <c r="W206" i="1"/>
  <c r="S218" i="1" s="1"/>
  <c r="K218" i="1"/>
  <c r="CQ206" i="1"/>
  <c r="CM218" i="1" s="1"/>
  <c r="BY206" i="1"/>
  <c r="BU218" i="1" s="1"/>
  <c r="BP206" i="1"/>
  <c r="BG206" i="1"/>
  <c r="BC218" i="1" s="1"/>
  <c r="AW206" i="1"/>
  <c r="AS218" i="1" s="1"/>
  <c r="AN206" i="1"/>
  <c r="AJ218" i="1" s="1"/>
  <c r="AE206" i="1"/>
  <c r="AA218" i="1" s="1"/>
  <c r="V206" i="1"/>
  <c r="R218" i="1" s="1"/>
  <c r="J218" i="1"/>
  <c r="CP206" i="1"/>
  <c r="CL218" i="1" s="1"/>
  <c r="BX206" i="1"/>
  <c r="BT218" i="1" s="1"/>
  <c r="BO206" i="1"/>
  <c r="BK218" i="1" s="1"/>
  <c r="BF206" i="1"/>
  <c r="BB218" i="1" s="1"/>
  <c r="CO206" i="1"/>
  <c r="CK218" i="1" s="1"/>
  <c r="CK202" i="1" s="1"/>
  <c r="CK203" i="1" s="1"/>
  <c r="AV206" i="1"/>
  <c r="AR218" i="1" s="1"/>
  <c r="AR202" i="1" s="1"/>
  <c r="AR203" i="1" s="1"/>
  <c r="AM206" i="1"/>
  <c r="AI218" i="1" s="1"/>
  <c r="AI202" i="1" s="1"/>
  <c r="AI203" i="1" s="1"/>
  <c r="AD206" i="1"/>
  <c r="Z218" i="1" s="1"/>
  <c r="Z202" i="1" s="1"/>
  <c r="Z203" i="1" s="1"/>
  <c r="U206" i="1"/>
  <c r="Q218" i="1" s="1"/>
  <c r="Q202" i="1" s="1"/>
  <c r="Q203" i="1" s="1"/>
  <c r="BE206" i="1"/>
  <c r="BA218" i="1" s="1"/>
  <c r="BA202" i="1" s="1"/>
  <c r="BA203" i="1" s="1"/>
  <c r="BN206" i="1"/>
  <c r="BW206" i="1"/>
  <c r="BS218" i="1" s="1"/>
  <c r="BS202" i="1" s="1"/>
  <c r="BS203" i="1" s="1"/>
  <c r="I218" i="1"/>
  <c r="BY195" i="1"/>
  <c r="CQ195" i="1"/>
  <c r="BP195" i="1"/>
  <c r="W195" i="1"/>
  <c r="BG195" i="1"/>
  <c r="AX195" i="1"/>
  <c r="AO195" i="1"/>
  <c r="AF195" i="1"/>
  <c r="CP195" i="1"/>
  <c r="AE195" i="1"/>
  <c r="AN195" i="1"/>
  <c r="BO195" i="1"/>
  <c r="BX195" i="1"/>
  <c r="BF195" i="1"/>
  <c r="AW195" i="1"/>
  <c r="V195" i="1"/>
  <c r="CO195" i="1"/>
  <c r="AD195" i="1"/>
  <c r="AV195" i="1"/>
  <c r="U195" i="1"/>
  <c r="BE195" i="1"/>
  <c r="BN195" i="1"/>
  <c r="AM195" i="1"/>
  <c r="BW195" i="1"/>
  <c r="AO194" i="1"/>
  <c r="BY194" i="1"/>
  <c r="BP194" i="1"/>
  <c r="AX194" i="1"/>
  <c r="W194" i="1"/>
  <c r="BG194" i="1"/>
  <c r="CQ194" i="1"/>
  <c r="AF194" i="1"/>
  <c r="V194" i="1"/>
  <c r="AW194" i="1"/>
  <c r="BF194" i="1"/>
  <c r="AN194" i="1"/>
  <c r="BX194" i="1"/>
  <c r="CP194" i="1"/>
  <c r="BO194" i="1"/>
  <c r="AE194" i="1"/>
  <c r="AD194" i="1"/>
  <c r="AV194" i="1"/>
  <c r="BW194" i="1"/>
  <c r="CO194" i="1"/>
  <c r="AM194" i="1"/>
  <c r="BN194" i="1"/>
  <c r="U194" i="1"/>
  <c r="BE194" i="1"/>
  <c r="AX193" i="1"/>
  <c r="AO193" i="1"/>
  <c r="W193" i="1"/>
  <c r="BY193" i="1"/>
  <c r="BP193" i="1"/>
  <c r="CQ193" i="1"/>
  <c r="AF193" i="1"/>
  <c r="BG193" i="1"/>
  <c r="BO193" i="1"/>
  <c r="AN193" i="1"/>
  <c r="BF193" i="1"/>
  <c r="CP193" i="1"/>
  <c r="V193" i="1"/>
  <c r="AW193" i="1"/>
  <c r="BX193" i="1"/>
  <c r="AE193" i="1"/>
  <c r="AD193" i="1"/>
  <c r="BW193" i="1"/>
  <c r="CO193" i="1"/>
  <c r="U193" i="1"/>
  <c r="AM193" i="1"/>
  <c r="AV193" i="1"/>
  <c r="BE193" i="1"/>
  <c r="BN193" i="1"/>
  <c r="BY192" i="1"/>
  <c r="CQ192" i="1"/>
  <c r="BP192" i="1"/>
  <c r="BG192" i="1"/>
  <c r="AX192" i="1"/>
  <c r="AO192" i="1"/>
  <c r="AF192" i="1"/>
  <c r="W192" i="1"/>
  <c r="AN192" i="1"/>
  <c r="BX192" i="1"/>
  <c r="CP192" i="1"/>
  <c r="BO192" i="1"/>
  <c r="AW192" i="1"/>
  <c r="AE192" i="1"/>
  <c r="V192" i="1"/>
  <c r="BF192" i="1"/>
  <c r="CO192" i="1"/>
  <c r="U192" i="1"/>
  <c r="AD192" i="1"/>
  <c r="AV192" i="1"/>
  <c r="BE192" i="1"/>
  <c r="BN192" i="1"/>
  <c r="BW192" i="1"/>
  <c r="AM192" i="1"/>
  <c r="BY191" i="1"/>
  <c r="BG191" i="1"/>
  <c r="AF191" i="1"/>
  <c r="AO191" i="1"/>
  <c r="BP191" i="1"/>
  <c r="W191" i="1"/>
  <c r="CQ191" i="1"/>
  <c r="AX191" i="1"/>
  <c r="AW191" i="1"/>
  <c r="CP191" i="1"/>
  <c r="AE191" i="1"/>
  <c r="V191" i="1"/>
  <c r="AN191" i="1"/>
  <c r="BO191" i="1"/>
  <c r="BF191" i="1"/>
  <c r="BX191" i="1"/>
  <c r="BW191" i="1"/>
  <c r="BE191" i="1"/>
  <c r="U191" i="1"/>
  <c r="CO191" i="1"/>
  <c r="AV191" i="1"/>
  <c r="BN191" i="1"/>
  <c r="AD191" i="1"/>
  <c r="AM191" i="1"/>
  <c r="BG190" i="1"/>
  <c r="AO190" i="1"/>
  <c r="AF190" i="1"/>
  <c r="W190" i="1"/>
  <c r="CQ190" i="1"/>
  <c r="AX190" i="1"/>
  <c r="BY190" i="1"/>
  <c r="BP190" i="1"/>
  <c r="BO190" i="1"/>
  <c r="BF190" i="1"/>
  <c r="AN190" i="1"/>
  <c r="AE190" i="1"/>
  <c r="V190" i="1"/>
  <c r="CP190" i="1"/>
  <c r="BX190" i="1"/>
  <c r="AW190" i="1"/>
  <c r="BN190" i="1"/>
  <c r="BE190" i="1"/>
  <c r="AV190" i="1"/>
  <c r="AM190" i="1"/>
  <c r="AD190" i="1"/>
  <c r="BW190" i="1"/>
  <c r="CO190" i="1"/>
  <c r="U190" i="1"/>
  <c r="BY189" i="1"/>
  <c r="AF189" i="1"/>
  <c r="AO189" i="1"/>
  <c r="CQ189" i="1"/>
  <c r="BP189" i="1"/>
  <c r="AX189" i="1"/>
  <c r="W189" i="1"/>
  <c r="BG189" i="1"/>
  <c r="AE189" i="1"/>
  <c r="CP189" i="1"/>
  <c r="BX189" i="1"/>
  <c r="BO189" i="1"/>
  <c r="BF189" i="1"/>
  <c r="AW189" i="1"/>
  <c r="AN189" i="1"/>
  <c r="V189" i="1"/>
  <c r="CO189" i="1"/>
  <c r="BW189" i="1"/>
  <c r="BN189" i="1"/>
  <c r="BE189" i="1"/>
  <c r="AV189" i="1"/>
  <c r="AM189" i="1"/>
  <c r="AD189" i="1"/>
  <c r="U189" i="1"/>
  <c r="BY188" i="1"/>
  <c r="W188" i="1"/>
  <c r="BP188" i="1"/>
  <c r="CQ188" i="1"/>
  <c r="BG188" i="1"/>
  <c r="AF188" i="1"/>
  <c r="AX188" i="1"/>
  <c r="AO188" i="1"/>
  <c r="V188" i="1"/>
  <c r="CP188" i="1"/>
  <c r="BX188" i="1"/>
  <c r="BO188" i="1"/>
  <c r="BF188" i="1"/>
  <c r="AW188" i="1"/>
  <c r="AN188" i="1"/>
  <c r="AE188" i="1"/>
  <c r="AV188" i="1"/>
  <c r="BN188" i="1"/>
  <c r="AM188" i="1"/>
  <c r="CO188" i="1"/>
  <c r="BE188" i="1"/>
  <c r="AD188" i="1"/>
  <c r="BW188" i="1"/>
  <c r="U188" i="1"/>
  <c r="BG187" i="1"/>
  <c r="W187" i="1"/>
  <c r="CQ187" i="1"/>
  <c r="AX187" i="1"/>
  <c r="BY187" i="1"/>
  <c r="AO187" i="1"/>
  <c r="BP187" i="1"/>
  <c r="AF187" i="1"/>
  <c r="V187" i="1"/>
  <c r="CP187" i="1"/>
  <c r="AE187" i="1"/>
  <c r="AW187" i="1"/>
  <c r="BO187" i="1"/>
  <c r="AN187" i="1"/>
  <c r="BF187" i="1"/>
  <c r="BX187" i="1"/>
  <c r="CO187" i="1"/>
  <c r="BW187" i="1"/>
  <c r="BN187" i="1"/>
  <c r="BE187" i="1"/>
  <c r="AV187" i="1"/>
  <c r="AM187" i="1"/>
  <c r="AD187" i="1"/>
  <c r="U187" i="1"/>
  <c r="AX186" i="1"/>
  <c r="CQ186" i="1"/>
  <c r="BY186" i="1"/>
  <c r="AF186" i="1"/>
  <c r="BP186" i="1"/>
  <c r="BG186" i="1"/>
  <c r="W186" i="1"/>
  <c r="AO186" i="1"/>
  <c r="V186" i="1"/>
  <c r="AW186" i="1"/>
  <c r="AN186" i="1"/>
  <c r="CP186" i="1"/>
  <c r="BX186" i="1"/>
  <c r="BO186" i="1"/>
  <c r="AE186" i="1"/>
  <c r="BF186" i="1"/>
  <c r="AD186" i="1"/>
  <c r="BW186" i="1"/>
  <c r="U186" i="1"/>
  <c r="CO186" i="1"/>
  <c r="AM186" i="1"/>
  <c r="AV186" i="1"/>
  <c r="BE186" i="1"/>
  <c r="BN186" i="1"/>
  <c r="BG185" i="1"/>
  <c r="CQ185" i="1"/>
  <c r="BY185" i="1"/>
  <c r="AX185" i="1"/>
  <c r="AF185" i="1"/>
  <c r="BP185" i="1"/>
  <c r="AO185" i="1"/>
  <c r="W185" i="1"/>
  <c r="CP185" i="1"/>
  <c r="BF185" i="1"/>
  <c r="AW185" i="1"/>
  <c r="BO185" i="1"/>
  <c r="BX185" i="1"/>
  <c r="AN185" i="1"/>
  <c r="AE185" i="1"/>
  <c r="V185" i="1"/>
  <c r="U185" i="1"/>
  <c r="BW185" i="1"/>
  <c r="AD185" i="1"/>
  <c r="BN185" i="1"/>
  <c r="BE185" i="1"/>
  <c r="CO185" i="1"/>
  <c r="AM185" i="1"/>
  <c r="AV185" i="1"/>
  <c r="AX184" i="1"/>
  <c r="AO184" i="1"/>
  <c r="BY184" i="1"/>
  <c r="BP184" i="1"/>
  <c r="W184" i="1"/>
  <c r="BG184" i="1"/>
  <c r="K196" i="1"/>
  <c r="AF184" i="1"/>
  <c r="CQ184" i="1"/>
  <c r="BX184" i="1"/>
  <c r="J196" i="1"/>
  <c r="AW184" i="1"/>
  <c r="AN184" i="1"/>
  <c r="AE184" i="1"/>
  <c r="V184" i="1"/>
  <c r="CP184" i="1"/>
  <c r="BF184" i="1"/>
  <c r="BO184" i="1"/>
  <c r="CO184" i="1"/>
  <c r="BN184" i="1"/>
  <c r="I196" i="1"/>
  <c r="AV184" i="1"/>
  <c r="AM184" i="1"/>
  <c r="AD184" i="1"/>
  <c r="U184" i="1"/>
  <c r="BW184" i="1"/>
  <c r="BE184" i="1"/>
  <c r="W173" i="1"/>
  <c r="AO173" i="1"/>
  <c r="BG173" i="1"/>
  <c r="BP173" i="1"/>
  <c r="BY173" i="1"/>
  <c r="AF173" i="1"/>
  <c r="CQ173" i="1"/>
  <c r="AX173" i="1"/>
  <c r="BX173" i="1"/>
  <c r="BO173" i="1"/>
  <c r="BF173" i="1"/>
  <c r="V173" i="1"/>
  <c r="AN173" i="1"/>
  <c r="AE173" i="1"/>
  <c r="CP173" i="1"/>
  <c r="AW173" i="1"/>
  <c r="U173" i="1"/>
  <c r="AV173" i="1"/>
  <c r="BW173" i="1"/>
  <c r="BE173" i="1"/>
  <c r="AM173" i="1"/>
  <c r="CO173" i="1"/>
  <c r="BN173" i="1"/>
  <c r="AD173" i="1"/>
  <c r="BG172" i="1"/>
  <c r="BY172" i="1"/>
  <c r="CQ172" i="1"/>
  <c r="AF172" i="1"/>
  <c r="AX172" i="1"/>
  <c r="AO172" i="1"/>
  <c r="W172" i="1"/>
  <c r="BP172" i="1"/>
  <c r="BF172" i="1"/>
  <c r="AN172" i="1"/>
  <c r="CP172" i="1"/>
  <c r="AW172" i="1"/>
  <c r="BO172" i="1"/>
  <c r="BX172" i="1"/>
  <c r="V172" i="1"/>
  <c r="AE172" i="1"/>
  <c r="CO172" i="1"/>
  <c r="AV172" i="1"/>
  <c r="U172" i="1"/>
  <c r="BE172" i="1"/>
  <c r="BN172" i="1"/>
  <c r="BW172" i="1"/>
  <c r="AD172" i="1"/>
  <c r="AM172" i="1"/>
  <c r="CQ171" i="1"/>
  <c r="AX171" i="1"/>
  <c r="BP171" i="1"/>
  <c r="AO171" i="1"/>
  <c r="BY171" i="1"/>
  <c r="BG171" i="1"/>
  <c r="AF171" i="1"/>
  <c r="W171" i="1"/>
  <c r="BX171" i="1"/>
  <c r="BO171" i="1"/>
  <c r="AW171" i="1"/>
  <c r="V171" i="1"/>
  <c r="AE171" i="1"/>
  <c r="BF171" i="1"/>
  <c r="CP171" i="1"/>
  <c r="AN171" i="1"/>
  <c r="BW171" i="1"/>
  <c r="BN171" i="1"/>
  <c r="AM171" i="1"/>
  <c r="BE171" i="1"/>
  <c r="AD171" i="1"/>
  <c r="U171" i="1"/>
  <c r="CO171" i="1"/>
  <c r="AV171" i="1"/>
  <c r="CQ170" i="1"/>
  <c r="W170" i="1"/>
  <c r="AF170" i="1"/>
  <c r="AO170" i="1"/>
  <c r="AX170" i="1"/>
  <c r="BG170" i="1"/>
  <c r="BP170" i="1"/>
  <c r="BY170" i="1"/>
  <c r="V170" i="1"/>
  <c r="CP170" i="1"/>
  <c r="BX170" i="1"/>
  <c r="BO170" i="1"/>
  <c r="BF170" i="1"/>
  <c r="AW170" i="1"/>
  <c r="AN170" i="1"/>
  <c r="AE170" i="1"/>
  <c r="AD170" i="1"/>
  <c r="BW170" i="1"/>
  <c r="AM170" i="1"/>
  <c r="AV170" i="1"/>
  <c r="BE170" i="1"/>
  <c r="BN170" i="1"/>
  <c r="CO170" i="1"/>
  <c r="U170" i="1"/>
  <c r="BP169" i="1"/>
  <c r="BG169" i="1"/>
  <c r="AX169" i="1"/>
  <c r="BY169" i="1"/>
  <c r="AO169" i="1"/>
  <c r="CQ169" i="1"/>
  <c r="AF169" i="1"/>
  <c r="W169" i="1"/>
  <c r="AE169" i="1"/>
  <c r="BX169" i="1"/>
  <c r="AN169" i="1"/>
  <c r="AW169" i="1"/>
  <c r="CP169" i="1"/>
  <c r="BF169" i="1"/>
  <c r="BO169" i="1"/>
  <c r="V169" i="1"/>
  <c r="BW169" i="1"/>
  <c r="CO169" i="1"/>
  <c r="U169" i="1"/>
  <c r="AV169" i="1"/>
  <c r="BE169" i="1"/>
  <c r="BN169" i="1"/>
  <c r="AM169" i="1"/>
  <c r="AD169" i="1"/>
  <c r="W168" i="1"/>
  <c r="AF168" i="1"/>
  <c r="CQ168" i="1"/>
  <c r="BP168" i="1"/>
  <c r="AX168" i="1"/>
  <c r="BG168" i="1"/>
  <c r="BY168" i="1"/>
  <c r="AO168" i="1"/>
  <c r="V168" i="1"/>
  <c r="AE168" i="1"/>
  <c r="BX168" i="1"/>
  <c r="CP168" i="1"/>
  <c r="AW168" i="1"/>
  <c r="BF168" i="1"/>
  <c r="AN168" i="1"/>
  <c r="BO168" i="1"/>
  <c r="U168" i="1"/>
  <c r="AD168" i="1"/>
  <c r="AM168" i="1"/>
  <c r="CO168" i="1"/>
  <c r="BW168" i="1"/>
  <c r="BE168" i="1"/>
  <c r="AV168" i="1"/>
  <c r="BN168" i="1"/>
  <c r="W167" i="1"/>
  <c r="AO167" i="1"/>
  <c r="CQ167" i="1"/>
  <c r="BY167" i="1"/>
  <c r="BP167" i="1"/>
  <c r="BG167" i="1"/>
  <c r="AX167" i="1"/>
  <c r="AF167" i="1"/>
  <c r="AW167" i="1"/>
  <c r="AE167" i="1"/>
  <c r="BF167" i="1"/>
  <c r="CP167" i="1"/>
  <c r="AN167" i="1"/>
  <c r="BO167" i="1"/>
  <c r="V167" i="1"/>
  <c r="BX167" i="1"/>
  <c r="CO167" i="1"/>
  <c r="AV167" i="1"/>
  <c r="AD167" i="1"/>
  <c r="U167" i="1"/>
  <c r="AM167" i="1"/>
  <c r="BW167" i="1"/>
  <c r="BN167" i="1"/>
  <c r="BE167" i="1"/>
  <c r="AO166" i="1"/>
  <c r="AF166" i="1"/>
  <c r="CQ166" i="1"/>
  <c r="BY166" i="1"/>
  <c r="BP166" i="1"/>
  <c r="BG166" i="1"/>
  <c r="W166" i="1"/>
  <c r="AX166" i="1"/>
  <c r="AW166" i="1"/>
  <c r="AN166" i="1"/>
  <c r="AE166" i="1"/>
  <c r="V166" i="1"/>
  <c r="CP166" i="1"/>
  <c r="BX166" i="1"/>
  <c r="BO166" i="1"/>
  <c r="BF166" i="1"/>
  <c r="BE166" i="1"/>
  <c r="U166" i="1"/>
  <c r="AD166" i="1"/>
  <c r="AM166" i="1"/>
  <c r="AV166" i="1"/>
  <c r="BN166" i="1"/>
  <c r="BW166" i="1"/>
  <c r="CO166" i="1"/>
  <c r="BY165" i="1"/>
  <c r="CQ165" i="1"/>
  <c r="BG165" i="1"/>
  <c r="AO165" i="1"/>
  <c r="AF165" i="1"/>
  <c r="W165" i="1"/>
  <c r="AX165" i="1"/>
  <c r="BP165" i="1"/>
  <c r="CP165" i="1"/>
  <c r="BF165" i="1"/>
  <c r="BO165" i="1"/>
  <c r="V165" i="1"/>
  <c r="AE165" i="1"/>
  <c r="AW165" i="1"/>
  <c r="AN165" i="1"/>
  <c r="BX165" i="1"/>
  <c r="CO165" i="1"/>
  <c r="AD165" i="1"/>
  <c r="AM165" i="1"/>
  <c r="BE165" i="1"/>
  <c r="U165" i="1"/>
  <c r="BN165" i="1"/>
  <c r="AV165" i="1"/>
  <c r="BW165" i="1"/>
  <c r="AX164" i="1"/>
  <c r="W164" i="1"/>
  <c r="BY164" i="1"/>
  <c r="CQ164" i="1"/>
  <c r="BG164" i="1"/>
  <c r="AF164" i="1"/>
  <c r="BP164" i="1"/>
  <c r="AO164" i="1"/>
  <c r="CP164" i="1"/>
  <c r="AE164" i="1"/>
  <c r="AN164" i="1"/>
  <c r="BO164" i="1"/>
  <c r="BF164" i="1"/>
  <c r="BX164" i="1"/>
  <c r="V164" i="1"/>
  <c r="AW164" i="1"/>
  <c r="AM164" i="1"/>
  <c r="CO164" i="1"/>
  <c r="AV164" i="1"/>
  <c r="BW164" i="1"/>
  <c r="BN164" i="1"/>
  <c r="AD164" i="1"/>
  <c r="U164" i="1"/>
  <c r="BE164" i="1"/>
  <c r="BP163" i="1"/>
  <c r="AO163" i="1"/>
  <c r="W163" i="1"/>
  <c r="BY163" i="1"/>
  <c r="AF163" i="1"/>
  <c r="CQ163" i="1"/>
  <c r="BG163" i="1"/>
  <c r="AX163" i="1"/>
  <c r="AN163" i="1"/>
  <c r="BO163" i="1"/>
  <c r="BX163" i="1"/>
  <c r="AE163" i="1"/>
  <c r="CP163" i="1"/>
  <c r="V163" i="1"/>
  <c r="BF163" i="1"/>
  <c r="AW163" i="1"/>
  <c r="BW163" i="1"/>
  <c r="AD163" i="1"/>
  <c r="BE163" i="1"/>
  <c r="CO163" i="1"/>
  <c r="AM163" i="1"/>
  <c r="U163" i="1"/>
  <c r="BN163" i="1"/>
  <c r="AV163" i="1"/>
  <c r="CQ162" i="1"/>
  <c r="BG162" i="1"/>
  <c r="BC174" i="1" s="1"/>
  <c r="K174" i="1"/>
  <c r="W162" i="1"/>
  <c r="AF162" i="1"/>
  <c r="BP162" i="1"/>
  <c r="BY162" i="1"/>
  <c r="BU174" i="1" s="1"/>
  <c r="AX162" i="1"/>
  <c r="AT174" i="1" s="1"/>
  <c r="AO162" i="1"/>
  <c r="AK174" i="1" s="1"/>
  <c r="AE162" i="1"/>
  <c r="AA174" i="1" s="1"/>
  <c r="J174" i="1"/>
  <c r="CP162" i="1"/>
  <c r="CL174" i="1" s="1"/>
  <c r="BO162" i="1"/>
  <c r="BK174" i="1" s="1"/>
  <c r="BF162" i="1"/>
  <c r="BB174" i="1" s="1"/>
  <c r="V162" i="1"/>
  <c r="AW162" i="1"/>
  <c r="BX162" i="1"/>
  <c r="BT174" i="1" s="1"/>
  <c r="AN162" i="1"/>
  <c r="AJ174" i="1" s="1"/>
  <c r="BW162" i="1"/>
  <c r="BS174" i="1" s="1"/>
  <c r="AD162" i="1"/>
  <c r="I174" i="1"/>
  <c r="U162" i="1"/>
  <c r="AV162" i="1"/>
  <c r="CO162" i="1"/>
  <c r="CK174" i="1" s="1"/>
  <c r="BN162" i="1"/>
  <c r="BE162" i="1"/>
  <c r="BA174" i="1" s="1"/>
  <c r="AM162" i="1"/>
  <c r="W151" i="1"/>
  <c r="AF151" i="1"/>
  <c r="CQ151" i="1"/>
  <c r="BP151" i="1"/>
  <c r="AO151" i="1"/>
  <c r="AX151" i="1"/>
  <c r="BG151" i="1"/>
  <c r="BY151" i="1"/>
  <c r="BX151" i="1"/>
  <c r="AN151" i="1"/>
  <c r="AW151" i="1"/>
  <c r="CP151" i="1"/>
  <c r="V151" i="1"/>
  <c r="BO151" i="1"/>
  <c r="AE151" i="1"/>
  <c r="BF151" i="1"/>
  <c r="BW151" i="1"/>
  <c r="AM151" i="1"/>
  <c r="U151" i="1"/>
  <c r="CO151" i="1"/>
  <c r="BE151" i="1"/>
  <c r="AV151" i="1"/>
  <c r="AD151" i="1"/>
  <c r="BN151" i="1"/>
  <c r="CQ150" i="1"/>
  <c r="BG150" i="1"/>
  <c r="AX150" i="1"/>
  <c r="BP150" i="1"/>
  <c r="AO150" i="1"/>
  <c r="AF150" i="1"/>
  <c r="W150" i="1"/>
  <c r="BY150" i="1"/>
  <c r="CP150" i="1"/>
  <c r="BO150" i="1"/>
  <c r="BX150" i="1"/>
  <c r="AW150" i="1"/>
  <c r="BF150" i="1"/>
  <c r="AE150" i="1"/>
  <c r="V150" i="1"/>
  <c r="AN150" i="1"/>
  <c r="CO150" i="1"/>
  <c r="U150" i="1"/>
  <c r="AD150" i="1"/>
  <c r="AM150" i="1"/>
  <c r="AV150" i="1"/>
  <c r="BE150" i="1"/>
  <c r="BN150" i="1"/>
  <c r="BW150" i="1"/>
  <c r="BG149" i="1"/>
  <c r="BY149" i="1"/>
  <c r="BP149" i="1"/>
  <c r="AX149" i="1"/>
  <c r="W149" i="1"/>
  <c r="AO149" i="1"/>
  <c r="AF149" i="1"/>
  <c r="CQ149" i="1"/>
  <c r="BX149" i="1"/>
  <c r="AN149" i="1"/>
  <c r="CP149" i="1"/>
  <c r="BO149" i="1"/>
  <c r="AW149" i="1"/>
  <c r="V149" i="1"/>
  <c r="AE149" i="1"/>
  <c r="BF149" i="1"/>
  <c r="AV149" i="1"/>
  <c r="CO149" i="1"/>
  <c r="AM149" i="1"/>
  <c r="AD149" i="1"/>
  <c r="U149" i="1"/>
  <c r="BE149" i="1"/>
  <c r="BN149" i="1"/>
  <c r="BW149" i="1"/>
  <c r="W148" i="1"/>
  <c r="AF148" i="1"/>
  <c r="AO148" i="1"/>
  <c r="BG148" i="1"/>
  <c r="BP148" i="1"/>
  <c r="BY148" i="1"/>
  <c r="AX148" i="1"/>
  <c r="CQ148" i="1"/>
  <c r="AE148" i="1"/>
  <c r="BO148" i="1"/>
  <c r="BF148" i="1"/>
  <c r="BX148" i="1"/>
  <c r="AW148" i="1"/>
  <c r="CP148" i="1"/>
  <c r="AN148" i="1"/>
  <c r="V148" i="1"/>
  <c r="AD148" i="1"/>
  <c r="AM148" i="1"/>
  <c r="AV148" i="1"/>
  <c r="BN148" i="1"/>
  <c r="BE148" i="1"/>
  <c r="CO148" i="1"/>
  <c r="BW148" i="1"/>
  <c r="U148" i="1"/>
  <c r="BG147" i="1"/>
  <c r="CQ147" i="1"/>
  <c r="BY147" i="1"/>
  <c r="BP147" i="1"/>
  <c r="AX147" i="1"/>
  <c r="AO147" i="1"/>
  <c r="AF147" i="1"/>
  <c r="W147" i="1"/>
  <c r="BX147" i="1"/>
  <c r="V147" i="1"/>
  <c r="AE147" i="1"/>
  <c r="AN147" i="1"/>
  <c r="AW147" i="1"/>
  <c r="BF147" i="1"/>
  <c r="BO147" i="1"/>
  <c r="CP147" i="1"/>
  <c r="BE147" i="1"/>
  <c r="U147" i="1"/>
  <c r="CO147" i="1"/>
  <c r="BW147" i="1"/>
  <c r="BN147" i="1"/>
  <c r="AV147" i="1"/>
  <c r="AM147" i="1"/>
  <c r="AD147" i="1"/>
  <c r="W146" i="1"/>
  <c r="AF146" i="1"/>
  <c r="AO146" i="1"/>
  <c r="AX146" i="1"/>
  <c r="BG146" i="1"/>
  <c r="AE146" i="1"/>
  <c r="AN146" i="1"/>
  <c r="AW146" i="1"/>
  <c r="V146" i="1"/>
  <c r="BF146" i="1"/>
  <c r="AM146" i="1"/>
  <c r="AV146" i="1"/>
  <c r="BN146" i="1"/>
  <c r="U146" i="1"/>
  <c r="BE146" i="1"/>
  <c r="W145" i="1"/>
  <c r="BP145" i="1"/>
  <c r="AX145" i="1"/>
  <c r="BY145" i="1"/>
  <c r="BG145" i="1"/>
  <c r="CQ145" i="1"/>
  <c r="AF145" i="1"/>
  <c r="AO145" i="1"/>
  <c r="AW145" i="1"/>
  <c r="BO145" i="1"/>
  <c r="BX145" i="1"/>
  <c r="CP145" i="1"/>
  <c r="BF145" i="1"/>
  <c r="V145" i="1"/>
  <c r="AE145" i="1"/>
  <c r="AN145" i="1"/>
  <c r="U145" i="1"/>
  <c r="AD145" i="1"/>
  <c r="AM145" i="1"/>
  <c r="AV145" i="1"/>
  <c r="BE145" i="1"/>
  <c r="BN145" i="1"/>
  <c r="BW145" i="1"/>
  <c r="CO145" i="1"/>
  <c r="AX144" i="1"/>
  <c r="CQ144" i="1"/>
  <c r="BG144" i="1"/>
  <c r="AO144" i="1"/>
  <c r="BP144" i="1"/>
  <c r="BY144" i="1"/>
  <c r="W144" i="1"/>
  <c r="AF144" i="1"/>
  <c r="CP144" i="1"/>
  <c r="BX144" i="1"/>
  <c r="BF144" i="1"/>
  <c r="AW144" i="1"/>
  <c r="BO144" i="1"/>
  <c r="AN144" i="1"/>
  <c r="AE144" i="1"/>
  <c r="V144" i="1"/>
  <c r="AM144" i="1"/>
  <c r="U144" i="1"/>
  <c r="AD144" i="1"/>
  <c r="BW144" i="1"/>
  <c r="CO144" i="1"/>
  <c r="AV144" i="1"/>
  <c r="BN144" i="1"/>
  <c r="BE144" i="1"/>
  <c r="BY143" i="1"/>
  <c r="CQ143" i="1"/>
  <c r="BP143" i="1"/>
  <c r="BG143" i="1"/>
  <c r="AX143" i="1"/>
  <c r="AO143" i="1"/>
  <c r="AF143" i="1"/>
  <c r="W143" i="1"/>
  <c r="BX143" i="1"/>
  <c r="CP143" i="1"/>
  <c r="BO143" i="1"/>
  <c r="AW143" i="1"/>
  <c r="AN143" i="1"/>
  <c r="BF143" i="1"/>
  <c r="AE143" i="1"/>
  <c r="V143" i="1"/>
  <c r="CO143" i="1"/>
  <c r="BW143" i="1"/>
  <c r="BN143" i="1"/>
  <c r="BE143" i="1"/>
  <c r="AV143" i="1"/>
  <c r="AM143" i="1"/>
  <c r="AD143" i="1"/>
  <c r="U143" i="1"/>
  <c r="W142" i="1"/>
  <c r="AF142" i="1"/>
  <c r="AO142" i="1"/>
  <c r="AX142" i="1"/>
  <c r="BG142" i="1"/>
  <c r="BP142" i="1"/>
  <c r="BY142" i="1"/>
  <c r="CQ142" i="1"/>
  <c r="V142" i="1"/>
  <c r="AE142" i="1"/>
  <c r="BF142" i="1"/>
  <c r="BO142" i="1"/>
  <c r="AW142" i="1"/>
  <c r="CP142" i="1"/>
  <c r="AN142" i="1"/>
  <c r="BX142" i="1"/>
  <c r="AM142" i="1"/>
  <c r="AD142" i="1"/>
  <c r="AV142" i="1"/>
  <c r="U142" i="1"/>
  <c r="BW142" i="1"/>
  <c r="BN142" i="1"/>
  <c r="CQ141" i="1"/>
  <c r="BG141" i="1"/>
  <c r="BY141" i="1"/>
  <c r="BP141" i="1"/>
  <c r="AX141" i="1"/>
  <c r="AO141" i="1"/>
  <c r="AF141" i="1"/>
  <c r="W141" i="1"/>
  <c r="BF141" i="1"/>
  <c r="CP141" i="1"/>
  <c r="BX141" i="1"/>
  <c r="AW141" i="1"/>
  <c r="BO141" i="1"/>
  <c r="AN141" i="1"/>
  <c r="AE141" i="1"/>
  <c r="V141" i="1"/>
  <c r="CO141" i="1"/>
  <c r="AM141" i="1"/>
  <c r="BN141" i="1"/>
  <c r="BE141" i="1"/>
  <c r="AD141" i="1"/>
  <c r="AV141" i="1"/>
  <c r="BW141" i="1"/>
  <c r="U141" i="1"/>
  <c r="AO140" i="1"/>
  <c r="AK152" i="1" s="1"/>
  <c r="BY140" i="1"/>
  <c r="BG140" i="1"/>
  <c r="BC152" i="1" s="1"/>
  <c r="AX140" i="1"/>
  <c r="AT152" i="1" s="1"/>
  <c r="K152" i="1"/>
  <c r="AF140" i="1"/>
  <c r="W140" i="1"/>
  <c r="CQ140" i="1"/>
  <c r="BP140" i="1"/>
  <c r="J152" i="1"/>
  <c r="AW140" i="1"/>
  <c r="AS152" i="1" s="1"/>
  <c r="AN140" i="1"/>
  <c r="AJ152" i="1" s="1"/>
  <c r="AE140" i="1"/>
  <c r="AA152" i="1" s="1"/>
  <c r="CP140" i="1"/>
  <c r="BX140" i="1"/>
  <c r="BF140" i="1"/>
  <c r="BB152" i="1" s="1"/>
  <c r="I152" i="1"/>
  <c r="AV140" i="1"/>
  <c r="AR152" i="1" s="1"/>
  <c r="AR136" i="1" s="1"/>
  <c r="AR137" i="1" s="1"/>
  <c r="CO140" i="1"/>
  <c r="BW140" i="1"/>
  <c r="AM140" i="1"/>
  <c r="BE140" i="1"/>
  <c r="AD140" i="1"/>
  <c r="U140" i="1"/>
  <c r="AX129" i="1"/>
  <c r="W129" i="1"/>
  <c r="CQ129" i="1"/>
  <c r="BY129" i="1"/>
  <c r="BP129" i="1"/>
  <c r="AO129" i="1"/>
  <c r="BG129" i="1"/>
  <c r="AF129" i="1"/>
  <c r="V129" i="1"/>
  <c r="AN129" i="1"/>
  <c r="CP129" i="1"/>
  <c r="AE129" i="1"/>
  <c r="BX129" i="1"/>
  <c r="AW129" i="1"/>
  <c r="BO129" i="1"/>
  <c r="BF129" i="1"/>
  <c r="U129" i="1"/>
  <c r="BW129" i="1"/>
  <c r="BN129" i="1"/>
  <c r="AV129" i="1"/>
  <c r="CO129" i="1"/>
  <c r="AM129" i="1"/>
  <c r="BE129" i="1"/>
  <c r="AD129" i="1"/>
  <c r="BY128" i="1"/>
  <c r="BP128" i="1"/>
  <c r="BG128" i="1"/>
  <c r="AX128" i="1"/>
  <c r="AO128" i="1"/>
  <c r="AF128" i="1"/>
  <c r="W128" i="1"/>
  <c r="BX128" i="1"/>
  <c r="BO128" i="1"/>
  <c r="BF128" i="1"/>
  <c r="AW128" i="1"/>
  <c r="AN128" i="1"/>
  <c r="AE128" i="1"/>
  <c r="V128" i="1"/>
  <c r="BW128" i="1"/>
  <c r="BN128" i="1"/>
  <c r="AV128" i="1"/>
  <c r="AM128" i="1"/>
  <c r="AD128" i="1"/>
  <c r="U128" i="1"/>
  <c r="AX127" i="1"/>
  <c r="BY127" i="1"/>
  <c r="BG127" i="1"/>
  <c r="BP127" i="1"/>
  <c r="CQ127" i="1"/>
  <c r="AO127" i="1"/>
  <c r="AF127" i="1"/>
  <c r="W127" i="1"/>
  <c r="BO127" i="1"/>
  <c r="BF127" i="1"/>
  <c r="AW127" i="1"/>
  <c r="CP127" i="1"/>
  <c r="AN127" i="1"/>
  <c r="AE127" i="1"/>
  <c r="BX127" i="1"/>
  <c r="V127" i="1"/>
  <c r="BN127" i="1"/>
  <c r="AD127" i="1"/>
  <c r="AV127" i="1"/>
  <c r="BW127" i="1"/>
  <c r="CO127" i="1"/>
  <c r="AM127" i="1"/>
  <c r="BE127" i="1"/>
  <c r="U127" i="1"/>
  <c r="AO126" i="1"/>
  <c r="AF126" i="1"/>
  <c r="CQ126" i="1"/>
  <c r="BP126" i="1"/>
  <c r="W126" i="1"/>
  <c r="AX126" i="1"/>
  <c r="BG126" i="1"/>
  <c r="BY126" i="1"/>
  <c r="CP126" i="1"/>
  <c r="BX126" i="1"/>
  <c r="BF126" i="1"/>
  <c r="AW126" i="1"/>
  <c r="AN126" i="1"/>
  <c r="AE126" i="1"/>
  <c r="BO126" i="1"/>
  <c r="V126" i="1"/>
  <c r="CO126" i="1"/>
  <c r="BW126" i="1"/>
  <c r="BN126" i="1"/>
  <c r="BE126" i="1"/>
  <c r="AM126" i="1"/>
  <c r="AV126" i="1"/>
  <c r="AD126" i="1"/>
  <c r="U126" i="1"/>
  <c r="AX125" i="1"/>
  <c r="AO125" i="1"/>
  <c r="CQ125" i="1"/>
  <c r="BY125" i="1"/>
  <c r="BG125" i="1"/>
  <c r="BP125" i="1"/>
  <c r="AF125" i="1"/>
  <c r="W125" i="1"/>
  <c r="AW125" i="1"/>
  <c r="AN125" i="1"/>
  <c r="CP125" i="1"/>
  <c r="BF125" i="1"/>
  <c r="BX125" i="1"/>
  <c r="BO125" i="1"/>
  <c r="AE125" i="1"/>
  <c r="V125" i="1"/>
  <c r="AV125" i="1"/>
  <c r="AM125" i="1"/>
  <c r="CO125" i="1"/>
  <c r="BW125" i="1"/>
  <c r="AD125" i="1"/>
  <c r="BN125" i="1"/>
  <c r="BE125" i="1"/>
  <c r="U125" i="1"/>
  <c r="W124" i="1"/>
  <c r="CQ124" i="1"/>
  <c r="BY124" i="1"/>
  <c r="BP124" i="1"/>
  <c r="BG124" i="1"/>
  <c r="AX124" i="1"/>
  <c r="AO124" i="1"/>
  <c r="AF124" i="1"/>
  <c r="V124" i="1"/>
  <c r="CP124" i="1"/>
  <c r="BX124" i="1"/>
  <c r="BO124" i="1"/>
  <c r="BF124" i="1"/>
  <c r="AW124" i="1"/>
  <c r="AN124" i="1"/>
  <c r="AE124" i="1"/>
  <c r="BN124" i="1"/>
  <c r="U124" i="1"/>
  <c r="CO124" i="1"/>
  <c r="BW124" i="1"/>
  <c r="AD124" i="1"/>
  <c r="BE124" i="1"/>
  <c r="AV124" i="1"/>
  <c r="AM124" i="1"/>
  <c r="W123" i="1"/>
  <c r="AO123" i="1"/>
  <c r="BP123" i="1"/>
  <c r="CQ123" i="1"/>
  <c r="AX123" i="1"/>
  <c r="AF123" i="1"/>
  <c r="BG123" i="1"/>
  <c r="BY123" i="1"/>
  <c r="BO123" i="1"/>
  <c r="CP123" i="1"/>
  <c r="BX123" i="1"/>
  <c r="AE123" i="1"/>
  <c r="BF123" i="1"/>
  <c r="AW123" i="1"/>
  <c r="AN123" i="1"/>
  <c r="V123" i="1"/>
  <c r="CO123" i="1"/>
  <c r="BW123" i="1"/>
  <c r="BN123" i="1"/>
  <c r="BE123" i="1"/>
  <c r="AV123" i="1"/>
  <c r="AM123" i="1"/>
  <c r="AD123" i="1"/>
  <c r="U123" i="1"/>
  <c r="AX122" i="1"/>
  <c r="W122" i="1"/>
  <c r="BP122" i="1"/>
  <c r="AO122" i="1"/>
  <c r="CQ122" i="1"/>
  <c r="AF122" i="1"/>
  <c r="BG122" i="1"/>
  <c r="BY122" i="1"/>
  <c r="BF122" i="1"/>
  <c r="AW122" i="1"/>
  <c r="BX122" i="1"/>
  <c r="AN122" i="1"/>
  <c r="CP122" i="1"/>
  <c r="AE122" i="1"/>
  <c r="V122" i="1"/>
  <c r="BO122" i="1"/>
  <c r="CO122" i="1"/>
  <c r="AM122" i="1"/>
  <c r="BN122" i="1"/>
  <c r="BE122" i="1"/>
  <c r="AD122" i="1"/>
  <c r="BW122" i="1"/>
  <c r="AV122" i="1"/>
  <c r="U122" i="1"/>
  <c r="W121" i="1"/>
  <c r="CQ121" i="1"/>
  <c r="BY121" i="1"/>
  <c r="BP121" i="1"/>
  <c r="BG121" i="1"/>
  <c r="AX121" i="1"/>
  <c r="AO121" i="1"/>
  <c r="AF121" i="1"/>
  <c r="V121" i="1"/>
  <c r="CP121" i="1"/>
  <c r="BX121" i="1"/>
  <c r="BO121" i="1"/>
  <c r="BF121" i="1"/>
  <c r="AE121" i="1"/>
  <c r="AW121" i="1"/>
  <c r="AN121" i="1"/>
  <c r="BW121" i="1"/>
  <c r="CO121" i="1"/>
  <c r="AV121" i="1"/>
  <c r="BN121" i="1"/>
  <c r="AD121" i="1"/>
  <c r="AM121" i="1"/>
  <c r="U121" i="1"/>
  <c r="BE121" i="1"/>
  <c r="AX120" i="1"/>
  <c r="AO120" i="1"/>
  <c r="BP120" i="1"/>
  <c r="AF120" i="1"/>
  <c r="CQ120" i="1"/>
  <c r="W120" i="1"/>
  <c r="BG120" i="1"/>
  <c r="BY120" i="1"/>
  <c r="BF120" i="1"/>
  <c r="CP120" i="1"/>
  <c r="BX120" i="1"/>
  <c r="BO120" i="1"/>
  <c r="AN120" i="1"/>
  <c r="AE120" i="1"/>
  <c r="AW120" i="1"/>
  <c r="V120" i="1"/>
  <c r="CO120" i="1"/>
  <c r="BW120" i="1"/>
  <c r="BN120" i="1"/>
  <c r="AV120" i="1"/>
  <c r="BE120" i="1"/>
  <c r="AM120" i="1"/>
  <c r="AD120" i="1"/>
  <c r="U120" i="1"/>
  <c r="AF119" i="1"/>
  <c r="AO119" i="1"/>
  <c r="AX119" i="1"/>
  <c r="BG119" i="1"/>
  <c r="CQ119" i="1"/>
  <c r="BY119" i="1"/>
  <c r="BP119" i="1"/>
  <c r="W119" i="1"/>
  <c r="BX119" i="1"/>
  <c r="BO119" i="1"/>
  <c r="BF119" i="1"/>
  <c r="AW119" i="1"/>
  <c r="AN119" i="1"/>
  <c r="AE119" i="1"/>
  <c r="CP119" i="1"/>
  <c r="V119" i="1"/>
  <c r="BW119" i="1"/>
  <c r="AV119" i="1"/>
  <c r="AM119" i="1"/>
  <c r="BN119" i="1"/>
  <c r="AD119" i="1"/>
  <c r="CO119" i="1"/>
  <c r="BE119" i="1"/>
  <c r="U119" i="1"/>
  <c r="K130" i="1"/>
  <c r="BP118" i="1"/>
  <c r="W118" i="1"/>
  <c r="AF118" i="1"/>
  <c r="AB130" i="1" s="1"/>
  <c r="CQ118" i="1"/>
  <c r="AO118" i="1"/>
  <c r="AK130" i="1" s="1"/>
  <c r="AX118" i="1"/>
  <c r="AT130" i="1" s="1"/>
  <c r="BY118" i="1"/>
  <c r="BG118" i="1"/>
  <c r="BC130" i="1" s="1"/>
  <c r="AW118" i="1"/>
  <c r="J130" i="1"/>
  <c r="CP118" i="1"/>
  <c r="AN118" i="1"/>
  <c r="AJ130" i="1" s="1"/>
  <c r="BX118" i="1"/>
  <c r="BT130" i="1" s="1"/>
  <c r="AE118" i="1"/>
  <c r="AA130" i="1" s="1"/>
  <c r="BO118" i="1"/>
  <c r="BK130" i="1" s="1"/>
  <c r="V118" i="1"/>
  <c r="BF118" i="1"/>
  <c r="BB130" i="1" s="1"/>
  <c r="BE118" i="1"/>
  <c r="I130" i="1"/>
  <c r="CO118" i="1"/>
  <c r="BW118" i="1"/>
  <c r="BS130" i="1" s="1"/>
  <c r="BS114" i="1" s="1"/>
  <c r="BS115" i="1" s="1"/>
  <c r="BN118" i="1"/>
  <c r="AM118" i="1"/>
  <c r="AI130" i="1" s="1"/>
  <c r="AI114" i="1" s="1"/>
  <c r="AI115" i="1" s="1"/>
  <c r="AD118" i="1"/>
  <c r="Z130" i="1" s="1"/>
  <c r="Z114" i="1" s="1"/>
  <c r="Z115" i="1" s="1"/>
  <c r="AV118" i="1"/>
  <c r="AR130" i="1" s="1"/>
  <c r="AR114" i="1" s="1"/>
  <c r="AR115" i="1" s="1"/>
  <c r="U118" i="1"/>
  <c r="W107" i="1"/>
  <c r="CQ107" i="1"/>
  <c r="AF107" i="1"/>
  <c r="BY107" i="1"/>
  <c r="AO107" i="1"/>
  <c r="BP107" i="1"/>
  <c r="BG107" i="1"/>
  <c r="AX107" i="1"/>
  <c r="CP107" i="1"/>
  <c r="BX107" i="1"/>
  <c r="BO107" i="1"/>
  <c r="AN107" i="1"/>
  <c r="BF107" i="1"/>
  <c r="AE107" i="1"/>
  <c r="AW107" i="1"/>
  <c r="V107" i="1"/>
  <c r="BW107" i="1"/>
  <c r="BN107" i="1"/>
  <c r="BE107" i="1"/>
  <c r="AV107" i="1"/>
  <c r="AM107" i="1"/>
  <c r="AD107" i="1"/>
  <c r="CO107" i="1"/>
  <c r="U107" i="1"/>
  <c r="CQ106" i="1"/>
  <c r="BY106" i="1"/>
  <c r="BP106" i="1"/>
  <c r="BG106" i="1"/>
  <c r="AX106" i="1"/>
  <c r="AO106" i="1"/>
  <c r="AF106" i="1"/>
  <c r="W106" i="1"/>
  <c r="CP106" i="1"/>
  <c r="BX106" i="1"/>
  <c r="BO106" i="1"/>
  <c r="BF106" i="1"/>
  <c r="AW106" i="1"/>
  <c r="AN106" i="1"/>
  <c r="AE106" i="1"/>
  <c r="V106" i="1"/>
  <c r="CO106" i="1"/>
  <c r="BW106" i="1"/>
  <c r="BN106" i="1"/>
  <c r="BE106" i="1"/>
  <c r="AV106" i="1"/>
  <c r="AM106" i="1"/>
  <c r="AD106" i="1"/>
  <c r="U106" i="1"/>
  <c r="BY105" i="1"/>
  <c r="CQ105" i="1"/>
  <c r="BP105" i="1"/>
  <c r="BG105" i="1"/>
  <c r="AX105" i="1"/>
  <c r="AO105" i="1"/>
  <c r="AF105" i="1"/>
  <c r="W105" i="1"/>
  <c r="BO105" i="1"/>
  <c r="CP105" i="1"/>
  <c r="V105" i="1"/>
  <c r="BX105" i="1"/>
  <c r="AE105" i="1"/>
  <c r="AN105" i="1"/>
  <c r="AW105" i="1"/>
  <c r="BF105" i="1"/>
  <c r="BN105" i="1"/>
  <c r="U105" i="1"/>
  <c r="CO105" i="1"/>
  <c r="AD105" i="1"/>
  <c r="BW105" i="1"/>
  <c r="AM105" i="1"/>
  <c r="AV105" i="1"/>
  <c r="BE105" i="1"/>
  <c r="W104" i="1"/>
  <c r="BG104" i="1"/>
  <c r="BY104" i="1"/>
  <c r="AX104" i="1"/>
  <c r="CQ104" i="1"/>
  <c r="BP104" i="1"/>
  <c r="AO104" i="1"/>
  <c r="AF104" i="1"/>
  <c r="V104" i="1"/>
  <c r="AW104" i="1"/>
  <c r="AN104" i="1"/>
  <c r="AE104" i="1"/>
  <c r="CP104" i="1"/>
  <c r="BX104" i="1"/>
  <c r="BO104" i="1"/>
  <c r="BF104" i="1"/>
  <c r="AV104" i="1"/>
  <c r="BW104" i="1"/>
  <c r="BE104" i="1"/>
  <c r="AM104" i="1"/>
  <c r="CO104" i="1"/>
  <c r="BN104" i="1"/>
  <c r="U104" i="1"/>
  <c r="AD104" i="1"/>
  <c r="AO103" i="1"/>
  <c r="AX103" i="1"/>
  <c r="BG103" i="1"/>
  <c r="BP103" i="1"/>
  <c r="BY103" i="1"/>
  <c r="W103" i="1"/>
  <c r="CQ103" i="1"/>
  <c r="AF103" i="1"/>
  <c r="AN103" i="1"/>
  <c r="AW103" i="1"/>
  <c r="V103" i="1"/>
  <c r="BF103" i="1"/>
  <c r="BO103" i="1"/>
  <c r="BX103" i="1"/>
  <c r="CP103" i="1"/>
  <c r="AE103" i="1"/>
  <c r="CO103" i="1"/>
  <c r="BW103" i="1"/>
  <c r="BN103" i="1"/>
  <c r="BE103" i="1"/>
  <c r="AV103" i="1"/>
  <c r="U103" i="1"/>
  <c r="AM103" i="1"/>
  <c r="AD103" i="1"/>
  <c r="AX102" i="1"/>
  <c r="CQ102" i="1"/>
  <c r="BY102" i="1"/>
  <c r="BG102" i="1"/>
  <c r="AF102" i="1"/>
  <c r="BP102" i="1"/>
  <c r="AO102" i="1"/>
  <c r="W102" i="1"/>
  <c r="AW102" i="1"/>
  <c r="CP102" i="1"/>
  <c r="BX102" i="1"/>
  <c r="BO102" i="1"/>
  <c r="V102" i="1"/>
  <c r="AN102" i="1"/>
  <c r="AE102" i="1"/>
  <c r="BF102" i="1"/>
  <c r="AV102" i="1"/>
  <c r="CO102" i="1"/>
  <c r="BW102" i="1"/>
  <c r="AM102" i="1"/>
  <c r="AD102" i="1"/>
  <c r="BN102" i="1"/>
  <c r="U102" i="1"/>
  <c r="BE102" i="1"/>
  <c r="AX101" i="1"/>
  <c r="W101" i="1"/>
  <c r="AF101" i="1"/>
  <c r="CQ101" i="1"/>
  <c r="AO101" i="1"/>
  <c r="BG101" i="1"/>
  <c r="BP101" i="1"/>
  <c r="BY101" i="1"/>
  <c r="AN101" i="1"/>
  <c r="AW101" i="1"/>
  <c r="BF101" i="1"/>
  <c r="BO101" i="1"/>
  <c r="CP101" i="1"/>
  <c r="BX101" i="1"/>
  <c r="V101" i="1"/>
  <c r="AE101" i="1"/>
  <c r="BW101" i="1"/>
  <c r="BN101" i="1"/>
  <c r="BE101" i="1"/>
  <c r="U101" i="1"/>
  <c r="AM101" i="1"/>
  <c r="AV101" i="1"/>
  <c r="AD101" i="1"/>
  <c r="CO101" i="1"/>
  <c r="BP100" i="1"/>
  <c r="AO100" i="1"/>
  <c r="BG100" i="1"/>
  <c r="AF100" i="1"/>
  <c r="W100" i="1"/>
  <c r="AX100" i="1"/>
  <c r="CQ100" i="1"/>
  <c r="BY100" i="1"/>
  <c r="AE100" i="1"/>
  <c r="V100" i="1"/>
  <c r="BX100" i="1"/>
  <c r="BO100" i="1"/>
  <c r="CP100" i="1"/>
  <c r="BF100" i="1"/>
  <c r="AW100" i="1"/>
  <c r="AN100" i="1"/>
  <c r="AV100" i="1"/>
  <c r="AD100" i="1"/>
  <c r="BE100" i="1"/>
  <c r="CO100" i="1"/>
  <c r="U100" i="1"/>
  <c r="BN100" i="1"/>
  <c r="BW100" i="1"/>
  <c r="AM100" i="1"/>
  <c r="AF99" i="1"/>
  <c r="AO99" i="1"/>
  <c r="AX99" i="1"/>
  <c r="BG99" i="1"/>
  <c r="BY99" i="1"/>
  <c r="CQ99" i="1"/>
  <c r="BP99" i="1"/>
  <c r="W99" i="1"/>
  <c r="BF99" i="1"/>
  <c r="BX99" i="1"/>
  <c r="AN99" i="1"/>
  <c r="V99" i="1"/>
  <c r="AE99" i="1"/>
  <c r="AW99" i="1"/>
  <c r="BO99" i="1"/>
  <c r="CP99" i="1"/>
  <c r="AV99" i="1"/>
  <c r="CO99" i="1"/>
  <c r="AM99" i="1"/>
  <c r="BE99" i="1"/>
  <c r="U99" i="1"/>
  <c r="AD99" i="1"/>
  <c r="BN99" i="1"/>
  <c r="BW99" i="1"/>
  <c r="BP98" i="1"/>
  <c r="BY98" i="1"/>
  <c r="AX98" i="1"/>
  <c r="CQ98" i="1"/>
  <c r="BG98" i="1"/>
  <c r="AO98" i="1"/>
  <c r="AF98" i="1"/>
  <c r="W98" i="1"/>
  <c r="BF98" i="1"/>
  <c r="BO98" i="1"/>
  <c r="AN98" i="1"/>
  <c r="AW98" i="1"/>
  <c r="BX98" i="1"/>
  <c r="AE98" i="1"/>
  <c r="CP98" i="1"/>
  <c r="V98" i="1"/>
  <c r="AM98" i="1"/>
  <c r="CO98" i="1"/>
  <c r="BW98" i="1"/>
  <c r="AD98" i="1"/>
  <c r="BE98" i="1"/>
  <c r="AV98" i="1"/>
  <c r="U98" i="1"/>
  <c r="BN98" i="1"/>
  <c r="W97" i="1"/>
  <c r="CQ97" i="1"/>
  <c r="AO97" i="1"/>
  <c r="BG97" i="1"/>
  <c r="AF97" i="1"/>
  <c r="AX97" i="1"/>
  <c r="BY97" i="1"/>
  <c r="BP97" i="1"/>
  <c r="AN97" i="1"/>
  <c r="CP97" i="1"/>
  <c r="AE97" i="1"/>
  <c r="AW97" i="1"/>
  <c r="BF97" i="1"/>
  <c r="V97" i="1"/>
  <c r="BX97" i="1"/>
  <c r="BO97" i="1"/>
  <c r="AM97" i="1"/>
  <c r="AV97" i="1"/>
  <c r="CO97" i="1"/>
  <c r="U97" i="1"/>
  <c r="BE97" i="1"/>
  <c r="AD97" i="1"/>
  <c r="BW97" i="1"/>
  <c r="BN97" i="1"/>
  <c r="AO96" i="1"/>
  <c r="AK108" i="1" s="1"/>
  <c r="W96" i="1"/>
  <c r="AX96" i="1"/>
  <c r="AT108" i="1" s="1"/>
  <c r="BG96" i="1"/>
  <c r="BC108" i="1" s="1"/>
  <c r="BP96" i="1"/>
  <c r="K108" i="1"/>
  <c r="BY96" i="1"/>
  <c r="BU108" i="1" s="1"/>
  <c r="CQ96" i="1"/>
  <c r="CM108" i="1" s="1"/>
  <c r="AF96" i="1"/>
  <c r="AB108" i="1" s="1"/>
  <c r="J108" i="1"/>
  <c r="BX96" i="1"/>
  <c r="BT108" i="1" s="1"/>
  <c r="AE96" i="1"/>
  <c r="AA108" i="1" s="1"/>
  <c r="V96" i="1"/>
  <c r="BO96" i="1"/>
  <c r="BK108" i="1" s="1"/>
  <c r="AN96" i="1"/>
  <c r="AJ108" i="1" s="1"/>
  <c r="BF96" i="1"/>
  <c r="BB108" i="1" s="1"/>
  <c r="AW96" i="1"/>
  <c r="AS108" i="1" s="1"/>
  <c r="CP96" i="1"/>
  <c r="CL108" i="1" s="1"/>
  <c r="CO96" i="1"/>
  <c r="CK108" i="1" s="1"/>
  <c r="CK92" i="1" s="1"/>
  <c r="CK93" i="1" s="1"/>
  <c r="BW96" i="1"/>
  <c r="BS108" i="1" s="1"/>
  <c r="BS92" i="1" s="1"/>
  <c r="BS93" i="1" s="1"/>
  <c r="BN96" i="1"/>
  <c r="BE96" i="1"/>
  <c r="BA108" i="1" s="1"/>
  <c r="BA92" i="1" s="1"/>
  <c r="BA93" i="1" s="1"/>
  <c r="AV96" i="1"/>
  <c r="AR108" i="1" s="1"/>
  <c r="AR92" i="1" s="1"/>
  <c r="AR93" i="1" s="1"/>
  <c r="AD96" i="1"/>
  <c r="Z108" i="1" s="1"/>
  <c r="Z92" i="1" s="1"/>
  <c r="Z93" i="1" s="1"/>
  <c r="U96" i="1"/>
  <c r="AM96" i="1"/>
  <c r="AI108" i="1" s="1"/>
  <c r="AI92" i="1" s="1"/>
  <c r="AI93" i="1" s="1"/>
  <c r="I108" i="1"/>
  <c r="BY85" i="1"/>
  <c r="CQ85" i="1"/>
  <c r="BG85" i="1"/>
  <c r="AO85" i="1"/>
  <c r="AF85" i="1"/>
  <c r="AX85" i="1"/>
  <c r="W85" i="1"/>
  <c r="BP85" i="1"/>
  <c r="BO85" i="1"/>
  <c r="BF85" i="1"/>
  <c r="AN85" i="1"/>
  <c r="AW85" i="1"/>
  <c r="CP85" i="1"/>
  <c r="V85" i="1"/>
  <c r="AE85" i="1"/>
  <c r="BX85" i="1"/>
  <c r="BN85" i="1"/>
  <c r="BE85" i="1"/>
  <c r="AV85" i="1"/>
  <c r="AM85" i="1"/>
  <c r="CO85" i="1"/>
  <c r="U85" i="1"/>
  <c r="BW85" i="1"/>
  <c r="AD85" i="1"/>
  <c r="BG84" i="1"/>
  <c r="W84" i="1"/>
  <c r="AO84" i="1"/>
  <c r="BY84" i="1"/>
  <c r="CQ84" i="1"/>
  <c r="AX84" i="1"/>
  <c r="BP84" i="1"/>
  <c r="AF84" i="1"/>
  <c r="BX84" i="1"/>
  <c r="AN84" i="1"/>
  <c r="BO84" i="1"/>
  <c r="BF84" i="1"/>
  <c r="V84" i="1"/>
  <c r="CP84" i="1"/>
  <c r="AW84" i="1"/>
  <c r="AE84" i="1"/>
  <c r="BE84" i="1"/>
  <c r="BN84" i="1"/>
  <c r="CO84" i="1"/>
  <c r="BW84" i="1"/>
  <c r="AV84" i="1"/>
  <c r="AM84" i="1"/>
  <c r="AD84" i="1"/>
  <c r="U84" i="1"/>
  <c r="AX83" i="1"/>
  <c r="BY83" i="1"/>
  <c r="CQ83" i="1"/>
  <c r="W83" i="1"/>
  <c r="BP83" i="1"/>
  <c r="AO83" i="1"/>
  <c r="BG83" i="1"/>
  <c r="AF83" i="1"/>
  <c r="AW83" i="1"/>
  <c r="V83" i="1"/>
  <c r="CP83" i="1"/>
  <c r="AE83" i="1"/>
  <c r="BX83" i="1"/>
  <c r="AN83" i="1"/>
  <c r="BO83" i="1"/>
  <c r="BF83" i="1"/>
  <c r="AD83" i="1"/>
  <c r="U83" i="1"/>
  <c r="CO83" i="1"/>
  <c r="BW83" i="1"/>
  <c r="BN83" i="1"/>
  <c r="AV83" i="1"/>
  <c r="AM83" i="1"/>
  <c r="BE83" i="1"/>
  <c r="CQ82" i="1"/>
  <c r="BY82" i="1"/>
  <c r="AO82" i="1"/>
  <c r="BP82" i="1"/>
  <c r="BG82" i="1"/>
  <c r="AX82" i="1"/>
  <c r="AF82" i="1"/>
  <c r="W82" i="1"/>
  <c r="BX82" i="1"/>
  <c r="CP82" i="1"/>
  <c r="BO82" i="1"/>
  <c r="BF82" i="1"/>
  <c r="AW82" i="1"/>
  <c r="AN82" i="1"/>
  <c r="AE82" i="1"/>
  <c r="V82" i="1"/>
  <c r="CO82" i="1"/>
  <c r="BW82" i="1"/>
  <c r="BN82" i="1"/>
  <c r="BE82" i="1"/>
  <c r="AV82" i="1"/>
  <c r="AM82" i="1"/>
  <c r="AD82" i="1"/>
  <c r="U82" i="1"/>
  <c r="AO81" i="1"/>
  <c r="AF81" i="1"/>
  <c r="AX81" i="1"/>
  <c r="W81" i="1"/>
  <c r="CQ81" i="1"/>
  <c r="BY81" i="1"/>
  <c r="BP81" i="1"/>
  <c r="BG81" i="1"/>
  <c r="BF81" i="1"/>
  <c r="BO81" i="1"/>
  <c r="BX81" i="1"/>
  <c r="CP81" i="1"/>
  <c r="V81" i="1"/>
  <c r="AE81" i="1"/>
  <c r="AN81" i="1"/>
  <c r="AW81" i="1"/>
  <c r="CO81" i="1"/>
  <c r="BE81" i="1"/>
  <c r="AD81" i="1"/>
  <c r="BN81" i="1"/>
  <c r="U81" i="1"/>
  <c r="BW81" i="1"/>
  <c r="AV81" i="1"/>
  <c r="AM81" i="1"/>
  <c r="CQ80" i="1"/>
  <c r="BY80" i="1"/>
  <c r="BP80" i="1"/>
  <c r="BG80" i="1"/>
  <c r="AX80" i="1"/>
  <c r="AW80" i="1"/>
  <c r="CP80" i="1"/>
  <c r="BX80" i="1"/>
  <c r="BO80" i="1"/>
  <c r="BF80" i="1"/>
  <c r="CO80" i="1"/>
  <c r="BW80" i="1"/>
  <c r="BN80" i="1"/>
  <c r="BE80" i="1"/>
  <c r="AV80" i="1"/>
  <c r="CP128" i="1"/>
  <c r="CQ128" i="1"/>
  <c r="CO128" i="1"/>
  <c r="BO140" i="1"/>
  <c r="BN140" i="1"/>
  <c r="BW146" i="1"/>
  <c r="CO146" i="1"/>
  <c r="BX146" i="1"/>
  <c r="CP146" i="1"/>
  <c r="BO146" i="1"/>
  <c r="BP146" i="1"/>
  <c r="BY146" i="1"/>
  <c r="CQ146" i="1"/>
  <c r="CP302" i="1"/>
  <c r="CO302" i="1"/>
  <c r="CQ302" i="1"/>
  <c r="V431" i="1"/>
  <c r="U431" i="1"/>
  <c r="CP449" i="1"/>
  <c r="CQ449" i="1"/>
  <c r="CO449" i="1"/>
  <c r="AF473" i="1"/>
  <c r="AX473" i="1"/>
  <c r="CQ473" i="1"/>
  <c r="BP473" i="1"/>
  <c r="W473" i="1"/>
  <c r="BG473" i="1"/>
  <c r="BY473" i="1"/>
  <c r="AO473" i="1"/>
  <c r="AN478" i="1"/>
  <c r="BO478" i="1"/>
  <c r="BF478" i="1"/>
  <c r="AW478" i="1"/>
  <c r="BX478" i="1"/>
  <c r="V478" i="1"/>
  <c r="AE478" i="1"/>
  <c r="AW516" i="1"/>
  <c r="AV516" i="1"/>
  <c r="BW536" i="1"/>
  <c r="BX536" i="1"/>
  <c r="BX544" i="1"/>
  <c r="BW544" i="1"/>
  <c r="AE562" i="1"/>
  <c r="AF562" i="1"/>
  <c r="AD562" i="1"/>
  <c r="BX588" i="1"/>
  <c r="BW588" i="1"/>
  <c r="BW627" i="1"/>
  <c r="BS636" i="1" s="1"/>
  <c r="BY627" i="1"/>
  <c r="BU636" i="1" s="1"/>
  <c r="BX627" i="1"/>
  <c r="BT636" i="1" s="1"/>
  <c r="BE658" i="1"/>
  <c r="CP656" i="1"/>
  <c r="CO656" i="1"/>
  <c r="CQ656" i="1"/>
  <c r="AX675" i="1"/>
  <c r="W675" i="1"/>
  <c r="CQ675" i="1"/>
  <c r="AO675" i="1"/>
  <c r="BG675" i="1"/>
  <c r="BY675" i="1"/>
  <c r="BZ666" i="1" s="1"/>
  <c r="AF675" i="1"/>
  <c r="BP675" i="1"/>
  <c r="AV690" i="1"/>
  <c r="AR702" i="1" s="1"/>
  <c r="AW690" i="1"/>
  <c r="AS702" i="1" s="1"/>
  <c r="AX690" i="1"/>
  <c r="AT702" i="1" s="1"/>
  <c r="BN694" i="1"/>
  <c r="BO694" i="1"/>
  <c r="BW699" i="1"/>
  <c r="BX699" i="1"/>
  <c r="BE702" i="1"/>
  <c r="AD712" i="1"/>
  <c r="AE712" i="1"/>
  <c r="AF724" i="1"/>
  <c r="AX724" i="1"/>
  <c r="BE724" i="1"/>
  <c r="BF724" i="1"/>
  <c r="BG724" i="1"/>
  <c r="BN724" i="1"/>
  <c r="BO724" i="1"/>
  <c r="BP724" i="1"/>
  <c r="BL724" i="1"/>
  <c r="BW724" i="1"/>
  <c r="BX724" i="1"/>
  <c r="AD713" i="1"/>
  <c r="AE713" i="1"/>
  <c r="U717" i="1"/>
  <c r="V717" i="1"/>
  <c r="CO719" i="1"/>
  <c r="CP719" i="1"/>
  <c r="BY719" i="1"/>
  <c r="CQ719" i="1"/>
  <c r="AN719" i="1"/>
  <c r="AM719" i="1"/>
  <c r="C40" i="45" a="1"/>
  <c r="C34" i="45" a="1"/>
  <c r="C35" i="45" a="1"/>
  <c r="C36" i="45" a="1"/>
  <c r="C37" i="45" a="1"/>
  <c r="C38" i="45" a="1"/>
  <c r="C39" i="45" a="1"/>
  <c r="C41" i="45" a="1"/>
  <c r="C42" i="45" a="1"/>
  <c r="N34" i="68" l="1"/>
  <c r="Q34" i="68" s="1"/>
  <c r="M34" i="68"/>
  <c r="P34" i="68" s="1"/>
  <c r="L34" i="68"/>
  <c r="O34" i="68" s="1"/>
  <c r="H34" i="68"/>
  <c r="CD142" i="1"/>
  <c r="CF142" i="1" s="1"/>
  <c r="AB152" i="1"/>
  <c r="BA158" i="1"/>
  <c r="BA159" i="1" s="1"/>
  <c r="AS174" i="1"/>
  <c r="AI174" i="1"/>
  <c r="Z174" i="1"/>
  <c r="AR174" i="1"/>
  <c r="AR158" i="1" s="1"/>
  <c r="AR159" i="1" s="1"/>
  <c r="AI158" i="1"/>
  <c r="AI159" i="1" s="1"/>
  <c r="AB174" i="1"/>
  <c r="Z158" i="1" s="1"/>
  <c r="Z159" i="1" s="1"/>
  <c r="AD20" i="1"/>
  <c r="CD185" i="1"/>
  <c r="CD186" i="1"/>
  <c r="CD184" i="1"/>
  <c r="CM174" i="1"/>
  <c r="CK158" i="1" s="1"/>
  <c r="CK159" i="1" s="1"/>
  <c r="CD167" i="1"/>
  <c r="CD173" i="1"/>
  <c r="CD171" i="1"/>
  <c r="CD170" i="1"/>
  <c r="CD169" i="1"/>
  <c r="CD165" i="1"/>
  <c r="CD163" i="1"/>
  <c r="S174" i="1"/>
  <c r="R174" i="1"/>
  <c r="Q174" i="1"/>
  <c r="Q158" i="1" s="1"/>
  <c r="Q159" i="1" s="1"/>
  <c r="BJ152" i="1"/>
  <c r="CD141" i="1"/>
  <c r="AI152" i="1"/>
  <c r="AI136" i="1" s="1"/>
  <c r="AI137" i="1" s="1"/>
  <c r="CD148" i="1"/>
  <c r="CD145" i="1"/>
  <c r="CF145" i="1" s="1"/>
  <c r="Q152" i="1"/>
  <c r="S152" i="1"/>
  <c r="BU130" i="1"/>
  <c r="CD129" i="1"/>
  <c r="CF129" i="1" s="1"/>
  <c r="AS130" i="1"/>
  <c r="CD127" i="1"/>
  <c r="CD125" i="1"/>
  <c r="CD123" i="1"/>
  <c r="CD122" i="1"/>
  <c r="CD121" i="1"/>
  <c r="CD120" i="1"/>
  <c r="CG120" i="1" s="1"/>
  <c r="R130" i="1"/>
  <c r="Q130" i="1"/>
  <c r="Q114" i="1" s="1"/>
  <c r="Q115" i="1" s="1"/>
  <c r="S130" i="1"/>
  <c r="CD104" i="1"/>
  <c r="CD107" i="1"/>
  <c r="CD103" i="1"/>
  <c r="CD101" i="1"/>
  <c r="CD100" i="1"/>
  <c r="CD98" i="1"/>
  <c r="CG98" i="1" s="1"/>
  <c r="S108" i="1"/>
  <c r="CD97" i="1"/>
  <c r="Q108" i="1"/>
  <c r="Q92" i="1" s="1"/>
  <c r="Q93" i="1" s="1"/>
  <c r="R108" i="1"/>
  <c r="CD96" i="1"/>
  <c r="CD85" i="1"/>
  <c r="CG85" i="1" s="1"/>
  <c r="CD83" i="1"/>
  <c r="CD84" i="1"/>
  <c r="CD80" i="1"/>
  <c r="CF80" i="1" s="1"/>
  <c r="CD78" i="1"/>
  <c r="CD75" i="1"/>
  <c r="AS64" i="1"/>
  <c r="AR48" i="1" s="1"/>
  <c r="AR49" i="1" s="1"/>
  <c r="CD62" i="1"/>
  <c r="CD58" i="1"/>
  <c r="CH228" i="1"/>
  <c r="CH217" i="1"/>
  <c r="CH215" i="1"/>
  <c r="CH100" i="1"/>
  <c r="CH97" i="1"/>
  <c r="AK834" i="1"/>
  <c r="AI834" i="1"/>
  <c r="AJ834" i="1"/>
  <c r="AS548" i="1"/>
  <c r="AT878" i="1"/>
  <c r="AB878" i="1"/>
  <c r="AK878" i="1"/>
  <c r="BC878" i="1"/>
  <c r="BU878" i="1"/>
  <c r="CM878" i="1"/>
  <c r="S878" i="1"/>
  <c r="BB878" i="1"/>
  <c r="BK878" i="1"/>
  <c r="CL878" i="1"/>
  <c r="BT878" i="1"/>
  <c r="AS878" i="1"/>
  <c r="AJ878" i="1"/>
  <c r="AR878" i="1"/>
  <c r="BS878" i="1"/>
  <c r="CK878" i="1"/>
  <c r="BJ878" i="1"/>
  <c r="BW812" i="1"/>
  <c r="BN812" i="1"/>
  <c r="AA834" i="1"/>
  <c r="AB438" i="1"/>
  <c r="CD787" i="1"/>
  <c r="CF787" i="1"/>
  <c r="CD31" i="1"/>
  <c r="CD40" i="1"/>
  <c r="CD39" i="1"/>
  <c r="CD38" i="1"/>
  <c r="CD33" i="1"/>
  <c r="CF33" i="1" s="1"/>
  <c r="BL20" i="1"/>
  <c r="BJ4" i="1" s="1"/>
  <c r="BJ5" i="1" s="1"/>
  <c r="BP20" i="1"/>
  <c r="BO20" i="1"/>
  <c r="BN20" i="1"/>
  <c r="CD11" i="1"/>
  <c r="CD8" i="1"/>
  <c r="AY6" i="1"/>
  <c r="BC42" i="1"/>
  <c r="BB42" i="1"/>
  <c r="BA26" i="1" s="1"/>
  <c r="BA27" i="1" s="1"/>
  <c r="AI42" i="1"/>
  <c r="AI26" i="1" s="1"/>
  <c r="AI27" i="1" s="1"/>
  <c r="AK42" i="1"/>
  <c r="AJ42" i="1"/>
  <c r="R152" i="1"/>
  <c r="AK20" i="1"/>
  <c r="AJ20" i="1"/>
  <c r="AI20" i="1"/>
  <c r="AI4" i="1" s="1"/>
  <c r="AI5" i="1" s="1"/>
  <c r="AT460" i="1"/>
  <c r="BK42" i="1"/>
  <c r="CL548" i="1"/>
  <c r="S702" i="1"/>
  <c r="R702" i="1"/>
  <c r="Q702" i="1"/>
  <c r="Q686" i="1" s="1"/>
  <c r="Q687" i="1" s="1"/>
  <c r="AS460" i="1"/>
  <c r="BJ42" i="1"/>
  <c r="R438" i="1"/>
  <c r="AB658" i="1"/>
  <c r="AF658" i="1"/>
  <c r="CD18" i="1"/>
  <c r="CD17" i="1"/>
  <c r="CD560" i="1"/>
  <c r="CD561" i="1"/>
  <c r="CD563" i="1"/>
  <c r="AK570" i="1"/>
  <c r="AJ570" i="1"/>
  <c r="AI570" i="1"/>
  <c r="AI554" i="1" s="1"/>
  <c r="AI555" i="1" s="1"/>
  <c r="CD568" i="1"/>
  <c r="AB548" i="1"/>
  <c r="AA548" i="1"/>
  <c r="Z548" i="1"/>
  <c r="Z532" i="1" s="1"/>
  <c r="Z533" i="1" s="1"/>
  <c r="CD60" i="1"/>
  <c r="AK64" i="1"/>
  <c r="AI64" i="1"/>
  <c r="AI48" i="1" s="1"/>
  <c r="AI49" i="1" s="1"/>
  <c r="CK20" i="1"/>
  <c r="CD15" i="1"/>
  <c r="CD12" i="1"/>
  <c r="R20" i="1"/>
  <c r="S20" i="1"/>
  <c r="Q20" i="1"/>
  <c r="Q4" i="1" s="1"/>
  <c r="Q5" i="1" s="1"/>
  <c r="CD9" i="1"/>
  <c r="CM20" i="1"/>
  <c r="CK4" i="1" s="1"/>
  <c r="CK5" i="1" s="1"/>
  <c r="BS158" i="1"/>
  <c r="BS159" i="1" s="1"/>
  <c r="BA724" i="1"/>
  <c r="BB724" i="1"/>
  <c r="BB790" i="1"/>
  <c r="BA790" i="1"/>
  <c r="BA812" i="1"/>
  <c r="BC812" i="1"/>
  <c r="BB812" i="1"/>
  <c r="AR812" i="1"/>
  <c r="AS812" i="1"/>
  <c r="AT812" i="1"/>
  <c r="Q372" i="1"/>
  <c r="Q356" i="1" s="1"/>
  <c r="Q636" i="1"/>
  <c r="R636" i="1"/>
  <c r="S636" i="1"/>
  <c r="S658" i="1"/>
  <c r="R658" i="1"/>
  <c r="Q658" i="1"/>
  <c r="Q680" i="1"/>
  <c r="R680" i="1"/>
  <c r="S680" i="1"/>
  <c r="S724" i="1"/>
  <c r="R724" i="1"/>
  <c r="Q724" i="1"/>
  <c r="S746" i="1"/>
  <c r="Q746" i="1"/>
  <c r="R746" i="1"/>
  <c r="S768" i="1"/>
  <c r="Q768" i="1"/>
  <c r="R768" i="1"/>
  <c r="R790" i="1"/>
  <c r="Q790" i="1"/>
  <c r="S790" i="1"/>
  <c r="R812" i="1"/>
  <c r="S834" i="1"/>
  <c r="Q834" i="1"/>
  <c r="R834" i="1"/>
  <c r="S42" i="1"/>
  <c r="R42" i="1"/>
  <c r="Q42" i="1"/>
  <c r="Q26" i="1" s="1"/>
  <c r="Q27" i="1" s="1"/>
  <c r="AR620" i="1"/>
  <c r="AR621" i="1" s="1"/>
  <c r="BA620" i="1"/>
  <c r="BA621" i="1" s="1"/>
  <c r="S856" i="1"/>
  <c r="BS702" i="1"/>
  <c r="CM834" i="1"/>
  <c r="CL834" i="1"/>
  <c r="CK834" i="1"/>
  <c r="CL42" i="1"/>
  <c r="CM42" i="1"/>
  <c r="CK42" i="1"/>
  <c r="CK26" i="1" s="1"/>
  <c r="CK27" i="1" s="1"/>
  <c r="BT812" i="1"/>
  <c r="BS812" i="1"/>
  <c r="BJ812" i="1"/>
  <c r="BK812" i="1"/>
  <c r="BC614" i="1"/>
  <c r="AT614" i="1"/>
  <c r="BB614" i="1"/>
  <c r="CD124" i="1"/>
  <c r="CD118" i="1"/>
  <c r="CD345" i="1"/>
  <c r="CD429" i="1"/>
  <c r="CD437" i="1"/>
  <c r="AK636" i="1"/>
  <c r="AK658" i="1"/>
  <c r="AJ680" i="1"/>
  <c r="AI746" i="1"/>
  <c r="AK790" i="1"/>
  <c r="AT900" i="1"/>
  <c r="BC900" i="1"/>
  <c r="AK900" i="1"/>
  <c r="S900" i="1"/>
  <c r="BU900" i="1"/>
  <c r="CM900" i="1"/>
  <c r="AB900" i="1"/>
  <c r="AS900" i="1"/>
  <c r="BT900" i="1"/>
  <c r="BB900" i="1"/>
  <c r="BK900" i="1"/>
  <c r="R900" i="1"/>
  <c r="CL900" i="1"/>
  <c r="AJ900" i="1"/>
  <c r="AA900" i="1"/>
  <c r="Z900" i="1"/>
  <c r="BS900" i="1"/>
  <c r="Q900" i="1"/>
  <c r="BJ900" i="1"/>
  <c r="BA900" i="1"/>
  <c r="AR900" i="1"/>
  <c r="CK900" i="1"/>
  <c r="AI900" i="1"/>
  <c r="R878" i="1"/>
  <c r="AA878" i="1"/>
  <c r="Q878" i="1"/>
  <c r="Z878" i="1"/>
  <c r="BA878" i="1"/>
  <c r="AI878" i="1"/>
  <c r="AA856" i="1"/>
  <c r="Z856" i="1"/>
  <c r="AR834" i="1"/>
  <c r="AS834" i="1"/>
  <c r="AK702" i="1"/>
  <c r="AJ702" i="1"/>
  <c r="BK702" i="1"/>
  <c r="BT702" i="1"/>
  <c r="AI702" i="1"/>
  <c r="AI686" i="1" s="1"/>
  <c r="AI687" i="1" s="1"/>
  <c r="BJ702" i="1"/>
  <c r="AT680" i="1"/>
  <c r="AR664" i="1" s="1"/>
  <c r="AR665" i="1" s="1"/>
  <c r="AB680" i="1"/>
  <c r="Z664" i="1" s="1"/>
  <c r="Z665" i="1" s="1"/>
  <c r="BC680" i="1"/>
  <c r="BU680" i="1"/>
  <c r="BS664" i="1" s="1"/>
  <c r="BS665" i="1" s="1"/>
  <c r="BB680" i="1"/>
  <c r="BA680" i="1"/>
  <c r="BA664" i="1" s="1"/>
  <c r="BA665" i="1" s="1"/>
  <c r="S460" i="1"/>
  <c r="BU460" i="1"/>
  <c r="BC460" i="1"/>
  <c r="AK460" i="1"/>
  <c r="AB460" i="1"/>
  <c r="R460" i="1"/>
  <c r="BB460" i="1"/>
  <c r="BK460" i="1"/>
  <c r="BT460" i="1"/>
  <c r="AJ460" i="1"/>
  <c r="AA460" i="1"/>
  <c r="Z460" i="1"/>
  <c r="Z444" i="1" s="1"/>
  <c r="Z445" i="1" s="1"/>
  <c r="Q460" i="1"/>
  <c r="Q444" i="1" s="1"/>
  <c r="Q445" i="1" s="1"/>
  <c r="BS460" i="1"/>
  <c r="BS444" i="1" s="1"/>
  <c r="BS445" i="1" s="1"/>
  <c r="BJ460" i="1"/>
  <c r="BA460" i="1"/>
  <c r="BA444" i="1" s="1"/>
  <c r="BA445" i="1" s="1"/>
  <c r="AR460" i="1"/>
  <c r="AI460" i="1"/>
  <c r="AI444" i="1" s="1"/>
  <c r="AI445" i="1" s="1"/>
  <c r="R592" i="1"/>
  <c r="AK614" i="1"/>
  <c r="AB614" i="1"/>
  <c r="AS614" i="1"/>
  <c r="AJ614" i="1"/>
  <c r="AA614" i="1"/>
  <c r="BA614" i="1"/>
  <c r="BA598" i="1" s="1"/>
  <c r="BA599" i="1" s="1"/>
  <c r="AR614" i="1"/>
  <c r="AR598" i="1" s="1"/>
  <c r="AR599" i="1" s="1"/>
  <c r="AI614" i="1"/>
  <c r="AI598" i="1" s="1"/>
  <c r="AI599" i="1" s="1"/>
  <c r="Z614" i="1"/>
  <c r="Z598" i="1" s="1"/>
  <c r="Z599" i="1" s="1"/>
  <c r="BT592" i="1"/>
  <c r="BS592" i="1"/>
  <c r="BS576" i="1" s="1"/>
  <c r="BS577" i="1" s="1"/>
  <c r="AI504" i="1"/>
  <c r="AB570" i="1"/>
  <c r="AA570" i="1"/>
  <c r="Z570" i="1"/>
  <c r="Z554" i="1" s="1"/>
  <c r="Z555" i="1" s="1"/>
  <c r="AS526" i="1"/>
  <c r="AR526" i="1"/>
  <c r="AR510" i="1" s="1"/>
  <c r="AR511" i="1" s="1"/>
  <c r="CD140" i="1"/>
  <c r="CF140" i="1" s="1"/>
  <c r="CD106" i="1"/>
  <c r="CD105" i="1"/>
  <c r="CD99" i="1"/>
  <c r="CD79" i="1"/>
  <c r="CD74" i="1"/>
  <c r="CD63" i="1"/>
  <c r="CD61" i="1"/>
  <c r="CD57" i="1"/>
  <c r="CD37" i="1"/>
  <c r="CD32" i="1"/>
  <c r="CD30" i="1"/>
  <c r="CD13" i="1"/>
  <c r="CD10" i="1"/>
  <c r="CD324" i="1"/>
  <c r="CD326" i="1"/>
  <c r="CD341" i="1"/>
  <c r="CD342" i="1"/>
  <c r="CF342" i="1" s="1"/>
  <c r="CD344" i="1"/>
  <c r="CD346" i="1"/>
  <c r="CD349" i="1"/>
  <c r="CF349" i="1" s="1"/>
  <c r="CD366" i="1"/>
  <c r="CG366" i="1" s="1"/>
  <c r="CD367" i="1"/>
  <c r="CF367" i="1" s="1"/>
  <c r="CD369" i="1"/>
  <c r="CD371" i="1"/>
  <c r="CD383" i="1"/>
  <c r="CG383" i="1" s="1"/>
  <c r="CD386" i="1"/>
  <c r="CH386" i="1" s="1"/>
  <c r="CD390" i="1"/>
  <c r="CD393" i="1"/>
  <c r="CD408" i="1"/>
  <c r="CG408" i="1" s="1"/>
  <c r="CD414" i="1"/>
  <c r="CD426" i="1"/>
  <c r="CH426" i="1" s="1"/>
  <c r="CD430" i="1"/>
  <c r="CG430" i="1" s="1"/>
  <c r="CD433" i="1"/>
  <c r="CD436" i="1"/>
  <c r="CD454" i="1"/>
  <c r="CG454" i="1" s="1"/>
  <c r="CD457" i="1"/>
  <c r="CD471" i="1"/>
  <c r="CH471" i="1" s="1"/>
  <c r="CD474" i="1"/>
  <c r="CG474" i="1" s="1"/>
  <c r="CD475" i="1"/>
  <c r="CD478" i="1"/>
  <c r="CD480" i="1"/>
  <c r="CD493" i="1"/>
  <c r="CD497" i="1"/>
  <c r="CD498" i="1"/>
  <c r="CD501" i="1"/>
  <c r="CD515" i="1"/>
  <c r="CD521" i="1"/>
  <c r="CG521" i="1" s="1"/>
  <c r="CD523" i="1"/>
  <c r="CD525" i="1"/>
  <c r="CD542" i="1"/>
  <c r="CD543" i="1"/>
  <c r="CD547" i="1"/>
  <c r="CF547" i="1" s="1"/>
  <c r="CD559" i="1"/>
  <c r="CF559" i="1" s="1"/>
  <c r="CD569" i="1"/>
  <c r="BA42" i="1"/>
  <c r="AJ636" i="1"/>
  <c r="AI658" i="1"/>
  <c r="AI680" i="1"/>
  <c r="AJ746" i="1"/>
  <c r="AI768" i="1"/>
  <c r="AJ790" i="1"/>
  <c r="AK812" i="1"/>
  <c r="AK482" i="1"/>
  <c r="AB482" i="1"/>
  <c r="S482" i="1"/>
  <c r="BC482" i="1"/>
  <c r="AT482" i="1"/>
  <c r="BU482" i="1"/>
  <c r="AJ482" i="1"/>
  <c r="AA482" i="1"/>
  <c r="R482" i="1"/>
  <c r="BT482" i="1"/>
  <c r="BB482" i="1"/>
  <c r="AS482" i="1"/>
  <c r="BK482" i="1"/>
  <c r="Z482" i="1"/>
  <c r="Z466" i="1" s="1"/>
  <c r="Z467" i="1" s="1"/>
  <c r="BS482" i="1"/>
  <c r="BS466" i="1" s="1"/>
  <c r="BS467" i="1" s="1"/>
  <c r="Q482" i="1"/>
  <c r="Q466" i="1" s="1"/>
  <c r="Q467" i="1" s="1"/>
  <c r="BA482" i="1"/>
  <c r="BA466" i="1" s="1"/>
  <c r="BA467" i="1" s="1"/>
  <c r="AI482" i="1"/>
  <c r="AI466" i="1" s="1"/>
  <c r="AI467" i="1" s="1"/>
  <c r="BJ482" i="1"/>
  <c r="AR482" i="1"/>
  <c r="AR466" i="1" s="1"/>
  <c r="AR467" i="1" s="1"/>
  <c r="AT86" i="1"/>
  <c r="AK86" i="1"/>
  <c r="S86" i="1"/>
  <c r="AB86" i="1"/>
  <c r="BU86" i="1"/>
  <c r="BC86" i="1"/>
  <c r="BT86" i="1"/>
  <c r="AA86" i="1"/>
  <c r="BK86" i="1"/>
  <c r="BB86" i="1"/>
  <c r="AJ86" i="1"/>
  <c r="R86" i="1"/>
  <c r="AS86" i="1"/>
  <c r="Q86" i="1"/>
  <c r="Q70" i="1" s="1"/>
  <c r="Q71" i="1" s="1"/>
  <c r="Z86" i="1"/>
  <c r="Z70" i="1" s="1"/>
  <c r="Z71" i="1" s="1"/>
  <c r="BJ86" i="1"/>
  <c r="BA86" i="1"/>
  <c r="BA70" i="1" s="1"/>
  <c r="BA71" i="1" s="1"/>
  <c r="AR86" i="1"/>
  <c r="AR70" i="1" s="1"/>
  <c r="AR71" i="1" s="1"/>
  <c r="AI86" i="1"/>
  <c r="AI70" i="1" s="1"/>
  <c r="AI71" i="1" s="1"/>
  <c r="BS86" i="1"/>
  <c r="BS70" i="1" s="1"/>
  <c r="BS71" i="1" s="1"/>
  <c r="AI724" i="1"/>
  <c r="AJ724" i="1"/>
  <c r="BA746" i="1"/>
  <c r="BB746" i="1"/>
  <c r="Z768" i="1"/>
  <c r="S812" i="1"/>
  <c r="Q812" i="1"/>
  <c r="AA812" i="1"/>
  <c r="Z812" i="1"/>
  <c r="CL570" i="1"/>
  <c r="CK570" i="1"/>
  <c r="CM570" i="1"/>
  <c r="CM592" i="1"/>
  <c r="CL592" i="1"/>
  <c r="CK592" i="1"/>
  <c r="CK576" i="1" s="1"/>
  <c r="CK577" i="1" s="1"/>
  <c r="CM614" i="1"/>
  <c r="CL614" i="1"/>
  <c r="CK614" i="1"/>
  <c r="CK598" i="1" s="1"/>
  <c r="CK599" i="1" s="1"/>
  <c r="CM636" i="1"/>
  <c r="CL636" i="1"/>
  <c r="CK636" i="1"/>
  <c r="CK620" i="1" s="1"/>
  <c r="CK621" i="1" s="1"/>
  <c r="CM658" i="1"/>
  <c r="CL658" i="1"/>
  <c r="CK658" i="1"/>
  <c r="CK642" i="1" s="1"/>
  <c r="CK643" i="1" s="1"/>
  <c r="CL680" i="1"/>
  <c r="CM680" i="1"/>
  <c r="CK680" i="1"/>
  <c r="CK664" i="1" s="1"/>
  <c r="CK665" i="1" s="1"/>
  <c r="CK702" i="1"/>
  <c r="CL702" i="1"/>
  <c r="CM702" i="1"/>
  <c r="CK724" i="1"/>
  <c r="CM724" i="1"/>
  <c r="CL724" i="1"/>
  <c r="CM482" i="1"/>
  <c r="CM460" i="1"/>
  <c r="CL460" i="1"/>
  <c r="CK460" i="1"/>
  <c r="CK444" i="1" s="1"/>
  <c r="CK445" i="1" s="1"/>
  <c r="CK86" i="1"/>
  <c r="CK70" i="1" s="1"/>
  <c r="CK71" i="1" s="1"/>
  <c r="CL86" i="1"/>
  <c r="CM86" i="1"/>
  <c r="Z350" i="1"/>
  <c r="Z334" i="1" s="1"/>
  <c r="Z335" i="1" s="1"/>
  <c r="Q438" i="1"/>
  <c r="CD126" i="1"/>
  <c r="CD409" i="1"/>
  <c r="CD412" i="1"/>
  <c r="CD476" i="1"/>
  <c r="CG476" i="1" s="1"/>
  <c r="CD479" i="1"/>
  <c r="CD496" i="1"/>
  <c r="AJ658" i="1"/>
  <c r="AK680" i="1"/>
  <c r="AK724" i="1"/>
  <c r="AK746" i="1"/>
  <c r="AK306" i="1"/>
  <c r="CM306" i="1"/>
  <c r="AT306" i="1"/>
  <c r="BU306" i="1"/>
  <c r="BC306" i="1"/>
  <c r="S306" i="1"/>
  <c r="AB306" i="1"/>
  <c r="AJ306" i="1"/>
  <c r="AS306" i="1"/>
  <c r="BB306" i="1"/>
  <c r="BT306" i="1"/>
  <c r="BK306" i="1"/>
  <c r="R306" i="1"/>
  <c r="CL306" i="1"/>
  <c r="AA306" i="1"/>
  <c r="Q306" i="1"/>
  <c r="Q290" i="1" s="1"/>
  <c r="Q291" i="1" s="1"/>
  <c r="CK306" i="1"/>
  <c r="CK290" i="1" s="1"/>
  <c r="CK291" i="1" s="1"/>
  <c r="BS306" i="1"/>
  <c r="BS290" i="1" s="1"/>
  <c r="BS291" i="1" s="1"/>
  <c r="BJ306" i="1"/>
  <c r="BA306" i="1"/>
  <c r="BA290" i="1" s="1"/>
  <c r="BA291" i="1" s="1"/>
  <c r="AR306" i="1"/>
  <c r="AR290" i="1" s="1"/>
  <c r="AR291" i="1" s="1"/>
  <c r="AI306" i="1"/>
  <c r="AI290" i="1" s="1"/>
  <c r="AI291" i="1" s="1"/>
  <c r="Z306" i="1"/>
  <c r="Z290" i="1" s="1"/>
  <c r="Z291" i="1" s="1"/>
  <c r="AS284" i="1"/>
  <c r="AR268" i="1" s="1"/>
  <c r="AR269" i="1" s="1"/>
  <c r="CD694" i="1"/>
  <c r="CD655" i="1"/>
  <c r="CD654" i="1"/>
  <c r="CD653" i="1"/>
  <c r="CD629" i="1"/>
  <c r="CD627" i="1"/>
  <c r="CD625" i="1"/>
  <c r="CG625" i="1" s="1"/>
  <c r="CD624" i="1"/>
  <c r="CD612" i="1"/>
  <c r="CH612" i="1" s="1"/>
  <c r="CD610" i="1"/>
  <c r="CF610" i="1" s="1"/>
  <c r="CD604" i="1"/>
  <c r="CF604" i="1" s="1"/>
  <c r="CD603" i="1"/>
  <c r="CG603" i="1" s="1"/>
  <c r="CD602" i="1"/>
  <c r="CD591" i="1"/>
  <c r="CG591" i="1" s="1"/>
  <c r="CD590" i="1"/>
  <c r="CH590" i="1" s="1"/>
  <c r="CD588" i="1"/>
  <c r="CH588" i="1" s="1"/>
  <c r="CD586" i="1"/>
  <c r="CG586" i="1" s="1"/>
  <c r="CD701" i="1"/>
  <c r="CD700" i="1"/>
  <c r="CD699" i="1"/>
  <c r="CD172" i="1"/>
  <c r="CD168" i="1"/>
  <c r="CD162" i="1"/>
  <c r="CD151" i="1"/>
  <c r="CD147" i="1"/>
  <c r="CD14" i="1"/>
  <c r="CD456" i="1"/>
  <c r="CH456" i="1" s="1"/>
  <c r="CD500" i="1"/>
  <c r="CD519" i="1"/>
  <c r="CD544" i="1"/>
  <c r="CF544" i="1" s="1"/>
  <c r="CD581" i="1"/>
  <c r="AK768" i="1"/>
  <c r="AI812" i="1"/>
  <c r="AT196" i="1"/>
  <c r="AK196" i="1"/>
  <c r="BU196" i="1"/>
  <c r="S196" i="1"/>
  <c r="BC196" i="1"/>
  <c r="AB196" i="1"/>
  <c r="CM196" i="1"/>
  <c r="BT196" i="1"/>
  <c r="AS196" i="1"/>
  <c r="AJ196" i="1"/>
  <c r="AA196" i="1"/>
  <c r="R196" i="1"/>
  <c r="CL196" i="1"/>
  <c r="BB196" i="1"/>
  <c r="BK196" i="1"/>
  <c r="CK196" i="1"/>
  <c r="CK180" i="1" s="1"/>
  <c r="CK181" i="1" s="1"/>
  <c r="AR196" i="1"/>
  <c r="AR180" i="1" s="1"/>
  <c r="AR181" i="1" s="1"/>
  <c r="AI196" i="1"/>
  <c r="AI180" i="1" s="1"/>
  <c r="AI181" i="1" s="1"/>
  <c r="Z196" i="1"/>
  <c r="Z180" i="1" s="1"/>
  <c r="Z181" i="1" s="1"/>
  <c r="Q196" i="1"/>
  <c r="Q180" i="1" s="1"/>
  <c r="Q181" i="1" s="1"/>
  <c r="BS196" i="1"/>
  <c r="BS180" i="1" s="1"/>
  <c r="BS181" i="1" s="1"/>
  <c r="BA196" i="1"/>
  <c r="BA180" i="1" s="1"/>
  <c r="BA181" i="1" s="1"/>
  <c r="BU152" i="1"/>
  <c r="CM152" i="1"/>
  <c r="CL152" i="1"/>
  <c r="BT152" i="1"/>
  <c r="CK152" i="1"/>
  <c r="CK136" i="1" s="1"/>
  <c r="CK137" i="1" s="1"/>
  <c r="BS152" i="1"/>
  <c r="BS136" i="1" s="1"/>
  <c r="BS137" i="1" s="1"/>
  <c r="BA152" i="1"/>
  <c r="BA136" i="1" s="1"/>
  <c r="BA137" i="1" s="1"/>
  <c r="Z152" i="1"/>
  <c r="Z136" i="1" s="1"/>
  <c r="Z137" i="1" s="1"/>
  <c r="Q136" i="1"/>
  <c r="Q137" i="1" s="1"/>
  <c r="CM130" i="1"/>
  <c r="CL130" i="1"/>
  <c r="BA130" i="1"/>
  <c r="BA114" i="1" s="1"/>
  <c r="BA115" i="1" s="1"/>
  <c r="CK130" i="1"/>
  <c r="CK114" i="1" s="1"/>
  <c r="CK115" i="1" s="1"/>
  <c r="BK152" i="1"/>
  <c r="BS548" i="1"/>
  <c r="BT548" i="1"/>
  <c r="Z724" i="1"/>
  <c r="AA724" i="1"/>
  <c r="CD696" i="1"/>
  <c r="CD695" i="1"/>
  <c r="CD693" i="1"/>
  <c r="CD677" i="1"/>
  <c r="CD676" i="1"/>
  <c r="CD674" i="1"/>
  <c r="CD673" i="1"/>
  <c r="CD650" i="1"/>
  <c r="CD635" i="1"/>
  <c r="CG635" i="1" s="1"/>
  <c r="CD634" i="1"/>
  <c r="CD633" i="1"/>
  <c r="CD632" i="1"/>
  <c r="CD697" i="1"/>
  <c r="CD166" i="1"/>
  <c r="CD164" i="1"/>
  <c r="CD144" i="1"/>
  <c r="CF144" i="1" s="1"/>
  <c r="CD102" i="1"/>
  <c r="CF102" i="1" s="1"/>
  <c r="CD368" i="1"/>
  <c r="CD473" i="1"/>
  <c r="CG473" i="1" s="1"/>
  <c r="CD524" i="1"/>
  <c r="AI636" i="1"/>
  <c r="AJ768" i="1"/>
  <c r="AI790" i="1"/>
  <c r="AJ812" i="1"/>
  <c r="CK554" i="1"/>
  <c r="CK555" i="1" s="1"/>
  <c r="CK686" i="1"/>
  <c r="CK687" i="1" s="1"/>
  <c r="CK532" i="1"/>
  <c r="CK533" i="1" s="1"/>
  <c r="CK510" i="1"/>
  <c r="CK511" i="1" s="1"/>
  <c r="CK466" i="1"/>
  <c r="CK467" i="1" s="1"/>
  <c r="CK48" i="1"/>
  <c r="CK49" i="1" s="1"/>
  <c r="CK356" i="1"/>
  <c r="CK357" i="1" s="1"/>
  <c r="BT20" i="1"/>
  <c r="BX20" i="1"/>
  <c r="BU20" i="1"/>
  <c r="BY20" i="1"/>
  <c r="BS20" i="1"/>
  <c r="BW20" i="1"/>
  <c r="BT42" i="1"/>
  <c r="BU42" i="1"/>
  <c r="BS42" i="1"/>
  <c r="BS26" i="1" s="1"/>
  <c r="BS27" i="1" s="1"/>
  <c r="BX680" i="1"/>
  <c r="BW680" i="1"/>
  <c r="BZ710" i="1"/>
  <c r="BU724" i="1"/>
  <c r="BS642" i="1"/>
  <c r="BS643" i="1" s="1"/>
  <c r="BS356" i="1"/>
  <c r="BS357" i="1" s="1"/>
  <c r="BS532" i="1"/>
  <c r="BS533" i="1" s="1"/>
  <c r="BS620" i="1"/>
  <c r="BS621" i="1" s="1"/>
  <c r="BS686" i="1"/>
  <c r="BS687" i="1" s="1"/>
  <c r="BH6" i="1"/>
  <c r="BA4" i="1"/>
  <c r="BA5" i="1" s="1"/>
  <c r="BA642" i="1"/>
  <c r="BA643" i="1" s="1"/>
  <c r="BA356" i="1"/>
  <c r="BA357" i="1" s="1"/>
  <c r="AX20" i="1"/>
  <c r="AT20" i="1"/>
  <c r="AR20" i="1"/>
  <c r="AV20" i="1"/>
  <c r="AW20" i="1"/>
  <c r="AS20" i="1"/>
  <c r="AS42" i="1"/>
  <c r="AT42" i="1"/>
  <c r="AR42" i="1"/>
  <c r="AR26" i="1" s="1"/>
  <c r="AR27" i="1" s="1"/>
  <c r="AY776" i="1"/>
  <c r="AT790" i="1"/>
  <c r="AX834" i="1"/>
  <c r="AT834" i="1"/>
  <c r="AR356" i="1"/>
  <c r="AR357" i="1" s="1"/>
  <c r="AR686" i="1"/>
  <c r="AR687" i="1" s="1"/>
  <c r="AR444" i="1"/>
  <c r="AI620" i="1"/>
  <c r="AI621" i="1" s="1"/>
  <c r="AI642" i="1"/>
  <c r="AI643" i="1" s="1"/>
  <c r="AI488" i="1"/>
  <c r="AI356" i="1"/>
  <c r="AI357" i="1" s="1"/>
  <c r="AA658" i="1"/>
  <c r="AE658" i="1"/>
  <c r="AD658" i="1"/>
  <c r="Z658" i="1"/>
  <c r="Z642" i="1" s="1"/>
  <c r="Z643" i="1" s="1"/>
  <c r="AA20" i="1"/>
  <c r="AE20" i="1"/>
  <c r="AB20" i="1"/>
  <c r="AF20" i="1"/>
  <c r="AB636" i="1"/>
  <c r="Z636" i="1"/>
  <c r="AA636" i="1"/>
  <c r="Z42" i="1"/>
  <c r="AB42" i="1"/>
  <c r="AA42" i="1"/>
  <c r="Z20" i="1"/>
  <c r="AG6" i="1"/>
  <c r="Z356" i="1"/>
  <c r="Z357" i="1" s="1"/>
  <c r="Q620" i="1"/>
  <c r="Q642" i="1"/>
  <c r="Q664" i="1"/>
  <c r="Q576" i="1"/>
  <c r="Q422" i="1"/>
  <c r="BG20" i="1"/>
  <c r="BE20" i="1"/>
  <c r="BF20" i="1"/>
  <c r="BE834" i="1"/>
  <c r="AN680" i="1"/>
  <c r="AO768" i="1"/>
  <c r="AM812" i="1"/>
  <c r="AN658" i="1"/>
  <c r="AP644" i="1"/>
  <c r="AO658" i="1"/>
  <c r="AP776" i="1"/>
  <c r="AM658" i="1"/>
  <c r="AO724" i="1"/>
  <c r="AO790" i="1"/>
  <c r="AN746" i="1"/>
  <c r="AO746" i="1"/>
  <c r="AN790" i="1"/>
  <c r="AP732" i="1"/>
  <c r="AM746" i="1"/>
  <c r="AP6" i="1"/>
  <c r="AM702" i="1"/>
  <c r="AO20" i="1"/>
  <c r="AN20" i="1"/>
  <c r="AM20" i="1"/>
  <c r="AM834" i="1"/>
  <c r="AD636" i="1"/>
  <c r="AE636" i="1"/>
  <c r="CR94" i="1"/>
  <c r="CR204" i="1"/>
  <c r="CQ812" i="1"/>
  <c r="CQ768" i="1"/>
  <c r="CQ746" i="1"/>
  <c r="CR490" i="1"/>
  <c r="CR424" i="1"/>
  <c r="CR402" i="1"/>
  <c r="CR380" i="1"/>
  <c r="CR336" i="1"/>
  <c r="CR314" i="1"/>
  <c r="CR270" i="1"/>
  <c r="CR248" i="1"/>
  <c r="CR226" i="1"/>
  <c r="CR182" i="1"/>
  <c r="CR160" i="1"/>
  <c r="BX768" i="1"/>
  <c r="BZ754" i="1"/>
  <c r="BW768" i="1"/>
  <c r="BZ600" i="1"/>
  <c r="BZ556" i="1"/>
  <c r="BZ512" i="1"/>
  <c r="BZ490" i="1"/>
  <c r="BZ50" i="1"/>
  <c r="BZ424" i="1"/>
  <c r="BZ402" i="1"/>
  <c r="BZ380" i="1"/>
  <c r="BZ336" i="1"/>
  <c r="BZ314" i="1"/>
  <c r="BZ292" i="1"/>
  <c r="BZ270" i="1"/>
  <c r="BZ248" i="1"/>
  <c r="BZ226" i="1"/>
  <c r="BZ204" i="1"/>
  <c r="BZ182" i="1"/>
  <c r="BZ160" i="1"/>
  <c r="BZ116" i="1"/>
  <c r="BZ94" i="1"/>
  <c r="BK746" i="1"/>
  <c r="BO746" i="1"/>
  <c r="BJ790" i="1"/>
  <c r="BK790" i="1"/>
  <c r="BJ746" i="1"/>
  <c r="BQ732" i="1"/>
  <c r="BQ578" i="1"/>
  <c r="BJ592" i="1"/>
  <c r="BQ556" i="1"/>
  <c r="BJ570" i="1"/>
  <c r="BQ534" i="1"/>
  <c r="BJ548" i="1"/>
  <c r="BQ512" i="1"/>
  <c r="BJ526" i="1"/>
  <c r="BQ490" i="1"/>
  <c r="BJ504" i="1"/>
  <c r="BQ50" i="1"/>
  <c r="BJ64" i="1"/>
  <c r="BQ424" i="1"/>
  <c r="BJ438" i="1"/>
  <c r="BQ402" i="1"/>
  <c r="BJ416" i="1"/>
  <c r="BQ380" i="1"/>
  <c r="BJ394" i="1"/>
  <c r="BQ336" i="1"/>
  <c r="BJ350" i="1"/>
  <c r="BQ314" i="1"/>
  <c r="BJ328" i="1"/>
  <c r="BQ270" i="1"/>
  <c r="BJ284" i="1"/>
  <c r="BQ248" i="1"/>
  <c r="BJ262" i="1"/>
  <c r="BQ226" i="1"/>
  <c r="BJ240" i="1"/>
  <c r="BQ204" i="1"/>
  <c r="BJ218" i="1"/>
  <c r="BQ182" i="1"/>
  <c r="BJ196" i="1"/>
  <c r="BQ160" i="1"/>
  <c r="BJ174" i="1"/>
  <c r="BQ116" i="1"/>
  <c r="BJ130" i="1"/>
  <c r="BQ94" i="1"/>
  <c r="BJ108" i="1"/>
  <c r="BH820" i="1"/>
  <c r="BF702" i="1"/>
  <c r="BH688" i="1"/>
  <c r="BF592" i="1"/>
  <c r="BH578" i="1"/>
  <c r="BH556" i="1"/>
  <c r="BH534" i="1"/>
  <c r="BH512" i="1"/>
  <c r="BH490" i="1"/>
  <c r="BH50" i="1"/>
  <c r="BH424" i="1"/>
  <c r="BH402" i="1"/>
  <c r="BH380" i="1"/>
  <c r="BH336" i="1"/>
  <c r="BH314" i="1"/>
  <c r="BH292" i="1"/>
  <c r="BH270" i="1"/>
  <c r="BH248" i="1"/>
  <c r="BH226" i="1"/>
  <c r="BH204" i="1"/>
  <c r="BH182" i="1"/>
  <c r="BH138" i="1"/>
  <c r="BH94" i="1"/>
  <c r="AX790" i="1"/>
  <c r="AY578" i="1"/>
  <c r="AY556" i="1"/>
  <c r="AY534" i="1"/>
  <c r="AY490" i="1"/>
  <c r="AY50" i="1"/>
  <c r="AY402" i="1"/>
  <c r="AY380" i="1"/>
  <c r="AY336" i="1"/>
  <c r="AY314" i="1"/>
  <c r="AY292" i="1"/>
  <c r="AY270" i="1"/>
  <c r="AY248" i="1"/>
  <c r="AY226" i="1"/>
  <c r="AY204" i="1"/>
  <c r="AY182" i="1"/>
  <c r="AY160" i="1"/>
  <c r="AY138" i="1"/>
  <c r="AY116" i="1"/>
  <c r="AY94" i="1"/>
  <c r="AP226" i="1"/>
  <c r="AP688" i="1"/>
  <c r="AP578" i="1"/>
  <c r="AP556" i="1"/>
  <c r="AP534" i="1"/>
  <c r="AP512" i="1"/>
  <c r="AP50" i="1"/>
  <c r="AP424" i="1"/>
  <c r="AP402" i="1"/>
  <c r="AP380" i="1"/>
  <c r="AP336" i="1"/>
  <c r="AP314" i="1"/>
  <c r="AP292" i="1"/>
  <c r="AP270" i="1"/>
  <c r="AP248" i="1"/>
  <c r="AP204" i="1"/>
  <c r="AP182" i="1"/>
  <c r="AP160" i="1"/>
  <c r="AP138" i="1"/>
  <c r="AP116" i="1"/>
  <c r="AP94" i="1"/>
  <c r="AG314" i="1"/>
  <c r="AG578" i="1"/>
  <c r="AG534" i="1"/>
  <c r="AG512" i="1"/>
  <c r="AG490" i="1"/>
  <c r="AG50" i="1"/>
  <c r="AG424" i="1"/>
  <c r="AG402" i="1"/>
  <c r="AG380" i="1"/>
  <c r="AG292" i="1"/>
  <c r="AG270" i="1"/>
  <c r="AG248" i="1"/>
  <c r="AG226" i="1"/>
  <c r="AG204" i="1"/>
  <c r="AG182" i="1"/>
  <c r="AG160" i="1"/>
  <c r="AG138" i="1"/>
  <c r="AG116" i="1"/>
  <c r="AG94" i="1"/>
  <c r="X644" i="1"/>
  <c r="X732" i="1"/>
  <c r="X776" i="1"/>
  <c r="W658" i="1"/>
  <c r="CG301" i="1"/>
  <c r="CG326" i="1"/>
  <c r="CF326" i="1"/>
  <c r="CH326" i="1"/>
  <c r="CF327" i="1"/>
  <c r="CG338" i="1"/>
  <c r="CF338" i="1"/>
  <c r="CH338" i="1"/>
  <c r="CF343" i="1"/>
  <c r="CG345" i="1"/>
  <c r="CG346" i="1"/>
  <c r="CH347" i="1"/>
  <c r="CG347" i="1"/>
  <c r="CF347" i="1"/>
  <c r="CH363" i="1"/>
  <c r="CF363" i="1"/>
  <c r="CG363" i="1"/>
  <c r="CF364" i="1"/>
  <c r="CF382" i="1"/>
  <c r="CG384" i="1"/>
  <c r="CH385" i="1"/>
  <c r="CF385" i="1"/>
  <c r="CG385" i="1"/>
  <c r="CG387" i="1"/>
  <c r="CF389" i="1"/>
  <c r="CF392" i="1"/>
  <c r="CH411" i="1"/>
  <c r="CF411" i="1"/>
  <c r="CG411" i="1"/>
  <c r="CH415" i="1"/>
  <c r="CF415" i="1"/>
  <c r="CG415" i="1"/>
  <c r="CF434" i="1"/>
  <c r="CF435" i="1"/>
  <c r="CG448" i="1"/>
  <c r="CH448" i="1"/>
  <c r="CF448" i="1"/>
  <c r="CG450" i="1"/>
  <c r="CF455" i="1"/>
  <c r="CG472" i="1"/>
  <c r="CH472" i="1"/>
  <c r="CF472" i="1"/>
  <c r="CF492" i="1"/>
  <c r="CG502" i="1"/>
  <c r="CH517" i="1"/>
  <c r="CG520" i="1"/>
  <c r="CH522" i="1"/>
  <c r="CF522" i="1"/>
  <c r="CG522" i="1"/>
  <c r="CG537" i="1"/>
  <c r="CG538" i="1"/>
  <c r="CH539" i="1"/>
  <c r="CF539" i="1"/>
  <c r="CG539" i="1"/>
  <c r="CH560" i="1"/>
  <c r="CG560" i="1"/>
  <c r="CF560" i="1"/>
  <c r="CF563" i="1"/>
  <c r="CG563" i="1"/>
  <c r="CH563" i="1"/>
  <c r="CH564" i="1"/>
  <c r="CH567" i="1"/>
  <c r="CG580" i="1"/>
  <c r="CG582" i="1"/>
  <c r="CH583" i="1"/>
  <c r="CG584" i="1"/>
  <c r="CG585" i="1"/>
  <c r="CH587" i="1"/>
  <c r="CG587" i="1"/>
  <c r="CF587" i="1"/>
  <c r="V20" i="1"/>
  <c r="U746" i="1"/>
  <c r="W724" i="1"/>
  <c r="U790" i="1"/>
  <c r="V658" i="1"/>
  <c r="U680" i="1"/>
  <c r="CG300" i="1"/>
  <c r="CF605" i="1"/>
  <c r="CG606" i="1"/>
  <c r="CH606" i="1"/>
  <c r="CF606" i="1"/>
  <c r="CH608" i="1"/>
  <c r="CG609" i="1"/>
  <c r="CF609" i="1"/>
  <c r="CH609" i="1"/>
  <c r="CH611" i="1"/>
  <c r="CG613" i="1"/>
  <c r="CH626" i="1"/>
  <c r="CH630" i="1"/>
  <c r="CG631" i="1"/>
  <c r="CF647" i="1"/>
  <c r="CG648" i="1"/>
  <c r="CF652" i="1"/>
  <c r="CH652" i="1"/>
  <c r="CG652" i="1"/>
  <c r="CH656" i="1"/>
  <c r="X6" i="1"/>
  <c r="U20" i="1"/>
  <c r="U658" i="1"/>
  <c r="W746" i="1"/>
  <c r="V746" i="1"/>
  <c r="V790" i="1"/>
  <c r="W790" i="1"/>
  <c r="CG283" i="1"/>
  <c r="CG228" i="1"/>
  <c r="CG215" i="1"/>
  <c r="CG34" i="1"/>
  <c r="CG281" i="1"/>
  <c r="CF228" i="1"/>
  <c r="CF215" i="1"/>
  <c r="CF34" i="1"/>
  <c r="CG217" i="1"/>
  <c r="CF281" i="1"/>
  <c r="CF217" i="1"/>
  <c r="CF35" i="1"/>
  <c r="CF216" i="1"/>
  <c r="CG216" i="1"/>
  <c r="CG35" i="1"/>
  <c r="CH670" i="1"/>
  <c r="CG672" i="1"/>
  <c r="CF672" i="1"/>
  <c r="CH672" i="1"/>
  <c r="CF679" i="1"/>
  <c r="CH690" i="1"/>
  <c r="CF691" i="1"/>
  <c r="CF692" i="1"/>
  <c r="CG698" i="1"/>
  <c r="CF712" i="1"/>
  <c r="CG713" i="1"/>
  <c r="CH714" i="1"/>
  <c r="CH717" i="1"/>
  <c r="CF718" i="1"/>
  <c r="CG720" i="1"/>
  <c r="CG721" i="1"/>
  <c r="CG722" i="1"/>
  <c r="CH736" i="1"/>
  <c r="CG740" i="1"/>
  <c r="CH744" i="1"/>
  <c r="CF758" i="1"/>
  <c r="CH759" i="1"/>
  <c r="CG760" i="1"/>
  <c r="CH761" i="1"/>
  <c r="CH764" i="1"/>
  <c r="CH766" i="1"/>
  <c r="CG778" i="1"/>
  <c r="CG781" i="1"/>
  <c r="CH782" i="1"/>
  <c r="CG784" i="1"/>
  <c r="CG788" i="1"/>
  <c r="CH789" i="1"/>
  <c r="CG800" i="1"/>
  <c r="CF802" i="1"/>
  <c r="CG804" i="1"/>
  <c r="CH805" i="1"/>
  <c r="CG806" i="1"/>
  <c r="CH807" i="1"/>
  <c r="CG808" i="1"/>
  <c r="CH809" i="1"/>
  <c r="CG825" i="1"/>
  <c r="CF826" i="1"/>
  <c r="CF827" i="1"/>
  <c r="CF828" i="1"/>
  <c r="CG830" i="1"/>
  <c r="CF844" i="1"/>
  <c r="CG845" i="1"/>
  <c r="CG847" i="1"/>
  <c r="CG848" i="1"/>
  <c r="CF849" i="1"/>
  <c r="CG849" i="1"/>
  <c r="CH849" i="1"/>
  <c r="CG850" i="1"/>
  <c r="CH851" i="1"/>
  <c r="CG855" i="1"/>
  <c r="CF868" i="1"/>
  <c r="CF869" i="1"/>
  <c r="CH869" i="1"/>
  <c r="CG869" i="1"/>
  <c r="CG871" i="1"/>
  <c r="CH874" i="1"/>
  <c r="CF890" i="1"/>
  <c r="CF893" i="1"/>
  <c r="CF895" i="1"/>
  <c r="CF897" i="1"/>
  <c r="CF19" i="1"/>
  <c r="W20" i="1"/>
  <c r="X556" i="1"/>
  <c r="X402" i="1"/>
  <c r="X336" i="1"/>
  <c r="CF297" i="1"/>
  <c r="CF275" i="1"/>
  <c r="CF260" i="1"/>
  <c r="CF119" i="1"/>
  <c r="U834" i="1"/>
  <c r="X688" i="1"/>
  <c r="U702" i="1"/>
  <c r="X534" i="1"/>
  <c r="X512" i="1"/>
  <c r="X490" i="1"/>
  <c r="X50" i="1"/>
  <c r="X380" i="1"/>
  <c r="X314" i="1"/>
  <c r="X292" i="1"/>
  <c r="X270" i="1"/>
  <c r="X248" i="1"/>
  <c r="X226" i="1"/>
  <c r="X204" i="1"/>
  <c r="X182" i="1"/>
  <c r="X160" i="1"/>
  <c r="X138" i="1"/>
  <c r="X116" i="1"/>
  <c r="X94" i="1"/>
  <c r="CG273" i="1"/>
  <c r="CG258" i="1"/>
  <c r="AY424" i="1"/>
  <c r="BQ292" i="1"/>
  <c r="BH600" i="1"/>
  <c r="AP622" i="1"/>
  <c r="BQ622" i="1"/>
  <c r="BL636" i="1"/>
  <c r="BJ620" i="1" s="1"/>
  <c r="BJ621" i="1" s="1"/>
  <c r="BP636" i="1"/>
  <c r="W636" i="1"/>
  <c r="AY622" i="1"/>
  <c r="AX636" i="1"/>
  <c r="AF636" i="1"/>
  <c r="BH622" i="1"/>
  <c r="BG636" i="1"/>
  <c r="CQ900" i="1"/>
  <c r="AY600" i="1"/>
  <c r="AP600" i="1"/>
  <c r="AG600" i="1"/>
  <c r="BQ600" i="1"/>
  <c r="X600" i="1"/>
  <c r="X578" i="1"/>
  <c r="CQ790" i="1"/>
  <c r="BH160" i="1"/>
  <c r="X710" i="1"/>
  <c r="AG710" i="1"/>
  <c r="AY688" i="1"/>
  <c r="BZ622" i="1"/>
  <c r="BZ534" i="1"/>
  <c r="BQ138" i="1"/>
  <c r="CR116" i="1"/>
  <c r="BZ138" i="1"/>
  <c r="CR138" i="1"/>
  <c r="CR292" i="1"/>
  <c r="X424" i="1"/>
  <c r="AG336" i="1"/>
  <c r="CR50" i="1"/>
  <c r="CQ86" i="1"/>
  <c r="CR446" i="1"/>
  <c r="CR468" i="1"/>
  <c r="CR512" i="1"/>
  <c r="CR534" i="1"/>
  <c r="CR710" i="1"/>
  <c r="CR688" i="1"/>
  <c r="CR666" i="1"/>
  <c r="CR644" i="1"/>
  <c r="CR622" i="1"/>
  <c r="CR600" i="1"/>
  <c r="CR578" i="1"/>
  <c r="CR556" i="1"/>
  <c r="AG798" i="1"/>
  <c r="X798" i="1"/>
  <c r="AP754" i="1"/>
  <c r="AY754" i="1"/>
  <c r="AG754" i="1"/>
  <c r="X754" i="1"/>
  <c r="BH732" i="1"/>
  <c r="AY710" i="1"/>
  <c r="AP710" i="1"/>
  <c r="X622" i="1"/>
  <c r="AY468" i="1"/>
  <c r="BQ468" i="1"/>
  <c r="AP468" i="1"/>
  <c r="BH468" i="1"/>
  <c r="X468" i="1"/>
  <c r="BZ468" i="1"/>
  <c r="AG468" i="1"/>
  <c r="AY512" i="1"/>
  <c r="AG556" i="1"/>
  <c r="AP490" i="1"/>
  <c r="BZ28" i="1"/>
  <c r="BQ28" i="1"/>
  <c r="X28" i="1"/>
  <c r="BH28" i="1"/>
  <c r="AG28" i="1"/>
  <c r="AP28" i="1"/>
  <c r="AY28" i="1"/>
  <c r="BZ578" i="1"/>
  <c r="AP446" i="1"/>
  <c r="BQ446" i="1"/>
  <c r="BZ446" i="1"/>
  <c r="X446" i="1"/>
  <c r="AG446" i="1"/>
  <c r="BH666" i="1"/>
  <c r="BQ666" i="1"/>
  <c r="AY666" i="1"/>
  <c r="AG666" i="1"/>
  <c r="AG864" i="1"/>
  <c r="X886" i="1"/>
  <c r="BZ886" i="1"/>
  <c r="CQ834" i="1"/>
  <c r="BZ688" i="1"/>
  <c r="CQ20" i="1"/>
  <c r="CP834" i="1"/>
  <c r="CO834" i="1"/>
  <c r="CR820" i="1"/>
  <c r="CR798" i="1"/>
  <c r="CO812" i="1"/>
  <c r="CP812" i="1"/>
  <c r="CO790" i="1"/>
  <c r="CR776" i="1"/>
  <c r="CP790" i="1"/>
  <c r="CR754" i="1"/>
  <c r="CO768" i="1"/>
  <c r="CP768" i="1"/>
  <c r="CP746" i="1"/>
  <c r="CR6" i="1"/>
  <c r="CO20" i="1"/>
  <c r="CP20" i="1"/>
  <c r="BP900" i="1"/>
  <c r="BL900" i="1"/>
  <c r="AX900" i="1"/>
  <c r="BG900" i="1"/>
  <c r="AO900" i="1"/>
  <c r="AF900" i="1"/>
  <c r="AW900" i="1"/>
  <c r="BF900" i="1"/>
  <c r="AN900" i="1"/>
  <c r="CO900" i="1"/>
  <c r="CR886" i="1"/>
  <c r="AX878" i="1"/>
  <c r="AF878" i="1"/>
  <c r="AO878" i="1"/>
  <c r="BG878" i="1"/>
  <c r="BP878" i="1"/>
  <c r="BL878" i="1"/>
  <c r="BY878" i="1"/>
  <c r="W878" i="1"/>
  <c r="BF878" i="1"/>
  <c r="BO878" i="1"/>
  <c r="CP878" i="1"/>
  <c r="BX878" i="1"/>
  <c r="AW878" i="1"/>
  <c r="AN878" i="1"/>
  <c r="AY864" i="1"/>
  <c r="AV878" i="1"/>
  <c r="BW878" i="1"/>
  <c r="BZ864" i="1"/>
  <c r="CR864" i="1"/>
  <c r="CO878" i="1"/>
  <c r="BQ864" i="1"/>
  <c r="BN878" i="1"/>
  <c r="BP856" i="1"/>
  <c r="BL856" i="1"/>
  <c r="AF856" i="1"/>
  <c r="AO856" i="1"/>
  <c r="BG856" i="1"/>
  <c r="BY856" i="1"/>
  <c r="AX856" i="1"/>
  <c r="V856" i="1"/>
  <c r="BO856" i="1"/>
  <c r="BF856" i="1"/>
  <c r="AW856" i="1"/>
  <c r="BX856" i="1"/>
  <c r="AN856" i="1"/>
  <c r="BZ842" i="1"/>
  <c r="BW856" i="1"/>
  <c r="CR842" i="1"/>
  <c r="CO856" i="1"/>
  <c r="BN856" i="1"/>
  <c r="BQ842" i="1"/>
  <c r="AO834" i="1"/>
  <c r="BG834" i="1"/>
  <c r="BL834" i="1"/>
  <c r="BP834" i="1"/>
  <c r="BY834" i="1"/>
  <c r="W834" i="1"/>
  <c r="AP820" i="1"/>
  <c r="AN834" i="1"/>
  <c r="BF834" i="1"/>
  <c r="X820" i="1"/>
  <c r="V834" i="1"/>
  <c r="BZ820" i="1"/>
  <c r="BX834" i="1"/>
  <c r="W702" i="1"/>
  <c r="AF702" i="1"/>
  <c r="AO702" i="1"/>
  <c r="BY702" i="1"/>
  <c r="BP702" i="1"/>
  <c r="BL702" i="1"/>
  <c r="BJ686" i="1" s="1"/>
  <c r="BJ687" i="1" s="1"/>
  <c r="BG702" i="1"/>
  <c r="AN702" i="1"/>
  <c r="V702" i="1"/>
  <c r="AE702" i="1"/>
  <c r="AG688" i="1"/>
  <c r="AD702" i="1"/>
  <c r="BX658" i="1"/>
  <c r="BH644" i="1"/>
  <c r="BF658" i="1"/>
  <c r="BF790" i="1"/>
  <c r="BO790" i="1"/>
  <c r="BZ776" i="1"/>
  <c r="BW790" i="1"/>
  <c r="BX790" i="1"/>
  <c r="BX812" i="1"/>
  <c r="BO812" i="1"/>
  <c r="AN812" i="1"/>
  <c r="AO812" i="1"/>
  <c r="BP812" i="1"/>
  <c r="BL812" i="1"/>
  <c r="BY812" i="1"/>
  <c r="AW812" i="1"/>
  <c r="AX812" i="1"/>
  <c r="BG812" i="1"/>
  <c r="AF834" i="1"/>
  <c r="BO834" i="1"/>
  <c r="BQ820" i="1"/>
  <c r="CQ856" i="1"/>
  <c r="AP842" i="1"/>
  <c r="AY842" i="1"/>
  <c r="AG842" i="1"/>
  <c r="BH842" i="1"/>
  <c r="X842" i="1"/>
  <c r="AY820" i="1"/>
  <c r="BQ688" i="1"/>
  <c r="AP666" i="1"/>
  <c r="X666" i="1"/>
  <c r="BH446" i="1"/>
  <c r="AY446" i="1"/>
  <c r="AG622" i="1"/>
  <c r="BZ644" i="1"/>
  <c r="BH776" i="1"/>
  <c r="BQ776" i="1"/>
  <c r="BZ798" i="1"/>
  <c r="BQ798" i="1"/>
  <c r="AP798" i="1"/>
  <c r="AY798" i="1"/>
  <c r="AG820" i="1"/>
  <c r="CG320" i="1"/>
  <c r="BE482" i="1"/>
  <c r="CO86" i="1"/>
  <c r="CR28" i="1"/>
  <c r="AV856" i="1"/>
  <c r="CH53" i="1"/>
  <c r="CG53" i="1"/>
  <c r="CF53" i="1"/>
  <c r="CF54" i="1"/>
  <c r="CG54" i="1"/>
  <c r="CH54" i="1"/>
  <c r="CH55" i="1"/>
  <c r="CF55" i="1"/>
  <c r="CG55" i="1"/>
  <c r="CG59" i="1"/>
  <c r="CF59" i="1"/>
  <c r="CH59" i="1"/>
  <c r="CF193" i="1"/>
  <c r="CG193" i="1"/>
  <c r="CH193" i="1"/>
  <c r="CF194" i="1"/>
  <c r="CG194" i="1"/>
  <c r="CH194" i="1"/>
  <c r="CF206" i="1"/>
  <c r="CG206" i="1"/>
  <c r="CH206" i="1"/>
  <c r="CH209" i="1"/>
  <c r="CG209" i="1"/>
  <c r="CF209" i="1"/>
  <c r="CF210" i="1"/>
  <c r="CG210" i="1"/>
  <c r="CH210" i="1"/>
  <c r="CF211" i="1"/>
  <c r="CH211" i="1"/>
  <c r="CG211" i="1"/>
  <c r="CF212" i="1"/>
  <c r="CG212" i="1"/>
  <c r="CH212" i="1"/>
  <c r="W856" i="1"/>
  <c r="CG236" i="1"/>
  <c r="CF236" i="1"/>
  <c r="CH236" i="1"/>
  <c r="CF250" i="1"/>
  <c r="CG250" i="1"/>
  <c r="CH250" i="1"/>
  <c r="CF252" i="1"/>
  <c r="CG252" i="1"/>
  <c r="CH252" i="1"/>
  <c r="CF253" i="1"/>
  <c r="CG253" i="1"/>
  <c r="CH253" i="1"/>
  <c r="CF255" i="1"/>
  <c r="CG255" i="1"/>
  <c r="CH255" i="1"/>
  <c r="CF256" i="1"/>
  <c r="CG256" i="1"/>
  <c r="CH256" i="1"/>
  <c r="CR732" i="1"/>
  <c r="CO746" i="1"/>
  <c r="W900" i="1"/>
  <c r="BY900" i="1"/>
  <c r="BO900" i="1"/>
  <c r="CP900" i="1"/>
  <c r="AG886" i="1"/>
  <c r="AD900" i="1"/>
  <c r="BQ886" i="1"/>
  <c r="BN900" i="1"/>
  <c r="BH886" i="1"/>
  <c r="BE900" i="1"/>
  <c r="AY886" i="1"/>
  <c r="AV900" i="1"/>
  <c r="AP886" i="1"/>
  <c r="AM900" i="1"/>
  <c r="CQ878" i="1"/>
  <c r="X864" i="1"/>
  <c r="U878" i="1"/>
  <c r="BH864" i="1"/>
  <c r="BE878" i="1"/>
  <c r="AP864" i="1"/>
  <c r="AM878" i="1"/>
  <c r="BE856" i="1"/>
  <c r="CP856" i="1"/>
  <c r="AM856" i="1"/>
  <c r="AD856" i="1"/>
  <c r="U856" i="1"/>
  <c r="V680" i="1"/>
  <c r="AM680" i="1"/>
  <c r="CG41" i="1"/>
  <c r="CG429" i="1"/>
  <c r="BW658" i="1"/>
  <c r="BE790" i="1"/>
  <c r="AX86" i="1"/>
  <c r="W86" i="1"/>
  <c r="AF86" i="1"/>
  <c r="BY86" i="1"/>
  <c r="BP86" i="1"/>
  <c r="BL86" i="1"/>
  <c r="BG86" i="1"/>
  <c r="BX86" i="1"/>
  <c r="AE86" i="1"/>
  <c r="BO86" i="1"/>
  <c r="BF86" i="1"/>
  <c r="AN86" i="1"/>
  <c r="V86" i="1"/>
  <c r="AW86" i="1"/>
  <c r="X72" i="1"/>
  <c r="U86" i="1"/>
  <c r="AG72" i="1"/>
  <c r="AD86" i="1"/>
  <c r="BN86" i="1"/>
  <c r="BQ72" i="1"/>
  <c r="BH72" i="1"/>
  <c r="BE86" i="1"/>
  <c r="AV86" i="1"/>
  <c r="AY72" i="1"/>
  <c r="AM86" i="1"/>
  <c r="AP72" i="1"/>
  <c r="BW86" i="1"/>
  <c r="BZ72" i="1"/>
  <c r="BP64" i="1"/>
  <c r="BL64" i="1"/>
  <c r="CR72" i="1"/>
  <c r="CP86" i="1"/>
  <c r="BH116" i="1"/>
  <c r="BE130" i="1"/>
  <c r="BF680" i="1"/>
  <c r="BE680" i="1"/>
  <c r="V878" i="1"/>
  <c r="AO460" i="1"/>
  <c r="W460" i="1"/>
  <c r="AF460" i="1"/>
  <c r="AN460" i="1"/>
  <c r="AE460" i="1"/>
  <c r="AD460" i="1"/>
  <c r="U460" i="1"/>
  <c r="BG460" i="1"/>
  <c r="BY460" i="1"/>
  <c r="BL460" i="1"/>
  <c r="BJ444" i="1" s="1"/>
  <c r="BJ445" i="1" s="1"/>
  <c r="BP460" i="1"/>
  <c r="BF460" i="1"/>
  <c r="BO460" i="1"/>
  <c r="BX460" i="1"/>
  <c r="BN460" i="1"/>
  <c r="BW460" i="1"/>
  <c r="AX460" i="1"/>
  <c r="BG614" i="1"/>
  <c r="AX614" i="1"/>
  <c r="AO614" i="1"/>
  <c r="W614" i="1"/>
  <c r="AF614" i="1"/>
  <c r="BY614" i="1"/>
  <c r="BP614" i="1"/>
  <c r="BL614" i="1"/>
  <c r="BJ598" i="1" s="1"/>
  <c r="BF614" i="1"/>
  <c r="BX614" i="1"/>
  <c r="AW614" i="1"/>
  <c r="BO614" i="1"/>
  <c r="AN614" i="1"/>
  <c r="AE614" i="1"/>
  <c r="V614" i="1"/>
  <c r="BW614" i="1"/>
  <c r="BE614" i="1"/>
  <c r="AV614" i="1"/>
  <c r="AM614" i="1"/>
  <c r="AD614" i="1"/>
  <c r="BN614" i="1"/>
  <c r="U614" i="1"/>
  <c r="AF592" i="1"/>
  <c r="AO592" i="1"/>
  <c r="AX592" i="1"/>
  <c r="BY592" i="1"/>
  <c r="BP592" i="1"/>
  <c r="BL592" i="1"/>
  <c r="BG592" i="1"/>
  <c r="AN592" i="1"/>
  <c r="AW592" i="1"/>
  <c r="AE592" i="1"/>
  <c r="BO592" i="1"/>
  <c r="AM592" i="1"/>
  <c r="AV592" i="1"/>
  <c r="BE592" i="1"/>
  <c r="AD592" i="1"/>
  <c r="BN592" i="1"/>
  <c r="AE856" i="1"/>
  <c r="AE900" i="1"/>
  <c r="CQ42" i="1"/>
  <c r="V592" i="1"/>
  <c r="W592" i="1"/>
  <c r="U592" i="1"/>
  <c r="BG42" i="1"/>
  <c r="AX42" i="1"/>
  <c r="AO42" i="1"/>
  <c r="AF42" i="1"/>
  <c r="W42" i="1"/>
  <c r="BF42" i="1"/>
  <c r="AW42" i="1"/>
  <c r="AN42" i="1"/>
  <c r="AE42" i="1"/>
  <c r="V42" i="1"/>
  <c r="AV42" i="1"/>
  <c r="BN42" i="1"/>
  <c r="AM42" i="1"/>
  <c r="AD42" i="1"/>
  <c r="BE42" i="1"/>
  <c r="U42" i="1"/>
  <c r="BL42" i="1"/>
  <c r="BP42" i="1"/>
  <c r="BY42" i="1"/>
  <c r="BO42" i="1"/>
  <c r="BX42" i="1"/>
  <c r="BW42" i="1"/>
  <c r="BW900" i="1"/>
  <c r="BX900" i="1"/>
  <c r="CG82" i="1"/>
  <c r="CH82" i="1"/>
  <c r="CF82" i="1"/>
  <c r="CF280" i="1"/>
  <c r="CH280" i="1"/>
  <c r="CG280" i="1"/>
  <c r="U482" i="1"/>
  <c r="AD482" i="1"/>
  <c r="AM504" i="1"/>
  <c r="W570" i="1"/>
  <c r="V570" i="1"/>
  <c r="U570" i="1"/>
  <c r="BW570" i="1"/>
  <c r="V548" i="1"/>
  <c r="AM548" i="1"/>
  <c r="U548" i="1"/>
  <c r="AM526" i="1"/>
  <c r="U526" i="1"/>
  <c r="AV504" i="1"/>
  <c r="W504" i="1"/>
  <c r="V504" i="1"/>
  <c r="U504" i="1"/>
  <c r="AW460" i="1"/>
  <c r="V460" i="1"/>
  <c r="BE460" i="1"/>
  <c r="AV460" i="1"/>
  <c r="AM460" i="1"/>
  <c r="CF628" i="1"/>
  <c r="V636" i="1"/>
  <c r="AM636" i="1"/>
  <c r="U636" i="1"/>
  <c r="AV724" i="1"/>
  <c r="AW724" i="1"/>
  <c r="V152" i="1"/>
  <c r="AD350" i="1"/>
  <c r="AD394" i="1"/>
  <c r="BX394" i="1"/>
  <c r="AD438" i="1"/>
  <c r="W416" i="1"/>
  <c r="AE416" i="1"/>
  <c r="V416" i="1"/>
  <c r="AM416" i="1"/>
  <c r="AV416" i="1"/>
  <c r="V394" i="1"/>
  <c r="BN372" i="1"/>
  <c r="V372" i="1"/>
  <c r="V350" i="1"/>
  <c r="V328" i="1"/>
  <c r="BN328" i="1"/>
  <c r="BE328" i="1"/>
  <c r="AV328" i="1"/>
  <c r="AM328" i="1"/>
  <c r="AW306" i="1"/>
  <c r="V306" i="1"/>
  <c r="BN306" i="1"/>
  <c r="BE306" i="1"/>
  <c r="AD306" i="1"/>
  <c r="AW284" i="1"/>
  <c r="V284" i="1"/>
  <c r="CO284" i="1"/>
  <c r="BW284" i="1"/>
  <c r="AO152" i="1"/>
  <c r="BG152" i="1"/>
  <c r="AX152" i="1"/>
  <c r="AF152" i="1"/>
  <c r="W152" i="1"/>
  <c r="AW152" i="1"/>
  <c r="AN152" i="1"/>
  <c r="AE152" i="1"/>
  <c r="BF152" i="1"/>
  <c r="AV152" i="1"/>
  <c r="AM152" i="1"/>
  <c r="BE152" i="1"/>
  <c r="AD152" i="1"/>
  <c r="U152" i="1"/>
  <c r="BP570" i="1"/>
  <c r="BL570" i="1"/>
  <c r="BG570" i="1"/>
  <c r="AO570" i="1"/>
  <c r="AX570" i="1"/>
  <c r="BY570" i="1"/>
  <c r="BO570" i="1"/>
  <c r="BF570" i="1"/>
  <c r="BX570" i="1"/>
  <c r="AN570" i="1"/>
  <c r="AW570" i="1"/>
  <c r="BE570" i="1"/>
  <c r="BN570" i="1"/>
  <c r="AM570" i="1"/>
  <c r="AV570" i="1"/>
  <c r="AO548" i="1"/>
  <c r="AX548" i="1"/>
  <c r="AF548" i="1"/>
  <c r="BY548" i="1"/>
  <c r="BG548" i="1"/>
  <c r="BP548" i="1"/>
  <c r="BL548" i="1"/>
  <c r="W548" i="1"/>
  <c r="BO548" i="1"/>
  <c r="AN548" i="1"/>
  <c r="AW548" i="1"/>
  <c r="BF548" i="1"/>
  <c r="AE548" i="1"/>
  <c r="AV548" i="1"/>
  <c r="BN548" i="1"/>
  <c r="BE548" i="1"/>
  <c r="AD548" i="1"/>
  <c r="BY526" i="1"/>
  <c r="BP526" i="1"/>
  <c r="BL526" i="1"/>
  <c r="BG526" i="1"/>
  <c r="AX526" i="1"/>
  <c r="AO526" i="1"/>
  <c r="AF526" i="1"/>
  <c r="W526" i="1"/>
  <c r="BX526" i="1"/>
  <c r="BO526" i="1"/>
  <c r="BF526" i="1"/>
  <c r="AN526" i="1"/>
  <c r="AE526" i="1"/>
  <c r="V526" i="1"/>
  <c r="BE526" i="1"/>
  <c r="BN526" i="1"/>
  <c r="AD526" i="1"/>
  <c r="BW526" i="1"/>
  <c r="BY504" i="1"/>
  <c r="BP504" i="1"/>
  <c r="BL504" i="1"/>
  <c r="BG504" i="1"/>
  <c r="AX504" i="1"/>
  <c r="AO504" i="1"/>
  <c r="AF504" i="1"/>
  <c r="BX504" i="1"/>
  <c r="BO504" i="1"/>
  <c r="BF504" i="1"/>
  <c r="AW504" i="1"/>
  <c r="AN504" i="1"/>
  <c r="AE504" i="1"/>
  <c r="BW504" i="1"/>
  <c r="BE504" i="1"/>
  <c r="BN504" i="1"/>
  <c r="AD504" i="1"/>
  <c r="BW482" i="1"/>
  <c r="AM482" i="1"/>
  <c r="BN482" i="1"/>
  <c r="AV482" i="1"/>
  <c r="W64" i="1"/>
  <c r="AF64" i="1"/>
  <c r="BY64" i="1"/>
  <c r="BG64" i="1"/>
  <c r="AO64" i="1"/>
  <c r="AX64" i="1"/>
  <c r="AW64" i="1"/>
  <c r="BX64" i="1"/>
  <c r="AN64" i="1"/>
  <c r="AE64" i="1"/>
  <c r="V64" i="1"/>
  <c r="BO64" i="1"/>
  <c r="BF64" i="1"/>
  <c r="U64" i="1"/>
  <c r="AD64" i="1"/>
  <c r="AM64" i="1"/>
  <c r="AV64" i="1"/>
  <c r="BE64" i="1"/>
  <c r="BW64" i="1"/>
  <c r="BN64" i="1"/>
  <c r="BE746" i="1"/>
  <c r="BF746" i="1"/>
  <c r="W768" i="1"/>
  <c r="V768" i="1"/>
  <c r="AF768" i="1"/>
  <c r="AW768" i="1"/>
  <c r="AE768" i="1"/>
  <c r="AN768" i="1"/>
  <c r="W812" i="1"/>
  <c r="U812" i="1"/>
  <c r="AE812" i="1"/>
  <c r="AD812" i="1"/>
  <c r="V812" i="1"/>
  <c r="AD834" i="1"/>
  <c r="AE834" i="1"/>
  <c r="AV834" i="1"/>
  <c r="AW834" i="1"/>
  <c r="AD878" i="1"/>
  <c r="AE878" i="1"/>
  <c r="U900" i="1"/>
  <c r="V900" i="1"/>
  <c r="AO636" i="1"/>
  <c r="AN636" i="1"/>
  <c r="CF723" i="1"/>
  <c r="CH723" i="1"/>
  <c r="CG723" i="1"/>
  <c r="CF734" i="1"/>
  <c r="CG734" i="1"/>
  <c r="CH734" i="1"/>
  <c r="CF735" i="1"/>
  <c r="CG735" i="1"/>
  <c r="CH735" i="1"/>
  <c r="CH737" i="1"/>
  <c r="CG737" i="1"/>
  <c r="CF737" i="1"/>
  <c r="CF741" i="1"/>
  <c r="CG741" i="1"/>
  <c r="CH741" i="1"/>
  <c r="CG742" i="1"/>
  <c r="CH742" i="1"/>
  <c r="CF742" i="1"/>
  <c r="CH743" i="1"/>
  <c r="CF743" i="1"/>
  <c r="CG743" i="1"/>
  <c r="CH745" i="1"/>
  <c r="CG745" i="1"/>
  <c r="CF745" i="1"/>
  <c r="CH756" i="1"/>
  <c r="CF756" i="1"/>
  <c r="CG756" i="1"/>
  <c r="U768" i="1"/>
  <c r="AD768" i="1"/>
  <c r="AV768" i="1"/>
  <c r="CH763" i="1"/>
  <c r="CG763" i="1"/>
  <c r="CF763" i="1"/>
  <c r="AM768" i="1"/>
  <c r="CF767" i="1"/>
  <c r="CG767" i="1"/>
  <c r="CH767" i="1"/>
  <c r="CF779" i="1"/>
  <c r="CH779" i="1"/>
  <c r="CG779" i="1"/>
  <c r="CH780" i="1"/>
  <c r="CG780" i="1"/>
  <c r="CF780" i="1"/>
  <c r="CG783" i="1"/>
  <c r="CH783" i="1"/>
  <c r="CF783" i="1"/>
  <c r="CG785" i="1"/>
  <c r="CH785" i="1"/>
  <c r="CF785" i="1"/>
  <c r="CF786" i="1"/>
  <c r="CG786" i="1"/>
  <c r="CH786" i="1"/>
  <c r="CH787" i="1"/>
  <c r="CG787" i="1"/>
  <c r="CH801" i="1"/>
  <c r="CF801" i="1"/>
  <c r="CG801" i="1"/>
  <c r="CH810" i="1"/>
  <c r="CF810" i="1"/>
  <c r="CG810" i="1"/>
  <c r="CH824" i="1"/>
  <c r="CF824" i="1"/>
  <c r="CG824" i="1"/>
  <c r="CH829" i="1"/>
  <c r="CG829" i="1"/>
  <c r="CF829" i="1"/>
  <c r="CH832" i="1"/>
  <c r="CG832" i="1"/>
  <c r="CF832" i="1"/>
  <c r="CF846" i="1"/>
  <c r="CH846" i="1"/>
  <c r="CG846" i="1"/>
  <c r="CH853" i="1"/>
  <c r="CF853" i="1"/>
  <c r="CG853" i="1"/>
  <c r="CF866" i="1"/>
  <c r="CH866" i="1"/>
  <c r="CG866" i="1"/>
  <c r="CF867" i="1"/>
  <c r="CH867" i="1"/>
  <c r="CG867" i="1"/>
  <c r="CF875" i="1"/>
  <c r="CG875" i="1"/>
  <c r="CH875" i="1"/>
  <c r="CF876" i="1"/>
  <c r="CH876" i="1"/>
  <c r="CG876" i="1"/>
  <c r="CF877" i="1"/>
  <c r="CH877" i="1"/>
  <c r="CG877" i="1"/>
  <c r="CG894" i="1"/>
  <c r="CH894" i="1"/>
  <c r="CF894" i="1"/>
  <c r="CO42" i="1"/>
  <c r="CP42" i="1"/>
  <c r="CF258" i="1"/>
  <c r="CH258" i="1"/>
  <c r="CF407" i="1"/>
  <c r="CH407" i="1"/>
  <c r="CG407" i="1"/>
  <c r="CH525" i="1"/>
  <c r="CF525" i="1"/>
  <c r="CG525" i="1"/>
  <c r="CG590" i="1"/>
  <c r="CF590" i="1"/>
  <c r="CH716" i="1"/>
  <c r="CF716" i="1"/>
  <c r="CG716" i="1"/>
  <c r="CP570" i="1"/>
  <c r="CQ570" i="1"/>
  <c r="CQ592" i="1"/>
  <c r="CP592" i="1"/>
  <c r="CQ614" i="1"/>
  <c r="CP614" i="1"/>
  <c r="CO614" i="1"/>
  <c r="CQ636" i="1"/>
  <c r="CP636" i="1"/>
  <c r="CP680" i="1"/>
  <c r="CO680" i="1"/>
  <c r="CO702" i="1"/>
  <c r="CP702" i="1"/>
  <c r="CQ702" i="1"/>
  <c r="CO570" i="1"/>
  <c r="CO592" i="1"/>
  <c r="CO636" i="1"/>
  <c r="CO548" i="1"/>
  <c r="CO526" i="1"/>
  <c r="CO416" i="1"/>
  <c r="CP548" i="1"/>
  <c r="CQ548" i="1"/>
  <c r="CQ526" i="1"/>
  <c r="CP526" i="1"/>
  <c r="CQ504" i="1"/>
  <c r="CP504" i="1"/>
  <c r="CO504" i="1"/>
  <c r="CO482" i="1"/>
  <c r="CP482" i="1"/>
  <c r="CQ64" i="1"/>
  <c r="CO64" i="1"/>
  <c r="CP64" i="1"/>
  <c r="W438" i="1"/>
  <c r="AX438" i="1"/>
  <c r="BG438" i="1"/>
  <c r="BP438" i="1"/>
  <c r="BL438" i="1"/>
  <c r="CQ438" i="1"/>
  <c r="BY438" i="1"/>
  <c r="AO438" i="1"/>
  <c r="AF438" i="1"/>
  <c r="BO438" i="1"/>
  <c r="BX438" i="1"/>
  <c r="AN438" i="1"/>
  <c r="AE438" i="1"/>
  <c r="BF438" i="1"/>
  <c r="AW438" i="1"/>
  <c r="CP438" i="1"/>
  <c r="BE438" i="1"/>
  <c r="BN438" i="1"/>
  <c r="AM438" i="1"/>
  <c r="BW438" i="1"/>
  <c r="AV438" i="1"/>
  <c r="CO438" i="1"/>
  <c r="BP416" i="1"/>
  <c r="BL416" i="1"/>
  <c r="AF416" i="1"/>
  <c r="AO416" i="1"/>
  <c r="AX416" i="1"/>
  <c r="BG416" i="1"/>
  <c r="BY416" i="1"/>
  <c r="CQ416" i="1"/>
  <c r="BO416" i="1"/>
  <c r="BX416" i="1"/>
  <c r="CP416" i="1"/>
  <c r="AN416" i="1"/>
  <c r="BF416" i="1"/>
  <c r="AW416" i="1"/>
  <c r="U416" i="1"/>
  <c r="BW416" i="1"/>
  <c r="BE416" i="1"/>
  <c r="BN416" i="1"/>
  <c r="AD416" i="1"/>
  <c r="AO394" i="1"/>
  <c r="BG394" i="1"/>
  <c r="CQ394" i="1"/>
  <c r="BY394" i="1"/>
  <c r="BP394" i="1"/>
  <c r="BL394" i="1"/>
  <c r="AX394" i="1"/>
  <c r="AF394" i="1"/>
  <c r="W394" i="1"/>
  <c r="AW394" i="1"/>
  <c r="CP394" i="1"/>
  <c r="BO394" i="1"/>
  <c r="BF394" i="1"/>
  <c r="AN394" i="1"/>
  <c r="AE394" i="1"/>
  <c r="AV394" i="1"/>
  <c r="AM394" i="1"/>
  <c r="CO394" i="1"/>
  <c r="BW394" i="1"/>
  <c r="BN394" i="1"/>
  <c r="BE394" i="1"/>
  <c r="U394" i="1"/>
  <c r="CO372" i="1"/>
  <c r="U372" i="1"/>
  <c r="BW372" i="1"/>
  <c r="AD372" i="1"/>
  <c r="AM372" i="1"/>
  <c r="BE372" i="1"/>
  <c r="AV372" i="1"/>
  <c r="AO372" i="1"/>
  <c r="AX372" i="1"/>
  <c r="BG372" i="1"/>
  <c r="BP372" i="1"/>
  <c r="BL372" i="1"/>
  <c r="BJ356" i="1" s="1"/>
  <c r="BJ357" i="1" s="1"/>
  <c r="W372" i="1"/>
  <c r="BY372" i="1"/>
  <c r="CQ372" i="1"/>
  <c r="AF372" i="1"/>
  <c r="BX372" i="1"/>
  <c r="BF372" i="1"/>
  <c r="AN372" i="1"/>
  <c r="AW372" i="1"/>
  <c r="BO372" i="1"/>
  <c r="AE372" i="1"/>
  <c r="CP372" i="1"/>
  <c r="BY350" i="1"/>
  <c r="CQ350" i="1"/>
  <c r="BP350" i="1"/>
  <c r="BL350" i="1"/>
  <c r="BG350" i="1"/>
  <c r="AX350" i="1"/>
  <c r="AO350" i="1"/>
  <c r="AF350" i="1"/>
  <c r="W350" i="1"/>
  <c r="BF350" i="1"/>
  <c r="BX350" i="1"/>
  <c r="AW350" i="1"/>
  <c r="CP350" i="1"/>
  <c r="AN350" i="1"/>
  <c r="BO350" i="1"/>
  <c r="AE350" i="1"/>
  <c r="BW350" i="1"/>
  <c r="CO350" i="1"/>
  <c r="AM350" i="1"/>
  <c r="BE350" i="1"/>
  <c r="BN350" i="1"/>
  <c r="AV350" i="1"/>
  <c r="U350" i="1"/>
  <c r="CQ328" i="1"/>
  <c r="AX328" i="1"/>
  <c r="AF328" i="1"/>
  <c r="BP328" i="1"/>
  <c r="BL328" i="1"/>
  <c r="BY328" i="1"/>
  <c r="W328" i="1"/>
  <c r="BG328" i="1"/>
  <c r="AO328" i="1"/>
  <c r="AE328" i="1"/>
  <c r="CP328" i="1"/>
  <c r="BX328" i="1"/>
  <c r="BO328" i="1"/>
  <c r="BF328" i="1"/>
  <c r="AW328" i="1"/>
  <c r="AN328" i="1"/>
  <c r="CO328" i="1"/>
  <c r="U328" i="1"/>
  <c r="BW328" i="1"/>
  <c r="AD328" i="1"/>
  <c r="AO306" i="1"/>
  <c r="AX306" i="1"/>
  <c r="BY306" i="1"/>
  <c r="BG306" i="1"/>
  <c r="BP306" i="1"/>
  <c r="BL306" i="1"/>
  <c r="BJ290" i="1" s="1"/>
  <c r="W306" i="1"/>
  <c r="AF306" i="1"/>
  <c r="AN306" i="1"/>
  <c r="BF306" i="1"/>
  <c r="BX306" i="1"/>
  <c r="BO306" i="1"/>
  <c r="AE306" i="1"/>
  <c r="U306" i="1"/>
  <c r="BW306" i="1"/>
  <c r="AV306" i="1"/>
  <c r="AM306" i="1"/>
  <c r="CQ284" i="1"/>
  <c r="AF284" i="1"/>
  <c r="BY284" i="1"/>
  <c r="W284" i="1"/>
  <c r="AO284" i="1"/>
  <c r="BP284" i="1"/>
  <c r="BL284" i="1"/>
  <c r="BG284" i="1"/>
  <c r="AX284" i="1"/>
  <c r="BO284" i="1"/>
  <c r="BX284" i="1"/>
  <c r="CP284" i="1"/>
  <c r="AN284" i="1"/>
  <c r="AE284" i="1"/>
  <c r="BF284" i="1"/>
  <c r="BN284" i="1"/>
  <c r="AD284" i="1"/>
  <c r="U284" i="1"/>
  <c r="AM284" i="1"/>
  <c r="AV284" i="1"/>
  <c r="BE284" i="1"/>
  <c r="AX262" i="1"/>
  <c r="AO262" i="1"/>
  <c r="W262" i="1"/>
  <c r="AF262" i="1"/>
  <c r="BY262" i="1"/>
  <c r="CQ262" i="1"/>
  <c r="BP262" i="1"/>
  <c r="BL262" i="1"/>
  <c r="BG262" i="1"/>
  <c r="BF262" i="1"/>
  <c r="AW262" i="1"/>
  <c r="AN262" i="1"/>
  <c r="V262" i="1"/>
  <c r="AE262" i="1"/>
  <c r="CP262" i="1"/>
  <c r="BX262" i="1"/>
  <c r="BO262" i="1"/>
  <c r="AM262" i="1"/>
  <c r="U262" i="1"/>
  <c r="AD262" i="1"/>
  <c r="AV262" i="1"/>
  <c r="BE262" i="1"/>
  <c r="BN262" i="1"/>
  <c r="BW262" i="1"/>
  <c r="CO262" i="1"/>
  <c r="BP240" i="1"/>
  <c r="BL240" i="1"/>
  <c r="BG240" i="1"/>
  <c r="CQ240" i="1"/>
  <c r="W240" i="1"/>
  <c r="AX240" i="1"/>
  <c r="AF240" i="1"/>
  <c r="AO240" i="1"/>
  <c r="BY240" i="1"/>
  <c r="AW240" i="1"/>
  <c r="BX240" i="1"/>
  <c r="BO240" i="1"/>
  <c r="BF240" i="1"/>
  <c r="V240" i="1"/>
  <c r="CP240" i="1"/>
  <c r="AN240" i="1"/>
  <c r="AE240" i="1"/>
  <c r="AV240" i="1"/>
  <c r="AM240" i="1"/>
  <c r="AD240" i="1"/>
  <c r="CO240" i="1"/>
  <c r="U240" i="1"/>
  <c r="BN240" i="1"/>
  <c r="BW240" i="1"/>
  <c r="BE240" i="1"/>
  <c r="AX218" i="1"/>
  <c r="AO218" i="1"/>
  <c r="AF218" i="1"/>
  <c r="W218" i="1"/>
  <c r="CQ218" i="1"/>
  <c r="BY218" i="1"/>
  <c r="BP218" i="1"/>
  <c r="BL218" i="1"/>
  <c r="BG218" i="1"/>
  <c r="AW218" i="1"/>
  <c r="AN218" i="1"/>
  <c r="AE218" i="1"/>
  <c r="V218" i="1"/>
  <c r="CP218" i="1"/>
  <c r="BX218" i="1"/>
  <c r="BO218" i="1"/>
  <c r="BF218" i="1"/>
  <c r="CO218" i="1"/>
  <c r="AV218" i="1"/>
  <c r="AM218" i="1"/>
  <c r="AD218" i="1"/>
  <c r="U218" i="1"/>
  <c r="BE218" i="1"/>
  <c r="BN218" i="1"/>
  <c r="BW218" i="1"/>
  <c r="AX196" i="1"/>
  <c r="AO196" i="1"/>
  <c r="BY196" i="1"/>
  <c r="BP196" i="1"/>
  <c r="BL196" i="1"/>
  <c r="W196" i="1"/>
  <c r="BG196" i="1"/>
  <c r="AF196" i="1"/>
  <c r="CQ196" i="1"/>
  <c r="BX196" i="1"/>
  <c r="AW196" i="1"/>
  <c r="AN196" i="1"/>
  <c r="AE196" i="1"/>
  <c r="V196" i="1"/>
  <c r="CP196" i="1"/>
  <c r="BF196" i="1"/>
  <c r="BO196" i="1"/>
  <c r="CO196" i="1"/>
  <c r="BN196" i="1"/>
  <c r="AV196" i="1"/>
  <c r="AM196" i="1"/>
  <c r="AD196" i="1"/>
  <c r="U196" i="1"/>
  <c r="BW196" i="1"/>
  <c r="BE196" i="1"/>
  <c r="CQ174" i="1"/>
  <c r="BG174" i="1"/>
  <c r="W174" i="1"/>
  <c r="AF174" i="1"/>
  <c r="BP174" i="1"/>
  <c r="BL174" i="1"/>
  <c r="BY174" i="1"/>
  <c r="AX174" i="1"/>
  <c r="AO174" i="1"/>
  <c r="AE174" i="1"/>
  <c r="CP174" i="1"/>
  <c r="BO174" i="1"/>
  <c r="BF174" i="1"/>
  <c r="V174" i="1"/>
  <c r="AW174" i="1"/>
  <c r="BX174" i="1"/>
  <c r="AN174" i="1"/>
  <c r="BW174" i="1"/>
  <c r="AD174" i="1"/>
  <c r="U174" i="1"/>
  <c r="AV174" i="1"/>
  <c r="CO174" i="1"/>
  <c r="BN174" i="1"/>
  <c r="BE174" i="1"/>
  <c r="AM174" i="1"/>
  <c r="BP130" i="1"/>
  <c r="BL130" i="1"/>
  <c r="W130" i="1"/>
  <c r="AF130" i="1"/>
  <c r="AO130" i="1"/>
  <c r="AX130" i="1"/>
  <c r="BY130" i="1"/>
  <c r="BG130" i="1"/>
  <c r="AW130" i="1"/>
  <c r="AN130" i="1"/>
  <c r="BX130" i="1"/>
  <c r="AE130" i="1"/>
  <c r="BO130" i="1"/>
  <c r="V130" i="1"/>
  <c r="BF130" i="1"/>
  <c r="BW130" i="1"/>
  <c r="BN130" i="1"/>
  <c r="AM130" i="1"/>
  <c r="AD130" i="1"/>
  <c r="AV130" i="1"/>
  <c r="U130" i="1"/>
  <c r="AO108" i="1"/>
  <c r="W108" i="1"/>
  <c r="AX108" i="1"/>
  <c r="BG108" i="1"/>
  <c r="BP108" i="1"/>
  <c r="BL108" i="1"/>
  <c r="BY108" i="1"/>
  <c r="CQ108" i="1"/>
  <c r="AF108" i="1"/>
  <c r="BX108" i="1"/>
  <c r="AE108" i="1"/>
  <c r="V108" i="1"/>
  <c r="BO108" i="1"/>
  <c r="AN108" i="1"/>
  <c r="BF108" i="1"/>
  <c r="AW108" i="1"/>
  <c r="CP108" i="1"/>
  <c r="CO108" i="1"/>
  <c r="BW108" i="1"/>
  <c r="BN108" i="1"/>
  <c r="BE108" i="1"/>
  <c r="AV108" i="1"/>
  <c r="AD108" i="1"/>
  <c r="U108" i="1"/>
  <c r="AM108" i="1"/>
  <c r="AO86" i="1"/>
  <c r="CP130" i="1"/>
  <c r="CQ130" i="1"/>
  <c r="CO130" i="1"/>
  <c r="BO152" i="1"/>
  <c r="BN152" i="1"/>
  <c r="CP306" i="1"/>
  <c r="CO306" i="1"/>
  <c r="CQ306" i="1"/>
  <c r="CP460" i="1"/>
  <c r="CQ460" i="1"/>
  <c r="CO460" i="1"/>
  <c r="AF482" i="1"/>
  <c r="AX482" i="1"/>
  <c r="CQ482" i="1"/>
  <c r="BP482" i="1"/>
  <c r="BL482" i="1"/>
  <c r="W482" i="1"/>
  <c r="BG482" i="1"/>
  <c r="BY482" i="1"/>
  <c r="AO482" i="1"/>
  <c r="AN482" i="1"/>
  <c r="BO482" i="1"/>
  <c r="BF482" i="1"/>
  <c r="AW482" i="1"/>
  <c r="BX482" i="1"/>
  <c r="V482" i="1"/>
  <c r="AE482" i="1"/>
  <c r="AW526" i="1"/>
  <c r="AV526" i="1"/>
  <c r="BW548" i="1"/>
  <c r="BX548" i="1"/>
  <c r="AE570" i="1"/>
  <c r="AF570" i="1"/>
  <c r="AD570" i="1"/>
  <c r="BX592" i="1"/>
  <c r="BW592" i="1"/>
  <c r="BW636" i="1"/>
  <c r="BY636" i="1"/>
  <c r="BX636" i="1"/>
  <c r="CP658" i="1"/>
  <c r="CO658" i="1"/>
  <c r="CQ658" i="1"/>
  <c r="AX680" i="1"/>
  <c r="W680" i="1"/>
  <c r="CQ680" i="1"/>
  <c r="AO680" i="1"/>
  <c r="BG680" i="1"/>
  <c r="BY680" i="1"/>
  <c r="AF680" i="1"/>
  <c r="BP680" i="1"/>
  <c r="BL680" i="1"/>
  <c r="BJ664" i="1" s="1"/>
  <c r="BJ665" i="1" s="1"/>
  <c r="AV702" i="1"/>
  <c r="AW702" i="1"/>
  <c r="AX702" i="1"/>
  <c r="BN702" i="1"/>
  <c r="BO702" i="1"/>
  <c r="BX702" i="1"/>
  <c r="AD724" i="1"/>
  <c r="AE724" i="1"/>
  <c r="BW152" i="1"/>
  <c r="CO152" i="1"/>
  <c r="BX152" i="1"/>
  <c r="CP152" i="1"/>
  <c r="BL152" i="1"/>
  <c r="BP152" i="1"/>
  <c r="BY152" i="1"/>
  <c r="CQ152" i="1"/>
  <c r="CH259" i="1"/>
  <c r="CF259" i="1"/>
  <c r="CF273" i="1"/>
  <c r="CH273" i="1"/>
  <c r="CH304" i="1"/>
  <c r="CG304" i="1"/>
  <c r="CF304" i="1"/>
  <c r="CF325" i="1"/>
  <c r="CG325" i="1"/>
  <c r="CH339" i="1"/>
  <c r="CF339" i="1"/>
  <c r="CG339" i="1"/>
  <c r="CG340" i="1"/>
  <c r="CH340" i="1"/>
  <c r="CF340" i="1"/>
  <c r="CH342" i="1"/>
  <c r="CG342" i="1"/>
  <c r="CG344" i="1"/>
  <c r="CH344" i="1"/>
  <c r="CF344" i="1"/>
  <c r="CH369" i="1"/>
  <c r="CF369" i="1"/>
  <c r="CG369" i="1"/>
  <c r="CG388" i="1"/>
  <c r="CH388" i="1"/>
  <c r="CF388" i="1"/>
  <c r="CF413" i="1"/>
  <c r="CG413" i="1"/>
  <c r="CH413" i="1"/>
  <c r="CF428" i="1"/>
  <c r="CG428" i="1"/>
  <c r="CH428" i="1"/>
  <c r="V438" i="1"/>
  <c r="U438" i="1"/>
  <c r="CH458" i="1"/>
  <c r="CG458" i="1"/>
  <c r="CF458" i="1"/>
  <c r="CH459" i="1"/>
  <c r="CG459" i="1"/>
  <c r="CF459" i="1"/>
  <c r="CG471" i="1"/>
  <c r="CF471" i="1"/>
  <c r="CF545" i="1"/>
  <c r="CH545" i="1"/>
  <c r="CG546" i="1"/>
  <c r="CH546" i="1"/>
  <c r="CF546" i="1"/>
  <c r="CH589" i="1"/>
  <c r="CF589" i="1"/>
  <c r="CG589" i="1"/>
  <c r="CH591" i="1"/>
  <c r="CF591" i="1"/>
  <c r="CF669" i="1"/>
  <c r="CH669" i="1"/>
  <c r="CG669" i="1"/>
  <c r="CH693" i="1"/>
  <c r="CF693" i="1"/>
  <c r="CG693" i="1"/>
  <c r="BW702" i="1"/>
  <c r="U724" i="1"/>
  <c r="V724" i="1"/>
  <c r="CO724" i="1"/>
  <c r="CP724" i="1"/>
  <c r="BY724" i="1"/>
  <c r="CQ724" i="1"/>
  <c r="CF719" i="1"/>
  <c r="AN724" i="1"/>
  <c r="AM724" i="1"/>
  <c r="AM2" i="33"/>
  <c r="AM3" i="33"/>
  <c r="AM4" i="33"/>
  <c r="AM5" i="33" s="1"/>
  <c r="AM6" i="33" s="1"/>
  <c r="AM7" i="33" s="1"/>
  <c r="AM8" i="33" s="1"/>
  <c r="AM9" i="33" s="1"/>
  <c r="AM10" i="33" s="1"/>
  <c r="AM11" i="33" s="1"/>
  <c r="AM12" i="33" s="1"/>
  <c r="AM13" i="33" s="1"/>
  <c r="AM14" i="33" s="1"/>
  <c r="AM15" i="33" s="1"/>
  <c r="AM16" i="33" s="1"/>
  <c r="AM17" i="33" s="1"/>
  <c r="AM18" i="33" s="1"/>
  <c r="AM19" i="33" s="1"/>
  <c r="AM20" i="33" s="1"/>
  <c r="AM21" i="33" s="1"/>
  <c r="AM22" i="33" s="1"/>
  <c r="AM23" i="33" s="1"/>
  <c r="AM24" i="33" s="1"/>
  <c r="AM25" i="33" s="1"/>
  <c r="AM26" i="33" s="1"/>
  <c r="AM27" i="33" s="1"/>
  <c r="AM28" i="33" s="1"/>
  <c r="AM29" i="33" s="1"/>
  <c r="AM30" i="33" s="1"/>
  <c r="AM31" i="33" s="1"/>
  <c r="AM32" i="33" s="1"/>
  <c r="AM33" i="33" s="1"/>
  <c r="AM34" i="33" s="1"/>
  <c r="AM35" i="33" s="1"/>
  <c r="AM36" i="33" s="1"/>
  <c r="AM37" i="33" s="1"/>
  <c r="AM38" i="33" s="1"/>
  <c r="AM39" i="33" s="1"/>
  <c r="AM40" i="33" s="1"/>
  <c r="L19" i="54"/>
  <c r="P10" i="64"/>
  <c r="Q10" i="64"/>
  <c r="P11" i="64"/>
  <c r="Q11" i="64"/>
  <c r="P12" i="64"/>
  <c r="Q12" i="64"/>
  <c r="O10" i="64"/>
  <c r="W23" i="75" a="1"/>
  <c r="U24" i="75"/>
  <c r="U25" i="75"/>
  <c r="U26" i="75"/>
  <c r="U27" i="75"/>
  <c r="U28" i="75"/>
  <c r="U29" i="75"/>
  <c r="U23" i="75"/>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R18" i="77"/>
  <c r="U4" i="77"/>
  <c r="T4" i="77"/>
  <c r="S4" i="77"/>
  <c r="O27" i="64"/>
  <c r="P27" i="64"/>
  <c r="O28" i="64"/>
  <c r="P28" i="64"/>
  <c r="O29" i="64"/>
  <c r="P29" i="64"/>
  <c r="I18" i="76"/>
  <c r="D18" i="76"/>
  <c r="D168" i="64"/>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s="1"/>
  <c r="H90" i="56"/>
  <c r="J90" i="56" s="1"/>
  <c r="H91" i="56"/>
  <c r="J91" i="56" s="1"/>
  <c r="H92" i="56"/>
  <c r="J92" i="56" s="1"/>
  <c r="H93" i="56"/>
  <c r="J93" i="56" s="1"/>
  <c r="H94" i="56"/>
  <c r="J94" i="56" s="1"/>
  <c r="H95" i="56"/>
  <c r="J95" i="56" s="1"/>
  <c r="H96" i="56"/>
  <c r="J96" i="56" s="1"/>
  <c r="H97" i="56"/>
  <c r="J97" i="56" s="1"/>
  <c r="H98" i="56"/>
  <c r="J98" i="56" s="1"/>
  <c r="H99" i="56"/>
  <c r="J99" i="56" s="1"/>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s="1"/>
  <c r="H121" i="56"/>
  <c r="J121" i="56" s="1"/>
  <c r="H122" i="56"/>
  <c r="J122" i="56" s="1"/>
  <c r="H123" i="56"/>
  <c r="J123" i="56" s="1"/>
  <c r="H124" i="56"/>
  <c r="J124" i="56" s="1"/>
  <c r="H125" i="56"/>
  <c r="J125" i="56" s="1"/>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R20" i="55"/>
  <c r="F33" i="33"/>
  <c r="O7" i="55"/>
  <c r="R5" i="55"/>
  <c r="T48" i="64"/>
  <c r="T49" i="64"/>
  <c r="T50" i="64"/>
  <c r="T51" i="64"/>
  <c r="T52" i="64"/>
  <c r="T53" i="64"/>
  <c r="B8" i="65"/>
  <c r="B5" i="65"/>
  <c r="B2" i="65"/>
  <c r="B3" i="65"/>
  <c r="B6" i="65"/>
  <c r="B7" i="65"/>
  <c r="B4" i="65"/>
  <c r="B1" i="65" a="1"/>
  <c r="AA30" i="55"/>
  <c r="AA34" i="55"/>
  <c r="AA35" i="55"/>
  <c r="AA31" i="55"/>
  <c r="AA32" i="55"/>
  <c r="AA38" i="55"/>
  <c r="AA37" i="55"/>
  <c r="AA33" i="55"/>
  <c r="AA36" i="55"/>
  <c r="O12" i="64"/>
  <c r="O13" i="64"/>
  <c r="P13" i="64"/>
  <c r="Q13" i="64"/>
  <c r="O14" i="64"/>
  <c r="P14" i="64"/>
  <c r="Q14" i="64"/>
  <c r="O15" i="64"/>
  <c r="P15" i="64"/>
  <c r="Q15" i="64"/>
  <c r="O16" i="64"/>
  <c r="P16" i="64"/>
  <c r="Q16" i="64"/>
  <c r="O17" i="64"/>
  <c r="P17" i="64"/>
  <c r="Q17" i="64"/>
  <c r="O18" i="64"/>
  <c r="P18" i="64"/>
  <c r="Q18" i="64"/>
  <c r="O19" i="64"/>
  <c r="P19" i="64"/>
  <c r="Q19" i="64"/>
  <c r="O20" i="64"/>
  <c r="P20" i="64"/>
  <c r="Q20" i="64"/>
  <c r="O21" i="64"/>
  <c r="P21" i="64"/>
  <c r="Q21" i="64"/>
  <c r="O22" i="64"/>
  <c r="P22" i="64"/>
  <c r="Q22" i="64"/>
  <c r="O23" i="64"/>
  <c r="P23" i="64"/>
  <c r="Q23" i="64"/>
  <c r="O24" i="64"/>
  <c r="P24" i="64"/>
  <c r="Q24" i="64"/>
  <c r="O25" i="64"/>
  <c r="P25" i="64"/>
  <c r="Q25" i="64"/>
  <c r="O26" i="64"/>
  <c r="P26" i="64"/>
  <c r="Q26" i="64"/>
  <c r="Q27" i="64"/>
  <c r="Q28" i="64"/>
  <c r="Q29" i="64"/>
  <c r="O30" i="64"/>
  <c r="P30" i="64"/>
  <c r="Q30" i="64"/>
  <c r="O31" i="64"/>
  <c r="P31" i="64"/>
  <c r="Q31" i="64"/>
  <c r="O32" i="64"/>
  <c r="P32" i="64"/>
  <c r="Q32" i="64"/>
  <c r="O33" i="64"/>
  <c r="P33" i="64"/>
  <c r="Q33" i="64"/>
  <c r="O34" i="64"/>
  <c r="P34" i="64"/>
  <c r="Q34" i="64"/>
  <c r="O35" i="64"/>
  <c r="P35" i="64"/>
  <c r="Q35" i="64"/>
  <c r="O36" i="64"/>
  <c r="P36" i="64"/>
  <c r="Q36" i="64"/>
  <c r="O37" i="64"/>
  <c r="P37" i="64"/>
  <c r="Q37" i="64"/>
  <c r="O38" i="64"/>
  <c r="P38" i="64"/>
  <c r="Q38" i="64"/>
  <c r="O39" i="64"/>
  <c r="P39" i="64"/>
  <c r="Q39" i="64"/>
  <c r="O40" i="64"/>
  <c r="P40" i="64"/>
  <c r="Q40" i="64"/>
  <c r="O41" i="64"/>
  <c r="P41" i="64"/>
  <c r="Q41" i="64"/>
  <c r="O42" i="64"/>
  <c r="P42" i="64"/>
  <c r="Q42" i="64"/>
  <c r="O43" i="64"/>
  <c r="P43" i="64"/>
  <c r="Q43" i="64"/>
  <c r="O44" i="64"/>
  <c r="P44" i="64"/>
  <c r="Q44" i="64"/>
  <c r="O45" i="64"/>
  <c r="P45" i="64"/>
  <c r="Q45" i="64"/>
  <c r="O46" i="64"/>
  <c r="P46" i="64"/>
  <c r="Q46" i="64"/>
  <c r="O47" i="64"/>
  <c r="P47" i="64"/>
  <c r="Q47" i="64"/>
  <c r="O48" i="64"/>
  <c r="P48" i="64"/>
  <c r="Q48" i="64"/>
  <c r="S48" i="64" s="1"/>
  <c r="O49" i="64"/>
  <c r="P49" i="64"/>
  <c r="Q49" i="64"/>
  <c r="S49" i="64" s="1"/>
  <c r="O50" i="64"/>
  <c r="P50" i="64"/>
  <c r="Q50" i="64"/>
  <c r="O51" i="64"/>
  <c r="P51" i="64"/>
  <c r="Q51" i="64"/>
  <c r="O52" i="64"/>
  <c r="P52" i="64"/>
  <c r="Q52" i="64"/>
  <c r="O53" i="64"/>
  <c r="P53" i="64"/>
  <c r="Q53" i="64"/>
  <c r="O54" i="64"/>
  <c r="P54" i="64"/>
  <c r="Q54" i="64"/>
  <c r="O55" i="64"/>
  <c r="P55" i="64"/>
  <c r="Q55" i="64"/>
  <c r="O56" i="64"/>
  <c r="P56" i="64"/>
  <c r="Q56" i="64"/>
  <c r="O57" i="64"/>
  <c r="P57" i="64"/>
  <c r="Q57" i="64"/>
  <c r="O58" i="64"/>
  <c r="P58" i="64"/>
  <c r="Q58" i="64"/>
  <c r="O59" i="64"/>
  <c r="P59" i="64"/>
  <c r="Q59" i="64"/>
  <c r="O60" i="64"/>
  <c r="P60" i="64"/>
  <c r="Q60" i="64"/>
  <c r="O61" i="64"/>
  <c r="P61" i="64"/>
  <c r="Q61" i="64"/>
  <c r="O62" i="64"/>
  <c r="P62" i="64"/>
  <c r="Q62" i="64"/>
  <c r="O63" i="64"/>
  <c r="P63" i="64"/>
  <c r="Q63" i="64"/>
  <c r="O64" i="64"/>
  <c r="P64" i="64"/>
  <c r="Q64" i="64"/>
  <c r="O65" i="64"/>
  <c r="P65" i="64"/>
  <c r="Q65" i="64"/>
  <c r="S65" i="64"/>
  <c r="O66" i="64"/>
  <c r="P66" i="64"/>
  <c r="Q66" i="64"/>
  <c r="O67" i="64"/>
  <c r="P67" i="64"/>
  <c r="S67" i="64" s="1"/>
  <c r="Q67" i="64"/>
  <c r="O68" i="64"/>
  <c r="P68" i="64"/>
  <c r="Q68" i="64"/>
  <c r="O69" i="64"/>
  <c r="P69" i="64"/>
  <c r="Q69" i="64"/>
  <c r="O70" i="64"/>
  <c r="P70" i="64"/>
  <c r="Q70" i="64"/>
  <c r="O71" i="64"/>
  <c r="P71" i="64"/>
  <c r="S71" i="64" s="1"/>
  <c r="Q71" i="64"/>
  <c r="O72" i="64"/>
  <c r="P72" i="64"/>
  <c r="Q72" i="64"/>
  <c r="O73" i="64"/>
  <c r="P73" i="64"/>
  <c r="Q73" i="64"/>
  <c r="O74" i="64"/>
  <c r="P74" i="64"/>
  <c r="Q74" i="64"/>
  <c r="O75" i="64"/>
  <c r="P75" i="64"/>
  <c r="Q75" i="64"/>
  <c r="O76" i="64"/>
  <c r="P76" i="64"/>
  <c r="Q76" i="64"/>
  <c r="O77" i="64"/>
  <c r="P77" i="64"/>
  <c r="Q77" i="64"/>
  <c r="O78" i="64"/>
  <c r="P78" i="64"/>
  <c r="Q78" i="64"/>
  <c r="O79" i="64"/>
  <c r="P79" i="64"/>
  <c r="Q79" i="64"/>
  <c r="S79" i="64"/>
  <c r="O80" i="64"/>
  <c r="P80" i="64"/>
  <c r="Q80" i="64"/>
  <c r="O81" i="64"/>
  <c r="P81" i="64"/>
  <c r="Q81" i="64"/>
  <c r="O82" i="64"/>
  <c r="P82" i="64"/>
  <c r="Q82" i="64"/>
  <c r="S82" i="64" s="1"/>
  <c r="O83" i="64"/>
  <c r="P83" i="64"/>
  <c r="Q83" i="64"/>
  <c r="O84" i="64"/>
  <c r="P84" i="64"/>
  <c r="Q84" i="64"/>
  <c r="S84" i="64"/>
  <c r="O85" i="64"/>
  <c r="P85" i="64"/>
  <c r="S85" i="64" s="1"/>
  <c r="Q85" i="64"/>
  <c r="O86" i="64"/>
  <c r="P86" i="64"/>
  <c r="Q86" i="64"/>
  <c r="O87" i="64"/>
  <c r="P87" i="64"/>
  <c r="Q87" i="64"/>
  <c r="O88" i="64"/>
  <c r="P88" i="64"/>
  <c r="Q88" i="64"/>
  <c r="O89" i="64"/>
  <c r="P89" i="64"/>
  <c r="Q89" i="64"/>
  <c r="S89" i="64"/>
  <c r="O90" i="64"/>
  <c r="P90" i="64"/>
  <c r="Q90" i="64"/>
  <c r="S90" i="64" s="1"/>
  <c r="O91" i="64"/>
  <c r="P91" i="64"/>
  <c r="Q91" i="64"/>
  <c r="S91" i="64" s="1"/>
  <c r="O92" i="64"/>
  <c r="P92" i="64"/>
  <c r="S92" i="64" s="1"/>
  <c r="Q92" i="64"/>
  <c r="O93" i="64"/>
  <c r="P93" i="64"/>
  <c r="Q93" i="64"/>
  <c r="O94" i="64"/>
  <c r="P94" i="64"/>
  <c r="Q94" i="64"/>
  <c r="O95" i="64"/>
  <c r="P95" i="64"/>
  <c r="Q95" i="64"/>
  <c r="S95" i="64"/>
  <c r="O96" i="64"/>
  <c r="P96" i="64"/>
  <c r="Q96" i="64"/>
  <c r="O97" i="64"/>
  <c r="P97" i="64"/>
  <c r="Q97" i="64"/>
  <c r="O98" i="64"/>
  <c r="P98" i="64"/>
  <c r="Q98" i="64"/>
  <c r="O99" i="64"/>
  <c r="P99" i="64"/>
  <c r="Q99" i="64"/>
  <c r="O100" i="64"/>
  <c r="P100" i="64"/>
  <c r="Q100" i="64"/>
  <c r="O101" i="64"/>
  <c r="P101" i="64"/>
  <c r="S101" i="64" s="1"/>
  <c r="Q101" i="64"/>
  <c r="O102" i="64"/>
  <c r="P102" i="64"/>
  <c r="S102" i="64" s="1"/>
  <c r="Q102" i="64"/>
  <c r="O103" i="64"/>
  <c r="P103" i="64"/>
  <c r="Q103" i="64"/>
  <c r="O104" i="64"/>
  <c r="P104" i="64"/>
  <c r="Q104" i="64"/>
  <c r="O105" i="64"/>
  <c r="P105" i="64"/>
  <c r="Q105" i="64"/>
  <c r="O106" i="64"/>
  <c r="P106" i="64"/>
  <c r="Q106" i="64"/>
  <c r="O107" i="64"/>
  <c r="P107" i="64"/>
  <c r="Q107" i="64"/>
  <c r="O108" i="64"/>
  <c r="P108" i="64"/>
  <c r="S108" i="64" s="1"/>
  <c r="Q108" i="64"/>
  <c r="O109" i="64"/>
  <c r="P109" i="64"/>
  <c r="Q109" i="64"/>
  <c r="O110" i="64"/>
  <c r="P110" i="64"/>
  <c r="Q110" i="64"/>
  <c r="S110" i="64" s="1"/>
  <c r="O111" i="64"/>
  <c r="P111" i="64"/>
  <c r="Q111" i="64"/>
  <c r="S111" i="64"/>
  <c r="O112" i="64"/>
  <c r="P112" i="64"/>
  <c r="S112" i="64" s="1"/>
  <c r="Q112" i="64"/>
  <c r="O113" i="64"/>
  <c r="P113" i="64"/>
  <c r="S113" i="64" s="1"/>
  <c r="Q113" i="64"/>
  <c r="O114" i="64"/>
  <c r="P114" i="64"/>
  <c r="Q114" i="64"/>
  <c r="O115" i="64"/>
  <c r="P115" i="64"/>
  <c r="Q115" i="64"/>
  <c r="O116" i="64"/>
  <c r="P116" i="64"/>
  <c r="Q116" i="64"/>
  <c r="O117" i="64"/>
  <c r="P117" i="64"/>
  <c r="S117" i="64" s="1"/>
  <c r="Q117" i="64"/>
  <c r="O118" i="64"/>
  <c r="P118" i="64"/>
  <c r="S118" i="64" s="1"/>
  <c r="Q118" i="64"/>
  <c r="O119" i="64"/>
  <c r="P119" i="64"/>
  <c r="Q119" i="64"/>
  <c r="O120" i="64"/>
  <c r="P120" i="64"/>
  <c r="Q120" i="64"/>
  <c r="O121" i="64"/>
  <c r="P121" i="64"/>
  <c r="Q121" i="64"/>
  <c r="O122" i="64"/>
  <c r="P122" i="64"/>
  <c r="Q122" i="64"/>
  <c r="O123" i="64"/>
  <c r="P123" i="64"/>
  <c r="Q123" i="64"/>
  <c r="O124" i="64"/>
  <c r="P124" i="64"/>
  <c r="S124" i="64" s="1"/>
  <c r="Q124" i="64"/>
  <c r="O125" i="64"/>
  <c r="P125" i="64"/>
  <c r="Q125" i="64"/>
  <c r="S125" i="64"/>
  <c r="O126" i="64"/>
  <c r="P126" i="64"/>
  <c r="Q126" i="64"/>
  <c r="S126" i="64" s="1"/>
  <c r="O127" i="64"/>
  <c r="P127" i="64"/>
  <c r="Q127" i="64"/>
  <c r="O128" i="64"/>
  <c r="P128" i="64"/>
  <c r="S128" i="64" s="1"/>
  <c r="Q128" i="64"/>
  <c r="O129" i="64"/>
  <c r="P129" i="64"/>
  <c r="Q129" i="64"/>
  <c r="O130" i="64"/>
  <c r="P130" i="64"/>
  <c r="Q130" i="64"/>
  <c r="O131" i="64"/>
  <c r="P131" i="64"/>
  <c r="Q131" i="64"/>
  <c r="S131" i="64"/>
  <c r="O132" i="64"/>
  <c r="P132" i="64"/>
  <c r="Q132" i="64"/>
  <c r="O133" i="64"/>
  <c r="P133" i="64"/>
  <c r="S133" i="64" s="1"/>
  <c r="Q133" i="64"/>
  <c r="O134" i="64"/>
  <c r="P134" i="64"/>
  <c r="S134" i="64" s="1"/>
  <c r="Q134" i="64"/>
  <c r="O135" i="64"/>
  <c r="P135" i="64"/>
  <c r="Q135" i="64"/>
  <c r="O136" i="64"/>
  <c r="P136" i="64"/>
  <c r="Q136" i="64"/>
  <c r="S136" i="64" s="1"/>
  <c r="O137" i="64"/>
  <c r="P137" i="64"/>
  <c r="Q137" i="64"/>
  <c r="O138" i="64"/>
  <c r="P138" i="64"/>
  <c r="S138" i="64" s="1"/>
  <c r="Q138" i="64"/>
  <c r="O139" i="64"/>
  <c r="P139" i="64"/>
  <c r="Q139" i="64"/>
  <c r="O140" i="64"/>
  <c r="P140" i="64"/>
  <c r="S140" i="64" s="1"/>
  <c r="Q140" i="64"/>
  <c r="O141" i="64"/>
  <c r="P141" i="64"/>
  <c r="Q141" i="64"/>
  <c r="O142" i="64"/>
  <c r="P142" i="64"/>
  <c r="Q142" i="64"/>
  <c r="S142" i="64" s="1"/>
  <c r="O143" i="64"/>
  <c r="P143" i="64"/>
  <c r="Q143" i="64"/>
  <c r="O144" i="64"/>
  <c r="P144" i="64"/>
  <c r="Q144" i="64"/>
  <c r="O145" i="64"/>
  <c r="P145" i="64"/>
  <c r="S145" i="64" s="1"/>
  <c r="Q145" i="64"/>
  <c r="O146" i="64"/>
  <c r="P146" i="64"/>
  <c r="Q146" i="64"/>
  <c r="O147" i="64"/>
  <c r="P147" i="64"/>
  <c r="Q147" i="64"/>
  <c r="S147" i="64"/>
  <c r="O148" i="64"/>
  <c r="P148" i="64"/>
  <c r="Q148" i="64"/>
  <c r="O149" i="64"/>
  <c r="P149" i="64"/>
  <c r="Q149" i="64"/>
  <c r="O150" i="64"/>
  <c r="P150" i="64"/>
  <c r="S150" i="64" s="1"/>
  <c r="Q150" i="64"/>
  <c r="O151" i="64"/>
  <c r="P151" i="64"/>
  <c r="Q151" i="64"/>
  <c r="O152" i="64"/>
  <c r="P152" i="64"/>
  <c r="Q152" i="64"/>
  <c r="O153" i="64"/>
  <c r="P153" i="64"/>
  <c r="Q153" i="64"/>
  <c r="O154" i="64"/>
  <c r="P154" i="64"/>
  <c r="Q154" i="64"/>
  <c r="S154" i="64" s="1"/>
  <c r="O155" i="64"/>
  <c r="P155" i="64"/>
  <c r="S155" i="64" s="1"/>
  <c r="Q155" i="64"/>
  <c r="O156" i="64"/>
  <c r="P156" i="64"/>
  <c r="S156" i="64" s="1"/>
  <c r="Q156" i="64"/>
  <c r="O157" i="64"/>
  <c r="P157" i="64"/>
  <c r="Q157" i="64"/>
  <c r="O158" i="64"/>
  <c r="P158" i="64"/>
  <c r="Q158" i="64"/>
  <c r="O159" i="64"/>
  <c r="P159" i="64"/>
  <c r="S159" i="64" s="1"/>
  <c r="Q159" i="64"/>
  <c r="O160" i="64"/>
  <c r="P160" i="64"/>
  <c r="Q160" i="64"/>
  <c r="O161" i="64"/>
  <c r="P161" i="64"/>
  <c r="S161" i="64" s="1"/>
  <c r="Q161" i="64"/>
  <c r="O162" i="64"/>
  <c r="P162" i="64"/>
  <c r="Q162" i="64"/>
  <c r="O163" i="64"/>
  <c r="P163" i="64"/>
  <c r="S163" i="64" s="1"/>
  <c r="Q163" i="64"/>
  <c r="O164" i="64"/>
  <c r="P164" i="64"/>
  <c r="Q164" i="64"/>
  <c r="S164" i="64"/>
  <c r="O165" i="64"/>
  <c r="P165" i="64"/>
  <c r="S165" i="64" s="1"/>
  <c r="Q165" i="64"/>
  <c r="O166" i="64"/>
  <c r="P166" i="64"/>
  <c r="S166" i="64" s="1"/>
  <c r="Q166" i="64"/>
  <c r="O11" i="64"/>
  <c r="S11" i="64" s="1"/>
  <c r="T11" i="64" s="1"/>
  <c r="E168" i="64"/>
  <c r="F168" i="64"/>
  <c r="H168" i="64"/>
  <c r="I168" i="64"/>
  <c r="J168" i="64"/>
  <c r="M168" i="64"/>
  <c r="N168" i="64"/>
  <c r="R168" i="64"/>
  <c r="T54" i="64"/>
  <c r="T55" i="64"/>
  <c r="T56" i="64"/>
  <c r="T57" i="64"/>
  <c r="T58" i="64"/>
  <c r="T59" i="64"/>
  <c r="T60" i="64"/>
  <c r="T61" i="64"/>
  <c r="T62" i="64"/>
  <c r="T63" i="64"/>
  <c r="T64" i="64"/>
  <c r="T65" i="64"/>
  <c r="T66" i="64"/>
  <c r="T67" i="64"/>
  <c r="T68" i="64"/>
  <c r="T69" i="64"/>
  <c r="T70" i="64"/>
  <c r="T71" i="64"/>
  <c r="T72" i="64"/>
  <c r="T73" i="64"/>
  <c r="T74" i="64"/>
  <c r="T75" i="64"/>
  <c r="T76" i="64"/>
  <c r="T77" i="64"/>
  <c r="T78" i="64"/>
  <c r="T79" i="64"/>
  <c r="T80" i="64"/>
  <c r="T81" i="64"/>
  <c r="T82" i="64"/>
  <c r="T83" i="64"/>
  <c r="T84" i="64"/>
  <c r="T85" i="64"/>
  <c r="T86" i="64"/>
  <c r="T87" i="64"/>
  <c r="T88" i="64"/>
  <c r="T89" i="64"/>
  <c r="T90" i="64"/>
  <c r="T91" i="64"/>
  <c r="T92" i="64"/>
  <c r="T93" i="64"/>
  <c r="T94" i="64"/>
  <c r="T95" i="64"/>
  <c r="T96" i="64"/>
  <c r="T97" i="64"/>
  <c r="T98" i="64"/>
  <c r="T99" i="64"/>
  <c r="T100" i="64"/>
  <c r="T101" i="64"/>
  <c r="T102" i="64"/>
  <c r="T103" i="64"/>
  <c r="T104" i="64"/>
  <c r="T105" i="64"/>
  <c r="T106" i="64"/>
  <c r="T107" i="64"/>
  <c r="T108" i="64"/>
  <c r="T109" i="64"/>
  <c r="T110" i="64"/>
  <c r="T111" i="64"/>
  <c r="T112" i="64"/>
  <c r="T113" i="64"/>
  <c r="T114" i="64"/>
  <c r="T115" i="64"/>
  <c r="T116" i="64"/>
  <c r="T117" i="64"/>
  <c r="T118" i="64"/>
  <c r="T119" i="64"/>
  <c r="T120" i="64"/>
  <c r="T121" i="64"/>
  <c r="T122" i="64"/>
  <c r="T123" i="64"/>
  <c r="T124" i="64"/>
  <c r="T125" i="64"/>
  <c r="T126" i="64"/>
  <c r="T127" i="64"/>
  <c r="T128" i="64"/>
  <c r="T129" i="64"/>
  <c r="T130" i="64"/>
  <c r="T131" i="64"/>
  <c r="T132" i="64"/>
  <c r="T133" i="64"/>
  <c r="T134" i="64"/>
  <c r="T135" i="64"/>
  <c r="T136" i="64"/>
  <c r="T137" i="64"/>
  <c r="T138" i="64"/>
  <c r="T139" i="64"/>
  <c r="T140" i="64"/>
  <c r="T141" i="64"/>
  <c r="T142" i="64"/>
  <c r="T143" i="64"/>
  <c r="T144" i="64"/>
  <c r="T145" i="64"/>
  <c r="T146" i="64"/>
  <c r="T147" i="64"/>
  <c r="T148" i="64"/>
  <c r="T149" i="64"/>
  <c r="T150" i="64"/>
  <c r="T151" i="64"/>
  <c r="T152" i="64"/>
  <c r="T153" i="64"/>
  <c r="T154" i="64"/>
  <c r="T155" i="64"/>
  <c r="T156" i="64"/>
  <c r="T157" i="64"/>
  <c r="T158" i="64"/>
  <c r="T159" i="64"/>
  <c r="T160" i="64"/>
  <c r="T161" i="64"/>
  <c r="T162" i="64"/>
  <c r="T163" i="64"/>
  <c r="T164" i="64"/>
  <c r="T165" i="64"/>
  <c r="T166" i="64"/>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R26" i="54"/>
  <c r="R28" i="54"/>
  <c r="R27" i="54"/>
  <c r="R25" i="54"/>
  <c r="R22" i="54"/>
  <c r="R23" i="54"/>
  <c r="R24" i="54"/>
  <c r="V45" i="54" a="1"/>
  <c r="S153" i="64"/>
  <c r="S137" i="64"/>
  <c r="S129" i="64"/>
  <c r="S73" i="64"/>
  <c r="S57" i="64"/>
  <c r="S151" i="64"/>
  <c r="S135" i="64"/>
  <c r="S119" i="64"/>
  <c r="S115" i="64"/>
  <c r="S103" i="64"/>
  <c r="S99" i="64"/>
  <c r="S87" i="64"/>
  <c r="S83" i="64"/>
  <c r="S63" i="64"/>
  <c r="S158" i="64"/>
  <c r="S146" i="64"/>
  <c r="S130" i="64"/>
  <c r="S114" i="64"/>
  <c r="S98" i="64"/>
  <c r="S152" i="64"/>
  <c r="S120" i="64"/>
  <c r="S104" i="64"/>
  <c r="S88" i="64"/>
  <c r="S157" i="64"/>
  <c r="S141" i="64"/>
  <c r="S109" i="64"/>
  <c r="S93" i="64"/>
  <c r="S162" i="64"/>
  <c r="S148" i="64"/>
  <c r="S132" i="64"/>
  <c r="S52" i="64"/>
  <c r="T47" i="64"/>
  <c r="S19" i="64"/>
  <c r="S149" i="64"/>
  <c r="S144" i="64"/>
  <c r="S139" i="64"/>
  <c r="S123" i="64"/>
  <c r="S107" i="64"/>
  <c r="S59" i="64"/>
  <c r="S160" i="64"/>
  <c r="S96" i="64"/>
  <c r="S80" i="64"/>
  <c r="S69" i="64"/>
  <c r="S64" i="64"/>
  <c r="S143" i="64"/>
  <c r="S127" i="64"/>
  <c r="S18" i="64"/>
  <c r="S116" i="64"/>
  <c r="S100" i="64"/>
  <c r="S121" i="64"/>
  <c r="S105" i="64"/>
  <c r="S106" i="64"/>
  <c r="S13" i="64"/>
  <c r="S94" i="64"/>
  <c r="S78" i="64"/>
  <c r="S62" i="64"/>
  <c r="S51" i="64"/>
  <c r="S72" i="64"/>
  <c r="S56" i="64"/>
  <c r="S122" i="64"/>
  <c r="S77" i="64"/>
  <c r="S55" i="64"/>
  <c r="S76" i="64"/>
  <c r="S97" i="64"/>
  <c r="S86" i="64"/>
  <c r="S81" i="64"/>
  <c r="S42" i="64"/>
  <c r="S24" i="64"/>
  <c r="S23" i="64"/>
  <c r="S31" i="64"/>
  <c r="S25" i="64"/>
  <c r="S60" i="64"/>
  <c r="S45" i="64"/>
  <c r="S70" i="64"/>
  <c r="S74" i="64"/>
  <c r="S53" i="64"/>
  <c r="S54" i="64"/>
  <c r="S58" i="64"/>
  <c r="S61" i="64"/>
  <c r="S75" i="64"/>
  <c r="S68" i="64"/>
  <c r="S66" i="64"/>
  <c r="S50" i="64"/>
  <c r="S35" i="64"/>
  <c r="S37" i="64"/>
  <c r="S32" i="64"/>
  <c r="S20" i="64"/>
  <c r="S16" i="64"/>
  <c r="S17" i="64"/>
  <c r="S34" i="64"/>
  <c r="S21" i="64"/>
  <c r="S33" i="64"/>
  <c r="S15" i="64"/>
  <c r="S30" i="64"/>
  <c r="S22" i="64"/>
  <c r="S28" i="64"/>
  <c r="S27" i="64"/>
  <c r="S39" i="64"/>
  <c r="S38" i="64"/>
  <c r="S43" i="64"/>
  <c r="S36" i="64"/>
  <c r="S40" i="64"/>
  <c r="S29" i="64"/>
  <c r="S26" i="64"/>
  <c r="AE13" i="75"/>
  <c r="AL13" i="75"/>
  <c r="AE14" i="75"/>
  <c r="AL14" i="75"/>
  <c r="AE15" i="75"/>
  <c r="AL15" i="75"/>
  <c r="AE16" i="75"/>
  <c r="AL16" i="75"/>
  <c r="AE17" i="75"/>
  <c r="AL17" i="75"/>
  <c r="AE18" i="75"/>
  <c r="AL18" i="75"/>
  <c r="AE19" i="75"/>
  <c r="AL19" i="75"/>
  <c r="AO13" i="75" a="1"/>
  <c r="AQ17" i="75"/>
  <c r="AQ16" i="75"/>
  <c r="AQ15" i="75"/>
  <c r="AQ19" i="75"/>
  <c r="AQ18" i="75"/>
  <c r="AQ14" i="75"/>
  <c r="K34" i="68" l="1"/>
  <c r="V34" i="68" s="1" a="1"/>
  <c r="S34" i="45" s="1" a="1"/>
  <c r="I34" i="68"/>
  <c r="BJ70" i="1"/>
  <c r="BJ71" i="1" s="1"/>
  <c r="BJ26" i="1"/>
  <c r="BJ27" i="1" s="1"/>
  <c r="BS4" i="1"/>
  <c r="BS5" i="1" s="1"/>
  <c r="CF166" i="1"/>
  <c r="CG166" i="1"/>
  <c r="CH166" i="1"/>
  <c r="CG171" i="1"/>
  <c r="CF171" i="1"/>
  <c r="CH171" i="1"/>
  <c r="CF172" i="1"/>
  <c r="CG172" i="1"/>
  <c r="CH172" i="1"/>
  <c r="CF106" i="1"/>
  <c r="CG106" i="1"/>
  <c r="CH106" i="1"/>
  <c r="CH105" i="1"/>
  <c r="CG105" i="1"/>
  <c r="CF105" i="1"/>
  <c r="CG100" i="1"/>
  <c r="CF100" i="1"/>
  <c r="CG97" i="1"/>
  <c r="CF97" i="1"/>
  <c r="CG58" i="1"/>
  <c r="CF58" i="1"/>
  <c r="CH58" i="1"/>
  <c r="CF63" i="1"/>
  <c r="CH63" i="1"/>
  <c r="CG63" i="1"/>
  <c r="CH61" i="1"/>
  <c r="CG61" i="1"/>
  <c r="CF61" i="1"/>
  <c r="CF437" i="1"/>
  <c r="CG437" i="1"/>
  <c r="CH437" i="1"/>
  <c r="CH497" i="1"/>
  <c r="CG497" i="1"/>
  <c r="CF497" i="1"/>
  <c r="CF569" i="1"/>
  <c r="CG569" i="1"/>
  <c r="CH569" i="1"/>
  <c r="CH412" i="1"/>
  <c r="CG412" i="1"/>
  <c r="CF412" i="1"/>
  <c r="CF15" i="1"/>
  <c r="CG15" i="1"/>
  <c r="CH15" i="1"/>
  <c r="CF30" i="1"/>
  <c r="CG30" i="1"/>
  <c r="CH30" i="1"/>
  <c r="S12" i="64"/>
  <c r="T12" i="64" s="1"/>
  <c r="T13" i="64" s="1"/>
  <c r="Q357" i="1"/>
  <c r="BJ400" i="1"/>
  <c r="BJ378" i="1"/>
  <c r="BJ334" i="1"/>
  <c r="BJ312" i="1"/>
  <c r="BJ466" i="1"/>
  <c r="BJ467" i="1" s="1"/>
  <c r="BJ136" i="1"/>
  <c r="AI664" i="1"/>
  <c r="AI665" i="1" s="1"/>
  <c r="CF99" i="1"/>
  <c r="CG99" i="1"/>
  <c r="CH99" i="1"/>
  <c r="CG701" i="1"/>
  <c r="CH701" i="1"/>
  <c r="CF701" i="1"/>
  <c r="CH162" i="1"/>
  <c r="CG162" i="1"/>
  <c r="CF162" i="1"/>
  <c r="AR445" i="1"/>
  <c r="AI489" i="1"/>
  <c r="Q621" i="1"/>
  <c r="Q643" i="1"/>
  <c r="Q665" i="1"/>
  <c r="Q577" i="1"/>
  <c r="Q423" i="1"/>
  <c r="BJ599" i="1"/>
  <c r="BJ291" i="1"/>
  <c r="AR4" i="1"/>
  <c r="AR5" i="1" s="1"/>
  <c r="CH345" i="1"/>
  <c r="CF345" i="1"/>
  <c r="CH433" i="1"/>
  <c r="CG433" i="1"/>
  <c r="CF433" i="1"/>
  <c r="CG547" i="1"/>
  <c r="CH547" i="1"/>
  <c r="Z4" i="1"/>
  <c r="Z620" i="1"/>
  <c r="Z26" i="1"/>
  <c r="CG360" i="1"/>
  <c r="CF360" i="1"/>
  <c r="CH360" i="1"/>
  <c r="CF41" i="1"/>
  <c r="CH41" i="1"/>
  <c r="CH788" i="1"/>
  <c r="CF788" i="1"/>
  <c r="CH436" i="1"/>
  <c r="CG436" i="1"/>
  <c r="CF436" i="1"/>
  <c r="CH520" i="1"/>
  <c r="CF520" i="1"/>
  <c r="CF237" i="1"/>
  <c r="CG237" i="1"/>
  <c r="CH237" i="1"/>
  <c r="CH230" i="1"/>
  <c r="CG230" i="1"/>
  <c r="CF230" i="1"/>
  <c r="CF208" i="1"/>
  <c r="CG208" i="1"/>
  <c r="CH208" i="1"/>
  <c r="CF195" i="1"/>
  <c r="CG195" i="1"/>
  <c r="CH195" i="1"/>
  <c r="CH185" i="1"/>
  <c r="CG185" i="1"/>
  <c r="CF185" i="1"/>
  <c r="CH173" i="1"/>
  <c r="CF173" i="1"/>
  <c r="CG173" i="1"/>
  <c r="CG167" i="1"/>
  <c r="CF167" i="1"/>
  <c r="CH167" i="1"/>
  <c r="CH164" i="1"/>
  <c r="CG164" i="1"/>
  <c r="CF164" i="1"/>
  <c r="CH151" i="1"/>
  <c r="CG151" i="1"/>
  <c r="CF151" i="1"/>
  <c r="CH149" i="1"/>
  <c r="CF149" i="1"/>
  <c r="CG149" i="1"/>
  <c r="CH84" i="1"/>
  <c r="CF84" i="1"/>
  <c r="CG84" i="1"/>
  <c r="CF79" i="1"/>
  <c r="CG79" i="1"/>
  <c r="CH79" i="1"/>
  <c r="CH52" i="1"/>
  <c r="CF52" i="1"/>
  <c r="CG52" i="1"/>
  <c r="CH40" i="1"/>
  <c r="CF40" i="1"/>
  <c r="CG40" i="1"/>
  <c r="CH39" i="1"/>
  <c r="CF39" i="1"/>
  <c r="CG39" i="1"/>
  <c r="CH37" i="1"/>
  <c r="CG37" i="1"/>
  <c r="CF37" i="1"/>
  <c r="CF16" i="1"/>
  <c r="CG16" i="1"/>
  <c r="CH16" i="1"/>
  <c r="CF503" i="1"/>
  <c r="CH503" i="1"/>
  <c r="CG503" i="1"/>
  <c r="CG610" i="1"/>
  <c r="CH610" i="1"/>
  <c r="CH261" i="1"/>
  <c r="CG261" i="1"/>
  <c r="CF261" i="1"/>
  <c r="CH126" i="1"/>
  <c r="CG126" i="1"/>
  <c r="CF126" i="1"/>
  <c r="CH124" i="1"/>
  <c r="CG124" i="1"/>
  <c r="CF124" i="1"/>
  <c r="CH365" i="1"/>
  <c r="CF365" i="1"/>
  <c r="CG365" i="1"/>
  <c r="CH279" i="1"/>
  <c r="CF279" i="1"/>
  <c r="CG279" i="1"/>
  <c r="CH515" i="1"/>
  <c r="CF515" i="1"/>
  <c r="CG515" i="1"/>
  <c r="CG898" i="1"/>
  <c r="CH898" i="1"/>
  <c r="CF898" i="1"/>
  <c r="CF147" i="1"/>
  <c r="CG147" i="1"/>
  <c r="CH147" i="1"/>
  <c r="CF121" i="1"/>
  <c r="CG121" i="1"/>
  <c r="CH121" i="1"/>
  <c r="CF104" i="1"/>
  <c r="CG104" i="1"/>
  <c r="CH104" i="1"/>
  <c r="CG77" i="1"/>
  <c r="CF77" i="1"/>
  <c r="CH77" i="1"/>
  <c r="CG76" i="1"/>
  <c r="CF76" i="1"/>
  <c r="CH76" i="1"/>
  <c r="CG75" i="1"/>
  <c r="CF75" i="1"/>
  <c r="CH75" i="1"/>
  <c r="CF62" i="1"/>
  <c r="CG62" i="1"/>
  <c r="CH62" i="1"/>
  <c r="CF57" i="1"/>
  <c r="CG57" i="1"/>
  <c r="CH57" i="1"/>
  <c r="CF56" i="1"/>
  <c r="CG56" i="1"/>
  <c r="CH56" i="1"/>
  <c r="CH481" i="1"/>
  <c r="CG481" i="1"/>
  <c r="CF481" i="1"/>
  <c r="CG60" i="1"/>
  <c r="CH60" i="1"/>
  <c r="CF60" i="1"/>
  <c r="CF213" i="1"/>
  <c r="CG213" i="1"/>
  <c r="CH213" i="1"/>
  <c r="CF125" i="1"/>
  <c r="CG125" i="1"/>
  <c r="CH125" i="1"/>
  <c r="CH103" i="1"/>
  <c r="CF103" i="1"/>
  <c r="CG103" i="1"/>
  <c r="CG207" i="1"/>
  <c r="CH207" i="1"/>
  <c r="CF207" i="1"/>
  <c r="CH165" i="1"/>
  <c r="CG165" i="1"/>
  <c r="CF165" i="1"/>
  <c r="CH231" i="1"/>
  <c r="CF231" i="1"/>
  <c r="CG231" i="1"/>
  <c r="CF78" i="1"/>
  <c r="CG78" i="1"/>
  <c r="CH78" i="1"/>
  <c r="CF294" i="1"/>
  <c r="CH294" i="1"/>
  <c r="CG294" i="1"/>
  <c r="CG493" i="1"/>
  <c r="CF493" i="1"/>
  <c r="CH493" i="1"/>
  <c r="CF480" i="1"/>
  <c r="CG480" i="1"/>
  <c r="CH480" i="1"/>
  <c r="CG282" i="1"/>
  <c r="CF282" i="1"/>
  <c r="CH282" i="1"/>
  <c r="CH277" i="1"/>
  <c r="CF277" i="1"/>
  <c r="CG277" i="1"/>
  <c r="CH276" i="1"/>
  <c r="CF276" i="1"/>
  <c r="CG276" i="1"/>
  <c r="CH500" i="1"/>
  <c r="CG500" i="1"/>
  <c r="CF500" i="1"/>
  <c r="CH298" i="1"/>
  <c r="CF298" i="1"/>
  <c r="CG298" i="1"/>
  <c r="CG543" i="1"/>
  <c r="CF543" i="1"/>
  <c r="CH543" i="1"/>
  <c r="CH602" i="1"/>
  <c r="CG602" i="1"/>
  <c r="CF602" i="1"/>
  <c r="CF650" i="1"/>
  <c r="CH650" i="1"/>
  <c r="CG650" i="1"/>
  <c r="CF671" i="1"/>
  <c r="CG671" i="1"/>
  <c r="CH671" i="1"/>
  <c r="CH674" i="1"/>
  <c r="CG674" i="1"/>
  <c r="CF674" i="1"/>
  <c r="CF521" i="1"/>
  <c r="CH521" i="1"/>
  <c r="CH872" i="1"/>
  <c r="CF872" i="1"/>
  <c r="CG872" i="1"/>
  <c r="CF899" i="1"/>
  <c r="CH899" i="1"/>
  <c r="CG899" i="1"/>
  <c r="CG629" i="1"/>
  <c r="CF629" i="1"/>
  <c r="CH629" i="1"/>
  <c r="CF632" i="1"/>
  <c r="CH632" i="1"/>
  <c r="CG632" i="1"/>
  <c r="CH649" i="1"/>
  <c r="CG649" i="1"/>
  <c r="CF649" i="1"/>
  <c r="CF654" i="1"/>
  <c r="CH654" i="1"/>
  <c r="CG654" i="1"/>
  <c r="CH382" i="1"/>
  <c r="CG382" i="1"/>
  <c r="CH847" i="1"/>
  <c r="CF847" i="1"/>
  <c r="CF626" i="1"/>
  <c r="CG626" i="1"/>
  <c r="CF653" i="1"/>
  <c r="CG653" i="1"/>
  <c r="CH653" i="1"/>
  <c r="CF784" i="1"/>
  <c r="CH784" i="1"/>
  <c r="CG802" i="1"/>
  <c r="CH802" i="1"/>
  <c r="CG827" i="1"/>
  <c r="CH827" i="1"/>
  <c r="CG828" i="1"/>
  <c r="CH828" i="1"/>
  <c r="CF855" i="1"/>
  <c r="CH855" i="1"/>
  <c r="S14" i="64"/>
  <c r="S44" i="64"/>
  <c r="CF96" i="1"/>
  <c r="CG96" i="1"/>
  <c r="CH96" i="1"/>
  <c r="CF10" i="1"/>
  <c r="CH10" i="1"/>
  <c r="CG10" i="1"/>
  <c r="CH163" i="1"/>
  <c r="CG163" i="1"/>
  <c r="CF163" i="1"/>
  <c r="CH695" i="1"/>
  <c r="CF695" i="1"/>
  <c r="CG695" i="1"/>
  <c r="CF283" i="1"/>
  <c r="CH283" i="1"/>
  <c r="CG169" i="1"/>
  <c r="CF169" i="1"/>
  <c r="CH169" i="1"/>
  <c r="CH229" i="1"/>
  <c r="CF229" i="1"/>
  <c r="CG229" i="1"/>
  <c r="CG324" i="1"/>
  <c r="CH324" i="1"/>
  <c r="CF324" i="1"/>
  <c r="CH646" i="1"/>
  <c r="CF646" i="1"/>
  <c r="CG646" i="1"/>
  <c r="CH170" i="1"/>
  <c r="CG170" i="1"/>
  <c r="CF170" i="1"/>
  <c r="CG368" i="1"/>
  <c r="CH368" i="1"/>
  <c r="CF368" i="1"/>
  <c r="CG694" i="1"/>
  <c r="CH694" i="1"/>
  <c r="CF694" i="1"/>
  <c r="CH453" i="1"/>
  <c r="CG453" i="1"/>
  <c r="CF453" i="1"/>
  <c r="CH238" i="1"/>
  <c r="CF238" i="1"/>
  <c r="CG238" i="1"/>
  <c r="CG651" i="1"/>
  <c r="CH651" i="1"/>
  <c r="CF651" i="1"/>
  <c r="CF404" i="1"/>
  <c r="CH404" i="1"/>
  <c r="CG404" i="1"/>
  <c r="CG470" i="1"/>
  <c r="CF470" i="1"/>
  <c r="CH470" i="1"/>
  <c r="CG561" i="1"/>
  <c r="CF561" i="1"/>
  <c r="CH561" i="1"/>
  <c r="CG239" i="1"/>
  <c r="CF239" i="1"/>
  <c r="CH239" i="1"/>
  <c r="CF184" i="1"/>
  <c r="CH184" i="1"/>
  <c r="CG184" i="1"/>
  <c r="CH514" i="1"/>
  <c r="CG514" i="1"/>
  <c r="CF514" i="1"/>
  <c r="CF607" i="1"/>
  <c r="CH607" i="1"/>
  <c r="CG607" i="1"/>
  <c r="CF371" i="1"/>
  <c r="CH371" i="1"/>
  <c r="CG371" i="1"/>
  <c r="CH431" i="1"/>
  <c r="CG431" i="1"/>
  <c r="CF431" i="1"/>
  <c r="CF475" i="1"/>
  <c r="CG475" i="1"/>
  <c r="CH475" i="1"/>
  <c r="CF516" i="1"/>
  <c r="CG516" i="1"/>
  <c r="CH516" i="1"/>
  <c r="CF541" i="1"/>
  <c r="CG541" i="1"/>
  <c r="CH541" i="1"/>
  <c r="CF566" i="1"/>
  <c r="CH566" i="1"/>
  <c r="CG566" i="1"/>
  <c r="CH190" i="1"/>
  <c r="CG190" i="1"/>
  <c r="CF190" i="1"/>
  <c r="CH361" i="1"/>
  <c r="CG361" i="1"/>
  <c r="CF361" i="1"/>
  <c r="CG432" i="1"/>
  <c r="CF432" i="1"/>
  <c r="CH432" i="1"/>
  <c r="CF568" i="1"/>
  <c r="CH568" i="1"/>
  <c r="CG568" i="1"/>
  <c r="CH214" i="1"/>
  <c r="CG214" i="1"/>
  <c r="CF214" i="1"/>
  <c r="CH191" i="1"/>
  <c r="CF191" i="1"/>
  <c r="CG191" i="1"/>
  <c r="CF168" i="1"/>
  <c r="CG168" i="1"/>
  <c r="CH168" i="1"/>
  <c r="CH451" i="1"/>
  <c r="CG451" i="1"/>
  <c r="CF451" i="1"/>
  <c r="CH518" i="1"/>
  <c r="CF518" i="1"/>
  <c r="CG518" i="1"/>
  <c r="CF186" i="1"/>
  <c r="CG186" i="1"/>
  <c r="CH186" i="1"/>
  <c r="CH150" i="1"/>
  <c r="CF150" i="1"/>
  <c r="CG150" i="1"/>
  <c r="CG148" i="1"/>
  <c r="CF148" i="1"/>
  <c r="CH148" i="1"/>
  <c r="CH188" i="1"/>
  <c r="CG188" i="1"/>
  <c r="CF188" i="1"/>
  <c r="CH668" i="1"/>
  <c r="CG668" i="1"/>
  <c r="CF668" i="1"/>
  <c r="CH233" i="1"/>
  <c r="CF233" i="1"/>
  <c r="CG233" i="1"/>
  <c r="CH187" i="1"/>
  <c r="CG187" i="1"/>
  <c r="CF187" i="1"/>
  <c r="CF251" i="1"/>
  <c r="CH251" i="1"/>
  <c r="CG251" i="1"/>
  <c r="CH36" i="1"/>
  <c r="CG36" i="1"/>
  <c r="CF36" i="1"/>
  <c r="CH234" i="1"/>
  <c r="CF234" i="1"/>
  <c r="CG234" i="1"/>
  <c r="CF192" i="1"/>
  <c r="CG192" i="1"/>
  <c r="CH192" i="1"/>
  <c r="CF189" i="1"/>
  <c r="CG189" i="1"/>
  <c r="CH189" i="1"/>
  <c r="CH235" i="1"/>
  <c r="CF235" i="1"/>
  <c r="CG235" i="1"/>
  <c r="BJ576" i="1"/>
  <c r="BJ577" i="1" s="1"/>
  <c r="BJ554" i="1"/>
  <c r="BJ555" i="1" s="1"/>
  <c r="BJ532" i="1"/>
  <c r="BJ533" i="1" s="1"/>
  <c r="BJ510" i="1"/>
  <c r="BJ511" i="1" s="1"/>
  <c r="BJ488" i="1"/>
  <c r="BJ489" i="1" s="1"/>
  <c r="BJ48" i="1"/>
  <c r="BJ49" i="1" s="1"/>
  <c r="BJ422" i="1"/>
  <c r="BJ423" i="1" s="1"/>
  <c r="BJ268" i="1"/>
  <c r="BJ246" i="1"/>
  <c r="BJ224" i="1"/>
  <c r="BJ202" i="1"/>
  <c r="BJ180" i="1"/>
  <c r="BJ158" i="1"/>
  <c r="BJ114" i="1"/>
  <c r="BJ92" i="1"/>
  <c r="CF257" i="1"/>
  <c r="CG257" i="1"/>
  <c r="CH257" i="1"/>
  <c r="CF254" i="1"/>
  <c r="CG254" i="1"/>
  <c r="CH254" i="1"/>
  <c r="CF12" i="1"/>
  <c r="CG12" i="1"/>
  <c r="CH12" i="1"/>
  <c r="CH300" i="1"/>
  <c r="CF300" i="1"/>
  <c r="CH316" i="1"/>
  <c r="CF316" i="1"/>
  <c r="CG316" i="1"/>
  <c r="CG744" i="1"/>
  <c r="CF744" i="1"/>
  <c r="CF74" i="1"/>
  <c r="CG74" i="1"/>
  <c r="CH74" i="1"/>
  <c r="CH127" i="1"/>
  <c r="CF127" i="1"/>
  <c r="CG127" i="1"/>
  <c r="CG319" i="1"/>
  <c r="CH319" i="1"/>
  <c r="CF319" i="1"/>
  <c r="CG327" i="1"/>
  <c r="CH327" i="1"/>
  <c r="CH383" i="1"/>
  <c r="CF383" i="1"/>
  <c r="CF384" i="1"/>
  <c r="CH384" i="1"/>
  <c r="CG389" i="1"/>
  <c r="CH389" i="1"/>
  <c r="CH405" i="1"/>
  <c r="CF405" i="1"/>
  <c r="CG405" i="1"/>
  <c r="CF406" i="1"/>
  <c r="CG406" i="1"/>
  <c r="CH406" i="1"/>
  <c r="CH408" i="1"/>
  <c r="CF408" i="1"/>
  <c r="CF473" i="1"/>
  <c r="CH473" i="1"/>
  <c r="CH495" i="1"/>
  <c r="CG495" i="1"/>
  <c r="CF495" i="1"/>
  <c r="CG739" i="1"/>
  <c r="CF739" i="1"/>
  <c r="CH739" i="1"/>
  <c r="CF806" i="1"/>
  <c r="CH806" i="1"/>
  <c r="CH850" i="1"/>
  <c r="CF850" i="1"/>
  <c r="CG892" i="1"/>
  <c r="CH892" i="1"/>
  <c r="CF892" i="1"/>
  <c r="CF498" i="1"/>
  <c r="CH498" i="1"/>
  <c r="CG498" i="1"/>
  <c r="CF502" i="1"/>
  <c r="CH502" i="1"/>
  <c r="CF519" i="1"/>
  <c r="CH519" i="1"/>
  <c r="CG519" i="1"/>
  <c r="CH524" i="1"/>
  <c r="CG524" i="1"/>
  <c r="CF524" i="1"/>
  <c r="CH537" i="1"/>
  <c r="CF537" i="1"/>
  <c r="CH540" i="1"/>
  <c r="CG540" i="1"/>
  <c r="CF540" i="1"/>
  <c r="CG542" i="1"/>
  <c r="CF542" i="1"/>
  <c r="CH542" i="1"/>
  <c r="CF558" i="1"/>
  <c r="CH558" i="1"/>
  <c r="CG558" i="1"/>
  <c r="CF562" i="1"/>
  <c r="CG562" i="1"/>
  <c r="CH562" i="1"/>
  <c r="CF565" i="1"/>
  <c r="CG565" i="1"/>
  <c r="CH565" i="1"/>
  <c r="CH718" i="1"/>
  <c r="CG718" i="1"/>
  <c r="CF789" i="1"/>
  <c r="CG789" i="1"/>
  <c r="CG809" i="1"/>
  <c r="CF809" i="1"/>
  <c r="CH318" i="1"/>
  <c r="CF318" i="1"/>
  <c r="CG318" i="1"/>
  <c r="CG299" i="1"/>
  <c r="CF299" i="1"/>
  <c r="CH299" i="1"/>
  <c r="CH295" i="1"/>
  <c r="CG295" i="1"/>
  <c r="CF295" i="1"/>
  <c r="CF301" i="1"/>
  <c r="CH301" i="1"/>
  <c r="CH346" i="1"/>
  <c r="CF346" i="1"/>
  <c r="CG348" i="1"/>
  <c r="CF348" i="1"/>
  <c r="CH348" i="1"/>
  <c r="CF366" i="1"/>
  <c r="CH366" i="1"/>
  <c r="CH765" i="1"/>
  <c r="CG765" i="1"/>
  <c r="CF765" i="1"/>
  <c r="CF823" i="1"/>
  <c r="CH823" i="1"/>
  <c r="CG823" i="1"/>
  <c r="CH845" i="1"/>
  <c r="CF845" i="1"/>
  <c r="CF854" i="1"/>
  <c r="CH854" i="1"/>
  <c r="CG854" i="1"/>
  <c r="CG655" i="1"/>
  <c r="CH655" i="1"/>
  <c r="CF655" i="1"/>
  <c r="CG435" i="1"/>
  <c r="CH435" i="1"/>
  <c r="CH586" i="1"/>
  <c r="CF586" i="1"/>
  <c r="CH302" i="1"/>
  <c r="CF302" i="1"/>
  <c r="CG302" i="1"/>
  <c r="CG303" i="1"/>
  <c r="CH303" i="1"/>
  <c r="CF303" i="1"/>
  <c r="CG305" i="1"/>
  <c r="CF305" i="1"/>
  <c r="CH305" i="1"/>
  <c r="CF317" i="1"/>
  <c r="CH317" i="1"/>
  <c r="CG317" i="1"/>
  <c r="CG321" i="1"/>
  <c r="CF321" i="1"/>
  <c r="CH321" i="1"/>
  <c r="CF322" i="1"/>
  <c r="CG322" i="1"/>
  <c r="CH322" i="1"/>
  <c r="CG323" i="1"/>
  <c r="CF323" i="1"/>
  <c r="CH323" i="1"/>
  <c r="CG341" i="1"/>
  <c r="CH341" i="1"/>
  <c r="CF341" i="1"/>
  <c r="CG343" i="1"/>
  <c r="CH343" i="1"/>
  <c r="CH349" i="1"/>
  <c r="CG349" i="1"/>
  <c r="CG362" i="1"/>
  <c r="CH362" i="1"/>
  <c r="CF362" i="1"/>
  <c r="CH364" i="1"/>
  <c r="CG364" i="1"/>
  <c r="CH367" i="1"/>
  <c r="CG367" i="1"/>
  <c r="CG370" i="1"/>
  <c r="CH370" i="1"/>
  <c r="CF370" i="1"/>
  <c r="CG386" i="1"/>
  <c r="CF386" i="1"/>
  <c r="CH387" i="1"/>
  <c r="CF387" i="1"/>
  <c r="CF390" i="1"/>
  <c r="CH390" i="1"/>
  <c r="CG390" i="1"/>
  <c r="CH391" i="1"/>
  <c r="CG391" i="1"/>
  <c r="CF391" i="1"/>
  <c r="CH392" i="1"/>
  <c r="CG392" i="1"/>
  <c r="CH393" i="1"/>
  <c r="CG393" i="1"/>
  <c r="CF393" i="1"/>
  <c r="CH409" i="1"/>
  <c r="CG409" i="1"/>
  <c r="CF409" i="1"/>
  <c r="CH410" i="1"/>
  <c r="CF410" i="1"/>
  <c r="CG410" i="1"/>
  <c r="CG414" i="1"/>
  <c r="CF414" i="1"/>
  <c r="CH414" i="1"/>
  <c r="CG426" i="1"/>
  <c r="CF426" i="1"/>
  <c r="CF427" i="1"/>
  <c r="CH427" i="1"/>
  <c r="CG427" i="1"/>
  <c r="CH430" i="1"/>
  <c r="CF430" i="1"/>
  <c r="CG434" i="1"/>
  <c r="CH434" i="1"/>
  <c r="CH450" i="1"/>
  <c r="CF450" i="1"/>
  <c r="CG452" i="1"/>
  <c r="CF452" i="1"/>
  <c r="CH452" i="1"/>
  <c r="CH454" i="1"/>
  <c r="CF454" i="1"/>
  <c r="CG455" i="1"/>
  <c r="CH455" i="1"/>
  <c r="CG456" i="1"/>
  <c r="CF456" i="1"/>
  <c r="CF457" i="1"/>
  <c r="CH457" i="1"/>
  <c r="CG457" i="1"/>
  <c r="CH474" i="1"/>
  <c r="CF474" i="1"/>
  <c r="CF476" i="1"/>
  <c r="CH476" i="1"/>
  <c r="CG477" i="1"/>
  <c r="CH477" i="1"/>
  <c r="CF477" i="1"/>
  <c r="CG478" i="1"/>
  <c r="CH478" i="1"/>
  <c r="CF478" i="1"/>
  <c r="CG479" i="1"/>
  <c r="CH479" i="1"/>
  <c r="CF479" i="1"/>
  <c r="CG492" i="1"/>
  <c r="CH492" i="1"/>
  <c r="CF494" i="1"/>
  <c r="CH494" i="1"/>
  <c r="CG494" i="1"/>
  <c r="CF499" i="1"/>
  <c r="CG499" i="1"/>
  <c r="CH499" i="1"/>
  <c r="CF501" i="1"/>
  <c r="CG501" i="1"/>
  <c r="CH501" i="1"/>
  <c r="CF517" i="1"/>
  <c r="CG517" i="1"/>
  <c r="CH523" i="1"/>
  <c r="CG523" i="1"/>
  <c r="CF523" i="1"/>
  <c r="CF536" i="1"/>
  <c r="CH536" i="1"/>
  <c r="CG536" i="1"/>
  <c r="CH538" i="1"/>
  <c r="CF538" i="1"/>
  <c r="CH544" i="1"/>
  <c r="CG544" i="1"/>
  <c r="CH559" i="1"/>
  <c r="CG559" i="1"/>
  <c r="CG564" i="1"/>
  <c r="CF564" i="1"/>
  <c r="CG567" i="1"/>
  <c r="CF567" i="1"/>
  <c r="CF580" i="1"/>
  <c r="CH580" i="1"/>
  <c r="CH581" i="1"/>
  <c r="CF581" i="1"/>
  <c r="CG581" i="1"/>
  <c r="CH582" i="1"/>
  <c r="CF582" i="1"/>
  <c r="CF583" i="1"/>
  <c r="CG583" i="1"/>
  <c r="CF584" i="1"/>
  <c r="CH584" i="1"/>
  <c r="CF585" i="1"/>
  <c r="CH585" i="1"/>
  <c r="CG588" i="1"/>
  <c r="CF588" i="1"/>
  <c r="CF13" i="1"/>
  <c r="CG13" i="1"/>
  <c r="CH13" i="1"/>
  <c r="CF11" i="1"/>
  <c r="CH11" i="1"/>
  <c r="CG11" i="1"/>
  <c r="CF272" i="1"/>
  <c r="CH272" i="1"/>
  <c r="CG272" i="1"/>
  <c r="CF9" i="1"/>
  <c r="CG9" i="1"/>
  <c r="CH9" i="1"/>
  <c r="CH603" i="1"/>
  <c r="CF603" i="1"/>
  <c r="CG611" i="1"/>
  <c r="CF611" i="1"/>
  <c r="CF613" i="1"/>
  <c r="CH613" i="1"/>
  <c r="CG278" i="1"/>
  <c r="CH278" i="1"/>
  <c r="CF278" i="1"/>
  <c r="CH700" i="1"/>
  <c r="CG700" i="1"/>
  <c r="CF700" i="1"/>
  <c r="CG738" i="1"/>
  <c r="CF738" i="1"/>
  <c r="CH738" i="1"/>
  <c r="CH800" i="1"/>
  <c r="CF800" i="1"/>
  <c r="CH811" i="1"/>
  <c r="CG811" i="1"/>
  <c r="CF811" i="1"/>
  <c r="CH822" i="1"/>
  <c r="CF822" i="1"/>
  <c r="CG822" i="1"/>
  <c r="CH830" i="1"/>
  <c r="CF830" i="1"/>
  <c r="CF848" i="1"/>
  <c r="CH848" i="1"/>
  <c r="CH889" i="1"/>
  <c r="CF889" i="1"/>
  <c r="CG889" i="1"/>
  <c r="CF32" i="1"/>
  <c r="CH32" i="1"/>
  <c r="CG32" i="1"/>
  <c r="CF31" i="1"/>
  <c r="CH31" i="1"/>
  <c r="CG31" i="1"/>
  <c r="CH19" i="1"/>
  <c r="CG19" i="1"/>
  <c r="CF18" i="1"/>
  <c r="CH18" i="1"/>
  <c r="CG18" i="1"/>
  <c r="CF14" i="1"/>
  <c r="CH14" i="1"/>
  <c r="CG14" i="1"/>
  <c r="CF8" i="1"/>
  <c r="CG8" i="1"/>
  <c r="CH8" i="1"/>
  <c r="CH678" i="1"/>
  <c r="CF678" i="1"/>
  <c r="CG678" i="1"/>
  <c r="CG296" i="1"/>
  <c r="CH296" i="1"/>
  <c r="CF296" i="1"/>
  <c r="CH143" i="1"/>
  <c r="CG143" i="1"/>
  <c r="CF143" i="1"/>
  <c r="CG604" i="1"/>
  <c r="CH604" i="1"/>
  <c r="CG605" i="1"/>
  <c r="CH605" i="1"/>
  <c r="CG608" i="1"/>
  <c r="CF608" i="1"/>
  <c r="CF612" i="1"/>
  <c r="CG612" i="1"/>
  <c r="CG624" i="1"/>
  <c r="CF624" i="1"/>
  <c r="CH624" i="1"/>
  <c r="CH625" i="1"/>
  <c r="CF625" i="1"/>
  <c r="CG630" i="1"/>
  <c r="CF630" i="1"/>
  <c r="CF631" i="1"/>
  <c r="CH631" i="1"/>
  <c r="CF633" i="1"/>
  <c r="CG633" i="1"/>
  <c r="CH633" i="1"/>
  <c r="CF634" i="1"/>
  <c r="CG634" i="1"/>
  <c r="CH634" i="1"/>
  <c r="CF635" i="1"/>
  <c r="CH635" i="1"/>
  <c r="CH647" i="1"/>
  <c r="CG647" i="1"/>
  <c r="CF648" i="1"/>
  <c r="CH648" i="1"/>
  <c r="CF656" i="1"/>
  <c r="CG656" i="1"/>
  <c r="CG690" i="1"/>
  <c r="CF690" i="1"/>
  <c r="CG692" i="1"/>
  <c r="CH692" i="1"/>
  <c r="CF696" i="1"/>
  <c r="CH696" i="1"/>
  <c r="CG696" i="1"/>
  <c r="CH699" i="1"/>
  <c r="CG699" i="1"/>
  <c r="CF699" i="1"/>
  <c r="CH713" i="1"/>
  <c r="CF713" i="1"/>
  <c r="CF715" i="1"/>
  <c r="CG715" i="1"/>
  <c r="CH715" i="1"/>
  <c r="CG717" i="1"/>
  <c r="CF717" i="1"/>
  <c r="CG33" i="1"/>
  <c r="CH33" i="1"/>
  <c r="CH719" i="1"/>
  <c r="CG719" i="1"/>
  <c r="CF657" i="1"/>
  <c r="CH657" i="1"/>
  <c r="CG657" i="1"/>
  <c r="CG670" i="1"/>
  <c r="CF670" i="1"/>
  <c r="CH675" i="1"/>
  <c r="CG675" i="1"/>
  <c r="CF675" i="1"/>
  <c r="CH676" i="1"/>
  <c r="CG676" i="1"/>
  <c r="CF676" i="1"/>
  <c r="CG677" i="1"/>
  <c r="CH677" i="1"/>
  <c r="CF677" i="1"/>
  <c r="CH679" i="1"/>
  <c r="CG679" i="1"/>
  <c r="CH691" i="1"/>
  <c r="CG691" i="1"/>
  <c r="CG697" i="1"/>
  <c r="CH697" i="1"/>
  <c r="CF697" i="1"/>
  <c r="CF698" i="1"/>
  <c r="CH698" i="1"/>
  <c r="CG712" i="1"/>
  <c r="CH712" i="1"/>
  <c r="CG714" i="1"/>
  <c r="CF714" i="1"/>
  <c r="CF720" i="1"/>
  <c r="CH720" i="1"/>
  <c r="CF721" i="1"/>
  <c r="CH721" i="1"/>
  <c r="CH722" i="1"/>
  <c r="CF722" i="1"/>
  <c r="CF736" i="1"/>
  <c r="CG736" i="1"/>
  <c r="CF740" i="1"/>
  <c r="CH740" i="1"/>
  <c r="CF757" i="1"/>
  <c r="CH757" i="1"/>
  <c r="CG757" i="1"/>
  <c r="CH758" i="1"/>
  <c r="CG758" i="1"/>
  <c r="CG759" i="1"/>
  <c r="CF759" i="1"/>
  <c r="CF760" i="1"/>
  <c r="CH760" i="1"/>
  <c r="CF761" i="1"/>
  <c r="CG761" i="1"/>
  <c r="CF762" i="1"/>
  <c r="CH762" i="1"/>
  <c r="CG762" i="1"/>
  <c r="CG764" i="1"/>
  <c r="CF764" i="1"/>
  <c r="CG766" i="1"/>
  <c r="CF766" i="1"/>
  <c r="CF778" i="1"/>
  <c r="CH778" i="1"/>
  <c r="CF781" i="1"/>
  <c r="CH781" i="1"/>
  <c r="CG782" i="1"/>
  <c r="CF782" i="1"/>
  <c r="CG803" i="1"/>
  <c r="CF803" i="1"/>
  <c r="CH803" i="1"/>
  <c r="CF804" i="1"/>
  <c r="CH804" i="1"/>
  <c r="CF805" i="1"/>
  <c r="CG805" i="1"/>
  <c r="CG807" i="1"/>
  <c r="CF807" i="1"/>
  <c r="CF808" i="1"/>
  <c r="CH808" i="1"/>
  <c r="CH825" i="1"/>
  <c r="CF825" i="1"/>
  <c r="CG826" i="1"/>
  <c r="CH826" i="1"/>
  <c r="CH831" i="1"/>
  <c r="CF831" i="1"/>
  <c r="CG831" i="1"/>
  <c r="CH833" i="1"/>
  <c r="CF833" i="1"/>
  <c r="CG833" i="1"/>
  <c r="CG844" i="1"/>
  <c r="CH844" i="1"/>
  <c r="CG851" i="1"/>
  <c r="CF851" i="1"/>
  <c r="CF852" i="1"/>
  <c r="CG852" i="1"/>
  <c r="CH852" i="1"/>
  <c r="CH868" i="1"/>
  <c r="CG868" i="1"/>
  <c r="CG870" i="1"/>
  <c r="CH870" i="1"/>
  <c r="CF870" i="1"/>
  <c r="CH871" i="1"/>
  <c r="CF871" i="1"/>
  <c r="CG873" i="1"/>
  <c r="CH873" i="1"/>
  <c r="CF873" i="1"/>
  <c r="CF874" i="1"/>
  <c r="CG874" i="1"/>
  <c r="CF888" i="1"/>
  <c r="CG888" i="1"/>
  <c r="CH888" i="1"/>
  <c r="CG890" i="1"/>
  <c r="CH890" i="1"/>
  <c r="CG891" i="1"/>
  <c r="CF891" i="1"/>
  <c r="CH891" i="1"/>
  <c r="CG893" i="1"/>
  <c r="CH893" i="1"/>
  <c r="CG895" i="1"/>
  <c r="CH895" i="1"/>
  <c r="CH896" i="1"/>
  <c r="CG896" i="1"/>
  <c r="CF896" i="1"/>
  <c r="CH897" i="1"/>
  <c r="CG897" i="1"/>
  <c r="CH297" i="1"/>
  <c r="CG297" i="1"/>
  <c r="CH275" i="1"/>
  <c r="CG275" i="1"/>
  <c r="CF274" i="1"/>
  <c r="CG274" i="1"/>
  <c r="CH274" i="1"/>
  <c r="CF141" i="1"/>
  <c r="CG141" i="1"/>
  <c r="CH141" i="1"/>
  <c r="CH129" i="1"/>
  <c r="CG129" i="1"/>
  <c r="CH120" i="1"/>
  <c r="CF120" i="1"/>
  <c r="CH98" i="1"/>
  <c r="CF98" i="1"/>
  <c r="CH85" i="1"/>
  <c r="CF85" i="1"/>
  <c r="CG673" i="1"/>
  <c r="CF673" i="1"/>
  <c r="CH673" i="1"/>
  <c r="CG449" i="1"/>
  <c r="CH449" i="1"/>
  <c r="CF449" i="1"/>
  <c r="CH429" i="1"/>
  <c r="CF429" i="1"/>
  <c r="CG123" i="1"/>
  <c r="CF123" i="1"/>
  <c r="CH123" i="1"/>
  <c r="CF118" i="1"/>
  <c r="CG118" i="1"/>
  <c r="CH118" i="1"/>
  <c r="CG83" i="1"/>
  <c r="CF83" i="1"/>
  <c r="CH83" i="1"/>
  <c r="CF107" i="1"/>
  <c r="CG107" i="1"/>
  <c r="CH107" i="1"/>
  <c r="CG101" i="1"/>
  <c r="CF101" i="1"/>
  <c r="CH101" i="1"/>
  <c r="CG17" i="1"/>
  <c r="CH17" i="1"/>
  <c r="CF17" i="1"/>
  <c r="CF81" i="1"/>
  <c r="CG81" i="1"/>
  <c r="CH81" i="1"/>
  <c r="CG260" i="1"/>
  <c r="CH260" i="1"/>
  <c r="CG145" i="1"/>
  <c r="CH145" i="1"/>
  <c r="CG144" i="1"/>
  <c r="CH144" i="1"/>
  <c r="CG142" i="1"/>
  <c r="CH142" i="1"/>
  <c r="CG140" i="1"/>
  <c r="CH140" i="1"/>
  <c r="CF128" i="1"/>
  <c r="CG128" i="1"/>
  <c r="CH128" i="1"/>
  <c r="CF122" i="1"/>
  <c r="CG122" i="1"/>
  <c r="CH122" i="1"/>
  <c r="CG119" i="1"/>
  <c r="CH119" i="1"/>
  <c r="CG102" i="1"/>
  <c r="CH102" i="1"/>
  <c r="CH80" i="1"/>
  <c r="CG80" i="1"/>
  <c r="AY359" i="1"/>
  <c r="BH359" i="1"/>
  <c r="AP359" i="1"/>
  <c r="AG359" i="1"/>
  <c r="BZ359" i="1"/>
  <c r="X359" i="1"/>
  <c r="CR359" i="1"/>
  <c r="BQ359" i="1"/>
  <c r="CF232" i="1"/>
  <c r="CG232" i="1"/>
  <c r="CH232" i="1"/>
  <c r="CF320" i="1"/>
  <c r="CH320" i="1"/>
  <c r="CF146" i="1"/>
  <c r="CH146" i="1"/>
  <c r="CG146" i="1"/>
  <c r="CF38" i="1"/>
  <c r="CG38" i="1"/>
  <c r="CH38" i="1"/>
  <c r="CG496" i="1"/>
  <c r="CH496" i="1"/>
  <c r="CF496" i="1"/>
  <c r="CH628" i="1"/>
  <c r="CG628" i="1"/>
  <c r="CF627" i="1"/>
  <c r="CH627" i="1"/>
  <c r="CG627" i="1"/>
  <c r="S47" i="64"/>
  <c r="S46" i="64"/>
  <c r="P168" i="64"/>
  <c r="P22" i="54"/>
  <c r="P25" i="54"/>
  <c r="J25" i="54"/>
  <c r="P28" i="54"/>
  <c r="J26" i="54"/>
  <c r="P29" i="54"/>
  <c r="Q168" i="64"/>
  <c r="P27" i="54"/>
  <c r="J23" i="54"/>
  <c r="J30" i="54"/>
  <c r="P24" i="54"/>
  <c r="B12" i="54"/>
  <c r="B2" i="54" s="1"/>
  <c r="J29" i="54"/>
  <c r="S41" i="64"/>
  <c r="O168" i="64"/>
  <c r="J28" i="54"/>
  <c r="J24" i="54"/>
  <c r="J22" i="54"/>
  <c r="P26" i="54"/>
  <c r="P23" i="54"/>
  <c r="P30" i="54"/>
  <c r="J27" i="54"/>
  <c r="F34" i="33"/>
  <c r="F32" i="33"/>
  <c r="CB746" i="1" l="1"/>
  <c r="CB834" i="1"/>
  <c r="CC746" i="1"/>
  <c r="CC790" i="1"/>
  <c r="CC812" i="1"/>
  <c r="CD218" i="1"/>
  <c r="CC394" i="1"/>
  <c r="CB218" i="1"/>
  <c r="CB202" i="1" s="1"/>
  <c r="CB203" i="1" s="1"/>
  <c r="CB614" i="1"/>
  <c r="CD394" i="1"/>
  <c r="CC218" i="1"/>
  <c r="CD614" i="1"/>
  <c r="CC614" i="1"/>
  <c r="CB598" i="1" s="1"/>
  <c r="BJ401" i="1"/>
  <c r="BJ379" i="1"/>
  <c r="BJ335" i="1"/>
  <c r="BJ313" i="1"/>
  <c r="BJ137" i="1"/>
  <c r="CC504" i="1"/>
  <c r="CD548" i="1"/>
  <c r="CB532" i="1" s="1"/>
  <c r="CC592" i="1"/>
  <c r="CD284" i="1"/>
  <c r="CB812" i="1"/>
  <c r="CD834" i="1"/>
  <c r="CC42" i="1"/>
  <c r="CD20" i="1"/>
  <c r="CD636" i="1"/>
  <c r="CD702" i="1"/>
  <c r="CC724" i="1"/>
  <c r="CD790" i="1"/>
  <c r="CC372" i="1"/>
  <c r="CB64" i="1"/>
  <c r="CB306" i="1"/>
  <c r="CD680" i="1"/>
  <c r="CB262" i="1"/>
  <c r="CC328" i="1"/>
  <c r="CD86" i="1"/>
  <c r="CB70" i="1" s="1"/>
  <c r="CD570" i="1"/>
  <c r="CB856" i="1"/>
  <c r="CB284" i="1"/>
  <c r="CC834" i="1"/>
  <c r="CB20" i="1"/>
  <c r="CC702" i="1"/>
  <c r="CC768" i="1"/>
  <c r="CB504" i="1"/>
  <c r="CB108" i="1"/>
  <c r="CC108" i="1"/>
  <c r="CD108" i="1"/>
  <c r="CD174" i="1"/>
  <c r="CC174" i="1"/>
  <c r="CB174" i="1"/>
  <c r="CD240" i="1"/>
  <c r="CB240" i="1"/>
  <c r="CC240" i="1"/>
  <c r="CD658" i="1"/>
  <c r="CB658" i="1"/>
  <c r="CC658" i="1"/>
  <c r="CB416" i="1"/>
  <c r="CD416" i="1"/>
  <c r="CC416" i="1"/>
  <c r="CC482" i="1"/>
  <c r="CB482" i="1"/>
  <c r="CD482" i="1"/>
  <c r="CB196" i="1"/>
  <c r="CB180" i="1" s="1"/>
  <c r="CD196" i="1"/>
  <c r="CC196" i="1"/>
  <c r="CD526" i="1"/>
  <c r="CC526" i="1"/>
  <c r="CB526" i="1"/>
  <c r="CB510" i="1" s="1"/>
  <c r="CC512" i="1" s="1"/>
  <c r="CC680" i="1"/>
  <c r="CB680" i="1"/>
  <c r="CB664" i="1" s="1"/>
  <c r="CD262" i="1"/>
  <c r="CC262" i="1"/>
  <c r="CD328" i="1"/>
  <c r="CB328" i="1"/>
  <c r="CB86" i="1"/>
  <c r="CC86" i="1"/>
  <c r="CB394" i="1"/>
  <c r="CB570" i="1"/>
  <c r="CC570" i="1"/>
  <c r="CB548" i="1"/>
  <c r="CB592" i="1"/>
  <c r="CC284" i="1"/>
  <c r="CD812" i="1"/>
  <c r="CD42" i="1"/>
  <c r="CC20" i="1"/>
  <c r="CC636" i="1"/>
  <c r="CB702" i="1"/>
  <c r="CB724" i="1"/>
  <c r="CD724" i="1"/>
  <c r="CB768" i="1"/>
  <c r="CB790" i="1"/>
  <c r="CB372" i="1"/>
  <c r="CD64" i="1"/>
  <c r="CD306" i="1"/>
  <c r="CC350" i="1"/>
  <c r="CD350" i="1"/>
  <c r="CB350" i="1"/>
  <c r="CB334" i="1" s="1"/>
  <c r="CC438" i="1"/>
  <c r="CB438" i="1"/>
  <c r="CD438" i="1"/>
  <c r="CD504" i="1"/>
  <c r="CC548" i="1"/>
  <c r="CD592" i="1"/>
  <c r="CD746" i="1"/>
  <c r="CB42" i="1"/>
  <c r="CB636" i="1"/>
  <c r="CD768" i="1"/>
  <c r="CD372" i="1"/>
  <c r="CB356" i="1" s="1"/>
  <c r="CC306" i="1"/>
  <c r="CC856" i="1"/>
  <c r="CD856" i="1"/>
  <c r="CD878" i="1"/>
  <c r="CC878" i="1"/>
  <c r="CB878" i="1"/>
  <c r="CB900" i="1"/>
  <c r="CC900" i="1"/>
  <c r="CD900" i="1"/>
  <c r="CB152" i="1"/>
  <c r="CC460" i="1"/>
  <c r="CD460" i="1"/>
  <c r="CB460" i="1"/>
  <c r="CB444" i="1" s="1"/>
  <c r="CB130" i="1"/>
  <c r="CC130" i="1"/>
  <c r="CD130" i="1"/>
  <c r="CC152" i="1"/>
  <c r="CD152" i="1"/>
  <c r="CC64" i="1"/>
  <c r="Z5" i="1"/>
  <c r="Z621" i="1"/>
  <c r="Z27" i="1"/>
  <c r="BJ269" i="1"/>
  <c r="BJ247" i="1"/>
  <c r="BJ225" i="1"/>
  <c r="BJ203" i="1"/>
  <c r="CL204" i="1"/>
  <c r="BJ181" i="1"/>
  <c r="BJ159" i="1"/>
  <c r="BJ115" i="1"/>
  <c r="BJ93" i="1"/>
  <c r="CC204" i="1"/>
  <c r="CC666" i="1"/>
  <c r="CC336" i="1"/>
  <c r="CC446" i="1"/>
  <c r="CB92" i="1"/>
  <c r="CB224" i="1"/>
  <c r="CB642" i="1"/>
  <c r="CB400" i="1"/>
  <c r="CB466" i="1"/>
  <c r="CB246" i="1"/>
  <c r="CB312" i="1"/>
  <c r="CB378" i="1"/>
  <c r="CB554" i="1"/>
  <c r="CB422" i="1"/>
  <c r="CB576" i="1"/>
  <c r="CB268" i="1"/>
  <c r="CB686" i="1"/>
  <c r="CB136" i="1"/>
  <c r="CB114" i="1"/>
  <c r="CB290" i="1"/>
  <c r="CG218" i="1"/>
  <c r="CI160" i="1"/>
  <c r="CG64" i="1"/>
  <c r="CI50" i="1"/>
  <c r="CF64" i="1"/>
  <c r="CH64" i="1"/>
  <c r="CH218" i="1"/>
  <c r="CF218" i="1"/>
  <c r="CI204" i="1"/>
  <c r="CG174" i="1"/>
  <c r="CF174" i="1"/>
  <c r="CG196" i="1"/>
  <c r="CH174" i="1"/>
  <c r="CF196" i="1"/>
  <c r="CI182" i="1"/>
  <c r="CH196" i="1"/>
  <c r="T14" i="64"/>
  <c r="T15" i="64" s="1"/>
  <c r="T16" i="64" s="1"/>
  <c r="T17" i="64" s="1"/>
  <c r="T18" i="64" s="1"/>
  <c r="T19" i="64" s="1"/>
  <c r="T20" i="64" s="1"/>
  <c r="T21" i="64" s="1"/>
  <c r="T22" i="64" s="1"/>
  <c r="T23" i="64" s="1"/>
  <c r="T24" i="64" s="1"/>
  <c r="T25" i="64" s="1"/>
  <c r="T26" i="64" s="1"/>
  <c r="T27" i="64" s="1"/>
  <c r="T28" i="64" s="1"/>
  <c r="T29" i="64" s="1"/>
  <c r="T30" i="64" s="1"/>
  <c r="T31" i="64" s="1"/>
  <c r="T32" i="64" s="1"/>
  <c r="T33" i="64" s="1"/>
  <c r="T34" i="64" s="1"/>
  <c r="T35" i="64" s="1"/>
  <c r="T36" i="64" s="1"/>
  <c r="T37" i="64" s="1"/>
  <c r="T38" i="64" s="1"/>
  <c r="T39" i="64" s="1"/>
  <c r="T40" i="64" s="1"/>
  <c r="T41" i="64" s="1"/>
  <c r="T42" i="64" s="1"/>
  <c r="T43" i="64" s="1"/>
  <c r="T44" i="64" s="1"/>
  <c r="T45" i="64" s="1"/>
  <c r="T46" i="64" s="1"/>
  <c r="S168" i="64"/>
  <c r="T168" i="64" s="1"/>
  <c r="CF262" i="1"/>
  <c r="CI270" i="1"/>
  <c r="CI512" i="1"/>
  <c r="CI534" i="1"/>
  <c r="CI556" i="1"/>
  <c r="CI864" i="1"/>
  <c r="CI380" i="1"/>
  <c r="CI886" i="1"/>
  <c r="CI578" i="1"/>
  <c r="CI446" i="1"/>
  <c r="CI424" i="1"/>
  <c r="CI490" i="1"/>
  <c r="CG328" i="1"/>
  <c r="CG350" i="1"/>
  <c r="CH350" i="1"/>
  <c r="CI336" i="1"/>
  <c r="CF350" i="1"/>
  <c r="CG372" i="1"/>
  <c r="CH372" i="1"/>
  <c r="CF372" i="1"/>
  <c r="CG394" i="1"/>
  <c r="CH394" i="1"/>
  <c r="CH416" i="1"/>
  <c r="CG416" i="1"/>
  <c r="CI402" i="1"/>
  <c r="CF416" i="1"/>
  <c r="CH482" i="1"/>
  <c r="CF482" i="1"/>
  <c r="CI468" i="1"/>
  <c r="CG526" i="1"/>
  <c r="CH526" i="1"/>
  <c r="CG42" i="1"/>
  <c r="CG20" i="1"/>
  <c r="CI644" i="1"/>
  <c r="CI732" i="1"/>
  <c r="CI754" i="1"/>
  <c r="CI776" i="1"/>
  <c r="CI798" i="1"/>
  <c r="CI820" i="1"/>
  <c r="CI842" i="1"/>
  <c r="CI94" i="1"/>
  <c r="CI116" i="1"/>
  <c r="CI248" i="1"/>
  <c r="CI72" i="1"/>
  <c r="CI688" i="1"/>
  <c r="CF394" i="1"/>
  <c r="CG438" i="1"/>
  <c r="CG482" i="1"/>
  <c r="CF526" i="1"/>
  <c r="CF548" i="1"/>
  <c r="CH548" i="1"/>
  <c r="CG548" i="1"/>
  <c r="CH570" i="1"/>
  <c r="CG570" i="1"/>
  <c r="CF570" i="1"/>
  <c r="CF592" i="1"/>
  <c r="CH592" i="1"/>
  <c r="CG592" i="1"/>
  <c r="CF284" i="1"/>
  <c r="CH20" i="1"/>
  <c r="CI6" i="1"/>
  <c r="CI666" i="1"/>
  <c r="CF306" i="1"/>
  <c r="CI292" i="1"/>
  <c r="CI600" i="1"/>
  <c r="CG614" i="1"/>
  <c r="CH614" i="1"/>
  <c r="CF614" i="1"/>
  <c r="CH42" i="1"/>
  <c r="CI710" i="1"/>
  <c r="CG724" i="1"/>
  <c r="CG460" i="1"/>
  <c r="CF658" i="1"/>
  <c r="CH658" i="1"/>
  <c r="CG658" i="1"/>
  <c r="CG680" i="1"/>
  <c r="CF680" i="1"/>
  <c r="CH702" i="1"/>
  <c r="CG702" i="1"/>
  <c r="CF702" i="1"/>
  <c r="CH724" i="1"/>
  <c r="CF724" i="1"/>
  <c r="CF746" i="1"/>
  <c r="CG746" i="1"/>
  <c r="CH746" i="1"/>
  <c r="CF768" i="1"/>
  <c r="CH768" i="1"/>
  <c r="CG768" i="1"/>
  <c r="CH790" i="1"/>
  <c r="CF790" i="1"/>
  <c r="CG790" i="1"/>
  <c r="CF812" i="1"/>
  <c r="CH812" i="1"/>
  <c r="CG812" i="1"/>
  <c r="CH834" i="1"/>
  <c r="CF834" i="1"/>
  <c r="CG834" i="1"/>
  <c r="CH856" i="1"/>
  <c r="CF856" i="1"/>
  <c r="CG856" i="1"/>
  <c r="CH878" i="1"/>
  <c r="CG878" i="1"/>
  <c r="CF878" i="1"/>
  <c r="CF900" i="1"/>
  <c r="CG900" i="1"/>
  <c r="CH900" i="1"/>
  <c r="CH306" i="1"/>
  <c r="CG306" i="1"/>
  <c r="CG284" i="1"/>
  <c r="CH284" i="1"/>
  <c r="CH680" i="1"/>
  <c r="CH460" i="1"/>
  <c r="CF460" i="1"/>
  <c r="CH438" i="1"/>
  <c r="CF438" i="1"/>
  <c r="CF20" i="1"/>
  <c r="CF130" i="1"/>
  <c r="CG130" i="1"/>
  <c r="CH130" i="1"/>
  <c r="CG108" i="1"/>
  <c r="CF108" i="1"/>
  <c r="CH108" i="1"/>
  <c r="CF86" i="1"/>
  <c r="CG262" i="1"/>
  <c r="CH262" i="1"/>
  <c r="CH86" i="1"/>
  <c r="CG86" i="1"/>
  <c r="CF328" i="1"/>
  <c r="CI28" i="1"/>
  <c r="CF240" i="1"/>
  <c r="CI226" i="1"/>
  <c r="CG240" i="1"/>
  <c r="CH240" i="1"/>
  <c r="CI314" i="1"/>
  <c r="CI138" i="1"/>
  <c r="CH328" i="1"/>
  <c r="CF152" i="1"/>
  <c r="CH152" i="1"/>
  <c r="CG152" i="1"/>
  <c r="CF636" i="1"/>
  <c r="CI622" i="1"/>
  <c r="CF42" i="1"/>
  <c r="CG504" i="1"/>
  <c r="CH504" i="1"/>
  <c r="CF504" i="1"/>
  <c r="CH636" i="1"/>
  <c r="CG636" i="1"/>
  <c r="A1" i="56"/>
  <c r="C19" i="54"/>
  <c r="CB158" i="1" l="1"/>
  <c r="CC600" i="1"/>
  <c r="CB599" i="1"/>
  <c r="CL600" i="1"/>
  <c r="CB620" i="1"/>
  <c r="CB48" i="1"/>
  <c r="CL50" i="1" s="1"/>
  <c r="CB26" i="1"/>
  <c r="CL28" i="1" s="1"/>
  <c r="CB4" i="1"/>
  <c r="CL6" i="1" s="1"/>
  <c r="CB511" i="1"/>
  <c r="CL512" i="1"/>
  <c r="CB665" i="1"/>
  <c r="CL666" i="1"/>
  <c r="CL446" i="1"/>
  <c r="CB445" i="1"/>
  <c r="CB488" i="1"/>
  <c r="CB335" i="1"/>
  <c r="CL336" i="1"/>
  <c r="CL94" i="1"/>
  <c r="CB93" i="1"/>
  <c r="CL160" i="1"/>
  <c r="CB159" i="1"/>
  <c r="CL226" i="1"/>
  <c r="CB225" i="1"/>
  <c r="CL644" i="1"/>
  <c r="CB643" i="1"/>
  <c r="CB401" i="1"/>
  <c r="CL402" i="1"/>
  <c r="CL468" i="1"/>
  <c r="CB467" i="1"/>
  <c r="CL182" i="1"/>
  <c r="CB181" i="1"/>
  <c r="CL248" i="1"/>
  <c r="CB247" i="1"/>
  <c r="CL314" i="1"/>
  <c r="CB313" i="1"/>
  <c r="CL72" i="1"/>
  <c r="CB71" i="1"/>
  <c r="CB379" i="1"/>
  <c r="CL380" i="1"/>
  <c r="CB555" i="1"/>
  <c r="CL556" i="1"/>
  <c r="CL424" i="1"/>
  <c r="CB423" i="1"/>
  <c r="CB533" i="1"/>
  <c r="CL534" i="1"/>
  <c r="CB577" i="1"/>
  <c r="CL578" i="1"/>
  <c r="CB269" i="1"/>
  <c r="CL270" i="1"/>
  <c r="CB687" i="1"/>
  <c r="CL688" i="1"/>
  <c r="CL138" i="1"/>
  <c r="CB137" i="1"/>
  <c r="CB115" i="1"/>
  <c r="CL116" i="1"/>
  <c r="CB357" i="1"/>
  <c r="CL358" i="1"/>
  <c r="CB291" i="1"/>
  <c r="CL292" i="1"/>
  <c r="CC94" i="1"/>
  <c r="CC226" i="1"/>
  <c r="CC644" i="1"/>
  <c r="CC402" i="1"/>
  <c r="CC468" i="1"/>
  <c r="CC182" i="1"/>
  <c r="CC248" i="1"/>
  <c r="CC314" i="1"/>
  <c r="CC72" i="1"/>
  <c r="CC380" i="1"/>
  <c r="CC556" i="1"/>
  <c r="CC424" i="1"/>
  <c r="CC534" i="1"/>
  <c r="CC578" i="1"/>
  <c r="CC270" i="1"/>
  <c r="CC688" i="1"/>
  <c r="CC138" i="1"/>
  <c r="CC116" i="1"/>
  <c r="CC358" i="1"/>
  <c r="CC292" i="1"/>
  <c r="BB204" i="1"/>
  <c r="BT204" i="1"/>
  <c r="BB182" i="1"/>
  <c r="BT182" i="1"/>
  <c r="AJ204" i="1"/>
  <c r="AS204" i="1"/>
  <c r="AJ182" i="1"/>
  <c r="AS182" i="1"/>
  <c r="R204" i="1"/>
  <c r="AA204" i="1"/>
  <c r="R182" i="1"/>
  <c r="AA182" i="1"/>
  <c r="R172" i="64"/>
  <c r="T170" i="64"/>
  <c r="BK204" i="1"/>
  <c r="BK182" i="1"/>
  <c r="CI359" i="1"/>
  <c r="AB30" i="55"/>
  <c r="AD30" i="55" s="1"/>
  <c r="CB7" i="76"/>
  <c r="AA5" i="76"/>
  <c r="AN6" i="76"/>
  <c r="BV9" i="76"/>
  <c r="AJ18" i="55"/>
  <c r="T11" i="77"/>
  <c r="AA8" i="76"/>
  <c r="BV5" i="76"/>
  <c r="BO5" i="76"/>
  <c r="AN10" i="76"/>
  <c r="BR10" i="76"/>
  <c r="BO13" i="76"/>
  <c r="Q5" i="76"/>
  <c r="AK13" i="76"/>
  <c r="AK5" i="76"/>
  <c r="T5" i="77"/>
  <c r="AU5" i="76"/>
  <c r="BH7" i="76"/>
  <c r="T13" i="77"/>
  <c r="BE5" i="76"/>
  <c r="G5" i="76"/>
  <c r="AU13" i="76"/>
  <c r="BE13" i="76"/>
  <c r="Q13" i="76"/>
  <c r="J7" i="76"/>
  <c r="G13" i="76"/>
  <c r="AA13" i="76"/>
  <c r="BY5" i="76"/>
  <c r="AU8" i="76"/>
  <c r="BY13" i="76"/>
  <c r="AD10" i="76"/>
  <c r="AA7" i="76"/>
  <c r="AX10" i="76"/>
  <c r="BH10" i="76"/>
  <c r="AK7" i="76"/>
  <c r="U10" i="77"/>
  <c r="T7" i="77"/>
  <c r="BE6" i="76"/>
  <c r="BE7" i="76"/>
  <c r="CB10" i="76"/>
  <c r="BO7" i="76"/>
  <c r="Q7" i="76"/>
  <c r="AK6" i="76"/>
  <c r="T10" i="76"/>
  <c r="BY7" i="76"/>
  <c r="G7" i="76"/>
  <c r="J10" i="76"/>
  <c r="Q6" i="76"/>
  <c r="AU7" i="76"/>
  <c r="AU11" i="76"/>
  <c r="U7" i="77"/>
  <c r="AR7" i="76"/>
  <c r="BE11" i="76"/>
  <c r="T8" i="76"/>
  <c r="BH8" i="76"/>
  <c r="BO11" i="76"/>
  <c r="T7" i="76"/>
  <c r="BV13" i="76"/>
  <c r="AN8" i="76"/>
  <c r="BV7" i="76"/>
  <c r="F13" i="77"/>
  <c r="AD13" i="76"/>
  <c r="AR13" i="76"/>
  <c r="X7" i="76"/>
  <c r="D10" i="76"/>
  <c r="BB10" i="76"/>
  <c r="X8" i="76"/>
  <c r="AX8" i="76"/>
  <c r="AB32" i="55"/>
  <c r="AD32" i="55" s="1"/>
  <c r="S10" i="77"/>
  <c r="L13" i="77"/>
  <c r="AN7" i="76"/>
  <c r="D12" i="76"/>
  <c r="AX7" i="76"/>
  <c r="AJ25" i="55"/>
  <c r="BR7" i="76"/>
  <c r="G6" i="76"/>
  <c r="AA11" i="76"/>
  <c r="U8" i="77"/>
  <c r="BR8" i="76"/>
  <c r="J8" i="76"/>
  <c r="AH9" i="76"/>
  <c r="AK11" i="76"/>
  <c r="N9" i="76"/>
  <c r="AD7" i="76"/>
  <c r="N11" i="76"/>
  <c r="CB8" i="76"/>
  <c r="H13" i="77"/>
  <c r="AH5" i="76"/>
  <c r="BL10" i="76"/>
  <c r="BY6" i="76"/>
  <c r="M13" i="77"/>
  <c r="BB9" i="76"/>
  <c r="J13" i="77"/>
  <c r="AA6" i="76"/>
  <c r="BO6" i="76"/>
  <c r="T6" i="77"/>
  <c r="AU6" i="76"/>
  <c r="BB11" i="76"/>
  <c r="T8" i="77"/>
  <c r="CB6" i="76"/>
  <c r="BE8" i="76"/>
  <c r="BH6" i="76"/>
  <c r="BY11" i="76"/>
  <c r="Q11" i="76"/>
  <c r="CB13" i="76"/>
  <c r="S13" i="77"/>
  <c r="AD8" i="76"/>
  <c r="G11" i="76"/>
  <c r="BH13" i="76"/>
  <c r="AN13" i="76"/>
  <c r="U13" i="77"/>
  <c r="BL7" i="76"/>
  <c r="AD6" i="76"/>
  <c r="AB34" i="55"/>
  <c r="AD34" i="55" s="1"/>
  <c r="BO8" i="76"/>
  <c r="AK8" i="76"/>
  <c r="T6" i="76"/>
  <c r="G6" i="77"/>
  <c r="AB35" i="55"/>
  <c r="AD35" i="55" s="1"/>
  <c r="BR6" i="76"/>
  <c r="I8" i="77"/>
  <c r="Q8" i="76"/>
  <c r="G8" i="76"/>
  <c r="U6" i="77"/>
  <c r="AR12" i="76"/>
  <c r="BB13" i="76"/>
  <c r="BY8" i="76"/>
  <c r="J6" i="76"/>
  <c r="AX6" i="76"/>
  <c r="D13" i="76"/>
  <c r="AJ24" i="55"/>
  <c r="M8" i="77"/>
  <c r="S8" i="77"/>
  <c r="I6" i="77"/>
  <c r="S6" i="77"/>
  <c r="F6" i="77"/>
  <c r="F7" i="77"/>
  <c r="AR11" i="76"/>
  <c r="AJ22" i="55"/>
  <c r="BL6" i="76"/>
  <c r="K6" i="77"/>
  <c r="K7" i="77"/>
  <c r="D6" i="76"/>
  <c r="AH11" i="76"/>
  <c r="N5" i="76"/>
  <c r="J7" i="77"/>
  <c r="X5" i="76"/>
  <c r="AH6" i="76"/>
  <c r="N13" i="76"/>
  <c r="M7" i="77"/>
  <c r="L6" i="77"/>
  <c r="I7" i="77"/>
  <c r="H6" i="77"/>
  <c r="S7" i="77"/>
  <c r="X6" i="76"/>
  <c r="D7" i="76"/>
  <c r="H7" i="77"/>
  <c r="J6" i="77"/>
  <c r="AJ21" i="55"/>
  <c r="BB5" i="76"/>
  <c r="AH10" i="76"/>
  <c r="X10" i="76"/>
  <c r="M6" i="77"/>
  <c r="D5" i="76"/>
  <c r="L7" i="77"/>
  <c r="G7" i="77"/>
  <c r="H8" i="77"/>
  <c r="AR8" i="76"/>
  <c r="BV10" i="76"/>
  <c r="AH8" i="76"/>
  <c r="K8" i="77"/>
  <c r="S11" i="77"/>
  <c r="BL12" i="76"/>
  <c r="N6" i="76"/>
  <c r="BV8" i="76"/>
  <c r="F8" i="77"/>
  <c r="G8" i="77"/>
  <c r="X12" i="76"/>
  <c r="U5" i="77"/>
  <c r="AD5" i="76"/>
  <c r="L8" i="77"/>
  <c r="BL5" i="76"/>
  <c r="BR11" i="76"/>
  <c r="J8" i="77"/>
  <c r="BL13" i="76"/>
  <c r="H5" i="77"/>
  <c r="J13" i="76"/>
  <c r="K13" i="77"/>
  <c r="BR13" i="76"/>
  <c r="AK10" i="76"/>
  <c r="AB33" i="55"/>
  <c r="AD33" i="55" s="1"/>
  <c r="J10" i="77"/>
  <c r="AX13" i="76"/>
  <c r="BO10" i="76"/>
  <c r="M10" i="77"/>
  <c r="I13" i="77"/>
  <c r="G13" i="77"/>
  <c r="T13" i="76"/>
  <c r="BB7" i="76"/>
  <c r="J5" i="77"/>
  <c r="X13" i="76"/>
  <c r="T10" i="77"/>
  <c r="AJ26" i="55"/>
  <c r="BV6" i="76"/>
  <c r="G10" i="77"/>
  <c r="S5" i="77"/>
  <c r="AJ19" i="55"/>
  <c r="BE10" i="76"/>
  <c r="AA10" i="76"/>
  <c r="BY10" i="76"/>
  <c r="L10" i="77"/>
  <c r="Q10" i="76"/>
  <c r="D8" i="76"/>
  <c r="I10" i="77"/>
  <c r="H10" i="77"/>
  <c r="G10" i="76"/>
  <c r="F10" i="77"/>
  <c r="AR5" i="76"/>
  <c r="K10" i="77"/>
  <c r="N8" i="76"/>
  <c r="AR9" i="76"/>
  <c r="BB8" i="76"/>
  <c r="K5" i="77"/>
  <c r="AU10" i="76"/>
  <c r="BL11" i="76"/>
  <c r="AH13" i="76"/>
  <c r="N12" i="76"/>
  <c r="AB36" i="55"/>
  <c r="AD36" i="55" s="1"/>
  <c r="AX11" i="76"/>
  <c r="F5" i="77"/>
  <c r="F11" i="77"/>
  <c r="BR5" i="76"/>
  <c r="H11" i="77"/>
  <c r="L11" i="77"/>
  <c r="G5" i="77"/>
  <c r="BH11" i="76"/>
  <c r="I5" i="77"/>
  <c r="AX5" i="76"/>
  <c r="U11" i="77"/>
  <c r="AN11" i="76"/>
  <c r="L5" i="77"/>
  <c r="BH5" i="76"/>
  <c r="AB38" i="55"/>
  <c r="AD38" i="55" s="1"/>
  <c r="AD11" i="76"/>
  <c r="G11" i="77"/>
  <c r="T11" i="76"/>
  <c r="J5" i="76"/>
  <c r="J11" i="76"/>
  <c r="T5" i="76"/>
  <c r="CB5" i="76"/>
  <c r="CB11" i="76"/>
  <c r="M11" i="77"/>
  <c r="M5" i="77"/>
  <c r="AN5" i="76"/>
  <c r="I11" i="77"/>
  <c r="K11" i="77"/>
  <c r="J11" i="77"/>
  <c r="CC160" i="1" l="1"/>
  <c r="BB160" i="1"/>
  <c r="BT160" i="1"/>
  <c r="AJ160" i="1"/>
  <c r="AS160" i="1"/>
  <c r="R160" i="1"/>
  <c r="AA160" i="1"/>
  <c r="BK160" i="1"/>
  <c r="CC28" i="1"/>
  <c r="CB27" i="1"/>
  <c r="CC6" i="1"/>
  <c r="CB5" i="1"/>
  <c r="CC622" i="1"/>
  <c r="CB621" i="1"/>
  <c r="CL622" i="1"/>
  <c r="CB49" i="1"/>
  <c r="CC50" i="1"/>
  <c r="BB50" i="1"/>
  <c r="BT50" i="1"/>
  <c r="AJ50" i="1"/>
  <c r="AS50" i="1"/>
  <c r="R50" i="1"/>
  <c r="AA50" i="1"/>
  <c r="BK50" i="1"/>
  <c r="CB489" i="1"/>
  <c r="CL490" i="1"/>
  <c r="CC490" i="1"/>
  <c r="BB446" i="1"/>
  <c r="BT446" i="1"/>
  <c r="BB424" i="1"/>
  <c r="BT424" i="1"/>
  <c r="BB248" i="1"/>
  <c r="BT248" i="1"/>
  <c r="BB6" i="1"/>
  <c r="BT6" i="1"/>
  <c r="BB336" i="1"/>
  <c r="BT336" i="1"/>
  <c r="BB358" i="1"/>
  <c r="BT358" i="1"/>
  <c r="BB402" i="1"/>
  <c r="BT402" i="1"/>
  <c r="BB556" i="1"/>
  <c r="BT556" i="1"/>
  <c r="BB578" i="1"/>
  <c r="BT578" i="1"/>
  <c r="BB600" i="1"/>
  <c r="BT600" i="1"/>
  <c r="BB292" i="1"/>
  <c r="BT292" i="1"/>
  <c r="BB270" i="1"/>
  <c r="BT270" i="1"/>
  <c r="BB72" i="1"/>
  <c r="BT72" i="1"/>
  <c r="BB226" i="1"/>
  <c r="BT226" i="1"/>
  <c r="BB314" i="1"/>
  <c r="BT314" i="1"/>
  <c r="BB622" i="1"/>
  <c r="BT622" i="1"/>
  <c r="BB380" i="1"/>
  <c r="BT380" i="1"/>
  <c r="BB468" i="1"/>
  <c r="BT468" i="1"/>
  <c r="BB512" i="1"/>
  <c r="BT512" i="1"/>
  <c r="BB534" i="1"/>
  <c r="BT534" i="1"/>
  <c r="BB28" i="1"/>
  <c r="BT28" i="1"/>
  <c r="BB644" i="1"/>
  <c r="BT644" i="1"/>
  <c r="BB688" i="1"/>
  <c r="BT688" i="1"/>
  <c r="BB94" i="1"/>
  <c r="BT94" i="1"/>
  <c r="BB138" i="1"/>
  <c r="BT138" i="1"/>
  <c r="BB490" i="1"/>
  <c r="BT490" i="1"/>
  <c r="BB666" i="1"/>
  <c r="BT666" i="1"/>
  <c r="BB116" i="1"/>
  <c r="BT116" i="1"/>
  <c r="AJ446" i="1"/>
  <c r="AS446" i="1"/>
  <c r="AJ424" i="1"/>
  <c r="AS424" i="1"/>
  <c r="AJ248" i="1"/>
  <c r="AS248" i="1"/>
  <c r="AJ6" i="1"/>
  <c r="AS6" i="1"/>
  <c r="AJ336" i="1"/>
  <c r="AS336" i="1"/>
  <c r="AJ358" i="1"/>
  <c r="AS358" i="1"/>
  <c r="AJ402" i="1"/>
  <c r="AS402" i="1"/>
  <c r="AJ556" i="1"/>
  <c r="AS556" i="1"/>
  <c r="AJ578" i="1"/>
  <c r="AS578" i="1"/>
  <c r="AJ600" i="1"/>
  <c r="AS600" i="1"/>
  <c r="AJ292" i="1"/>
  <c r="AS292" i="1"/>
  <c r="AJ270" i="1"/>
  <c r="AS270" i="1"/>
  <c r="AJ72" i="1"/>
  <c r="AS72" i="1"/>
  <c r="AJ226" i="1"/>
  <c r="AS226" i="1"/>
  <c r="AJ314" i="1"/>
  <c r="AS314" i="1"/>
  <c r="AJ622" i="1"/>
  <c r="AS622" i="1"/>
  <c r="AJ380" i="1"/>
  <c r="AS380" i="1"/>
  <c r="AJ468" i="1"/>
  <c r="AS468" i="1"/>
  <c r="AJ512" i="1"/>
  <c r="AS512" i="1"/>
  <c r="AJ534" i="1"/>
  <c r="AS534" i="1"/>
  <c r="AJ28" i="1"/>
  <c r="AS28" i="1"/>
  <c r="AJ644" i="1"/>
  <c r="AS644" i="1"/>
  <c r="AJ688" i="1"/>
  <c r="AS688" i="1"/>
  <c r="AJ94" i="1"/>
  <c r="AS94" i="1"/>
  <c r="AJ138" i="1"/>
  <c r="AS138" i="1"/>
  <c r="AJ490" i="1"/>
  <c r="AS490" i="1"/>
  <c r="AJ666" i="1"/>
  <c r="AS666" i="1"/>
  <c r="AJ116" i="1"/>
  <c r="AS116" i="1"/>
  <c r="R446" i="1"/>
  <c r="AA446" i="1"/>
  <c r="R424" i="1"/>
  <c r="AA424" i="1"/>
  <c r="R248" i="1"/>
  <c r="AA248" i="1"/>
  <c r="R6" i="1"/>
  <c r="AA6" i="1"/>
  <c r="R336" i="1"/>
  <c r="AA336" i="1"/>
  <c r="R358" i="1"/>
  <c r="AA358" i="1"/>
  <c r="R402" i="1"/>
  <c r="AA402" i="1"/>
  <c r="R556" i="1"/>
  <c r="AA556" i="1"/>
  <c r="R578" i="1"/>
  <c r="AA578" i="1"/>
  <c r="R600" i="1"/>
  <c r="AA600" i="1"/>
  <c r="R292" i="1"/>
  <c r="AA292" i="1"/>
  <c r="R270" i="1"/>
  <c r="AA270" i="1"/>
  <c r="R72" i="1"/>
  <c r="AA72" i="1"/>
  <c r="R226" i="1"/>
  <c r="AA226" i="1"/>
  <c r="R314" i="1"/>
  <c r="AA314" i="1"/>
  <c r="R622" i="1"/>
  <c r="AA622" i="1"/>
  <c r="R380" i="1"/>
  <c r="AA380" i="1"/>
  <c r="R468" i="1"/>
  <c r="AA468" i="1"/>
  <c r="R512" i="1"/>
  <c r="AA512" i="1"/>
  <c r="R534" i="1"/>
  <c r="AA534" i="1"/>
  <c r="R28" i="1"/>
  <c r="AA28" i="1"/>
  <c r="R644" i="1"/>
  <c r="AA644" i="1"/>
  <c r="R688" i="1"/>
  <c r="AA688" i="1"/>
  <c r="R94" i="1"/>
  <c r="AA94" i="1"/>
  <c r="R138" i="1"/>
  <c r="AA138" i="1"/>
  <c r="R490" i="1"/>
  <c r="AA490" i="1"/>
  <c r="R666" i="1"/>
  <c r="AA666" i="1"/>
  <c r="R116" i="1"/>
  <c r="AA116" i="1"/>
  <c r="BK402" i="1"/>
  <c r="BK556" i="1"/>
  <c r="BK490" i="1"/>
  <c r="BK336" i="1"/>
  <c r="BK380" i="1"/>
  <c r="BK688" i="1"/>
  <c r="BK468" i="1"/>
  <c r="BK512" i="1"/>
  <c r="BK600" i="1"/>
  <c r="BK358" i="1"/>
  <c r="BK292" i="1"/>
  <c r="BK424" i="1"/>
  <c r="BK6" i="1"/>
  <c r="BK534" i="1"/>
  <c r="BK578" i="1"/>
  <c r="BK72" i="1"/>
  <c r="BK248" i="1"/>
  <c r="BK28" i="1"/>
  <c r="BK644" i="1"/>
  <c r="BK666" i="1"/>
  <c r="BK270" i="1"/>
  <c r="BK446" i="1"/>
  <c r="BK94" i="1"/>
  <c r="BK116" i="1"/>
  <c r="BK314" i="1"/>
  <c r="BK226" i="1"/>
  <c r="BK138" i="1"/>
  <c r="BK622" i="1"/>
  <c r="CC8" i="76"/>
  <c r="CD8" i="76" s="1"/>
  <c r="AO23" i="76" s="1"/>
  <c r="H57" i="76"/>
  <c r="H49" i="76"/>
  <c r="I54" i="76"/>
  <c r="H51" i="76"/>
  <c r="I51" i="76"/>
  <c r="I52" i="76"/>
  <c r="H50" i="76"/>
  <c r="H55" i="76"/>
  <c r="H52" i="76"/>
  <c r="I50" i="76"/>
  <c r="G57" i="76"/>
  <c r="G49" i="76"/>
  <c r="BI8" i="76"/>
  <c r="BJ8" i="76" s="1"/>
  <c r="I57" i="76"/>
  <c r="AY8" i="76"/>
  <c r="AZ8" i="76" s="1"/>
  <c r="Z23" i="76" s="1"/>
  <c r="U8" i="76"/>
  <c r="V8" i="76" s="1"/>
  <c r="K23" i="76" s="1"/>
  <c r="H54" i="76"/>
  <c r="I49" i="76"/>
  <c r="I55" i="76"/>
  <c r="AO8" i="76"/>
  <c r="AP8" i="76" s="1"/>
  <c r="U23" i="76" s="1"/>
  <c r="BS6" i="76"/>
  <c r="BT6" i="76" s="1"/>
  <c r="AJ21" i="76" s="1"/>
  <c r="AE8" i="76"/>
  <c r="AF8" i="76" s="1"/>
  <c r="P23" i="76" s="1"/>
  <c r="AY10" i="76"/>
  <c r="AZ10" i="76" s="1"/>
  <c r="Z25" i="76" s="1"/>
  <c r="K8" i="76"/>
  <c r="BS8" i="76"/>
  <c r="BT8" i="76" s="1"/>
  <c r="AJ23" i="76" s="1"/>
  <c r="BI6" i="76"/>
  <c r="BJ6" i="76" s="1"/>
  <c r="BS13" i="76"/>
  <c r="BT13" i="76" s="1"/>
  <c r="AJ28" i="76" s="1"/>
  <c r="AE6" i="76"/>
  <c r="AF6" i="76" s="1"/>
  <c r="P21" i="76" s="1"/>
  <c r="U6" i="76"/>
  <c r="V6" i="76" s="1"/>
  <c r="K21" i="76" s="1"/>
  <c r="AO6" i="76"/>
  <c r="AP6" i="76" s="1"/>
  <c r="U21" i="76" s="1"/>
  <c r="CC6" i="76"/>
  <c r="CD6" i="76" s="1"/>
  <c r="AO21" i="76" s="1"/>
  <c r="AY6" i="76"/>
  <c r="AZ6" i="76" s="1"/>
  <c r="Z21" i="76" s="1"/>
  <c r="BS11" i="76"/>
  <c r="BT11" i="76" s="1"/>
  <c r="AJ26" i="76" s="1"/>
  <c r="K6" i="76"/>
  <c r="L6" i="76" s="1"/>
  <c r="F21" i="76" s="1"/>
  <c r="AY11" i="76"/>
  <c r="AZ11" i="76" s="1"/>
  <c r="Z26" i="76" s="1"/>
  <c r="U13" i="76"/>
  <c r="V13" i="76" s="1"/>
  <c r="K28" i="76" s="1"/>
  <c r="K13" i="76"/>
  <c r="L13" i="76" s="1"/>
  <c r="F28" i="76" s="1"/>
  <c r="AO13" i="76"/>
  <c r="AP13" i="76" s="1"/>
  <c r="U28" i="76" s="1"/>
  <c r="BI13" i="76"/>
  <c r="BJ13" i="76" s="1"/>
  <c r="CC13" i="76"/>
  <c r="CD13" i="76" s="1"/>
  <c r="AO28" i="76" s="1"/>
  <c r="AE13" i="76"/>
  <c r="AF13" i="76" s="1"/>
  <c r="P28" i="76" s="1"/>
  <c r="AY13" i="76"/>
  <c r="AZ13" i="76" s="1"/>
  <c r="Z28" i="76" s="1"/>
  <c r="AO11" i="76"/>
  <c r="AP11" i="76" s="1"/>
  <c r="U26" i="76" s="1"/>
  <c r="K11" i="76"/>
  <c r="L11" i="76" s="1"/>
  <c r="F26" i="76" s="1"/>
  <c r="U11" i="76"/>
  <c r="V11" i="76" s="1"/>
  <c r="K26" i="76" s="1"/>
  <c r="BI11" i="76"/>
  <c r="BJ11" i="76" s="1"/>
  <c r="CC11" i="76"/>
  <c r="CD11" i="76" s="1"/>
  <c r="AO26" i="76" s="1"/>
  <c r="AE11" i="76"/>
  <c r="AF11" i="76" s="1"/>
  <c r="P26" i="76" s="1"/>
  <c r="K10" i="76"/>
  <c r="L10" i="76" s="1"/>
  <c r="F25" i="76" s="1"/>
  <c r="AE10" i="76"/>
  <c r="AF10" i="76" s="1"/>
  <c r="P25" i="76" s="1"/>
  <c r="CC10" i="76"/>
  <c r="CD10" i="76" s="1"/>
  <c r="AO25" i="76" s="1"/>
  <c r="BI10" i="76"/>
  <c r="BJ10" i="76" s="1"/>
  <c r="U10" i="76"/>
  <c r="V10" i="76" s="1"/>
  <c r="K25" i="76" s="1"/>
  <c r="AO10" i="76"/>
  <c r="AP10" i="76" s="1"/>
  <c r="U25" i="76" s="1"/>
  <c r="BS10" i="76"/>
  <c r="BT10" i="76" s="1"/>
  <c r="AJ25" i="76" s="1"/>
  <c r="BI5" i="76"/>
  <c r="BJ5" i="76" s="1"/>
  <c r="AE5" i="76"/>
  <c r="AF5" i="76" s="1"/>
  <c r="P20" i="76" s="1"/>
  <c r="AO5" i="76"/>
  <c r="AP5" i="76" s="1"/>
  <c r="U20" i="76" s="1"/>
  <c r="BS5" i="76"/>
  <c r="BT5" i="76" s="1"/>
  <c r="AJ20" i="76" s="1"/>
  <c r="CC5" i="76"/>
  <c r="CD5" i="76" s="1"/>
  <c r="AO20" i="76" s="1"/>
  <c r="K5" i="76"/>
  <c r="AY5" i="76"/>
  <c r="AZ5" i="76" s="1"/>
  <c r="Z20" i="76" s="1"/>
  <c r="U5" i="76"/>
  <c r="V5" i="76" s="1"/>
  <c r="K20" i="76" s="1"/>
  <c r="AY7" i="76"/>
  <c r="AZ7" i="76" s="1"/>
  <c r="Z22" i="76" s="1"/>
  <c r="AE7" i="76"/>
  <c r="AF7" i="76" s="1"/>
  <c r="P22" i="76" s="1"/>
  <c r="CC7" i="76"/>
  <c r="CD7" i="76" s="1"/>
  <c r="AO22" i="76" s="1"/>
  <c r="U7" i="76"/>
  <c r="V7" i="76" s="1"/>
  <c r="K22" i="76" s="1"/>
  <c r="K7" i="76"/>
  <c r="BI7" i="76"/>
  <c r="BJ7" i="76" s="1"/>
  <c r="BS7" i="76"/>
  <c r="BT7" i="76" s="1"/>
  <c r="AJ22" i="76" s="1"/>
  <c r="AO7" i="76"/>
  <c r="AP7" i="76" s="1"/>
  <c r="U22" i="76" s="1"/>
  <c r="BC13" i="76" l="1"/>
  <c r="BD13" i="76" s="1"/>
  <c r="AC28" i="76" s="1"/>
  <c r="BW13" i="76"/>
  <c r="BX13" i="76" s="1"/>
  <c r="AM28" i="76" s="1"/>
  <c r="Y12" i="76"/>
  <c r="Z12" i="76" s="1"/>
  <c r="N27" i="76" s="1"/>
  <c r="E7" i="76"/>
  <c r="F7" i="76" s="1"/>
  <c r="D22" i="76" s="1"/>
  <c r="AS12" i="76"/>
  <c r="AT12" i="76" s="1"/>
  <c r="X27" i="76" s="1"/>
  <c r="Y6" i="76"/>
  <c r="Z6" i="76" s="1"/>
  <c r="N21" i="76" s="1"/>
  <c r="AI6" i="76"/>
  <c r="AJ6" i="76" s="1"/>
  <c r="S21" i="76" s="1"/>
  <c r="BM7" i="76"/>
  <c r="BN7" i="76" s="1"/>
  <c r="AH22" i="76" s="1"/>
  <c r="O9" i="76"/>
  <c r="P9" i="76" s="1"/>
  <c r="I24" i="76" s="1"/>
  <c r="AI9" i="76"/>
  <c r="AJ9" i="76" s="1"/>
  <c r="S24" i="76" s="1"/>
  <c r="AS7" i="76"/>
  <c r="AT7" i="76" s="1"/>
  <c r="X22" i="76" s="1"/>
  <c r="E10" i="76"/>
  <c r="F10" i="76" s="1"/>
  <c r="D25" i="76" s="1"/>
  <c r="BW8" i="76"/>
  <c r="BX8" i="76" s="1"/>
  <c r="AM23" i="76" s="1"/>
  <c r="O6" i="76"/>
  <c r="P6" i="76" s="1"/>
  <c r="I21" i="76" s="1"/>
  <c r="BW10" i="76"/>
  <c r="BX10" i="76" s="1"/>
  <c r="AM25" i="76" s="1"/>
  <c r="AS8" i="76"/>
  <c r="AT8" i="76" s="1"/>
  <c r="X23" i="76" s="1"/>
  <c r="BM5" i="76"/>
  <c r="BN5" i="76" s="1"/>
  <c r="AH20" i="76" s="1"/>
  <c r="Y8" i="76"/>
  <c r="Z8" i="76" s="1"/>
  <c r="N23" i="76" s="1"/>
  <c r="AI8" i="76"/>
  <c r="AJ8" i="76" s="1"/>
  <c r="S23" i="76" s="1"/>
  <c r="BC9" i="76"/>
  <c r="BD9" i="76" s="1"/>
  <c r="AC24" i="76" s="1"/>
  <c r="O12" i="76"/>
  <c r="P12" i="76" s="1"/>
  <c r="I27" i="76" s="1"/>
  <c r="F52" i="76"/>
  <c r="L8" i="76"/>
  <c r="F23" i="76" s="1"/>
  <c r="O13" i="76"/>
  <c r="P13" i="76" s="1"/>
  <c r="I28" i="76" s="1"/>
  <c r="BW7" i="76"/>
  <c r="BX7" i="76" s="1"/>
  <c r="AM22" i="76" s="1"/>
  <c r="BC5" i="76"/>
  <c r="BD5" i="76" s="1"/>
  <c r="AC20" i="76" s="1"/>
  <c r="BM12" i="76"/>
  <c r="BN12" i="76" s="1"/>
  <c r="AH27" i="76" s="1"/>
  <c r="Y10" i="76"/>
  <c r="Z10" i="76" s="1"/>
  <c r="N25" i="76" s="1"/>
  <c r="F50" i="76"/>
  <c r="F55" i="76"/>
  <c r="F57" i="76"/>
  <c r="F54" i="76"/>
  <c r="Y5" i="76"/>
  <c r="Z5" i="76" s="1"/>
  <c r="N20" i="76" s="1"/>
  <c r="O5" i="76"/>
  <c r="P5" i="76" s="1"/>
  <c r="I20" i="76" s="1"/>
  <c r="BC11" i="76"/>
  <c r="BD11" i="76" s="1"/>
  <c r="AC26" i="76" s="1"/>
  <c r="AI10" i="76"/>
  <c r="AJ10" i="76" s="1"/>
  <c r="S25" i="76" s="1"/>
  <c r="BW9" i="76"/>
  <c r="BX9" i="76" s="1"/>
  <c r="AM24" i="76" s="1"/>
  <c r="AS11" i="76"/>
  <c r="AT11" i="76" s="1"/>
  <c r="X26" i="76" s="1"/>
  <c r="BM6" i="76"/>
  <c r="BN6" i="76" s="1"/>
  <c r="AH21" i="76" s="1"/>
  <c r="E5" i="76"/>
  <c r="AI13" i="76"/>
  <c r="AJ13" i="76" s="1"/>
  <c r="S28" i="76" s="1"/>
  <c r="AS13" i="76"/>
  <c r="AT13" i="76" s="1"/>
  <c r="X28" i="76" s="1"/>
  <c r="F49" i="76"/>
  <c r="L5" i="76"/>
  <c r="F20" i="76" s="1"/>
  <c r="AS9" i="76"/>
  <c r="AT9" i="76" s="1"/>
  <c r="X24" i="76" s="1"/>
  <c r="E8" i="76"/>
  <c r="F8" i="76" s="1"/>
  <c r="D23" i="76" s="1"/>
  <c r="BW5" i="76"/>
  <c r="BX5" i="76" s="1"/>
  <c r="AM20" i="76" s="1"/>
  <c r="BC10" i="76"/>
  <c r="BD10" i="76" s="1"/>
  <c r="AC25" i="76" s="1"/>
  <c r="AI11" i="76"/>
  <c r="AJ11" i="76" s="1"/>
  <c r="S26" i="76" s="1"/>
  <c r="E13" i="76"/>
  <c r="F13" i="76" s="1"/>
  <c r="D28" i="76" s="1"/>
  <c r="O11" i="76"/>
  <c r="P11" i="76" s="1"/>
  <c r="I26" i="76" s="1"/>
  <c r="BC8" i="76"/>
  <c r="BD8" i="76" s="1"/>
  <c r="AC23" i="76" s="1"/>
  <c r="BM13" i="76"/>
  <c r="BN13" i="76" s="1"/>
  <c r="AH28" i="76" s="1"/>
  <c r="O8" i="76"/>
  <c r="P8" i="76" s="1"/>
  <c r="I23" i="76" s="1"/>
  <c r="BW6" i="76"/>
  <c r="BX6" i="76" s="1"/>
  <c r="AM21" i="76" s="1"/>
  <c r="BM10" i="76"/>
  <c r="BN10" i="76" s="1"/>
  <c r="AH25" i="76" s="1"/>
  <c r="Y7" i="76"/>
  <c r="Z7" i="76" s="1"/>
  <c r="N22" i="76" s="1"/>
  <c r="AI5" i="76"/>
  <c r="AJ5" i="76" s="1"/>
  <c r="S20" i="76" s="1"/>
  <c r="E12" i="76"/>
  <c r="F12" i="76" s="1"/>
  <c r="D27" i="76" s="1"/>
  <c r="Y13" i="76"/>
  <c r="Z13" i="76" s="1"/>
  <c r="N28" i="76" s="1"/>
  <c r="E6" i="76"/>
  <c r="F6" i="76" s="1"/>
  <c r="D21" i="76" s="1"/>
  <c r="BC7" i="76"/>
  <c r="BD7" i="76" s="1"/>
  <c r="AC22" i="76" s="1"/>
  <c r="L7" i="76"/>
  <c r="F22" i="76" s="1"/>
  <c r="F51" i="76"/>
  <c r="AS5" i="76"/>
  <c r="AT5" i="76" s="1"/>
  <c r="X20" i="76" s="1"/>
  <c r="BM11" i="76"/>
  <c r="BN11" i="76" s="1"/>
  <c r="AH26" i="76" s="1"/>
  <c r="F5" i="76" l="1"/>
  <c r="D20" i="76" s="1"/>
  <c r="D34" i="76" s="1"/>
  <c r="R38" i="76"/>
  <c r="D42" i="76"/>
  <c r="G42" i="76"/>
  <c r="D57" i="76"/>
  <c r="D49" i="76"/>
  <c r="G34" i="76" l="1"/>
  <c r="AR6" i="76" l="1"/>
  <c r="N7" i="76"/>
  <c r="AH12" i="76"/>
  <c r="S9" i="77"/>
  <c r="T9" i="77"/>
  <c r="AA9" i="76"/>
  <c r="BY9" i="76"/>
  <c r="BO9" i="76"/>
  <c r="Q9" i="76"/>
  <c r="AK9" i="76"/>
  <c r="G9" i="76"/>
  <c r="AU9" i="76"/>
  <c r="BE9" i="76"/>
  <c r="D11" i="76"/>
  <c r="BL9" i="76"/>
  <c r="X11" i="76"/>
  <c r="BV11" i="76"/>
  <c r="BB6" i="76"/>
  <c r="J9" i="76"/>
  <c r="AE5" i="55"/>
  <c r="AE7" i="55"/>
  <c r="AE11" i="55"/>
  <c r="G50" i="76" l="1"/>
  <c r="F9" i="77"/>
  <c r="G9" i="77"/>
  <c r="H9" i="77"/>
  <c r="U9" i="77"/>
  <c r="BR9" i="76"/>
  <c r="CB9" i="76"/>
  <c r="M9" i="77"/>
  <c r="AJ23" i="55"/>
  <c r="AB31" i="55"/>
  <c r="AD31" i="55" s="1"/>
  <c r="AN9" i="76"/>
  <c r="H53" i="76"/>
  <c r="AD9" i="76"/>
  <c r="K9" i="77"/>
  <c r="T9" i="76"/>
  <c r="G55" i="76"/>
  <c r="AX9" i="76"/>
  <c r="K9" i="76"/>
  <c r="CC9" i="76"/>
  <c r="BS9" i="76"/>
  <c r="AY9" i="76"/>
  <c r="AE9" i="76"/>
  <c r="BI9" i="76"/>
  <c r="U9" i="76"/>
  <c r="AO9" i="76"/>
  <c r="BO12" i="76"/>
  <c r="I9" i="77"/>
  <c r="L9" i="77"/>
  <c r="BH9" i="76"/>
  <c r="J9" i="77"/>
  <c r="BT9" i="76" l="1"/>
  <c r="AJ24" i="76" s="1"/>
  <c r="AU12" i="76"/>
  <c r="AA12" i="76"/>
  <c r="AP9" i="76"/>
  <c r="U24" i="76" s="1"/>
  <c r="CD9" i="76"/>
  <c r="AO24" i="76" s="1"/>
  <c r="V9" i="76"/>
  <c r="K24" i="76" s="1"/>
  <c r="F53" i="76"/>
  <c r="AZ9" i="76"/>
  <c r="Z24" i="76" s="1"/>
  <c r="BE12" i="76"/>
  <c r="BY12" i="76"/>
  <c r="I53" i="76"/>
  <c r="AK12" i="76"/>
  <c r="AX12" i="76"/>
  <c r="L9" i="76"/>
  <c r="F24" i="76" s="1"/>
  <c r="Q12" i="76"/>
  <c r="BJ9" i="76"/>
  <c r="T12" i="77"/>
  <c r="AF9" i="76"/>
  <c r="P24" i="76" s="1"/>
  <c r="G12" i="76"/>
  <c r="O7" i="76"/>
  <c r="AS6" i="76" l="1"/>
  <c r="AT6" i="76" s="1"/>
  <c r="X21" i="76" s="1"/>
  <c r="BB12" i="76"/>
  <c r="X9" i="76"/>
  <c r="E11" i="76"/>
  <c r="F11" i="76" s="1"/>
  <c r="D26" i="76" s="1"/>
  <c r="AI12" i="76"/>
  <c r="AJ12" i="76" s="1"/>
  <c r="S27" i="76" s="1"/>
  <c r="AB37" i="55"/>
  <c r="AD37" i="55" s="1"/>
  <c r="I12" i="77"/>
  <c r="S12" i="77"/>
  <c r="AR10" i="76"/>
  <c r="D9" i="76"/>
  <c r="AH7" i="76"/>
  <c r="G51" i="76" s="1"/>
  <c r="K12" i="77"/>
  <c r="T12" i="76"/>
  <c r="L12" i="77"/>
  <c r="AN12" i="76"/>
  <c r="J12" i="77"/>
  <c r="G12" i="77"/>
  <c r="BR12" i="76"/>
  <c r="BW11" i="76"/>
  <c r="BX11" i="76" s="1"/>
  <c r="AM26" i="76" s="1"/>
  <c r="N10" i="76"/>
  <c r="J12" i="76"/>
  <c r="F12" i="77"/>
  <c r="BL8" i="76"/>
  <c r="BH12" i="76"/>
  <c r="AJ20" i="55"/>
  <c r="U12" i="77"/>
  <c r="BM9" i="76"/>
  <c r="BN9" i="76" s="1"/>
  <c r="AH24" i="76" s="1"/>
  <c r="AD12" i="76"/>
  <c r="P7" i="76"/>
  <c r="I22" i="76" s="1"/>
  <c r="BV12" i="76"/>
  <c r="CB12" i="76"/>
  <c r="BC6" i="76"/>
  <c r="BD6" i="76" s="1"/>
  <c r="AC21" i="76" s="1"/>
  <c r="H56" i="76"/>
  <c r="Y11" i="76"/>
  <c r="Z11" i="76" s="1"/>
  <c r="N26" i="76" s="1"/>
  <c r="M12" i="77"/>
  <c r="H12" i="77"/>
  <c r="G56" i="76" l="1"/>
  <c r="G53" i="76"/>
  <c r="AG37" i="55"/>
  <c r="AH37" i="55" s="1"/>
  <c r="AG30" i="55"/>
  <c r="AH30" i="55" s="1"/>
  <c r="AG36" i="55"/>
  <c r="AH36" i="55" s="1"/>
  <c r="AG31" i="55"/>
  <c r="AH31" i="55" s="1"/>
  <c r="AG34" i="55"/>
  <c r="AH34" i="55" s="1"/>
  <c r="AG33" i="55"/>
  <c r="AH33" i="55" s="1"/>
  <c r="G54" i="76"/>
  <c r="AG35" i="55"/>
  <c r="AH35" i="55" s="1"/>
  <c r="AG32" i="55"/>
  <c r="AH32" i="55" s="1"/>
  <c r="AG38" i="55"/>
  <c r="AH38" i="55" s="1"/>
  <c r="D55" i="76"/>
  <c r="D35" i="76"/>
  <c r="G35" i="76"/>
  <c r="G40" i="76"/>
  <c r="D40" i="76"/>
  <c r="G52" i="76"/>
  <c r="D50" i="76"/>
  <c r="I56" i="76"/>
  <c r="BC12" i="76" l="1"/>
  <c r="BD12" i="76" s="1"/>
  <c r="AC27" i="76" s="1"/>
  <c r="AI7" i="76"/>
  <c r="D51" i="76" s="1"/>
  <c r="O10" i="76"/>
  <c r="AS10" i="76"/>
  <c r="AT10" i="76" s="1"/>
  <c r="X25" i="76" s="1"/>
  <c r="Y9" i="76"/>
  <c r="Z9" i="76" s="1"/>
  <c r="N24" i="76" s="1"/>
  <c r="BW12" i="76"/>
  <c r="BX12" i="76" s="1"/>
  <c r="AM27" i="76" s="1"/>
  <c r="BM8" i="76"/>
  <c r="E9" i="76"/>
  <c r="K2" i="56" l="1" a="1"/>
  <c r="D56" i="76"/>
  <c r="D54" i="76"/>
  <c r="AJ7" i="76"/>
  <c r="S22" i="76" s="1"/>
  <c r="G36" i="76" s="1"/>
  <c r="P10" i="76"/>
  <c r="I25" i="76" s="1"/>
  <c r="G39" i="76" s="1"/>
  <c r="D41" i="76"/>
  <c r="G41" i="76"/>
  <c r="D52" i="76"/>
  <c r="BN8" i="76"/>
  <c r="AH23" i="76" s="1"/>
  <c r="D53" i="76"/>
  <c r="F9" i="76"/>
  <c r="D24" i="76" s="1"/>
  <c r="D36" i="76" l="1"/>
  <c r="D39" i="76"/>
  <c r="D37" i="76"/>
  <c r="G37" i="76"/>
  <c r="G38" i="76"/>
  <c r="D38" i="76"/>
  <c r="H11" i="76" l="1"/>
  <c r="I11" i="76" s="1"/>
  <c r="E26" i="76" s="1"/>
  <c r="H12" i="76"/>
  <c r="I12" i="76" s="1"/>
  <c r="E27" i="76" s="1"/>
  <c r="H6" i="76" l="1"/>
  <c r="I6" i="76" s="1"/>
  <c r="E21" i="76" s="1"/>
  <c r="H9" i="76"/>
  <c r="I9" i="76" s="1"/>
  <c r="E24"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BF9" i="76"/>
  <c r="BG9" i="76" s="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BF10" i="76"/>
  <c r="BG10" i="76" s="1"/>
  <c r="H10" i="76"/>
  <c r="BZ7" i="76"/>
  <c r="CA7" i="76" s="1"/>
  <c r="AN22" i="76" s="1"/>
  <c r="R7" i="76"/>
  <c r="S7" i="76" s="1"/>
  <c r="J22" i="76" s="1"/>
  <c r="AL7" i="76"/>
  <c r="AM7" i="76" s="1"/>
  <c r="T22" i="76" s="1"/>
  <c r="BP7" i="76"/>
  <c r="BQ7" i="76" s="1"/>
  <c r="AI22" i="76" s="1"/>
  <c r="AB7" i="76"/>
  <c r="AC7" i="76" s="1"/>
  <c r="O22" i="76" s="1"/>
  <c r="AV7" i="76"/>
  <c r="AW7" i="76" s="1"/>
  <c r="Y22" i="76" s="1"/>
  <c r="AK21" i="55"/>
  <c r="AL21" i="55" s="1"/>
  <c r="AC34" i="55"/>
  <c r="BF7" i="76"/>
  <c r="BG7" i="76" s="1"/>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AC38" i="55"/>
  <c r="BF11" i="76"/>
  <c r="BG11" i="76" s="1"/>
  <c r="AV6" i="76"/>
  <c r="AW6" i="76" s="1"/>
  <c r="Y21" i="76" s="1"/>
  <c r="R6" i="76"/>
  <c r="S6" i="76" s="1"/>
  <c r="J21" i="76" s="1"/>
  <c r="AB6" i="76"/>
  <c r="AC6" i="76" s="1"/>
  <c r="O21" i="76" s="1"/>
  <c r="BP6" i="76"/>
  <c r="BQ6" i="76" s="1"/>
  <c r="AI21" i="76" s="1"/>
  <c r="BZ6" i="76"/>
  <c r="CA6" i="76" s="1"/>
  <c r="AN21" i="76" s="1"/>
  <c r="AL6" i="76"/>
  <c r="AM6" i="76" s="1"/>
  <c r="T21" i="76" s="1"/>
  <c r="AK22" i="55"/>
  <c r="AL22" i="55" s="1"/>
  <c r="AC30" i="55"/>
  <c r="B15" i="76"/>
  <c r="BF6" i="76"/>
  <c r="BG6" i="76" s="1"/>
  <c r="H8" i="76"/>
  <c r="I8" i="76" s="1"/>
  <c r="E23" i="76" s="1"/>
  <c r="H5" i="76"/>
  <c r="AC33" i="55"/>
  <c r="E55" i="76" l="1"/>
  <c r="I5" i="76"/>
  <c r="E20" i="76" s="1"/>
  <c r="E51" i="76"/>
  <c r="I7" i="76"/>
  <c r="E22" i="76" s="1"/>
  <c r="AD22" i="76"/>
  <c r="AE22" i="76"/>
  <c r="E54" i="76"/>
  <c r="I10" i="76"/>
  <c r="E25" i="76" s="1"/>
  <c r="AE24" i="76"/>
  <c r="AD24" i="76"/>
  <c r="AD21" i="76"/>
  <c r="H35" i="76" s="1"/>
  <c r="AE21" i="76"/>
  <c r="AD25" i="76"/>
  <c r="AE25" i="76"/>
  <c r="AD27" i="76"/>
  <c r="E41" i="76" s="1"/>
  <c r="AE27" i="76"/>
  <c r="E50" i="76"/>
  <c r="AE26" i="76"/>
  <c r="AD26" i="76"/>
  <c r="H40" i="76" s="1"/>
  <c r="E53" i="76"/>
  <c r="E56" i="76"/>
  <c r="AV8" i="76"/>
  <c r="AW8" i="76" s="1"/>
  <c r="Y23" i="76" s="1"/>
  <c r="AK24" i="55"/>
  <c r="AL24" i="55" s="1"/>
  <c r="AL8" i="76"/>
  <c r="AM8" i="76" s="1"/>
  <c r="T23" i="76" s="1"/>
  <c r="BP8" i="76"/>
  <c r="BQ8" i="76" s="1"/>
  <c r="AI23" i="76" s="1"/>
  <c r="BZ8" i="76"/>
  <c r="CA8" i="76" s="1"/>
  <c r="AN23" i="76" s="1"/>
  <c r="AB8" i="76"/>
  <c r="AC8" i="76" s="1"/>
  <c r="O23" i="76" s="1"/>
  <c r="R8" i="76"/>
  <c r="S8" i="76" s="1"/>
  <c r="J23" i="76" s="1"/>
  <c r="AC35" i="55"/>
  <c r="BF8" i="76"/>
  <c r="BG8" i="76" s="1"/>
  <c r="BP13" i="76"/>
  <c r="BQ13" i="76" s="1"/>
  <c r="AI28" i="76" s="1"/>
  <c r="BZ13" i="76"/>
  <c r="CA13" i="76" s="1"/>
  <c r="AN28" i="76" s="1"/>
  <c r="AK25" i="55"/>
  <c r="AL25" i="55" s="1"/>
  <c r="AV13" i="76"/>
  <c r="AW13" i="76" s="1"/>
  <c r="Y28" i="76" s="1"/>
  <c r="R13" i="76"/>
  <c r="S13" i="76" s="1"/>
  <c r="J28" i="76" s="1"/>
  <c r="AB13" i="76"/>
  <c r="AC13" i="76" s="1"/>
  <c r="O28" i="76" s="1"/>
  <c r="AL13" i="76"/>
  <c r="AM13" i="76" s="1"/>
  <c r="T28" i="76" s="1"/>
  <c r="BF13" i="76"/>
  <c r="BG13" i="76" s="1"/>
  <c r="H13" i="76"/>
  <c r="L12" i="76"/>
  <c r="F27" i="76" s="1"/>
  <c r="F56" i="76"/>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E38" i="76" l="1"/>
  <c r="H38" i="76"/>
  <c r="F35" i="76"/>
  <c r="I35" i="76"/>
  <c r="E52" i="76"/>
  <c r="F39" i="76"/>
  <c r="I39" i="76"/>
  <c r="F40" i="76"/>
  <c r="I40" i="76"/>
  <c r="H41" i="76"/>
  <c r="E57" i="76"/>
  <c r="I13" i="76"/>
  <c r="E28" i="76" s="1"/>
  <c r="I38" i="76"/>
  <c r="F38" i="76"/>
  <c r="E39" i="76"/>
  <c r="H39" i="76"/>
  <c r="AE28" i="76"/>
  <c r="AD28" i="76"/>
  <c r="AD23" i="76"/>
  <c r="E37" i="76" s="1"/>
  <c r="AE23" i="76"/>
  <c r="AE20" i="76"/>
  <c r="AD20" i="76"/>
  <c r="H34" i="76" s="1"/>
  <c r="F41" i="76"/>
  <c r="I41" i="76"/>
  <c r="E35" i="76"/>
  <c r="E49" i="76"/>
  <c r="H36" i="76"/>
  <c r="E36" i="76"/>
  <c r="E40" i="76"/>
  <c r="F36" i="76"/>
  <c r="I36" i="76"/>
  <c r="I42" i="76" l="1"/>
  <c r="F42" i="76"/>
  <c r="H37" i="76"/>
  <c r="E34" i="76"/>
  <c r="F37" i="76"/>
  <c r="I37" i="76"/>
  <c r="I34" i="76"/>
  <c r="F34" i="76"/>
  <c r="H42" i="76"/>
  <c r="E42" i="76"/>
  <c r="J35" i="76" l="1"/>
  <c r="J38" i="76"/>
  <c r="J41" i="76"/>
  <c r="J42" i="76"/>
  <c r="J36" i="76"/>
  <c r="J39" i="76"/>
  <c r="J37" i="76"/>
  <c r="J40" i="76"/>
  <c r="J34" i="76"/>
  <c r="K42" i="76" l="1"/>
  <c r="K41" i="76"/>
  <c r="K39" i="76"/>
  <c r="K40" i="76"/>
  <c r="K37" i="76"/>
  <c r="K36" i="76"/>
  <c r="K38" i="76"/>
  <c r="K34"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 r="N39" i="67" l="1"/>
  <c r="L2" i="56" l="1"/>
  <c r="L3" i="56"/>
  <c r="L4" i="56"/>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AR6" i="55"/>
  <c r="AQ8" i="55"/>
  <c r="AK34" i="55"/>
  <c r="AM36" i="55"/>
  <c r="AM35" i="55"/>
  <c r="AR7" i="55"/>
  <c r="AK37" i="55"/>
  <c r="AP5" i="55"/>
  <c r="AL30" i="55"/>
  <c r="AL32" i="55"/>
  <c r="AM8" i="55"/>
  <c r="AM31" i="55"/>
  <c r="AE6" i="55"/>
  <c r="AM10" i="55"/>
  <c r="AM38" i="55"/>
  <c r="AQ10" i="55"/>
  <c r="AL35" i="55"/>
  <c r="AR9" i="55"/>
  <c r="AL34" i="55"/>
  <c r="AE10" i="55"/>
  <c r="AP9" i="55"/>
  <c r="AM30" i="55"/>
  <c r="AE8" i="55"/>
  <c r="AR10" i="55"/>
  <c r="AM33" i="55"/>
  <c r="AL31" i="55"/>
  <c r="AR5" i="55"/>
  <c r="AP6" i="55"/>
  <c r="AP10" i="55"/>
  <c r="AQ9" i="55"/>
  <c r="AL38" i="55"/>
  <c r="AM32" i="55"/>
  <c r="AM9" i="55"/>
  <c r="AM12" i="55"/>
  <c r="AL33" i="55"/>
  <c r="AQ6" i="55"/>
  <c r="AQ7" i="55"/>
  <c r="AK33" i="55"/>
  <c r="AM11" i="55"/>
  <c r="AL36" i="55"/>
  <c r="AP13" i="55"/>
  <c r="AK36" i="55"/>
  <c r="AE13" i="55"/>
  <c r="AQ12" i="55"/>
  <c r="AM7" i="55"/>
  <c r="AP12" i="55"/>
  <c r="AP7" i="55"/>
  <c r="AQ13" i="55"/>
  <c r="AL37" i="55"/>
  <c r="AM34" i="55"/>
  <c r="AM37" i="55"/>
  <c r="AR8" i="55"/>
  <c r="AQ5" i="55"/>
  <c r="AM6" i="55"/>
  <c r="AE12" i="55"/>
  <c r="AP8" i="55"/>
  <c r="AR13" i="55"/>
  <c r="AK32" i="55"/>
  <c r="AE9" i="55"/>
  <c r="AQ11" i="55"/>
  <c r="AK31" i="55"/>
  <c r="AK30" i="55"/>
  <c r="AP11" i="55"/>
  <c r="AR12" i="55"/>
  <c r="AR11" i="55"/>
  <c r="AK38" i="55"/>
  <c r="AM5" i="55"/>
  <c r="AM13" i="55"/>
  <c r="AK35" i="55"/>
  <c r="AN36" i="55" l="1"/>
  <c r="AN33" i="55"/>
  <c r="AN37" i="55"/>
  <c r="AN38" i="55"/>
  <c r="AN31" i="55"/>
  <c r="AN32" i="55"/>
  <c r="AN34" i="55"/>
  <c r="AN35" i="55"/>
  <c r="AN30" i="55"/>
  <c r="AN40" i="55" s="1"/>
  <c r="E5" i="1"/>
  <c r="C52" i="64"/>
  <c r="C53" i="64"/>
  <c r="C54" i="64"/>
  <c r="C55" i="64"/>
  <c r="C56" i="64"/>
  <c r="C57" i="64"/>
  <c r="C58" i="64"/>
  <c r="C59" i="64"/>
  <c r="C60" i="64"/>
  <c r="C61" i="64"/>
  <c r="C62" i="64"/>
  <c r="C63" i="64"/>
  <c r="C64" i="64"/>
  <c r="C65" i="64"/>
  <c r="C66" i="64"/>
  <c r="C67" i="64"/>
  <c r="C68" i="64"/>
  <c r="C69" i="64"/>
  <c r="C70" i="64"/>
  <c r="C71" i="64"/>
  <c r="C72" i="64"/>
  <c r="C73" i="64"/>
  <c r="C74" i="64"/>
  <c r="C75" i="64"/>
  <c r="C76" i="64"/>
  <c r="C77" i="64"/>
  <c r="C78" i="64"/>
  <c r="C79" i="64"/>
  <c r="C80" i="64"/>
  <c r="C81" i="64"/>
  <c r="C82" i="64"/>
  <c r="C83" i="64"/>
  <c r="C84" i="64"/>
  <c r="C85" i="64"/>
  <c r="C86" i="64"/>
  <c r="C87" i="64"/>
  <c r="C88" i="64"/>
  <c r="C89" i="64"/>
  <c r="C90" i="64"/>
  <c r="C91" i="64"/>
  <c r="C92" i="64"/>
  <c r="C93" i="64"/>
  <c r="C94" i="64"/>
  <c r="C95" i="64"/>
  <c r="C96" i="64"/>
  <c r="C97" i="64"/>
  <c r="C98" i="64"/>
  <c r="C99" i="64"/>
  <c r="C100" i="64"/>
  <c r="C101" i="64"/>
  <c r="C102" i="64"/>
  <c r="C103" i="64"/>
  <c r="C104" i="64"/>
  <c r="C105" i="64"/>
  <c r="C106" i="64"/>
  <c r="C107" i="64"/>
  <c r="C108" i="64"/>
  <c r="C109" i="64"/>
  <c r="C110" i="64"/>
  <c r="C111" i="64"/>
  <c r="C112" i="64"/>
  <c r="C113" i="64"/>
  <c r="C114" i="64"/>
  <c r="C115" i="64"/>
  <c r="C116" i="64"/>
  <c r="C117" i="64"/>
  <c r="C118" i="64"/>
  <c r="C119" i="64"/>
  <c r="C120" i="64"/>
  <c r="C121" i="64"/>
  <c r="C122" i="64"/>
  <c r="C123" i="64"/>
  <c r="C124" i="64"/>
  <c r="C125" i="64"/>
  <c r="C126" i="64"/>
  <c r="C127" i="64"/>
  <c r="C128" i="64"/>
  <c r="C129" i="64"/>
  <c r="C130" i="64"/>
  <c r="C131" i="64"/>
  <c r="C132" i="64"/>
  <c r="C133" i="64"/>
  <c r="C134" i="64"/>
  <c r="C135" i="64"/>
  <c r="C136" i="64"/>
  <c r="C137" i="64"/>
  <c r="C138" i="64"/>
  <c r="C139" i="64"/>
  <c r="C140" i="64"/>
  <c r="C141" i="64"/>
  <c r="C142" i="64"/>
  <c r="C143" i="64"/>
  <c r="C144" i="64"/>
  <c r="C145" i="64"/>
  <c r="C146" i="64"/>
  <c r="C147" i="64"/>
  <c r="C148" i="64"/>
  <c r="C149" i="64"/>
  <c r="C150" i="64"/>
  <c r="C151" i="64"/>
  <c r="C152" i="64"/>
  <c r="C153" i="64"/>
  <c r="C154" i="64"/>
  <c r="C155" i="64"/>
  <c r="C156" i="64"/>
  <c r="C157" i="64"/>
  <c r="C158" i="64"/>
  <c r="C159" i="64"/>
  <c r="C160" i="64"/>
  <c r="C161" i="64"/>
  <c r="C162" i="64"/>
  <c r="C163" i="64"/>
  <c r="C164" i="64"/>
  <c r="C165" i="64"/>
  <c r="C166" i="64"/>
  <c r="P2" i="45"/>
  <c r="AA2" i="45"/>
  <c r="AL2" i="45" s="1"/>
  <c r="C2" i="68"/>
  <c r="B2" i="45"/>
  <c r="C2" i="74"/>
  <c r="B2" i="74"/>
  <c r="C2" i="70"/>
  <c r="B2" i="70"/>
  <c r="C2" i="71"/>
  <c r="C2" i="69"/>
  <c r="B2" i="69" s="1"/>
  <c r="C2" i="72"/>
  <c r="C2" i="67"/>
  <c r="Q2" i="67" s="1" a="1"/>
  <c r="B2" i="67"/>
  <c r="A2" i="56"/>
  <c r="B2" i="71"/>
  <c r="B2" i="72"/>
  <c r="U2" i="68" l="1"/>
  <c r="I4" i="1"/>
  <c r="D2" i="71"/>
  <c r="E2" i="71" s="1"/>
  <c r="E67" i="55" s="1" a="1"/>
  <c r="J2" i="72"/>
  <c r="F2" i="70"/>
  <c r="D2" i="70"/>
  <c r="E2" i="70" s="1"/>
  <c r="E63" i="55" s="1" a="1"/>
  <c r="D2" i="74"/>
  <c r="F2" i="68"/>
  <c r="J2" i="68"/>
  <c r="G2" i="70"/>
  <c r="G2" i="67"/>
  <c r="J2" i="67"/>
  <c r="G2" i="71"/>
  <c r="G2" i="69"/>
  <c r="J2" i="69"/>
  <c r="J2" i="74"/>
  <c r="E2" i="67"/>
  <c r="F2" i="72"/>
  <c r="D2" i="72"/>
  <c r="E2" i="69"/>
  <c r="F2" i="71"/>
  <c r="J2" i="71"/>
  <c r="G2" i="72"/>
  <c r="E2" i="72"/>
  <c r="G2" i="68"/>
  <c r="E2" i="68"/>
  <c r="D2" i="68"/>
  <c r="G2" i="74"/>
  <c r="F2" i="74"/>
  <c r="F2" i="69"/>
  <c r="D2" i="69"/>
  <c r="F2" i="67"/>
  <c r="D2" i="67"/>
  <c r="J2" i="70"/>
  <c r="E27" i="1"/>
  <c r="B2" i="68"/>
  <c r="C3" i="71"/>
  <c r="P3" i="45"/>
  <c r="AA3" i="45" s="1"/>
  <c r="AL3" i="45" s="1"/>
  <c r="C3" i="69"/>
  <c r="B3" i="45"/>
  <c r="A3" i="56"/>
  <c r="C3" i="68"/>
  <c r="C3" i="74"/>
  <c r="C3" i="67"/>
  <c r="Q3" i="67" s="1" a="1"/>
  <c r="C3" i="72"/>
  <c r="C3" i="70"/>
  <c r="C4" i="70"/>
  <c r="C4" i="68"/>
  <c r="P4" i="45"/>
  <c r="AA4" i="45" s="1"/>
  <c r="AL4" i="45" s="1"/>
  <c r="B4" i="45"/>
  <c r="C4" i="72"/>
  <c r="C4" i="74"/>
  <c r="C4" i="69"/>
  <c r="A4" i="56"/>
  <c r="C4" i="67"/>
  <c r="Q4" i="67" s="1" a="1"/>
  <c r="C4" i="71"/>
  <c r="P5" i="45"/>
  <c r="AA5" i="45" s="1"/>
  <c r="AL5" i="45" s="1"/>
  <c r="C5" i="74"/>
  <c r="C5" i="71"/>
  <c r="C5" i="68"/>
  <c r="C5" i="69"/>
  <c r="C5" i="70"/>
  <c r="B5" i="45"/>
  <c r="C5" i="72"/>
  <c r="C5" i="67"/>
  <c r="Q5" i="67" s="1" a="1"/>
  <c r="A5" i="56"/>
  <c r="A6" i="56"/>
  <c r="P6" i="45"/>
  <c r="AA6" i="45" s="1"/>
  <c r="AL6" i="45" s="1"/>
  <c r="C6" i="69"/>
  <c r="C6" i="74"/>
  <c r="C6" i="72"/>
  <c r="C6" i="68"/>
  <c r="C6" i="70"/>
  <c r="C6" i="67"/>
  <c r="Q6" i="67" s="1" a="1"/>
  <c r="C6" i="71"/>
  <c r="B6" i="45"/>
  <c r="C7" i="72"/>
  <c r="P7" i="45"/>
  <c r="AA7" i="45" s="1"/>
  <c r="AL7" i="45" s="1"/>
  <c r="C7" i="69"/>
  <c r="B7" i="45"/>
  <c r="A7" i="56"/>
  <c r="C7" i="70"/>
  <c r="C7" i="68"/>
  <c r="C7" i="71"/>
  <c r="C7" i="67"/>
  <c r="Q7" i="67" s="1" a="1"/>
  <c r="C7" i="74"/>
  <c r="C8" i="68"/>
  <c r="C8" i="70"/>
  <c r="B8" i="45"/>
  <c r="C8" i="74"/>
  <c r="P8" i="45"/>
  <c r="AA8" i="45" s="1"/>
  <c r="AL8" i="45" s="1"/>
  <c r="C8" i="71"/>
  <c r="C8" i="67"/>
  <c r="Q8" i="67" s="1" a="1"/>
  <c r="C8" i="69"/>
  <c r="A8" i="56"/>
  <c r="C8" i="72"/>
  <c r="P9" i="45"/>
  <c r="AA9" i="45" s="1"/>
  <c r="AL9" i="45" s="1"/>
  <c r="C9" i="69"/>
  <c r="C9" i="72"/>
  <c r="A9" i="56"/>
  <c r="C9" i="74"/>
  <c r="C9" i="70"/>
  <c r="C9" i="68"/>
  <c r="C9" i="67"/>
  <c r="Q9" i="67" s="1" a="1"/>
  <c r="C9" i="71"/>
  <c r="B9" i="45"/>
  <c r="C10" i="68"/>
  <c r="C10" i="70"/>
  <c r="P10" i="45"/>
  <c r="AA10" i="45" s="1"/>
  <c r="AL10" i="45" s="1"/>
  <c r="A10" i="56"/>
  <c r="C10" i="74"/>
  <c r="B10" i="45"/>
  <c r="C10" i="71"/>
  <c r="C10" i="67"/>
  <c r="Q10" i="67" s="1" a="1"/>
  <c r="C10" i="69"/>
  <c r="C10" i="72"/>
  <c r="C11" i="70"/>
  <c r="A11" i="56"/>
  <c r="C11" i="68"/>
  <c r="C11" i="71"/>
  <c r="C11" i="69"/>
  <c r="P11" i="45"/>
  <c r="AA11" i="45" s="1"/>
  <c r="AL11" i="45" s="1"/>
  <c r="B11" i="45"/>
  <c r="C11" i="72"/>
  <c r="C11" i="74"/>
  <c r="C11" i="67"/>
  <c r="Q11" i="67" s="1" a="1"/>
  <c r="P12" i="45"/>
  <c r="AA12" i="45" s="1"/>
  <c r="AL12" i="45" s="1"/>
  <c r="C12" i="71"/>
  <c r="B12" i="45"/>
  <c r="C12" i="72"/>
  <c r="C12" i="69"/>
  <c r="C12" i="74"/>
  <c r="C12" i="68"/>
  <c r="C12" i="67"/>
  <c r="Q12" i="67" s="1" a="1"/>
  <c r="A12" i="56"/>
  <c r="C12" i="70"/>
  <c r="A13" i="56"/>
  <c r="C13" i="70"/>
  <c r="C13" i="72"/>
  <c r="C13" i="71"/>
  <c r="C13" i="69"/>
  <c r="P13" i="45"/>
  <c r="AA13" i="45" s="1"/>
  <c r="AL13" i="45" s="1"/>
  <c r="C13" i="74"/>
  <c r="B13" i="45"/>
  <c r="C13" i="68"/>
  <c r="C13" i="67"/>
  <c r="Q13" i="67" s="1" a="1"/>
  <c r="C14" i="71"/>
  <c r="C14" i="74"/>
  <c r="P14" i="45"/>
  <c r="AA14" i="45" s="1"/>
  <c r="AL14" i="45" s="1"/>
  <c r="C14" i="67"/>
  <c r="Q14" i="67" s="1" a="1"/>
  <c r="B14" i="45"/>
  <c r="C14" i="68"/>
  <c r="C14" i="69"/>
  <c r="A14" i="56"/>
  <c r="C14" i="72"/>
  <c r="C14" i="70"/>
  <c r="C15" i="68"/>
  <c r="C15" i="74"/>
  <c r="C15" i="69"/>
  <c r="C15" i="70"/>
  <c r="B15" i="45"/>
  <c r="C15" i="71"/>
  <c r="C15" i="72"/>
  <c r="C15" i="67"/>
  <c r="Q15" i="67" s="1" a="1"/>
  <c r="A15" i="56"/>
  <c r="P15" i="45"/>
  <c r="AA15" i="45" s="1"/>
  <c r="AL15" i="45" s="1"/>
  <c r="C16" i="68"/>
  <c r="B16" i="45"/>
  <c r="C16" i="72"/>
  <c r="P16" i="45"/>
  <c r="AA16" i="45" s="1"/>
  <c r="AL16" i="45" s="1"/>
  <c r="A16" i="56"/>
  <c r="C16" i="70"/>
  <c r="C16" i="67"/>
  <c r="Q16" i="67" s="1" a="1"/>
  <c r="C16" i="69"/>
  <c r="C16" i="74"/>
  <c r="C16" i="71"/>
  <c r="A17" i="56"/>
  <c r="C17" i="69"/>
  <c r="C17" i="70"/>
  <c r="C17" i="74"/>
  <c r="B17" i="45"/>
  <c r="C17" i="68"/>
  <c r="P17" i="45"/>
  <c r="AA17" i="45" s="1"/>
  <c r="AL17" i="45" s="1"/>
  <c r="C17" i="67"/>
  <c r="Q17" i="67" s="1" a="1"/>
  <c r="C17" i="71"/>
  <c r="C17" i="72"/>
  <c r="B18" i="45"/>
  <c r="P18" i="45"/>
  <c r="AA18" i="45" s="1"/>
  <c r="AL18" i="45" s="1"/>
  <c r="C18" i="74"/>
  <c r="C18" i="70"/>
  <c r="A18" i="56"/>
  <c r="C18" i="71"/>
  <c r="C18" i="72"/>
  <c r="C18" i="69"/>
  <c r="C18" i="68"/>
  <c r="C18" i="67"/>
  <c r="Q18" i="67" s="1" a="1"/>
  <c r="C19" i="68"/>
  <c r="C19" i="72"/>
  <c r="B19" i="45"/>
  <c r="A19" i="56"/>
  <c r="C19" i="74"/>
  <c r="C19" i="71"/>
  <c r="P19" i="45"/>
  <c r="AA19" i="45" s="1"/>
  <c r="AL19" i="45" s="1"/>
  <c r="C19" i="67"/>
  <c r="Q19" i="67" s="1" a="1"/>
  <c r="C19" i="69"/>
  <c r="C19" i="70"/>
  <c r="C20" i="69"/>
  <c r="C20" i="72"/>
  <c r="B20" i="45"/>
  <c r="C20" i="67"/>
  <c r="Q20" i="67" s="1" a="1"/>
  <c r="C20" i="68"/>
  <c r="C20" i="70"/>
  <c r="C20" i="74"/>
  <c r="P20" i="45"/>
  <c r="AA20" i="45" s="1"/>
  <c r="AL20" i="45" s="1"/>
  <c r="C20" i="71"/>
  <c r="A20" i="56"/>
  <c r="C21" i="74"/>
  <c r="B21" i="45"/>
  <c r="P21" i="45"/>
  <c r="AA21" i="45" s="1"/>
  <c r="AL21" i="45" s="1"/>
  <c r="C21" i="69"/>
  <c r="A21" i="56"/>
  <c r="C21" i="68"/>
  <c r="C21" i="72"/>
  <c r="C21" i="71"/>
  <c r="C21" i="67"/>
  <c r="Q21" i="67" s="1" a="1"/>
  <c r="C21" i="70"/>
  <c r="C22" i="74"/>
  <c r="C22" i="68"/>
  <c r="B22" i="45"/>
  <c r="C22" i="70"/>
  <c r="A22" i="56"/>
  <c r="C22" i="67"/>
  <c r="Q22" i="67" s="1" a="1"/>
  <c r="C22" i="72"/>
  <c r="P22" i="45"/>
  <c r="AA22" i="45" s="1"/>
  <c r="AL22" i="45" s="1"/>
  <c r="C22" i="71"/>
  <c r="C22" i="69"/>
  <c r="C23" i="74"/>
  <c r="C23" i="68"/>
  <c r="P23" i="45"/>
  <c r="AA23" i="45" s="1"/>
  <c r="AL23" i="45" s="1"/>
  <c r="C23" i="69"/>
  <c r="B23" i="45"/>
  <c r="C23" i="72"/>
  <c r="C23" i="67"/>
  <c r="Q23" i="67" s="1" a="1"/>
  <c r="C23" i="71"/>
  <c r="C23" i="70"/>
  <c r="A23" i="56"/>
  <c r="C24" i="74"/>
  <c r="A24" i="56"/>
  <c r="C24" i="70"/>
  <c r="C24" i="67"/>
  <c r="Q24" i="67" s="1" a="1"/>
  <c r="C24" i="72"/>
  <c r="C24" i="68"/>
  <c r="P24" i="45"/>
  <c r="AA24" i="45" s="1"/>
  <c r="AL24" i="45" s="1"/>
  <c r="B24" i="45"/>
  <c r="C24" i="71"/>
  <c r="C24" i="69"/>
  <c r="C25" i="69"/>
  <c r="A25" i="56"/>
  <c r="C25" i="67"/>
  <c r="Q25" i="67" s="1" a="1"/>
  <c r="C25" i="72"/>
  <c r="C25" i="71"/>
  <c r="C25" i="70"/>
  <c r="P25" i="45"/>
  <c r="AA25" i="45" s="1"/>
  <c r="AL25" i="45" s="1"/>
  <c r="B25" i="45"/>
  <c r="C25" i="74"/>
  <c r="C25" i="68"/>
  <c r="C26" i="68"/>
  <c r="C26" i="71"/>
  <c r="B26" i="45"/>
  <c r="C26" i="69"/>
  <c r="P26" i="45"/>
  <c r="AA26" i="45" s="1"/>
  <c r="AL26" i="45" s="1"/>
  <c r="A26" i="56"/>
  <c r="C26" i="67"/>
  <c r="Q26" i="67" s="1" a="1"/>
  <c r="C26" i="70"/>
  <c r="C26" i="72"/>
  <c r="C26" i="74"/>
  <c r="C27" i="71"/>
  <c r="C27" i="68"/>
  <c r="C27" i="70"/>
  <c r="A27" i="56"/>
  <c r="C27" i="72"/>
  <c r="P27" i="45"/>
  <c r="AA27" i="45" s="1"/>
  <c r="AL27" i="45" s="1"/>
  <c r="C27" i="69"/>
  <c r="B27" i="45"/>
  <c r="C27" i="67"/>
  <c r="Q27" i="67" s="1" a="1"/>
  <c r="C27" i="74"/>
  <c r="C28" i="69"/>
  <c r="P28" i="45"/>
  <c r="AA28" i="45" s="1"/>
  <c r="AL28" i="45" s="1"/>
  <c r="C28" i="67"/>
  <c r="Q28" i="67" s="1" a="1"/>
  <c r="C28" i="74"/>
  <c r="C28" i="70"/>
  <c r="B28" i="45"/>
  <c r="A28" i="56"/>
  <c r="C28" i="72"/>
  <c r="C28" i="71"/>
  <c r="C28" i="68"/>
  <c r="C29" i="72"/>
  <c r="C29" i="68"/>
  <c r="C29" i="74"/>
  <c r="P29" i="45"/>
  <c r="AA29" i="45" s="1"/>
  <c r="AL29" i="45" s="1"/>
  <c r="C29" i="71"/>
  <c r="C29" i="69"/>
  <c r="B29" i="45"/>
  <c r="C29" i="67"/>
  <c r="Q29" i="67" s="1" a="1"/>
  <c r="C29" i="70"/>
  <c r="A29" i="56"/>
  <c r="C30" i="70"/>
  <c r="C30" i="71"/>
  <c r="C30" i="72"/>
  <c r="C30" i="67"/>
  <c r="Q30" i="67" s="1" a="1"/>
  <c r="P30" i="45"/>
  <c r="AA30" i="45" s="1"/>
  <c r="AL30" i="45" s="1"/>
  <c r="B30" i="45"/>
  <c r="C30" i="69"/>
  <c r="C30" i="68"/>
  <c r="C30" i="74"/>
  <c r="A30" i="56"/>
  <c r="C31" i="74"/>
  <c r="C31" i="67"/>
  <c r="Q31" i="67" s="1" a="1"/>
  <c r="B31" i="45"/>
  <c r="C31" i="71"/>
  <c r="C31" i="68"/>
  <c r="C31" i="70"/>
  <c r="A31" i="56"/>
  <c r="C31" i="72"/>
  <c r="C31" i="69"/>
  <c r="P31" i="45"/>
  <c r="AA31" i="45" s="1"/>
  <c r="AL31" i="45" s="1"/>
  <c r="C32" i="67"/>
  <c r="Q32" i="67" s="1" a="1"/>
  <c r="C32" i="68"/>
  <c r="C32" i="70"/>
  <c r="P32" i="45"/>
  <c r="AA32" i="45" s="1"/>
  <c r="AL32" i="45" s="1"/>
  <c r="B32" i="45"/>
  <c r="A32" i="56"/>
  <c r="C32" i="69"/>
  <c r="C32" i="74"/>
  <c r="C32" i="71"/>
  <c r="C32" i="72"/>
  <c r="C33" i="70"/>
  <c r="C33" i="68"/>
  <c r="C33" i="74"/>
  <c r="B33" i="45"/>
  <c r="C33" i="69"/>
  <c r="C33" i="71"/>
  <c r="C33" i="67"/>
  <c r="Q33" i="67" s="1" a="1"/>
  <c r="A33" i="56"/>
  <c r="P33" i="45"/>
  <c r="AA33" i="45" s="1"/>
  <c r="AL33" i="45" s="1"/>
  <c r="C33" i="72"/>
  <c r="A34" i="56"/>
  <c r="B34" i="45"/>
  <c r="P34" i="45"/>
  <c r="AA34" i="45" s="1"/>
  <c r="AL34" i="45" s="1"/>
  <c r="P35" i="45"/>
  <c r="AA35" i="45" s="1"/>
  <c r="AL35" i="45" s="1"/>
  <c r="A35" i="56"/>
  <c r="B35" i="45"/>
  <c r="P36" i="45"/>
  <c r="AA36" i="45" s="1"/>
  <c r="AL36" i="45" s="1"/>
  <c r="B36" i="45"/>
  <c r="A36" i="56"/>
  <c r="A37" i="56"/>
  <c r="P37" i="45"/>
  <c r="AA37" i="45" s="1"/>
  <c r="AL37" i="45" s="1"/>
  <c r="B37" i="45"/>
  <c r="A38" i="56"/>
  <c r="B38" i="45"/>
  <c r="P38" i="45"/>
  <c r="AA38" i="45" s="1"/>
  <c r="AL38" i="45" s="1"/>
  <c r="A39" i="56"/>
  <c r="P39" i="45"/>
  <c r="AA39" i="45" s="1"/>
  <c r="AL39" i="45" s="1"/>
  <c r="B39" i="45"/>
  <c r="P40" i="45"/>
  <c r="AA40" i="45" s="1"/>
  <c r="AL40" i="45" s="1"/>
  <c r="A40" i="56"/>
  <c r="B40" i="45"/>
  <c r="P41" i="45"/>
  <c r="AA41" i="45" s="1"/>
  <c r="AL41" i="45" s="1"/>
  <c r="A41" i="56"/>
  <c r="B41" i="45"/>
  <c r="B42" i="45"/>
  <c r="A42" i="56"/>
  <c r="P42" i="45"/>
  <c r="AA42" i="45" s="1"/>
  <c r="AL42" i="45" s="1"/>
  <c r="F66" i="55" a="1"/>
  <c r="F60" i="55" a="1"/>
  <c r="D60" i="55" a="1"/>
  <c r="D67" i="55" a="1"/>
  <c r="D66" i="55" a="1"/>
  <c r="G61" i="55" a="1"/>
  <c r="E62" i="55" a="1"/>
  <c r="F67" i="55" a="1"/>
  <c r="E61" i="55" a="1"/>
  <c r="F63" i="55" a="1"/>
  <c r="G63" i="55" a="1"/>
  <c r="G62" i="55" a="1"/>
  <c r="D63" i="55" a="1"/>
  <c r="D64" i="55" a="1"/>
  <c r="G66" i="55" a="1"/>
  <c r="F61" i="55" a="1"/>
  <c r="E66" i="55" a="1"/>
  <c r="F62" i="55" a="1"/>
  <c r="D62" i="55" a="1"/>
  <c r="G60" i="55" a="1"/>
  <c r="D61" i="55" a="1"/>
  <c r="E60" i="55" a="1"/>
  <c r="G67" i="55" a="1"/>
  <c r="F64" i="55" a="1"/>
  <c r="N2" i="68" l="1"/>
  <c r="Q2" i="68" s="1"/>
  <c r="N61" i="55" s="1" a="1"/>
  <c r="M2" i="68"/>
  <c r="P2" i="68" s="1"/>
  <c r="M61" i="55" s="1" a="1"/>
  <c r="L2" i="68"/>
  <c r="O2" i="68" s="1"/>
  <c r="U5" i="68"/>
  <c r="U7" i="68"/>
  <c r="U15" i="68"/>
  <c r="U16" i="68"/>
  <c r="U18" i="68"/>
  <c r="U21" i="68"/>
  <c r="U22" i="68"/>
  <c r="U27" i="68"/>
  <c r="U30" i="68"/>
  <c r="U31" i="68"/>
  <c r="U33" i="68"/>
  <c r="L2" i="67"/>
  <c r="M2" i="67"/>
  <c r="N2" i="67"/>
  <c r="N2" i="74"/>
  <c r="Q2" i="74" s="1"/>
  <c r="N64" i="55" s="1" a="1"/>
  <c r="M2" i="74"/>
  <c r="P2" i="74" s="1"/>
  <c r="M64" i="55" s="1" a="1"/>
  <c r="L2" i="74"/>
  <c r="O2" i="74" s="1"/>
  <c r="L2" i="73"/>
  <c r="M2" i="73"/>
  <c r="N2" i="73"/>
  <c r="N2" i="72"/>
  <c r="Q2" i="72" s="1"/>
  <c r="N66" i="55" s="1" a="1"/>
  <c r="M2" i="72"/>
  <c r="P2" i="72" s="1"/>
  <c r="M66" i="55" s="1" a="1"/>
  <c r="L2" i="72"/>
  <c r="O2" i="72" s="1"/>
  <c r="L2" i="71"/>
  <c r="O2" i="71" s="1"/>
  <c r="M2" i="71"/>
  <c r="P2" i="71" s="1"/>
  <c r="M67" i="55" s="1" a="1"/>
  <c r="N2" i="71"/>
  <c r="Q2" i="71" s="1"/>
  <c r="N67" i="55" s="1" a="1"/>
  <c r="N2" i="70"/>
  <c r="Q2" i="70" s="1"/>
  <c r="N63" i="55" s="1" a="1"/>
  <c r="L2" i="70"/>
  <c r="O2" i="70" s="1"/>
  <c r="M2" i="70"/>
  <c r="P2" i="70" s="1"/>
  <c r="M63" i="55" s="1" a="1"/>
  <c r="N2" i="69"/>
  <c r="Q2" i="69" s="1"/>
  <c r="N62" i="55" s="1" a="1"/>
  <c r="L2" i="69"/>
  <c r="O2" i="69" s="1"/>
  <c r="M2" i="69"/>
  <c r="P2" i="69" s="1"/>
  <c r="M62" i="55" s="1" a="1"/>
  <c r="E2" i="74"/>
  <c r="H2" i="69"/>
  <c r="H2" i="67"/>
  <c r="E49" i="1"/>
  <c r="I26" i="1"/>
  <c r="H2" i="72"/>
  <c r="H2" i="68"/>
  <c r="H2" i="70"/>
  <c r="H2" i="71"/>
  <c r="D3" i="69"/>
  <c r="F3" i="69"/>
  <c r="B3" i="71"/>
  <c r="G3" i="71"/>
  <c r="D3" i="71"/>
  <c r="F3" i="71"/>
  <c r="J3" i="71"/>
  <c r="B3" i="69"/>
  <c r="G3" i="69"/>
  <c r="E3" i="69"/>
  <c r="J3" i="69"/>
  <c r="J3" i="68"/>
  <c r="B3" i="68"/>
  <c r="G3" i="68"/>
  <c r="D3" i="68"/>
  <c r="F3" i="68"/>
  <c r="E3" i="68"/>
  <c r="J3" i="74"/>
  <c r="F3" i="74"/>
  <c r="G3" i="74"/>
  <c r="D3" i="74"/>
  <c r="B3" i="74"/>
  <c r="G3" i="67"/>
  <c r="E3" i="67"/>
  <c r="D3" i="67"/>
  <c r="B3" i="67"/>
  <c r="J3" i="67"/>
  <c r="F3" i="67"/>
  <c r="J3" i="72"/>
  <c r="E3" i="72"/>
  <c r="G3" i="72"/>
  <c r="F3" i="72"/>
  <c r="B3" i="72"/>
  <c r="D3" i="72"/>
  <c r="D3" i="70"/>
  <c r="F3" i="70"/>
  <c r="B3" i="70"/>
  <c r="G3" i="70"/>
  <c r="J3" i="70"/>
  <c r="G4" i="70"/>
  <c r="D4" i="70"/>
  <c r="F4" i="70"/>
  <c r="B4" i="70"/>
  <c r="J4" i="70"/>
  <c r="G4" i="68"/>
  <c r="D4" i="68"/>
  <c r="F4" i="68"/>
  <c r="E4" i="68"/>
  <c r="J4" i="68"/>
  <c r="B4" i="68"/>
  <c r="F4" i="72"/>
  <c r="E4" i="72"/>
  <c r="G4" i="72"/>
  <c r="B4" i="72"/>
  <c r="D4" i="72"/>
  <c r="J4" i="72"/>
  <c r="D4" i="74"/>
  <c r="B4" i="74"/>
  <c r="J4" i="74"/>
  <c r="F4" i="74"/>
  <c r="G4" i="74"/>
  <c r="G4" i="69"/>
  <c r="J4" i="69"/>
  <c r="B4" i="69"/>
  <c r="E4" i="69"/>
  <c r="D4" i="67"/>
  <c r="G4" i="67"/>
  <c r="J4" i="67"/>
  <c r="F4" i="67"/>
  <c r="E4" i="67"/>
  <c r="B4" i="67"/>
  <c r="D4" i="71"/>
  <c r="G4" i="71"/>
  <c r="F4" i="71"/>
  <c r="J4" i="71"/>
  <c r="B4" i="71"/>
  <c r="B5" i="74"/>
  <c r="B5" i="71"/>
  <c r="B5" i="68"/>
  <c r="B5" i="69"/>
  <c r="B5" i="70"/>
  <c r="B5" i="72"/>
  <c r="B5" i="67"/>
  <c r="B6" i="69"/>
  <c r="B6" i="74"/>
  <c r="B6" i="72"/>
  <c r="B6" i="68"/>
  <c r="B6" i="70"/>
  <c r="B6" i="67"/>
  <c r="B6" i="71"/>
  <c r="B7" i="72"/>
  <c r="B7" i="69"/>
  <c r="B7" i="70"/>
  <c r="B7" i="68"/>
  <c r="B7" i="71"/>
  <c r="B7" i="67"/>
  <c r="B7" i="74"/>
  <c r="B8" i="68"/>
  <c r="B8" i="70"/>
  <c r="B8" i="74"/>
  <c r="B8" i="71"/>
  <c r="B8" i="67"/>
  <c r="B8" i="69"/>
  <c r="B8" i="72"/>
  <c r="B9" i="69"/>
  <c r="B9" i="72"/>
  <c r="B9" i="74"/>
  <c r="B9" i="70"/>
  <c r="B9" i="68"/>
  <c r="B9" i="67"/>
  <c r="B9" i="71"/>
  <c r="B10" i="68"/>
  <c r="B10" i="70"/>
  <c r="B10" i="74"/>
  <c r="B10" i="71"/>
  <c r="B10" i="67"/>
  <c r="B10" i="69"/>
  <c r="B10" i="72"/>
  <c r="B11" i="70"/>
  <c r="B11" i="68"/>
  <c r="B11" i="71"/>
  <c r="B11" i="69"/>
  <c r="B11" i="72"/>
  <c r="B11" i="74"/>
  <c r="B11" i="67"/>
  <c r="B12" i="71"/>
  <c r="B12" i="72"/>
  <c r="B12" i="69"/>
  <c r="B12" i="74"/>
  <c r="B12" i="68"/>
  <c r="B12" i="67"/>
  <c r="B12" i="70"/>
  <c r="B13" i="70"/>
  <c r="B13" i="72"/>
  <c r="B13" i="71"/>
  <c r="B13" i="69"/>
  <c r="B13" i="74"/>
  <c r="B13" i="68"/>
  <c r="B13" i="67"/>
  <c r="B14" i="71"/>
  <c r="B14" i="74"/>
  <c r="B14" i="67"/>
  <c r="B14" i="68"/>
  <c r="B14" i="69"/>
  <c r="B14" i="72"/>
  <c r="B14" i="70"/>
  <c r="B15" i="68"/>
  <c r="B15" i="74"/>
  <c r="B15" i="69"/>
  <c r="B15" i="70"/>
  <c r="B15" i="71"/>
  <c r="B15" i="72"/>
  <c r="B15" i="67"/>
  <c r="B16" i="68"/>
  <c r="B16" i="72"/>
  <c r="B16" i="70"/>
  <c r="B16" i="67"/>
  <c r="B16" i="69"/>
  <c r="B16" i="74"/>
  <c r="B16" i="71"/>
  <c r="B16" i="73"/>
  <c r="B17" i="69"/>
  <c r="B17" i="70"/>
  <c r="B17" i="73"/>
  <c r="B17" i="74"/>
  <c r="B17" i="68"/>
  <c r="B17" i="67"/>
  <c r="B17" i="71"/>
  <c r="B17" i="72"/>
  <c r="B18" i="73"/>
  <c r="B18" i="74"/>
  <c r="B18" i="70"/>
  <c r="B18" i="71"/>
  <c r="B18" i="72"/>
  <c r="B18" i="69"/>
  <c r="B18" i="68"/>
  <c r="B18" i="67"/>
  <c r="B19" i="73"/>
  <c r="B19" i="68"/>
  <c r="B19" i="72"/>
  <c r="B19" i="74"/>
  <c r="B19" i="71"/>
  <c r="B19" i="67"/>
  <c r="B19" i="69"/>
  <c r="B19" i="70"/>
  <c r="B20" i="69"/>
  <c r="B20" i="72"/>
  <c r="B20" i="73"/>
  <c r="B20" i="67"/>
  <c r="B20" i="68"/>
  <c r="B20" i="70"/>
  <c r="B20" i="74"/>
  <c r="B20" i="71"/>
  <c r="B21" i="73"/>
  <c r="B21" i="74"/>
  <c r="B21" i="69"/>
  <c r="B21" i="68"/>
  <c r="B21" i="72"/>
  <c r="B21" i="71"/>
  <c r="B21" i="67"/>
  <c r="B21" i="70"/>
  <c r="B22" i="74"/>
  <c r="B22" i="73"/>
  <c r="B22" i="68"/>
  <c r="B22" i="70"/>
  <c r="B22" i="67"/>
  <c r="B22" i="72"/>
  <c r="B22" i="71"/>
  <c r="B22" i="69"/>
  <c r="B23" i="73"/>
  <c r="B23" i="74"/>
  <c r="B23" i="68"/>
  <c r="B23" i="69"/>
  <c r="B23" i="72"/>
  <c r="B23" i="67"/>
  <c r="B23" i="71"/>
  <c r="B23" i="70"/>
  <c r="B24" i="74"/>
  <c r="B24" i="70"/>
  <c r="B24" i="73"/>
  <c r="B24" i="67"/>
  <c r="B24" i="72"/>
  <c r="B24" i="68"/>
  <c r="B24" i="71"/>
  <c r="B24" i="69"/>
  <c r="B25" i="69"/>
  <c r="B25" i="67"/>
  <c r="B25" i="72"/>
  <c r="B25" i="71"/>
  <c r="B25" i="73"/>
  <c r="B25" i="70"/>
  <c r="B25" i="74"/>
  <c r="B25" i="68"/>
  <c r="B26" i="68"/>
  <c r="B26" i="71"/>
  <c r="B26" i="69"/>
  <c r="B26" i="67"/>
  <c r="B26" i="73"/>
  <c r="B26" i="70"/>
  <c r="B26" i="72"/>
  <c r="B26" i="74"/>
  <c r="B27" i="71"/>
  <c r="B27" i="68"/>
  <c r="B27" i="70"/>
  <c r="B27" i="72"/>
  <c r="B27" i="69"/>
  <c r="B27" i="67"/>
  <c r="B27" i="73"/>
  <c r="B27" i="74"/>
  <c r="B28" i="69"/>
  <c r="B28" i="73"/>
  <c r="B28" i="67"/>
  <c r="B28" i="74"/>
  <c r="B28" i="70"/>
  <c r="B28" i="72"/>
  <c r="B28" i="71"/>
  <c r="B28" i="68"/>
  <c r="B29" i="72"/>
  <c r="B29" i="68"/>
  <c r="B29" i="74"/>
  <c r="B29" i="73"/>
  <c r="B29" i="71"/>
  <c r="B29" i="69"/>
  <c r="B29" i="67"/>
  <c r="B29" i="70"/>
  <c r="B30" i="73"/>
  <c r="B30" i="70"/>
  <c r="B30" i="71"/>
  <c r="B30" i="72"/>
  <c r="B30" i="67"/>
  <c r="B30" i="69"/>
  <c r="B30" i="68"/>
  <c r="B30" i="74"/>
  <c r="B31" i="74"/>
  <c r="B31" i="73"/>
  <c r="B31" i="67"/>
  <c r="B31" i="71"/>
  <c r="B31" i="68"/>
  <c r="B31" i="70"/>
  <c r="B31" i="72"/>
  <c r="B31" i="69"/>
  <c r="B32" i="67"/>
  <c r="B32" i="68"/>
  <c r="B32" i="73"/>
  <c r="B32" i="70"/>
  <c r="B32" i="69"/>
  <c r="B32" i="74"/>
  <c r="B32" i="71"/>
  <c r="B32" i="72"/>
  <c r="B33" i="70"/>
  <c r="B33" i="68"/>
  <c r="B33" i="74"/>
  <c r="B33" i="69"/>
  <c r="B33" i="71"/>
  <c r="B33" i="67"/>
  <c r="B33" i="73"/>
  <c r="B33" i="72"/>
  <c r="B35" i="73"/>
  <c r="B36" i="73"/>
  <c r="B37" i="73"/>
  <c r="B38" i="73"/>
  <c r="B39" i="73"/>
  <c r="B40" i="73"/>
  <c r="B41" i="73"/>
  <c r="G34" i="45" a="1"/>
  <c r="I41" i="45" a="1"/>
  <c r="K39" i="45" a="1"/>
  <c r="F37" i="45" a="1"/>
  <c r="K35" i="45" a="1"/>
  <c r="F35" i="45" a="1"/>
  <c r="K38" i="45" a="1"/>
  <c r="G35" i="45" a="1"/>
  <c r="I42" i="45" a="1"/>
  <c r="K40" i="45" a="1"/>
  <c r="F38" i="45" a="1"/>
  <c r="E42" i="45" a="1"/>
  <c r="K36" i="45" a="1"/>
  <c r="K37" i="45" a="1"/>
  <c r="G36" i="45" a="1"/>
  <c r="D34" i="45" a="1"/>
  <c r="K41" i="45" a="1"/>
  <c r="F39" i="45" a="1"/>
  <c r="H41" i="45" a="1"/>
  <c r="F36" i="45" a="1"/>
  <c r="G37" i="45" a="1"/>
  <c r="D35" i="45" a="1"/>
  <c r="K42" i="45" a="1"/>
  <c r="F40" i="45" a="1"/>
  <c r="G38" i="45" a="1"/>
  <c r="D36" i="45" a="1"/>
  <c r="E34" i="45" a="1"/>
  <c r="F41" i="45" a="1"/>
  <c r="H40" i="45" a="1"/>
  <c r="G39" i="45" a="1"/>
  <c r="D37" i="45" a="1"/>
  <c r="E35" i="45" a="1"/>
  <c r="F42" i="45" a="1"/>
  <c r="G64" i="55" a="1"/>
  <c r="H42" i="45" a="1"/>
  <c r="G40" i="45" a="1"/>
  <c r="D38" i="45" a="1"/>
  <c r="E36" i="45" a="1"/>
  <c r="H34" i="45" a="1"/>
  <c r="G41" i="45" a="1"/>
  <c r="D39" i="45" a="1"/>
  <c r="E37" i="45" a="1"/>
  <c r="H35" i="45" a="1"/>
  <c r="I37" i="45" a="1"/>
  <c r="F34" i="45" a="1"/>
  <c r="G42" i="45" a="1"/>
  <c r="D40" i="45" a="1"/>
  <c r="E38" i="45" a="1"/>
  <c r="H36" i="45" a="1"/>
  <c r="I34" i="45" a="1"/>
  <c r="D41" i="45" a="1"/>
  <c r="E39" i="45" a="1"/>
  <c r="H37" i="45" a="1"/>
  <c r="I35" i="45" a="1"/>
  <c r="D42" i="45" a="1"/>
  <c r="E40" i="45" a="1"/>
  <c r="H38" i="45" a="1"/>
  <c r="I36" i="45" a="1"/>
  <c r="K34" i="45" a="1"/>
  <c r="E41" i="45" a="1"/>
  <c r="H39" i="45" a="1"/>
  <c r="I38" i="45" a="1"/>
  <c r="I39" i="45" a="1"/>
  <c r="I40" i="45" a="1"/>
  <c r="U29" i="68" l="1"/>
  <c r="U25" i="68"/>
  <c r="U3" i="68"/>
  <c r="U4" i="68"/>
  <c r="U6" i="68"/>
  <c r="U8" i="68"/>
  <c r="U9" i="68"/>
  <c r="U10" i="68"/>
  <c r="U11" i="68"/>
  <c r="U12" i="68"/>
  <c r="U13" i="68"/>
  <c r="U14" i="68"/>
  <c r="U17" i="68"/>
  <c r="U19" i="68"/>
  <c r="U20" i="68"/>
  <c r="U23" i="68"/>
  <c r="U24" i="68"/>
  <c r="U26" i="68"/>
  <c r="U28" i="68"/>
  <c r="U32" i="68"/>
  <c r="N3" i="68"/>
  <c r="M3" i="68"/>
  <c r="L3" i="68"/>
  <c r="N4" i="68"/>
  <c r="Q4" i="68" s="1"/>
  <c r="M4" i="68"/>
  <c r="P4" i="68" s="1"/>
  <c r="L4" i="68"/>
  <c r="O4" i="68" s="1"/>
  <c r="L3" i="67"/>
  <c r="M3" i="67"/>
  <c r="N3" i="67"/>
  <c r="L4" i="67"/>
  <c r="O4" i="67" s="1"/>
  <c r="M4" i="67"/>
  <c r="P4" i="67" s="1"/>
  <c r="N4" i="67"/>
  <c r="N60" i="55" a="1"/>
  <c r="P2" i="67"/>
  <c r="M60" i="55" s="1" a="1"/>
  <c r="O2" i="67"/>
  <c r="N3" i="74"/>
  <c r="M3" i="74"/>
  <c r="L3" i="74"/>
  <c r="N4" i="74"/>
  <c r="Q4" i="74" s="1"/>
  <c r="M4" i="74"/>
  <c r="P4" i="74" s="1"/>
  <c r="L4" i="74"/>
  <c r="O4" i="74" s="1"/>
  <c r="N3" i="73"/>
  <c r="M3" i="73"/>
  <c r="L3" i="73"/>
  <c r="N4" i="73"/>
  <c r="M4" i="73"/>
  <c r="L4" i="73"/>
  <c r="M3" i="72"/>
  <c r="L3" i="72"/>
  <c r="N3" i="72"/>
  <c r="L4" i="72"/>
  <c r="O4" i="72" s="1"/>
  <c r="M4" i="72"/>
  <c r="P4" i="72" s="1"/>
  <c r="N4" i="72"/>
  <c r="Q4" i="72" s="1"/>
  <c r="N3" i="71"/>
  <c r="M3" i="71"/>
  <c r="L3" i="71"/>
  <c r="N4" i="71"/>
  <c r="Q4" i="71" s="1"/>
  <c r="M4" i="71"/>
  <c r="P4" i="71" s="1"/>
  <c r="L4" i="71"/>
  <c r="O4" i="71" s="1"/>
  <c r="N3" i="70"/>
  <c r="L3" i="70"/>
  <c r="M3" i="70"/>
  <c r="N4" i="70"/>
  <c r="Q4" i="70" s="1"/>
  <c r="M4" i="70"/>
  <c r="P4" i="70" s="1"/>
  <c r="L4" i="70"/>
  <c r="O4" i="70" s="1"/>
  <c r="M3" i="69"/>
  <c r="N3" i="69"/>
  <c r="L3" i="69"/>
  <c r="L4" i="69"/>
  <c r="O4" i="69" s="1"/>
  <c r="M4" i="69"/>
  <c r="P4" i="69" s="1"/>
  <c r="N4" i="69"/>
  <c r="Q4" i="69" s="1"/>
  <c r="H2" i="74"/>
  <c r="I2" i="69"/>
  <c r="K2" i="69"/>
  <c r="K2" i="67"/>
  <c r="I2" i="67"/>
  <c r="E71" i="1"/>
  <c r="I48" i="1"/>
  <c r="D4" i="69"/>
  <c r="F4" i="69"/>
  <c r="D5" i="69"/>
  <c r="F5" i="69"/>
  <c r="K2" i="72"/>
  <c r="I2" i="72"/>
  <c r="K2" i="68"/>
  <c r="V2" i="68" s="1" a="1"/>
  <c r="I2" i="68"/>
  <c r="I2" i="70"/>
  <c r="K2" i="70"/>
  <c r="K2" i="71"/>
  <c r="I2" i="71"/>
  <c r="H4" i="72"/>
  <c r="F2" i="73"/>
  <c r="B2" i="73"/>
  <c r="J2" i="73"/>
  <c r="G2" i="73"/>
  <c r="E2" i="73"/>
  <c r="D2" i="73"/>
  <c r="F3" i="73"/>
  <c r="J3" i="73"/>
  <c r="E3" i="73"/>
  <c r="B3" i="73"/>
  <c r="G3" i="73"/>
  <c r="D3" i="73"/>
  <c r="E4" i="73"/>
  <c r="J4" i="73"/>
  <c r="G4" i="73"/>
  <c r="B4" i="73"/>
  <c r="D4" i="73"/>
  <c r="F4" i="73"/>
  <c r="G5" i="73"/>
  <c r="B5" i="73"/>
  <c r="J5" i="73"/>
  <c r="E5" i="73"/>
  <c r="D5" i="73"/>
  <c r="F5" i="73"/>
  <c r="B6" i="73"/>
  <c r="B8" i="73"/>
  <c r="B9" i="73"/>
  <c r="B10" i="73"/>
  <c r="B11" i="73"/>
  <c r="B12" i="73"/>
  <c r="B13" i="73"/>
  <c r="B14" i="73"/>
  <c r="B15" i="73"/>
  <c r="E3" i="71"/>
  <c r="H3" i="68"/>
  <c r="E3" i="74"/>
  <c r="H3" i="67"/>
  <c r="H3" i="72"/>
  <c r="E3" i="70"/>
  <c r="E4" i="70"/>
  <c r="H4" i="70" s="1"/>
  <c r="E4" i="74"/>
  <c r="H4" i="74" s="1"/>
  <c r="E4" i="71"/>
  <c r="H4" i="71" s="1"/>
  <c r="H4" i="68"/>
  <c r="H4" i="67"/>
  <c r="E64" i="55" a="1"/>
  <c r="L64" i="55" a="1"/>
  <c r="L66" i="55" a="1"/>
  <c r="F2" i="45" a="1"/>
  <c r="L67" i="55" a="1"/>
  <c r="H2" i="45" a="1"/>
  <c r="E59" i="55" a="1"/>
  <c r="H66" i="55" a="1"/>
  <c r="H62" i="55" a="1"/>
  <c r="L63" i="55" a="1"/>
  <c r="H60" i="55" a="1"/>
  <c r="L62" i="55" a="1"/>
  <c r="D2" i="45" a="1"/>
  <c r="L61" i="55" a="1"/>
  <c r="F59" i="55" a="1"/>
  <c r="G2" i="45" a="1"/>
  <c r="G59" i="55" a="1"/>
  <c r="L60" i="55" a="1"/>
  <c r="H63" i="55" a="1"/>
  <c r="D59" i="55" a="1"/>
  <c r="I2" i="45" a="1"/>
  <c r="H61" i="55" a="1"/>
  <c r="E2" i="45" a="1"/>
  <c r="I2" i="74" l="1"/>
  <c r="K2" i="74"/>
  <c r="G5" i="67"/>
  <c r="F5" i="67"/>
  <c r="J5" i="72"/>
  <c r="F5" i="70"/>
  <c r="G5" i="69"/>
  <c r="J5" i="68"/>
  <c r="F5" i="71"/>
  <c r="D5" i="74"/>
  <c r="J5" i="67"/>
  <c r="E5" i="72"/>
  <c r="J5" i="70"/>
  <c r="J5" i="69"/>
  <c r="D5" i="68"/>
  <c r="F5" i="68"/>
  <c r="J5" i="71"/>
  <c r="G5" i="74"/>
  <c r="D5" i="67"/>
  <c r="G5" i="72"/>
  <c r="G5" i="70"/>
  <c r="E5" i="69"/>
  <c r="E5" i="68"/>
  <c r="G5" i="71"/>
  <c r="J5" i="74"/>
  <c r="E5" i="67"/>
  <c r="F5" i="72"/>
  <c r="D5" i="72"/>
  <c r="D5" i="70"/>
  <c r="G5" i="68"/>
  <c r="D5" i="71"/>
  <c r="F5" i="74"/>
  <c r="E93" i="1"/>
  <c r="O3" i="74"/>
  <c r="O3" i="72"/>
  <c r="O3" i="71"/>
  <c r="O3" i="70"/>
  <c r="O3" i="69"/>
  <c r="O3" i="68"/>
  <c r="O3" i="67"/>
  <c r="P3" i="74"/>
  <c r="P3" i="72"/>
  <c r="P3" i="71"/>
  <c r="P3" i="70"/>
  <c r="P3" i="69"/>
  <c r="P3" i="68"/>
  <c r="P3" i="67"/>
  <c r="Q3" i="74"/>
  <c r="Q3" i="72"/>
  <c r="Q3" i="71"/>
  <c r="Q3" i="70"/>
  <c r="Q3" i="69"/>
  <c r="Q3" i="68"/>
  <c r="O3" i="73"/>
  <c r="P3" i="73"/>
  <c r="Q3" i="73"/>
  <c r="P4" i="73"/>
  <c r="Q4" i="73"/>
  <c r="O4" i="73"/>
  <c r="K4" i="72"/>
  <c r="I4" i="72"/>
  <c r="H4" i="73"/>
  <c r="H5" i="73"/>
  <c r="H2" i="73"/>
  <c r="H3" i="73"/>
  <c r="H3" i="71"/>
  <c r="H3" i="74"/>
  <c r="H3" i="70"/>
  <c r="I3" i="68"/>
  <c r="K3" i="68"/>
  <c r="I3" i="67"/>
  <c r="K3" i="67"/>
  <c r="I3" i="72"/>
  <c r="K3" i="72"/>
  <c r="I4" i="70"/>
  <c r="K4" i="70"/>
  <c r="I4" i="74"/>
  <c r="K4" i="74"/>
  <c r="I4" i="71"/>
  <c r="K4" i="71"/>
  <c r="I4" i="68"/>
  <c r="K4" i="68"/>
  <c r="V4" i="68" s="1" a="1"/>
  <c r="I4" i="67"/>
  <c r="K4" i="67"/>
  <c r="K2" i="45" a="1"/>
  <c r="I3" i="45" a="1"/>
  <c r="D3" i="45" a="1"/>
  <c r="H64" i="55" a="1"/>
  <c r="H67" i="55" a="1"/>
  <c r="K4" i="45" a="1"/>
  <c r="G4" i="45" a="1"/>
  <c r="H4" i="45" a="1"/>
  <c r="D4" i="45" a="1"/>
  <c r="E4" i="45" a="1"/>
  <c r="I4" i="45" a="1"/>
  <c r="E3" i="45" a="1"/>
  <c r="V3" i="68" l="1" a="1"/>
  <c r="N5" i="68"/>
  <c r="M5" i="68"/>
  <c r="L5" i="68"/>
  <c r="L5" i="67"/>
  <c r="M5" i="67"/>
  <c r="N5" i="67"/>
  <c r="N5" i="74"/>
  <c r="L5" i="74"/>
  <c r="M5" i="74"/>
  <c r="N5" i="73"/>
  <c r="M5" i="73"/>
  <c r="L5" i="73"/>
  <c r="M5" i="72"/>
  <c r="L5" i="72"/>
  <c r="N5" i="72"/>
  <c r="N5" i="71"/>
  <c r="M5" i="71"/>
  <c r="L5" i="71"/>
  <c r="N5" i="70"/>
  <c r="M5" i="70"/>
  <c r="L5" i="70"/>
  <c r="L5" i="69"/>
  <c r="M5" i="69"/>
  <c r="N5" i="69"/>
  <c r="E5" i="74"/>
  <c r="H5" i="68"/>
  <c r="H5" i="67"/>
  <c r="H5" i="72"/>
  <c r="E5" i="70"/>
  <c r="E5" i="71"/>
  <c r="G6" i="73"/>
  <c r="J6" i="73"/>
  <c r="F6" i="73"/>
  <c r="E6" i="73"/>
  <c r="D6" i="73"/>
  <c r="F6" i="69"/>
  <c r="D6" i="69"/>
  <c r="E115" i="1"/>
  <c r="I92" i="1"/>
  <c r="J7" i="74"/>
  <c r="D7" i="70"/>
  <c r="E7" i="70" s="1"/>
  <c r="G6" i="71"/>
  <c r="G6" i="72"/>
  <c r="G7" i="68"/>
  <c r="E7" i="72"/>
  <c r="G6" i="68"/>
  <c r="E6" i="69"/>
  <c r="G7" i="74"/>
  <c r="G7" i="67"/>
  <c r="J7" i="71"/>
  <c r="F7" i="68"/>
  <c r="F7" i="70"/>
  <c r="J7" i="69"/>
  <c r="J7" i="72"/>
  <c r="F6" i="71"/>
  <c r="G6" i="67"/>
  <c r="G6" i="70"/>
  <c r="F6" i="68"/>
  <c r="D6" i="72"/>
  <c r="J6" i="72"/>
  <c r="G6" i="74"/>
  <c r="D7" i="71"/>
  <c r="E7" i="71" s="1"/>
  <c r="G7" i="72"/>
  <c r="F6" i="70"/>
  <c r="J6" i="69"/>
  <c r="J7" i="67"/>
  <c r="J7" i="70"/>
  <c r="F6" i="67"/>
  <c r="D6" i="74"/>
  <c r="J7" i="68"/>
  <c r="D6" i="71"/>
  <c r="D6" i="68"/>
  <c r="F7" i="74"/>
  <c r="E7" i="68"/>
  <c r="D6" i="67"/>
  <c r="F6" i="72"/>
  <c r="D7" i="74"/>
  <c r="E7" i="74" s="1"/>
  <c r="F7" i="67"/>
  <c r="D7" i="67"/>
  <c r="G7" i="71"/>
  <c r="D7" i="68"/>
  <c r="G7" i="70"/>
  <c r="G7" i="69"/>
  <c r="F7" i="72"/>
  <c r="J6" i="71"/>
  <c r="E6" i="67"/>
  <c r="D6" i="70"/>
  <c r="J6" i="68"/>
  <c r="E6" i="68"/>
  <c r="E6" i="72"/>
  <c r="F6" i="74"/>
  <c r="G6" i="69"/>
  <c r="E7" i="67"/>
  <c r="E7" i="69"/>
  <c r="J6" i="67"/>
  <c r="J6" i="74"/>
  <c r="F7" i="71"/>
  <c r="D7" i="72"/>
  <c r="J6" i="70"/>
  <c r="O2" i="73"/>
  <c r="P2" i="73"/>
  <c r="Q2" i="73"/>
  <c r="K4" i="73"/>
  <c r="I4" i="73"/>
  <c r="K5" i="73"/>
  <c r="I5" i="73"/>
  <c r="K2" i="73"/>
  <c r="I2" i="73"/>
  <c r="K3" i="73"/>
  <c r="I3" i="73"/>
  <c r="K3" i="71"/>
  <c r="I3" i="71"/>
  <c r="I3" i="74"/>
  <c r="K3" i="74"/>
  <c r="K3" i="70"/>
  <c r="I3" i="70"/>
  <c r="G3" i="45" a="1"/>
  <c r="M59" i="55" a="1"/>
  <c r="N59" i="55" a="1"/>
  <c r="J5" i="45" a="1"/>
  <c r="J4" i="45" a="1"/>
  <c r="H59" i="55" a="1"/>
  <c r="J2" i="45" a="1"/>
  <c r="J3" i="45" a="1"/>
  <c r="H3" i="45" a="1"/>
  <c r="K3" i="45" a="1"/>
  <c r="N7" i="68" l="1"/>
  <c r="Q7" i="68" s="1"/>
  <c r="M7" i="68"/>
  <c r="P7" i="68" s="1"/>
  <c r="L7" i="68"/>
  <c r="O7" i="68" s="1"/>
  <c r="N6" i="68"/>
  <c r="Q6" i="68" s="1"/>
  <c r="M6" i="68"/>
  <c r="P6" i="68" s="1"/>
  <c r="L6" i="68"/>
  <c r="M7" i="67"/>
  <c r="P7" i="67" s="1"/>
  <c r="L7" i="67"/>
  <c r="O7" i="67" s="1"/>
  <c r="N7" i="67"/>
  <c r="L6" i="67"/>
  <c r="N6" i="67"/>
  <c r="M6" i="67"/>
  <c r="P6" i="67" s="1"/>
  <c r="Q5" i="74"/>
  <c r="P5" i="74"/>
  <c r="Q5" i="73"/>
  <c r="P5" i="73"/>
  <c r="P5" i="72"/>
  <c r="Q5" i="72"/>
  <c r="Q5" i="71"/>
  <c r="P5" i="71"/>
  <c r="Q5" i="70"/>
  <c r="P5" i="70"/>
  <c r="P5" i="69"/>
  <c r="Q5" i="69"/>
  <c r="P5" i="67"/>
  <c r="Q5" i="68"/>
  <c r="P5" i="68"/>
  <c r="O5" i="73"/>
  <c r="N7" i="74"/>
  <c r="Q7" i="74" s="1"/>
  <c r="M7" i="74"/>
  <c r="P7" i="74" s="1"/>
  <c r="L7" i="74"/>
  <c r="O7" i="74" s="1"/>
  <c r="N6" i="74"/>
  <c r="Q6" i="74" s="1"/>
  <c r="M6" i="74"/>
  <c r="P6" i="74" s="1"/>
  <c r="L6" i="74"/>
  <c r="N7" i="73"/>
  <c r="M7" i="73"/>
  <c r="L7" i="73"/>
  <c r="N6" i="73"/>
  <c r="Q6" i="73" s="1"/>
  <c r="L6" i="73"/>
  <c r="M6" i="73"/>
  <c r="P6" i="73" s="1"/>
  <c r="N7" i="72"/>
  <c r="Q7" i="72" s="1"/>
  <c r="M7" i="72"/>
  <c r="P7" i="72" s="1"/>
  <c r="L7" i="72"/>
  <c r="O7" i="72" s="1"/>
  <c r="N6" i="72"/>
  <c r="Q6" i="72" s="1"/>
  <c r="M6" i="72"/>
  <c r="P6" i="72" s="1"/>
  <c r="L6" i="72"/>
  <c r="N7" i="71"/>
  <c r="Q7" i="71" s="1"/>
  <c r="M7" i="71"/>
  <c r="P7" i="71" s="1"/>
  <c r="L7" i="71"/>
  <c r="O7" i="71" s="1"/>
  <c r="M6" i="71"/>
  <c r="P6" i="71" s="1"/>
  <c r="L6" i="71"/>
  <c r="N6" i="71"/>
  <c r="Q6" i="71" s="1"/>
  <c r="N7" i="70"/>
  <c r="Q7" i="70" s="1"/>
  <c r="L7" i="70"/>
  <c r="O7" i="70" s="1"/>
  <c r="M7" i="70"/>
  <c r="P7" i="70" s="1"/>
  <c r="N6" i="70"/>
  <c r="Q6" i="70" s="1"/>
  <c r="M6" i="70"/>
  <c r="P6" i="70" s="1"/>
  <c r="L6" i="70"/>
  <c r="O6" i="70" s="1"/>
  <c r="M7" i="69"/>
  <c r="P7" i="69" s="1"/>
  <c r="L7" i="69"/>
  <c r="O7" i="69" s="1"/>
  <c r="N7" i="69"/>
  <c r="Q7" i="69" s="1"/>
  <c r="L6" i="69"/>
  <c r="M6" i="69"/>
  <c r="P6" i="69" s="1"/>
  <c r="N6" i="69"/>
  <c r="Q6" i="69" s="1"/>
  <c r="E6" i="74"/>
  <c r="H6" i="74" s="1"/>
  <c r="E6" i="71"/>
  <c r="H6" i="71" s="1"/>
  <c r="E6" i="70"/>
  <c r="H6" i="70" s="1"/>
  <c r="H7" i="74"/>
  <c r="H7" i="68"/>
  <c r="H7" i="72"/>
  <c r="H6" i="73"/>
  <c r="O5" i="72"/>
  <c r="O5" i="68"/>
  <c r="H5" i="74"/>
  <c r="O5" i="67"/>
  <c r="O5" i="70"/>
  <c r="O5" i="69"/>
  <c r="K5" i="68"/>
  <c r="I5" i="68"/>
  <c r="O5" i="71"/>
  <c r="K5" i="67"/>
  <c r="I5" i="67"/>
  <c r="O5" i="74"/>
  <c r="I5" i="72"/>
  <c r="K5" i="72"/>
  <c r="H5" i="70"/>
  <c r="H5" i="71"/>
  <c r="E137" i="1"/>
  <c r="I114" i="1"/>
  <c r="H7" i="70"/>
  <c r="H6" i="72"/>
  <c r="H7" i="71"/>
  <c r="H6" i="68"/>
  <c r="H6" i="67"/>
  <c r="H7" i="67"/>
  <c r="F8" i="69"/>
  <c r="D8" i="69"/>
  <c r="F7" i="69"/>
  <c r="D7" i="69"/>
  <c r="L59" i="55" a="1"/>
  <c r="V5" i="68" l="1" a="1"/>
  <c r="O6" i="74"/>
  <c r="O6" i="73"/>
  <c r="O6" i="72"/>
  <c r="O6" i="71"/>
  <c r="O6" i="69"/>
  <c r="O6" i="68"/>
  <c r="O6" i="67"/>
  <c r="I6" i="71"/>
  <c r="K6" i="71"/>
  <c r="I6" i="70"/>
  <c r="K6" i="70"/>
  <c r="I7" i="74"/>
  <c r="K7" i="74"/>
  <c r="I7" i="68"/>
  <c r="K7" i="68"/>
  <c r="V7" i="68" s="1" a="1"/>
  <c r="I7" i="72"/>
  <c r="K7" i="72"/>
  <c r="I6" i="73"/>
  <c r="K6" i="73"/>
  <c r="I5" i="74"/>
  <c r="K5" i="74"/>
  <c r="K5" i="70"/>
  <c r="I5" i="70"/>
  <c r="I5" i="71"/>
  <c r="K5" i="71"/>
  <c r="F8" i="73"/>
  <c r="F8" i="71"/>
  <c r="J8" i="74"/>
  <c r="G8" i="74"/>
  <c r="F8" i="72"/>
  <c r="F8" i="74"/>
  <c r="G8" i="72"/>
  <c r="G8" i="73"/>
  <c r="E8" i="72"/>
  <c r="G8" i="70"/>
  <c r="E8" i="69"/>
  <c r="J8" i="69"/>
  <c r="E8" i="68"/>
  <c r="D8" i="70"/>
  <c r="F8" i="68"/>
  <c r="G8" i="71"/>
  <c r="D8" i="72"/>
  <c r="D8" i="68"/>
  <c r="F8" i="67"/>
  <c r="J8" i="73"/>
  <c r="F8" i="70"/>
  <c r="J8" i="72"/>
  <c r="J8" i="68"/>
  <c r="G8" i="67"/>
  <c r="D8" i="67"/>
  <c r="J8" i="70"/>
  <c r="E8" i="67"/>
  <c r="D8" i="71"/>
  <c r="D8" i="73"/>
  <c r="E8" i="73"/>
  <c r="J8" i="71"/>
  <c r="J8" i="67"/>
  <c r="G8" i="68"/>
  <c r="D8" i="74"/>
  <c r="G8" i="69"/>
  <c r="E159" i="1"/>
  <c r="I136" i="1"/>
  <c r="K7" i="70"/>
  <c r="I7" i="70"/>
  <c r="K6" i="72"/>
  <c r="I6" i="72"/>
  <c r="K7" i="71"/>
  <c r="I7" i="71"/>
  <c r="K6" i="68"/>
  <c r="I6" i="68"/>
  <c r="I6" i="67"/>
  <c r="K6" i="67"/>
  <c r="K7" i="67"/>
  <c r="I7" i="67"/>
  <c r="K6" i="74"/>
  <c r="I6" i="74"/>
  <c r="B34" i="73"/>
  <c r="H6" i="45" a="1"/>
  <c r="I5" i="45" a="1"/>
  <c r="D6" i="45" a="1"/>
  <c r="E6" i="45" a="1"/>
  <c r="J6" i="45" a="1"/>
  <c r="G6" i="45" a="1"/>
  <c r="K6" i="45" a="1"/>
  <c r="K7" i="45" a="1"/>
  <c r="D7" i="45" a="1"/>
  <c r="G7" i="45" a="1"/>
  <c r="E7" i="45" a="1"/>
  <c r="H7" i="45" a="1"/>
  <c r="I7" i="45" a="1"/>
  <c r="I6" i="45" a="1"/>
  <c r="E5" i="45" a="1"/>
  <c r="D5" i="45" a="1"/>
  <c r="V6" i="68" l="1" a="1"/>
  <c r="N8" i="68"/>
  <c r="M8" i="68"/>
  <c r="L8" i="68"/>
  <c r="L8" i="67"/>
  <c r="N8" i="67"/>
  <c r="M8" i="67"/>
  <c r="N8" i="74"/>
  <c r="M8" i="74"/>
  <c r="L8" i="74"/>
  <c r="N8" i="73"/>
  <c r="M8" i="73"/>
  <c r="L8" i="73"/>
  <c r="N8" i="72"/>
  <c r="M8" i="72"/>
  <c r="L8" i="72"/>
  <c r="N8" i="71"/>
  <c r="M8" i="71"/>
  <c r="L8" i="71"/>
  <c r="N8" i="70"/>
  <c r="M8" i="70"/>
  <c r="L8" i="70"/>
  <c r="M8" i="69"/>
  <c r="L8" i="69"/>
  <c r="N8" i="69"/>
  <c r="E8" i="70"/>
  <c r="H8" i="72"/>
  <c r="H8" i="68"/>
  <c r="H8" i="67"/>
  <c r="E8" i="71"/>
  <c r="E8" i="74"/>
  <c r="D9" i="69"/>
  <c r="F9" i="69"/>
  <c r="E181" i="1"/>
  <c r="I158" i="1"/>
  <c r="H8" i="73"/>
  <c r="G9" i="73"/>
  <c r="E9" i="73"/>
  <c r="J10" i="67"/>
  <c r="G10" i="71"/>
  <c r="E9" i="67"/>
  <c r="E10" i="67"/>
  <c r="E9" i="72"/>
  <c r="D9" i="72"/>
  <c r="G9" i="67"/>
  <c r="D10" i="74"/>
  <c r="G9" i="68"/>
  <c r="G10" i="73"/>
  <c r="F10" i="68"/>
  <c r="J10" i="72"/>
  <c r="E9" i="69"/>
  <c r="F10" i="67"/>
  <c r="D9" i="70"/>
  <c r="E9" i="70" s="1"/>
  <c r="G9" i="70"/>
  <c r="J9" i="69"/>
  <c r="G9" i="74"/>
  <c r="D10" i="68"/>
  <c r="F9" i="67"/>
  <c r="F10" i="73"/>
  <c r="F9" i="70"/>
  <c r="E10" i="68"/>
  <c r="G10" i="72"/>
  <c r="G10" i="70"/>
  <c r="G10" i="69"/>
  <c r="G9" i="69"/>
  <c r="F9" i="71"/>
  <c r="F9" i="68"/>
  <c r="D10" i="73"/>
  <c r="D9" i="73"/>
  <c r="J9" i="67"/>
  <c r="J9" i="74"/>
  <c r="D9" i="67"/>
  <c r="J10" i="71"/>
  <c r="F9" i="72"/>
  <c r="J9" i="68"/>
  <c r="D9" i="74"/>
  <c r="E9" i="74" s="1"/>
  <c r="F9" i="74"/>
  <c r="G9" i="71"/>
  <c r="D10" i="71"/>
  <c r="E10" i="71" s="1"/>
  <c r="D10" i="72"/>
  <c r="D9" i="68"/>
  <c r="J10" i="70"/>
  <c r="G10" i="67"/>
  <c r="J9" i="72"/>
  <c r="G10" i="68"/>
  <c r="F10" i="69"/>
  <c r="F9" i="73"/>
  <c r="J10" i="73"/>
  <c r="J9" i="70"/>
  <c r="E10" i="69"/>
  <c r="G9" i="72"/>
  <c r="J9" i="71"/>
  <c r="F10" i="74"/>
  <c r="F10" i="72"/>
  <c r="E10" i="72"/>
  <c r="J10" i="74"/>
  <c r="D9" i="71"/>
  <c r="J10" i="69"/>
  <c r="D10" i="67"/>
  <c r="J9" i="73"/>
  <c r="E9" i="68"/>
  <c r="D10" i="70"/>
  <c r="E10" i="70" s="1"/>
  <c r="F10" i="70"/>
  <c r="K5" i="45" a="1"/>
  <c r="G5" i="45" a="1"/>
  <c r="H5" i="45" a="1"/>
  <c r="N9" i="68" l="1"/>
  <c r="Q9" i="68" s="1"/>
  <c r="M9" i="68"/>
  <c r="P9" i="68" s="1"/>
  <c r="L9" i="68"/>
  <c r="O9" i="68" s="1"/>
  <c r="L10" i="67"/>
  <c r="O10" i="67" s="1"/>
  <c r="N10" i="67"/>
  <c r="M10" i="67"/>
  <c r="P10" i="67" s="1"/>
  <c r="M9" i="67"/>
  <c r="P9" i="67" s="1"/>
  <c r="L9" i="67"/>
  <c r="O9" i="67" s="1"/>
  <c r="N9" i="67"/>
  <c r="Q8" i="74"/>
  <c r="P8" i="74"/>
  <c r="Q8" i="73"/>
  <c r="P8" i="73"/>
  <c r="Q8" i="72"/>
  <c r="P8" i="72"/>
  <c r="Q8" i="71"/>
  <c r="P8" i="71"/>
  <c r="Q8" i="70"/>
  <c r="P8" i="70"/>
  <c r="P8" i="69"/>
  <c r="Q8" i="69"/>
  <c r="P8" i="67"/>
  <c r="Q8" i="68"/>
  <c r="P8" i="68"/>
  <c r="O8" i="73"/>
  <c r="N10" i="74"/>
  <c r="Q10" i="74" s="1"/>
  <c r="M10" i="74"/>
  <c r="P10" i="74" s="1"/>
  <c r="L10" i="74"/>
  <c r="O10" i="74" s="1"/>
  <c r="N9" i="74"/>
  <c r="Q9" i="74" s="1"/>
  <c r="M9" i="74"/>
  <c r="P9" i="74" s="1"/>
  <c r="L9" i="74"/>
  <c r="O9" i="74" s="1"/>
  <c r="N10" i="73"/>
  <c r="Q10" i="73" s="1"/>
  <c r="M10" i="73"/>
  <c r="P10" i="73" s="1"/>
  <c r="L10" i="73"/>
  <c r="O10" i="73" s="1"/>
  <c r="N9" i="73"/>
  <c r="Q9" i="73" s="1"/>
  <c r="M9" i="73"/>
  <c r="P9" i="73" s="1"/>
  <c r="L9" i="73"/>
  <c r="O9" i="73" s="1"/>
  <c r="N10" i="72"/>
  <c r="Q10" i="72" s="1"/>
  <c r="M10" i="72"/>
  <c r="P10" i="72" s="1"/>
  <c r="L10" i="72"/>
  <c r="O10" i="72" s="1"/>
  <c r="N9" i="72"/>
  <c r="Q9" i="72" s="1"/>
  <c r="M9" i="72"/>
  <c r="P9" i="72" s="1"/>
  <c r="L9" i="72"/>
  <c r="O9" i="72" s="1"/>
  <c r="N10" i="71"/>
  <c r="Q10" i="71" s="1"/>
  <c r="M10" i="71"/>
  <c r="P10" i="71" s="1"/>
  <c r="L10" i="71"/>
  <c r="O10" i="71" s="1"/>
  <c r="N9" i="71"/>
  <c r="Q9" i="71" s="1"/>
  <c r="M9" i="71"/>
  <c r="P9" i="71" s="1"/>
  <c r="L9" i="71"/>
  <c r="O9" i="71" s="1"/>
  <c r="N10" i="70"/>
  <c r="Q10" i="70" s="1"/>
  <c r="M10" i="70"/>
  <c r="P10" i="70" s="1"/>
  <c r="L10" i="70"/>
  <c r="O10" i="70" s="1"/>
  <c r="N9" i="70"/>
  <c r="Q9" i="70" s="1"/>
  <c r="M9" i="70"/>
  <c r="P9" i="70" s="1"/>
  <c r="L9" i="70"/>
  <c r="O9" i="70" s="1"/>
  <c r="L10" i="69"/>
  <c r="O10" i="69" s="1"/>
  <c r="M10" i="69"/>
  <c r="P10" i="69" s="1"/>
  <c r="N10" i="69"/>
  <c r="Q10" i="69" s="1"/>
  <c r="M9" i="69"/>
  <c r="P9" i="69" s="1"/>
  <c r="L9" i="69"/>
  <c r="O9" i="69" s="1"/>
  <c r="N9" i="69"/>
  <c r="Q9" i="69" s="1"/>
  <c r="H10" i="67"/>
  <c r="H10" i="70"/>
  <c r="O8" i="74"/>
  <c r="O8" i="69"/>
  <c r="H8" i="70"/>
  <c r="I8" i="72"/>
  <c r="K8" i="72"/>
  <c r="I8" i="68"/>
  <c r="K8" i="68"/>
  <c r="O8" i="72"/>
  <c r="O8" i="68"/>
  <c r="K8" i="67"/>
  <c r="I8" i="67"/>
  <c r="O8" i="70"/>
  <c r="H8" i="71"/>
  <c r="O8" i="71"/>
  <c r="O8" i="67"/>
  <c r="H8" i="74"/>
  <c r="E203" i="1"/>
  <c r="I180" i="1"/>
  <c r="K8" i="73"/>
  <c r="I8" i="73"/>
  <c r="H9" i="72"/>
  <c r="H9" i="70"/>
  <c r="H9" i="68"/>
  <c r="H10" i="68"/>
  <c r="H9" i="73"/>
  <c r="H9" i="67"/>
  <c r="H9" i="74"/>
  <c r="H10" i="72"/>
  <c r="E10" i="73"/>
  <c r="H10" i="73" s="1"/>
  <c r="J11" i="73"/>
  <c r="F11" i="73"/>
  <c r="G11" i="73"/>
  <c r="E10" i="74"/>
  <c r="E9" i="71"/>
  <c r="H9" i="71" s="1"/>
  <c r="V8" i="68" l="1" a="1"/>
  <c r="K10" i="67"/>
  <c r="I10" i="67"/>
  <c r="K10" i="70"/>
  <c r="I10" i="70"/>
  <c r="K8" i="70"/>
  <c r="I8" i="70"/>
  <c r="I8" i="71"/>
  <c r="K8" i="71"/>
  <c r="I8" i="74"/>
  <c r="K8" i="74"/>
  <c r="D11" i="73"/>
  <c r="E11" i="73"/>
  <c r="E225" i="1"/>
  <c r="I202" i="1"/>
  <c r="I9" i="72"/>
  <c r="K9" i="72"/>
  <c r="I9" i="70"/>
  <c r="K9" i="70"/>
  <c r="I9" i="68"/>
  <c r="K9" i="68"/>
  <c r="V9" i="68" s="1" a="1"/>
  <c r="K10" i="68"/>
  <c r="I10" i="68"/>
  <c r="I9" i="73"/>
  <c r="K9" i="73"/>
  <c r="K9" i="67"/>
  <c r="I9" i="67"/>
  <c r="I9" i="74"/>
  <c r="K9" i="74"/>
  <c r="I10" i="72"/>
  <c r="K10" i="72"/>
  <c r="K10" i="73"/>
  <c r="I10" i="73"/>
  <c r="I9" i="71"/>
  <c r="K9" i="71"/>
  <c r="I9" i="45" a="1"/>
  <c r="G9" i="45" a="1"/>
  <c r="E9" i="45" a="1"/>
  <c r="D10" i="45" a="1"/>
  <c r="E8" i="45" a="1"/>
  <c r="G10" i="45" a="1"/>
  <c r="D8" i="45" a="1"/>
  <c r="H9" i="45" a="1"/>
  <c r="D9" i="45" a="1"/>
  <c r="I8" i="45" a="1"/>
  <c r="K9" i="45" a="1"/>
  <c r="E10" i="45" a="1"/>
  <c r="I10" i="45" a="1"/>
  <c r="H11" i="73" l="1"/>
  <c r="E247" i="1"/>
  <c r="I224" i="1"/>
  <c r="K8" i="45" a="1"/>
  <c r="G8" i="45" a="1"/>
  <c r="H8" i="45" a="1"/>
  <c r="I11" i="73" l="1"/>
  <c r="K11" i="73"/>
  <c r="E269" i="1"/>
  <c r="I246" i="1"/>
  <c r="H42" i="56"/>
  <c r="J42" i="56" s="1"/>
  <c r="O42" i="56"/>
  <c r="P42" i="56"/>
  <c r="E291" i="1" l="1"/>
  <c r="I268" i="1"/>
  <c r="E313" i="1" l="1"/>
  <c r="I290" i="1"/>
  <c r="B3" i="46"/>
  <c r="B2" i="46"/>
  <c r="D2" i="46"/>
  <c r="E2" i="46"/>
  <c r="G2" i="46"/>
  <c r="B4" i="46"/>
  <c r="F2" i="46"/>
  <c r="J2" i="46"/>
  <c r="M2" i="46" s="1"/>
  <c r="E3" i="46"/>
  <c r="J3" i="46"/>
  <c r="M3" i="46" s="1"/>
  <c r="F3" i="46"/>
  <c r="G3" i="46"/>
  <c r="D3" i="46"/>
  <c r="F4" i="46"/>
  <c r="J4" i="46"/>
  <c r="M4" i="46" s="1"/>
  <c r="D4" i="46"/>
  <c r="E4" i="46"/>
  <c r="G4" i="46"/>
  <c r="B5" i="46"/>
  <c r="F5" i="46"/>
  <c r="J5" i="46"/>
  <c r="M5" i="46" s="1"/>
  <c r="G5" i="46"/>
  <c r="D5" i="46"/>
  <c r="E5" i="46"/>
  <c r="B6" i="46"/>
  <c r="F6" i="46"/>
  <c r="E6" i="46"/>
  <c r="D6" i="46"/>
  <c r="J6" i="46"/>
  <c r="M6" i="46" s="1"/>
  <c r="G6" i="46"/>
  <c r="B7" i="46"/>
  <c r="F7" i="46"/>
  <c r="E7" i="46"/>
  <c r="J7" i="46"/>
  <c r="M7" i="46" s="1"/>
  <c r="G7" i="46"/>
  <c r="D7" i="46"/>
  <c r="B8" i="46"/>
  <c r="B9" i="46"/>
  <c r="J9" i="46"/>
  <c r="M9" i="46" s="1"/>
  <c r="B14" i="46"/>
  <c r="J14" i="46"/>
  <c r="M14" i="46" s="1"/>
  <c r="B15" i="46"/>
  <c r="J15" i="46"/>
  <c r="M15" i="46" s="1"/>
  <c r="B16" i="46"/>
  <c r="J16" i="46"/>
  <c r="M16" i="46" s="1"/>
  <c r="B19" i="46"/>
  <c r="B21" i="46"/>
  <c r="B22" i="46"/>
  <c r="B23" i="46"/>
  <c r="B25" i="46"/>
  <c r="B28" i="46"/>
  <c r="B32" i="46"/>
  <c r="B10" i="46"/>
  <c r="D10" i="46"/>
  <c r="D15" i="46"/>
  <c r="B33" i="46"/>
  <c r="B24" i="46"/>
  <c r="B29" i="46"/>
  <c r="B30" i="46"/>
  <c r="B31" i="46"/>
  <c r="B13" i="46"/>
  <c r="B17" i="46"/>
  <c r="D8" i="46"/>
  <c r="D13" i="46"/>
  <c r="G8" i="46"/>
  <c r="E8" i="46"/>
  <c r="J8" i="46"/>
  <c r="M8" i="46" s="1"/>
  <c r="F8" i="46"/>
  <c r="F9" i="46"/>
  <c r="E9" i="46"/>
  <c r="G9" i="46"/>
  <c r="D9" i="46"/>
  <c r="F10" i="46"/>
  <c r="J10" i="46"/>
  <c r="M10" i="46" s="1"/>
  <c r="G10" i="46"/>
  <c r="E10" i="46"/>
  <c r="B11" i="46"/>
  <c r="F11" i="46"/>
  <c r="E11" i="46"/>
  <c r="D11" i="46"/>
  <c r="J11" i="46"/>
  <c r="M11" i="46" s="1"/>
  <c r="G11" i="46"/>
  <c r="B12" i="46"/>
  <c r="E12" i="46"/>
  <c r="G12" i="46"/>
  <c r="F12" i="46"/>
  <c r="D12" i="46"/>
  <c r="J12" i="46"/>
  <c r="M12" i="46" s="1"/>
  <c r="E13" i="46"/>
  <c r="G13" i="46"/>
  <c r="J13" i="46"/>
  <c r="M13" i="46" s="1"/>
  <c r="F13" i="46"/>
  <c r="F14" i="46"/>
  <c r="G14" i="46"/>
  <c r="E14" i="46"/>
  <c r="D14" i="46"/>
  <c r="F15" i="46"/>
  <c r="E15" i="46"/>
  <c r="G15" i="46"/>
  <c r="B20" i="46"/>
  <c r="B26" i="46"/>
  <c r="F16" i="46"/>
  <c r="G16" i="46"/>
  <c r="E16" i="46"/>
  <c r="D16" i="46"/>
  <c r="B18" i="46"/>
  <c r="B27" i="46"/>
  <c r="D65" i="55" a="1"/>
  <c r="E65" i="55" a="1"/>
  <c r="G65" i="55" a="1"/>
  <c r="E335" i="1" l="1"/>
  <c r="I312" i="1"/>
  <c r="H14" i="46"/>
  <c r="I14" i="46" s="1"/>
  <c r="L2" i="46"/>
  <c r="H2" i="46"/>
  <c r="H12" i="46"/>
  <c r="H8" i="69"/>
  <c r="H9" i="69"/>
  <c r="H9" i="46"/>
  <c r="L4" i="46"/>
  <c r="N4" i="46" s="1"/>
  <c r="H3" i="69"/>
  <c r="H16" i="46"/>
  <c r="H4" i="69"/>
  <c r="H3" i="46"/>
  <c r="H7" i="46"/>
  <c r="L6" i="46"/>
  <c r="N6" i="46" s="1"/>
  <c r="L15" i="46"/>
  <c r="N15" i="46" s="1"/>
  <c r="L16" i="46"/>
  <c r="N16" i="46" s="1"/>
  <c r="L8" i="46"/>
  <c r="N8" i="46" s="1"/>
  <c r="L10" i="46"/>
  <c r="N10" i="46" s="1"/>
  <c r="L11" i="46"/>
  <c r="N11" i="46" s="1"/>
  <c r="L12" i="46"/>
  <c r="N12" i="46" s="1"/>
  <c r="L13" i="46"/>
  <c r="N13" i="46" s="1"/>
  <c r="H5" i="69"/>
  <c r="L7" i="46"/>
  <c r="N7" i="46" s="1"/>
  <c r="L9" i="46"/>
  <c r="N9" i="46" s="1"/>
  <c r="L14" i="46"/>
  <c r="N14" i="46" s="1"/>
  <c r="H10" i="46"/>
  <c r="H11" i="46"/>
  <c r="H6" i="69"/>
  <c r="H4" i="46"/>
  <c r="H5" i="46"/>
  <c r="H6" i="46"/>
  <c r="H7" i="69"/>
  <c r="H15" i="46"/>
  <c r="H8" i="46"/>
  <c r="H13" i="46"/>
  <c r="L3" i="46"/>
  <c r="N3" i="46" s="1"/>
  <c r="L5" i="46"/>
  <c r="N5" i="46" s="1"/>
  <c r="F65" i="55" a="1"/>
  <c r="C14" i="45" a="1"/>
  <c r="N2" i="46" l="1"/>
  <c r="I2" i="46"/>
  <c r="J17" i="46"/>
  <c r="M17" i="46" s="1"/>
  <c r="F17" i="46"/>
  <c r="G17" i="46"/>
  <c r="D17" i="46"/>
  <c r="E17" i="46"/>
  <c r="E357" i="1"/>
  <c r="I334" i="1"/>
  <c r="K14" i="46"/>
  <c r="K2" i="46"/>
  <c r="O2" i="46"/>
  <c r="P2" i="46"/>
  <c r="K12" i="46"/>
  <c r="I12" i="46"/>
  <c r="O4" i="46"/>
  <c r="Q6" i="46"/>
  <c r="K9" i="69"/>
  <c r="I9" i="69"/>
  <c r="I9" i="46"/>
  <c r="K9" i="46"/>
  <c r="K8" i="69"/>
  <c r="I8" i="69"/>
  <c r="K3" i="69"/>
  <c r="I3" i="69"/>
  <c r="I16" i="46"/>
  <c r="K16" i="46"/>
  <c r="Q11" i="46"/>
  <c r="P11" i="46"/>
  <c r="I4" i="69"/>
  <c r="K4" i="69"/>
  <c r="Q3" i="46"/>
  <c r="P10" i="46"/>
  <c r="Q16" i="46"/>
  <c r="I3" i="46"/>
  <c r="K3" i="46"/>
  <c r="P3" i="46"/>
  <c r="P6" i="46"/>
  <c r="O8" i="46"/>
  <c r="O11" i="46"/>
  <c r="O13" i="46"/>
  <c r="P13" i="46"/>
  <c r="I5" i="69"/>
  <c r="K5" i="69"/>
  <c r="Q4" i="46"/>
  <c r="O6" i="46"/>
  <c r="P9" i="46"/>
  <c r="P15" i="46"/>
  <c r="O15" i="46"/>
  <c r="P8" i="46"/>
  <c r="Q8" i="46"/>
  <c r="Q13" i="46"/>
  <c r="K7" i="46"/>
  <c r="I7" i="46"/>
  <c r="Q9" i="46"/>
  <c r="Q14" i="46"/>
  <c r="P14" i="46"/>
  <c r="O16" i="46"/>
  <c r="P16" i="46"/>
  <c r="Q10" i="46"/>
  <c r="O10" i="46"/>
  <c r="O12" i="46"/>
  <c r="P12" i="46"/>
  <c r="Q12" i="46"/>
  <c r="I10" i="46"/>
  <c r="K10" i="46"/>
  <c r="O7" i="46"/>
  <c r="Q7" i="46"/>
  <c r="O9" i="46"/>
  <c r="I6" i="69"/>
  <c r="K6" i="69"/>
  <c r="P7" i="46"/>
  <c r="O14" i="46"/>
  <c r="Q15" i="46"/>
  <c r="K11" i="46"/>
  <c r="I11" i="46"/>
  <c r="K4" i="46"/>
  <c r="I4" i="46"/>
  <c r="I5" i="46"/>
  <c r="K5" i="46"/>
  <c r="I6" i="46"/>
  <c r="K6" i="46"/>
  <c r="I7" i="69"/>
  <c r="K7" i="69"/>
  <c r="K15" i="46"/>
  <c r="I15" i="46"/>
  <c r="I8" i="46"/>
  <c r="K8" i="46"/>
  <c r="I13" i="46"/>
  <c r="K13" i="46"/>
  <c r="O3" i="46"/>
  <c r="P4" i="46"/>
  <c r="Q5" i="46"/>
  <c r="O5" i="46"/>
  <c r="P5" i="46"/>
  <c r="C2" i="45" a="1"/>
  <c r="C10" i="45" a="1"/>
  <c r="C6" i="45" a="1"/>
  <c r="C3" i="45" a="1"/>
  <c r="C15" i="45" a="1"/>
  <c r="F9" i="45" a="1"/>
  <c r="F7" i="45" a="1"/>
  <c r="C9" i="45" a="1"/>
  <c r="F6" i="45" a="1"/>
  <c r="C7" i="45" a="1"/>
  <c r="C12" i="45" a="1"/>
  <c r="C8" i="45" a="1"/>
  <c r="F8" i="45" a="1"/>
  <c r="C13" i="45" a="1"/>
  <c r="F3" i="45" a="1"/>
  <c r="F5" i="45" a="1"/>
  <c r="C5" i="45" a="1"/>
  <c r="C16" i="45" a="1"/>
  <c r="C11" i="45" a="1"/>
  <c r="F4" i="45" a="1"/>
  <c r="C4" i="45" a="1"/>
  <c r="Q2" i="46" l="1"/>
  <c r="L17" i="46"/>
  <c r="P17" i="46"/>
  <c r="H17" i="46"/>
  <c r="E379" i="1"/>
  <c r="I356" i="1"/>
  <c r="G18" i="46"/>
  <c r="E18" i="46"/>
  <c r="F19" i="46"/>
  <c r="J18" i="46"/>
  <c r="M18" i="46" s="1"/>
  <c r="F18" i="46"/>
  <c r="J19" i="46"/>
  <c r="M19" i="46" s="1"/>
  <c r="E19" i="46"/>
  <c r="D19" i="46"/>
  <c r="D18" i="46"/>
  <c r="G19" i="46"/>
  <c r="L65" i="55" a="1"/>
  <c r="N65" i="55" a="1"/>
  <c r="M65" i="55" a="1"/>
  <c r="H65" i="55" a="1"/>
  <c r="N17" i="46" l="1"/>
  <c r="H19" i="46"/>
  <c r="O17" i="46"/>
  <c r="I17" i="46"/>
  <c r="K17" i="46"/>
  <c r="E401" i="1"/>
  <c r="I378" i="1"/>
  <c r="L18" i="46"/>
  <c r="P18" i="46"/>
  <c r="L19" i="46"/>
  <c r="N19" i="46" s="1"/>
  <c r="P19" i="46"/>
  <c r="H18" i="46"/>
  <c r="Q17" i="46" l="1"/>
  <c r="N18" i="46"/>
  <c r="Q18" i="46" s="1"/>
  <c r="O18" i="46"/>
  <c r="O19" i="46"/>
  <c r="Q19" i="46"/>
  <c r="I19" i="46"/>
  <c r="K19" i="46"/>
  <c r="F20" i="46"/>
  <c r="G20" i="46"/>
  <c r="J20" i="46"/>
  <c r="M20" i="46" s="1"/>
  <c r="D20" i="46"/>
  <c r="E20" i="46"/>
  <c r="E423" i="1"/>
  <c r="I400" i="1"/>
  <c r="K18" i="46"/>
  <c r="I18" i="46"/>
  <c r="C19" i="45" a="1"/>
  <c r="C17" i="45" a="1"/>
  <c r="C18" i="45" a="1"/>
  <c r="L20" i="46" l="1"/>
  <c r="P20" i="46"/>
  <c r="H20" i="46"/>
  <c r="E445" i="1"/>
  <c r="I422" i="1"/>
  <c r="D21" i="46"/>
  <c r="E22" i="46"/>
  <c r="J21" i="46"/>
  <c r="M21" i="46" s="1"/>
  <c r="D22" i="46"/>
  <c r="G21" i="46"/>
  <c r="G22" i="46"/>
  <c r="E21" i="46"/>
  <c r="F22" i="46"/>
  <c r="F21" i="46"/>
  <c r="N20" i="46" l="1"/>
  <c r="O20" i="46"/>
  <c r="K20" i="46"/>
  <c r="I20" i="46"/>
  <c r="J22" i="46"/>
  <c r="M22" i="46" s="1"/>
  <c r="E467" i="1"/>
  <c r="I444" i="1"/>
  <c r="P21" i="46"/>
  <c r="L21" i="46"/>
  <c r="N21" i="46" s="1"/>
  <c r="H22" i="46"/>
  <c r="H21" i="46"/>
  <c r="Q20" i="46" l="1"/>
  <c r="O21" i="46"/>
  <c r="Q21" i="46"/>
  <c r="P22" i="46"/>
  <c r="L22" i="46"/>
  <c r="E489" i="1"/>
  <c r="I466" i="1"/>
  <c r="I22" i="46"/>
  <c r="K22" i="46"/>
  <c r="K21" i="46"/>
  <c r="I21" i="46"/>
  <c r="P34" i="67"/>
  <c r="C20" i="45" a="1"/>
  <c r="C22" i="45" a="1"/>
  <c r="C21" i="45" a="1"/>
  <c r="N22" i="46" l="1"/>
  <c r="O22" i="46"/>
  <c r="E511" i="1"/>
  <c r="I488" i="1"/>
  <c r="Q22" i="46" l="1"/>
  <c r="E533" i="1"/>
  <c r="I510" i="1"/>
  <c r="E555" i="1" l="1"/>
  <c r="I532" i="1"/>
  <c r="E577" i="1" l="1"/>
  <c r="I554" i="1"/>
  <c r="E599" i="1" l="1"/>
  <c r="I576" i="1"/>
  <c r="E621" i="1" l="1"/>
  <c r="I598" i="1"/>
  <c r="E643" i="1" l="1"/>
  <c r="I620" i="1"/>
  <c r="E665" i="1" l="1"/>
  <c r="I642" i="1"/>
  <c r="E687" i="1" l="1"/>
  <c r="I664" i="1"/>
  <c r="E709" i="1" l="1"/>
  <c r="I686" i="1"/>
  <c r="E731" i="1" l="1"/>
  <c r="I708" i="1"/>
  <c r="E753" i="1" l="1"/>
  <c r="I730" i="1"/>
  <c r="E775" i="1" l="1"/>
  <c r="I752" i="1"/>
  <c r="E797" i="1" l="1"/>
  <c r="I774" i="1"/>
  <c r="E819" i="1" l="1"/>
  <c r="I796" i="1"/>
  <c r="E841" i="1" l="1"/>
  <c r="I818" i="1"/>
  <c r="E863" i="1" l="1"/>
  <c r="I840" i="1"/>
  <c r="E885" i="1" l="1"/>
  <c r="I862" i="1"/>
  <c r="J33" i="46" l="1"/>
  <c r="M33" i="46" s="1"/>
  <c r="J50" i="55" s="1"/>
  <c r="D31" i="46"/>
  <c r="J24" i="46"/>
  <c r="M24" i="46" s="1"/>
  <c r="D28" i="46"/>
  <c r="G25" i="46"/>
  <c r="F25" i="46"/>
  <c r="F31" i="46"/>
  <c r="F27" i="46"/>
  <c r="F24" i="46"/>
  <c r="G27" i="46"/>
  <c r="F26" i="46"/>
  <c r="G26" i="46"/>
  <c r="G24" i="46"/>
  <c r="J29" i="46"/>
  <c r="M29" i="46" s="1"/>
  <c r="G29" i="46"/>
  <c r="F33" i="46"/>
  <c r="G23" i="46"/>
  <c r="G31" i="46"/>
  <c r="E30" i="46"/>
  <c r="E28" i="46"/>
  <c r="F30" i="46"/>
  <c r="J25" i="46"/>
  <c r="M25" i="46" s="1"/>
  <c r="E31" i="46"/>
  <c r="G32" i="46"/>
  <c r="D32" i="46"/>
  <c r="J30" i="46"/>
  <c r="M30" i="46" s="1"/>
  <c r="F32" i="46"/>
  <c r="J32" i="46"/>
  <c r="M32" i="46" s="1"/>
  <c r="G28" i="46"/>
  <c r="D23" i="46"/>
  <c r="E24" i="46"/>
  <c r="D33" i="46"/>
  <c r="D24" i="46"/>
  <c r="J26" i="46"/>
  <c r="M26" i="46" s="1"/>
  <c r="E32" i="46"/>
  <c r="D29" i="46"/>
  <c r="E29" i="46"/>
  <c r="F23" i="46"/>
  <c r="J23" i="46"/>
  <c r="M23" i="46" s="1"/>
  <c r="D30" i="46"/>
  <c r="F29" i="46"/>
  <c r="F28" i="46"/>
  <c r="E27" i="46"/>
  <c r="J31" i="46"/>
  <c r="M31" i="46" s="1"/>
  <c r="E26" i="46"/>
  <c r="E33" i="46"/>
  <c r="E25" i="46"/>
  <c r="G33" i="46"/>
  <c r="D25" i="46"/>
  <c r="D26" i="46"/>
  <c r="G30" i="46"/>
  <c r="E23" i="46"/>
  <c r="J27" i="46"/>
  <c r="M27" i="46" s="1"/>
  <c r="J28" i="46"/>
  <c r="M28" i="46" s="1"/>
  <c r="D27" i="46"/>
  <c r="D34" i="73"/>
  <c r="G34" i="73"/>
  <c r="E34" i="73"/>
  <c r="F34" i="73"/>
  <c r="J34" i="73"/>
  <c r="G15" i="73"/>
  <c r="F15" i="73"/>
  <c r="G12" i="73"/>
  <c r="F12" i="73"/>
  <c r="D13" i="73"/>
  <c r="F14" i="73"/>
  <c r="E15" i="73"/>
  <c r="D15" i="73"/>
  <c r="J14" i="73"/>
  <c r="D12" i="73"/>
  <c r="E12" i="73"/>
  <c r="E13" i="73"/>
  <c r="G14" i="73"/>
  <c r="F13" i="73"/>
  <c r="J12" i="73"/>
  <c r="E14" i="73"/>
  <c r="D14" i="73"/>
  <c r="J15" i="73"/>
  <c r="D41" i="73"/>
  <c r="E40" i="73"/>
  <c r="J13" i="73"/>
  <c r="G13" i="73"/>
  <c r="G41" i="73"/>
  <c r="J39" i="73"/>
  <c r="E32" i="72"/>
  <c r="G28" i="73"/>
  <c r="E24" i="68"/>
  <c r="F29" i="74"/>
  <c r="D29" i="69"/>
  <c r="J20" i="70"/>
  <c r="F22" i="70"/>
  <c r="G32" i="73"/>
  <c r="D32" i="73"/>
  <c r="D20" i="73"/>
  <c r="E14" i="69"/>
  <c r="G13" i="69"/>
  <c r="E16" i="72"/>
  <c r="E12" i="67"/>
  <c r="D32" i="67"/>
  <c r="D13" i="68"/>
  <c r="J20" i="67"/>
  <c r="F24" i="70"/>
  <c r="F12" i="67"/>
  <c r="F32" i="70"/>
  <c r="J30" i="70"/>
  <c r="G26" i="69"/>
  <c r="F18" i="70"/>
  <c r="D32" i="70"/>
  <c r="E32" i="70" s="1"/>
  <c r="J33" i="67"/>
  <c r="D30" i="71"/>
  <c r="E30" i="71" s="1"/>
  <c r="E27" i="72"/>
  <c r="F24" i="73"/>
  <c r="G31" i="73"/>
  <c r="G14" i="70"/>
  <c r="G28" i="69"/>
  <c r="E16" i="67"/>
  <c r="D30" i="69"/>
  <c r="D22" i="74"/>
  <c r="E22" i="74" s="1"/>
  <c r="D19" i="73"/>
  <c r="G31" i="68"/>
  <c r="G15" i="69"/>
  <c r="F12" i="72"/>
  <c r="G28" i="67"/>
  <c r="F29" i="69"/>
  <c r="G16" i="70"/>
  <c r="J17" i="69"/>
  <c r="D14" i="74"/>
  <c r="E14" i="74" s="1"/>
  <c r="G11" i="67"/>
  <c r="G35" i="73"/>
  <c r="E18" i="69"/>
  <c r="D17" i="69"/>
  <c r="G27" i="71"/>
  <c r="F25" i="72"/>
  <c r="F23" i="70"/>
  <c r="G22" i="72"/>
  <c r="E22" i="68"/>
  <c r="J21" i="70"/>
  <c r="G21" i="71"/>
  <c r="D21" i="74"/>
  <c r="E21" i="74" s="1"/>
  <c r="D20" i="74"/>
  <c r="E20" i="74" s="1"/>
  <c r="G20" i="67"/>
  <c r="G19" i="70"/>
  <c r="G19" i="74"/>
  <c r="F19" i="73"/>
  <c r="G18" i="72"/>
  <c r="G18" i="73"/>
  <c r="G17" i="68"/>
  <c r="G17" i="70"/>
  <c r="J16" i="74"/>
  <c r="D16" i="72"/>
  <c r="D15" i="67"/>
  <c r="E15" i="69"/>
  <c r="J14" i="70"/>
  <c r="F14" i="68"/>
  <c r="F13" i="67"/>
  <c r="D13" i="71"/>
  <c r="E13" i="71" s="1"/>
  <c r="G12" i="70"/>
  <c r="G12" i="69"/>
  <c r="J11" i="67"/>
  <c r="D11" i="71"/>
  <c r="E30" i="73"/>
  <c r="D29" i="70"/>
  <c r="E29" i="70" s="1"/>
  <c r="E29" i="67"/>
  <c r="G29" i="69"/>
  <c r="G29" i="71"/>
  <c r="F29" i="73"/>
  <c r="D29" i="74"/>
  <c r="E29" i="74" s="1"/>
  <c r="E29" i="68"/>
  <c r="D29" i="68"/>
  <c r="J29" i="72"/>
  <c r="E28" i="68"/>
  <c r="G28" i="71"/>
  <c r="J28" i="72"/>
  <c r="J28" i="70"/>
  <c r="J28" i="74"/>
  <c r="D37" i="73"/>
  <c r="E33" i="73"/>
  <c r="D33" i="70"/>
  <c r="E32" i="67"/>
  <c r="D31" i="68"/>
  <c r="D30" i="74"/>
  <c r="E30" i="74" s="1"/>
  <c r="G30" i="72"/>
  <c r="F29" i="70"/>
  <c r="D29" i="73"/>
  <c r="G28" i="68"/>
  <c r="F28" i="67"/>
  <c r="D27" i="73"/>
  <c r="G27" i="72"/>
  <c r="J26" i="72"/>
  <c r="E26" i="69"/>
  <c r="F25" i="70"/>
  <c r="F25" i="67"/>
  <c r="J24" i="72"/>
  <c r="D23" i="70"/>
  <c r="E23" i="70" s="1"/>
  <c r="F37" i="73"/>
  <c r="G29" i="70"/>
  <c r="F33" i="70"/>
  <c r="J26" i="68"/>
  <c r="J19" i="73"/>
  <c r="F11" i="74"/>
  <c r="D33" i="68"/>
  <c r="J27" i="69"/>
  <c r="G17" i="73"/>
  <c r="D14" i="67"/>
  <c r="J23" i="67"/>
  <c r="F13" i="68"/>
  <c r="F31" i="70"/>
  <c r="E22" i="67"/>
  <c r="D13" i="72"/>
  <c r="D12" i="74"/>
  <c r="E12" i="74" s="1"/>
  <c r="G33" i="70"/>
  <c r="F30" i="68"/>
  <c r="D26" i="73"/>
  <c r="E17" i="72"/>
  <c r="J40" i="73"/>
  <c r="E26" i="68"/>
  <c r="E17" i="68"/>
  <c r="F16" i="69"/>
  <c r="G23" i="68"/>
  <c r="F22" i="72"/>
  <c r="J22" i="73"/>
  <c r="F21" i="68"/>
  <c r="D20" i="71"/>
  <c r="E20" i="71" s="1"/>
  <c r="G20" i="73"/>
  <c r="F19" i="67"/>
  <c r="J19" i="72"/>
  <c r="G32" i="68"/>
  <c r="J31" i="74"/>
  <c r="J26" i="71"/>
  <c r="J23" i="72"/>
  <c r="G21" i="69"/>
  <c r="G19" i="73"/>
  <c r="E16" i="69"/>
  <c r="J13" i="68"/>
  <c r="J11" i="70"/>
  <c r="G29" i="73"/>
  <c r="D33" i="72"/>
  <c r="E32" i="68"/>
  <c r="J23" i="70"/>
  <c r="E17" i="73"/>
  <c r="E28" i="67"/>
  <c r="F16" i="71"/>
  <c r="J14" i="68"/>
  <c r="J24" i="73"/>
  <c r="G14" i="72"/>
  <c r="J32" i="74"/>
  <c r="G23" i="67"/>
  <c r="J14" i="67"/>
  <c r="D11" i="67"/>
  <c r="G33" i="67"/>
  <c r="D31" i="67"/>
  <c r="D29" i="71"/>
  <c r="E29" i="71" s="1"/>
  <c r="F25" i="71"/>
  <c r="G16" i="73"/>
  <c r="J33" i="73"/>
  <c r="D25" i="67"/>
  <c r="G16" i="72"/>
  <c r="F17" i="69"/>
  <c r="D21" i="72"/>
  <c r="D19" i="68"/>
  <c r="G16" i="71"/>
  <c r="F31" i="67"/>
  <c r="E27" i="68"/>
  <c r="F23" i="67"/>
  <c r="J36" i="73"/>
  <c r="F17" i="72"/>
  <c r="G39" i="73"/>
  <c r="J20" i="71"/>
  <c r="F12" i="69"/>
  <c r="E20" i="72"/>
  <c r="J20" i="68"/>
  <c r="F27" i="73"/>
  <c r="J18" i="72"/>
  <c r="E33" i="68"/>
  <c r="F30" i="70"/>
  <c r="F15" i="69"/>
  <c r="G18" i="71"/>
  <c r="F14" i="70"/>
  <c r="J11" i="69"/>
  <c r="J16" i="71"/>
  <c r="J26" i="70"/>
  <c r="G16" i="74"/>
  <c r="D31" i="73"/>
  <c r="F20" i="70"/>
  <c r="D12" i="70"/>
  <c r="E12" i="70" s="1"/>
  <c r="E37" i="73"/>
  <c r="J31" i="70"/>
  <c r="J29" i="73"/>
  <c r="F22" i="71"/>
  <c r="G11" i="71"/>
  <c r="G27" i="68"/>
  <c r="E31" i="72"/>
  <c r="D28" i="71"/>
  <c r="E28" i="71" s="1"/>
  <c r="D25" i="74"/>
  <c r="E25" i="74" s="1"/>
  <c r="J30" i="74"/>
  <c r="J31" i="69"/>
  <c r="F15" i="67"/>
  <c r="D20" i="69"/>
  <c r="D22" i="68"/>
  <c r="J19" i="71"/>
  <c r="G21" i="72"/>
  <c r="F33" i="72"/>
  <c r="J22" i="67"/>
  <c r="J27" i="68"/>
  <c r="E11" i="69"/>
  <c r="E21" i="67"/>
  <c r="D14" i="71"/>
  <c r="E14" i="71" s="1"/>
  <c r="G16" i="67"/>
  <c r="G13" i="74"/>
  <c r="G11" i="68"/>
  <c r="J30" i="67"/>
  <c r="J14" i="72"/>
  <c r="D28" i="69"/>
  <c r="D15" i="69"/>
  <c r="G26" i="70"/>
  <c r="G24" i="71"/>
  <c r="E23" i="72"/>
  <c r="D14" i="68"/>
  <c r="D18" i="72"/>
  <c r="E18" i="73"/>
  <c r="F17" i="68"/>
  <c r="D16" i="71"/>
  <c r="E16" i="71" s="1"/>
  <c r="J16" i="70"/>
  <c r="J15" i="67"/>
  <c r="F15" i="74"/>
  <c r="G14" i="68"/>
  <c r="E13" i="67"/>
  <c r="F13" i="72"/>
  <c r="J12" i="69"/>
  <c r="J11" i="74"/>
  <c r="E11" i="68"/>
  <c r="F40" i="73"/>
  <c r="F32" i="71"/>
  <c r="D24" i="68"/>
  <c r="J18" i="74"/>
  <c r="D31" i="71"/>
  <c r="E31" i="71" s="1"/>
  <c r="D17" i="72"/>
  <c r="J15" i="71"/>
  <c r="D20" i="67"/>
  <c r="J13" i="70"/>
  <c r="F19" i="69"/>
  <c r="F30" i="69"/>
  <c r="D28" i="67"/>
  <c r="F27" i="74"/>
  <c r="G27" i="67"/>
  <c r="J27" i="72"/>
  <c r="J27" i="71"/>
  <c r="F26" i="70"/>
  <c r="E26" i="67"/>
  <c r="G26" i="68"/>
  <c r="J25" i="70"/>
  <c r="D25" i="72"/>
  <c r="J24" i="69"/>
  <c r="F24" i="68"/>
  <c r="G24" i="72"/>
  <c r="E24" i="72"/>
  <c r="J24" i="67"/>
  <c r="G24" i="73"/>
  <c r="D24" i="70"/>
  <c r="E24" i="70" s="1"/>
  <c r="F24" i="74"/>
  <c r="G23" i="70"/>
  <c r="G23" i="71"/>
  <c r="E23" i="67"/>
  <c r="F23" i="72"/>
  <c r="G23" i="72"/>
  <c r="G23" i="69"/>
  <c r="F23" i="68"/>
  <c r="D23" i="74"/>
  <c r="E23" i="74" s="1"/>
  <c r="J23" i="73"/>
  <c r="G22" i="69"/>
  <c r="D22" i="71"/>
  <c r="E22" i="71" s="1"/>
  <c r="J22" i="72"/>
  <c r="G22" i="67"/>
  <c r="D22" i="70"/>
  <c r="E22" i="70" s="1"/>
  <c r="G22" i="74"/>
  <c r="F21" i="70"/>
  <c r="J21" i="67"/>
  <c r="F21" i="71"/>
  <c r="E21" i="72"/>
  <c r="F21" i="72"/>
  <c r="G20" i="71"/>
  <c r="G20" i="74"/>
  <c r="D20" i="70"/>
  <c r="E20" i="70" s="1"/>
  <c r="D20" i="68"/>
  <c r="E20" i="67"/>
  <c r="J20" i="73"/>
  <c r="F20" i="73"/>
  <c r="J20" i="72"/>
  <c r="J19" i="70"/>
  <c r="J19" i="69"/>
  <c r="E19" i="67"/>
  <c r="F19" i="71"/>
  <c r="D19" i="74"/>
  <c r="E19" i="74" s="1"/>
  <c r="G19" i="72"/>
  <c r="D19" i="72"/>
  <c r="E19" i="68"/>
  <c r="E19" i="73"/>
  <c r="F18" i="67"/>
  <c r="D18" i="71"/>
  <c r="E18" i="71" s="1"/>
  <c r="J18" i="73"/>
  <c r="G30" i="69"/>
  <c r="J26" i="73"/>
  <c r="E32" i="69"/>
  <c r="J32" i="70"/>
  <c r="D18" i="74"/>
  <c r="E18" i="74" s="1"/>
  <c r="G26" i="67"/>
  <c r="D30" i="72"/>
  <c r="G11" i="72"/>
  <c r="F23" i="73"/>
  <c r="J18" i="67"/>
  <c r="F17" i="67"/>
  <c r="F33" i="67"/>
  <c r="F16" i="70"/>
  <c r="F13" i="70"/>
  <c r="J21" i="69"/>
  <c r="D15" i="71"/>
  <c r="E15" i="71" s="1"/>
  <c r="E12" i="72"/>
  <c r="J23" i="69"/>
  <c r="F28" i="73"/>
  <c r="F18" i="71"/>
  <c r="J33" i="70"/>
  <c r="F22" i="73"/>
  <c r="D40" i="73"/>
  <c r="J32" i="68"/>
  <c r="G29" i="67"/>
  <c r="E24" i="67"/>
  <c r="F13" i="74"/>
  <c r="J28" i="71"/>
  <c r="G32" i="71"/>
  <c r="J29" i="74"/>
  <c r="D26" i="67"/>
  <c r="G40" i="73"/>
  <c r="G17" i="71"/>
  <c r="E31" i="68"/>
  <c r="E24" i="73"/>
  <c r="J22" i="69"/>
  <c r="E20" i="69"/>
  <c r="E22" i="72"/>
  <c r="G15" i="70"/>
  <c r="F41" i="73"/>
  <c r="E18" i="67"/>
  <c r="E30" i="68"/>
  <c r="F32" i="73"/>
  <c r="J23" i="68"/>
  <c r="G20" i="72"/>
  <c r="G17" i="72"/>
  <c r="D14" i="72"/>
  <c r="G12" i="74"/>
  <c r="D12" i="67"/>
  <c r="D11" i="70"/>
  <c r="D19" i="69"/>
  <c r="D11" i="69"/>
  <c r="G25" i="74"/>
  <c r="D24" i="73"/>
  <c r="D23" i="73"/>
  <c r="D11" i="74"/>
  <c r="D17" i="68"/>
  <c r="F17" i="70"/>
  <c r="D16" i="74"/>
  <c r="E16" i="74" s="1"/>
  <c r="J16" i="72"/>
  <c r="D38" i="73"/>
  <c r="G33" i="72"/>
  <c r="J33" i="74"/>
  <c r="D32" i="74"/>
  <c r="E32" i="74" s="1"/>
  <c r="G31" i="72"/>
  <c r="E31" i="73"/>
  <c r="E30" i="67"/>
  <c r="G30" i="70"/>
  <c r="E29" i="69"/>
  <c r="D29" i="72"/>
  <c r="F28" i="70"/>
  <c r="E28" i="69"/>
  <c r="E27" i="69"/>
  <c r="F27" i="71"/>
  <c r="G26" i="73"/>
  <c r="J25" i="68"/>
  <c r="G25" i="72"/>
  <c r="J24" i="68"/>
  <c r="G24" i="74"/>
  <c r="D23" i="72"/>
  <c r="F31" i="72"/>
  <c r="G33" i="73"/>
  <c r="D31" i="72"/>
  <c r="E23" i="73"/>
  <c r="J15" i="68"/>
  <c r="F39" i="73"/>
  <c r="F28" i="72"/>
  <c r="D17" i="71"/>
  <c r="E17" i="71" s="1"/>
  <c r="F15" i="70"/>
  <c r="F26" i="74"/>
  <c r="E19" i="69"/>
  <c r="D24" i="72"/>
  <c r="D15" i="70"/>
  <c r="E15" i="70" s="1"/>
  <c r="J12" i="67"/>
  <c r="E36" i="73"/>
  <c r="F32" i="67"/>
  <c r="F29" i="68"/>
  <c r="J21" i="68"/>
  <c r="F14" i="71"/>
  <c r="F31" i="73"/>
  <c r="G22" i="70"/>
  <c r="D13" i="74"/>
  <c r="E13" i="74" s="1"/>
  <c r="F14" i="69"/>
  <c r="J23" i="74"/>
  <c r="D22" i="67"/>
  <c r="G22" i="68"/>
  <c r="J21" i="72"/>
  <c r="F21" i="73"/>
  <c r="F20" i="67"/>
  <c r="D19" i="70"/>
  <c r="E19" i="70" s="1"/>
  <c r="F19" i="74"/>
  <c r="J32" i="73"/>
  <c r="E31" i="67"/>
  <c r="D30" i="70"/>
  <c r="E30" i="70" s="1"/>
  <c r="J24" i="70"/>
  <c r="F22" i="74"/>
  <c r="E19" i="72"/>
  <c r="D17" i="70"/>
  <c r="E17" i="70" s="1"/>
  <c r="J14" i="74"/>
  <c r="G11" i="69"/>
  <c r="G31" i="67"/>
  <c r="F25" i="74"/>
  <c r="E39" i="73"/>
  <c r="F32" i="72"/>
  <c r="F30" i="71"/>
  <c r="F20" i="72"/>
  <c r="E12" i="69"/>
  <c r="G31" i="74"/>
  <c r="F18" i="73"/>
  <c r="E15" i="67"/>
  <c r="E13" i="69"/>
  <c r="G20" i="70"/>
  <c r="J27" i="70"/>
  <c r="F18" i="74"/>
  <c r="G10" i="74"/>
  <c r="F10" i="71"/>
  <c r="F32" i="74"/>
  <c r="E30" i="69"/>
  <c r="J28" i="68"/>
  <c r="E20" i="73"/>
  <c r="F11" i="70"/>
  <c r="G28" i="74"/>
  <c r="D19" i="71"/>
  <c r="E19" i="71" s="1"/>
  <c r="J10" i="68"/>
  <c r="D21" i="69"/>
  <c r="D32" i="69"/>
  <c r="F13" i="69"/>
  <c r="G33" i="71"/>
  <c r="E28" i="72"/>
  <c r="G25" i="71"/>
  <c r="F30" i="73"/>
  <c r="E41" i="73"/>
  <c r="J32" i="69"/>
  <c r="F31" i="69"/>
  <c r="J22" i="70"/>
  <c r="F31" i="68"/>
  <c r="D14" i="70"/>
  <c r="E14" i="70" s="1"/>
  <c r="F30" i="74"/>
  <c r="G14" i="71"/>
  <c r="F31" i="74"/>
  <c r="D12" i="71"/>
  <c r="E12" i="71" s="1"/>
  <c r="G18" i="69"/>
  <c r="J17" i="71"/>
  <c r="J14" i="71"/>
  <c r="J29" i="68"/>
  <c r="G25" i="69"/>
  <c r="G14" i="67"/>
  <c r="F29" i="71"/>
  <c r="J18" i="68"/>
  <c r="J12" i="72"/>
  <c r="J33" i="72"/>
  <c r="J31" i="67"/>
  <c r="G29" i="72"/>
  <c r="J20" i="69"/>
  <c r="D25" i="70"/>
  <c r="E25" i="70" s="1"/>
  <c r="F31" i="71"/>
  <c r="E28" i="73"/>
  <c r="E25" i="72"/>
  <c r="F27" i="72"/>
  <c r="D18" i="68"/>
  <c r="D33" i="71"/>
  <c r="F33" i="73"/>
  <c r="G32" i="72"/>
  <c r="D23" i="69"/>
  <c r="F20" i="74"/>
  <c r="D30" i="67"/>
  <c r="D18" i="73"/>
  <c r="G26" i="74"/>
  <c r="D33" i="67"/>
  <c r="G12" i="67"/>
  <c r="F35" i="73"/>
  <c r="J32" i="67"/>
  <c r="F11" i="69"/>
  <c r="E18" i="72"/>
  <c r="J15" i="69"/>
  <c r="J21" i="73"/>
  <c r="G18" i="67"/>
  <c r="D31" i="69"/>
  <c r="D13" i="69"/>
  <c r="D26" i="71"/>
  <c r="E26" i="71" s="1"/>
  <c r="E20" i="68"/>
  <c r="J17" i="67"/>
  <c r="F15" i="71"/>
  <c r="G13" i="70"/>
  <c r="G18" i="68"/>
  <c r="J18" i="70"/>
  <c r="D17" i="67"/>
  <c r="J17" i="70"/>
  <c r="G16" i="69"/>
  <c r="F16" i="72"/>
  <c r="J15" i="70"/>
  <c r="G14" i="69"/>
  <c r="D13" i="67"/>
  <c r="G13" i="71"/>
  <c r="F12" i="68"/>
  <c r="G12" i="71"/>
  <c r="F11" i="71"/>
  <c r="J33" i="69"/>
  <c r="J31" i="71"/>
  <c r="E22" i="73"/>
  <c r="E14" i="68"/>
  <c r="E35" i="73"/>
  <c r="E27" i="73"/>
  <c r="F16" i="73"/>
  <c r="F23" i="71"/>
  <c r="G17" i="69"/>
  <c r="D33" i="69"/>
  <c r="J28" i="67"/>
  <c r="D27" i="74"/>
  <c r="E27" i="74" s="1"/>
  <c r="D27" i="67"/>
  <c r="D27" i="72"/>
  <c r="D27" i="68"/>
  <c r="D26" i="72"/>
  <c r="J26" i="67"/>
  <c r="D26" i="68"/>
  <c r="J25" i="74"/>
  <c r="J25" i="71"/>
  <c r="E25" i="67"/>
  <c r="D15" i="72"/>
  <c r="J14" i="69"/>
  <c r="J13" i="74"/>
  <c r="F26" i="67"/>
  <c r="D22" i="72"/>
  <c r="J19" i="74"/>
  <c r="G15" i="74"/>
  <c r="D11" i="68"/>
  <c r="D32" i="68"/>
  <c r="G28" i="70"/>
  <c r="J25" i="69"/>
  <c r="G21" i="68"/>
  <c r="E13" i="68"/>
  <c r="D12" i="68"/>
  <c r="J11" i="72"/>
  <c r="J41" i="73"/>
  <c r="D36" i="73"/>
  <c r="J33" i="68"/>
  <c r="E32" i="73"/>
  <c r="G31" i="71"/>
  <c r="F29" i="67"/>
  <c r="F28" i="68"/>
  <c r="D27" i="71"/>
  <c r="E27" i="71" s="1"/>
  <c r="D24" i="74"/>
  <c r="E24" i="74" s="1"/>
  <c r="J20" i="74"/>
  <c r="J17" i="74"/>
  <c r="J12" i="74"/>
  <c r="J31" i="68"/>
  <c r="J27" i="74"/>
  <c r="G24" i="68"/>
  <c r="J21" i="71"/>
  <c r="J18" i="71"/>
  <c r="E14" i="72"/>
  <c r="D25" i="69"/>
  <c r="F33" i="69"/>
  <c r="F22" i="69"/>
  <c r="D27" i="69"/>
  <c r="D22" i="69"/>
  <c r="J38" i="73"/>
  <c r="E33" i="72"/>
  <c r="F33" i="68"/>
  <c r="F32" i="68"/>
  <c r="G31" i="70"/>
  <c r="D31" i="74"/>
  <c r="E31" i="74" s="1"/>
  <c r="G32" i="67"/>
  <c r="F27" i="67"/>
  <c r="G24" i="70"/>
  <c r="D25" i="71"/>
  <c r="E25" i="71" s="1"/>
  <c r="G15" i="67"/>
  <c r="F28" i="74"/>
  <c r="J13" i="71"/>
  <c r="F11" i="67"/>
  <c r="J21" i="74"/>
  <c r="J24" i="71"/>
  <c r="J13" i="67"/>
  <c r="D28" i="68"/>
  <c r="J23" i="71"/>
  <c r="F27" i="69"/>
  <c r="G16" i="68"/>
  <c r="F16" i="74"/>
  <c r="J13" i="69"/>
  <c r="D33" i="73"/>
  <c r="F14" i="67"/>
  <c r="G21" i="70"/>
  <c r="G38" i="73"/>
  <c r="E25" i="68"/>
  <c r="F14" i="72"/>
  <c r="J32" i="72"/>
  <c r="G30" i="67"/>
  <c r="F27" i="68"/>
  <c r="G15" i="72"/>
  <c r="J30" i="69"/>
  <c r="G33" i="69"/>
  <c r="D29" i="67"/>
  <c r="J26" i="74"/>
  <c r="D23" i="67"/>
  <c r="D21" i="67"/>
  <c r="G25" i="73"/>
  <c r="E24" i="69"/>
  <c r="E21" i="69"/>
  <c r="D31" i="70"/>
  <c r="E31" i="70" s="1"/>
  <c r="F19" i="70"/>
  <c r="E30" i="72"/>
  <c r="G15" i="71"/>
  <c r="D18" i="67"/>
  <c r="J12" i="70"/>
  <c r="D26" i="69"/>
  <c r="J11" i="68"/>
  <c r="D16" i="68"/>
  <c r="F12" i="70"/>
  <c r="D32" i="71"/>
  <c r="E32" i="71" s="1"/>
  <c r="J30" i="72"/>
  <c r="J29" i="71"/>
  <c r="D28" i="74"/>
  <c r="E28" i="74" s="1"/>
  <c r="G27" i="70"/>
  <c r="G26" i="71"/>
  <c r="E25" i="69"/>
  <c r="D23" i="71"/>
  <c r="E23" i="71" s="1"/>
  <c r="E33" i="69"/>
  <c r="E29" i="72"/>
  <c r="J26" i="69"/>
  <c r="E38" i="73"/>
  <c r="G32" i="74"/>
  <c r="G30" i="68"/>
  <c r="F20" i="68"/>
  <c r="E13" i="72"/>
  <c r="D16" i="67"/>
  <c r="G13" i="67"/>
  <c r="D21" i="71"/>
  <c r="E21" i="71" s="1"/>
  <c r="E11" i="72"/>
  <c r="G30" i="73"/>
  <c r="E21" i="73"/>
  <c r="F11" i="68"/>
  <c r="G11" i="74"/>
  <c r="F33" i="71"/>
  <c r="J31" i="73"/>
  <c r="J28" i="69"/>
  <c r="G19" i="71"/>
  <c r="E27" i="67"/>
  <c r="G19" i="68"/>
  <c r="F26" i="69"/>
  <c r="D24" i="69"/>
  <c r="D18" i="69"/>
  <c r="D23" i="68"/>
  <c r="J22" i="71"/>
  <c r="D22" i="73"/>
  <c r="D21" i="68"/>
  <c r="G21" i="73"/>
  <c r="D20" i="72"/>
  <c r="G19" i="67"/>
  <c r="F19" i="68"/>
  <c r="G31" i="69"/>
  <c r="D30" i="68"/>
  <c r="F25" i="73"/>
  <c r="G23" i="73"/>
  <c r="F20" i="71"/>
  <c r="F18" i="72"/>
  <c r="E15" i="72"/>
  <c r="G13" i="72"/>
  <c r="D32" i="72"/>
  <c r="G28" i="72"/>
  <c r="G37" i="73"/>
  <c r="G32" i="69"/>
  <c r="J25" i="72"/>
  <c r="J18" i="69"/>
  <c r="J29" i="69"/>
  <c r="J17" i="73"/>
  <c r="D15" i="68"/>
  <c r="F25" i="68"/>
  <c r="E17" i="69"/>
  <c r="D35" i="73"/>
  <c r="J25" i="73"/>
  <c r="F16" i="67"/>
  <c r="G12" i="68"/>
  <c r="F38" i="73"/>
  <c r="J31" i="72"/>
  <c r="J29" i="70"/>
  <c r="F26" i="72"/>
  <c r="E18" i="68"/>
  <c r="G26" i="72"/>
  <c r="J17" i="72"/>
  <c r="F32" i="69"/>
  <c r="F20" i="69"/>
  <c r="G21" i="67"/>
  <c r="D19" i="67"/>
  <c r="F17" i="73"/>
  <c r="G15" i="68"/>
  <c r="F12" i="74"/>
  <c r="F18" i="68"/>
  <c r="G18" i="74"/>
  <c r="E17" i="67"/>
  <c r="J16" i="73"/>
  <c r="J16" i="67"/>
  <c r="J15" i="72"/>
  <c r="E15" i="68"/>
  <c r="E14" i="67"/>
  <c r="J35" i="73"/>
  <c r="G29" i="68"/>
  <c r="F26" i="68"/>
  <c r="D28" i="73"/>
  <c r="D24" i="67"/>
  <c r="J16" i="68"/>
  <c r="G17" i="74"/>
  <c r="E23" i="68"/>
  <c r="D21" i="70"/>
  <c r="E21" i="70" s="1"/>
  <c r="F30" i="72"/>
  <c r="F12" i="71"/>
  <c r="E21" i="68"/>
  <c r="F22" i="68"/>
  <c r="G29" i="74"/>
  <c r="F23" i="69"/>
  <c r="D21" i="73"/>
  <c r="D17" i="73"/>
  <c r="D17" i="74"/>
  <c r="E17" i="74" s="1"/>
  <c r="G23" i="74"/>
  <c r="G12" i="72"/>
  <c r="J27" i="67"/>
  <c r="D16" i="73"/>
  <c r="E11" i="67"/>
  <c r="F33" i="74"/>
  <c r="G30" i="74"/>
  <c r="D28" i="72"/>
  <c r="G21" i="74"/>
  <c r="F36" i="73"/>
  <c r="G36" i="73"/>
  <c r="J30" i="68"/>
  <c r="G27" i="74"/>
  <c r="D24" i="71"/>
  <c r="E24" i="71" s="1"/>
  <c r="J33" i="71"/>
  <c r="E16" i="73"/>
  <c r="F19" i="72"/>
  <c r="F28" i="71"/>
  <c r="F15" i="72"/>
  <c r="G20" i="68"/>
  <c r="G25" i="67"/>
  <c r="J12" i="68"/>
  <c r="D33" i="74"/>
  <c r="G17" i="67"/>
  <c r="F21" i="67"/>
  <c r="J30" i="71"/>
  <c r="G14" i="74"/>
  <c r="D18" i="70"/>
  <c r="E18" i="70" s="1"/>
  <c r="F17" i="74"/>
  <c r="G33" i="68"/>
  <c r="D16" i="70"/>
  <c r="E16" i="70" s="1"/>
  <c r="J30" i="73"/>
  <c r="F29" i="72"/>
  <c r="J27" i="73"/>
  <c r="D26" i="70"/>
  <c r="E26" i="70" s="1"/>
  <c r="D25" i="73"/>
  <c r="G24" i="67"/>
  <c r="G13" i="68"/>
  <c r="D13" i="70"/>
  <c r="E13" i="70" s="1"/>
  <c r="D12" i="72"/>
  <c r="F11" i="72"/>
  <c r="G11" i="70"/>
  <c r="J37" i="73"/>
  <c r="G32" i="70"/>
  <c r="G25" i="70"/>
  <c r="J19" i="67"/>
  <c r="J11" i="71"/>
  <c r="F30" i="67"/>
  <c r="G18" i="70"/>
  <c r="E16" i="68"/>
  <c r="J22" i="74"/>
  <c r="D15" i="74"/>
  <c r="E15" i="74" s="1"/>
  <c r="F21" i="69"/>
  <c r="F25" i="69"/>
  <c r="F24" i="69"/>
  <c r="J28" i="73"/>
  <c r="G27" i="73"/>
  <c r="G27" i="69"/>
  <c r="F27" i="70"/>
  <c r="D26" i="74"/>
  <c r="E26" i="74" s="1"/>
  <c r="F26" i="73"/>
  <c r="F26" i="71"/>
  <c r="D25" i="68"/>
  <c r="E25" i="73"/>
  <c r="J25" i="67"/>
  <c r="F24" i="71"/>
  <c r="J15" i="74"/>
  <c r="F14" i="74"/>
  <c r="D27" i="70"/>
  <c r="E27" i="70" s="1"/>
  <c r="F24" i="72"/>
  <c r="F21" i="74"/>
  <c r="J17" i="68"/>
  <c r="F13" i="71"/>
  <c r="G30" i="71"/>
  <c r="E26" i="72"/>
  <c r="F23" i="74"/>
  <c r="G19" i="69"/>
  <c r="F17" i="71"/>
  <c r="F16" i="68"/>
  <c r="D11" i="72"/>
  <c r="J13" i="72"/>
  <c r="J12" i="71"/>
  <c r="D39" i="73"/>
  <c r="E33" i="67"/>
  <c r="J32" i="71"/>
  <c r="E31" i="69"/>
  <c r="D30" i="73"/>
  <c r="E29" i="73"/>
  <c r="D28" i="70"/>
  <c r="E28" i="70" s="1"/>
  <c r="G25" i="68"/>
  <c r="J22" i="68"/>
  <c r="J19" i="68"/>
  <c r="F15" i="68"/>
  <c r="G33" i="74"/>
  <c r="J29" i="67"/>
  <c r="E26" i="73"/>
  <c r="G22" i="71"/>
  <c r="G20" i="69"/>
  <c r="J16" i="69"/>
  <c r="E12" i="68"/>
  <c r="F28" i="69"/>
  <c r="F18" i="69"/>
  <c r="D16" i="69"/>
  <c r="D14" i="69"/>
  <c r="D12" i="69"/>
  <c r="E23" i="69"/>
  <c r="F24" i="67"/>
  <c r="F22" i="67"/>
  <c r="G24" i="69"/>
  <c r="D10" i="69"/>
  <c r="J24" i="74"/>
  <c r="E22" i="69"/>
  <c r="G22" i="73"/>
  <c r="I884" i="1"/>
  <c r="L26" i="68" l="1"/>
  <c r="O26" i="68" s="1"/>
  <c r="M26" i="68"/>
  <c r="P26" i="68" s="1"/>
  <c r="N26" i="68"/>
  <c r="Q26" i="68" s="1"/>
  <c r="M13" i="68"/>
  <c r="P13" i="68" s="1"/>
  <c r="N13" i="68"/>
  <c r="Q13" i="68" s="1"/>
  <c r="L13" i="68"/>
  <c r="O13" i="68" s="1"/>
  <c r="L14" i="68"/>
  <c r="O14" i="68" s="1"/>
  <c r="M14" i="68"/>
  <c r="P14" i="68" s="1"/>
  <c r="N14" i="68"/>
  <c r="Q14" i="68" s="1"/>
  <c r="M20" i="68"/>
  <c r="P20" i="68" s="1"/>
  <c r="N20" i="68"/>
  <c r="Q20" i="68" s="1"/>
  <c r="L20" i="68"/>
  <c r="O20" i="68" s="1"/>
  <c r="N27" i="68"/>
  <c r="Q27" i="68" s="1"/>
  <c r="M27" i="68"/>
  <c r="P27" i="68" s="1"/>
  <c r="L27" i="68"/>
  <c r="O27" i="68" s="1"/>
  <c r="N32" i="68"/>
  <c r="Q32" i="68" s="1"/>
  <c r="M32" i="68"/>
  <c r="P32" i="68" s="1"/>
  <c r="L32" i="68"/>
  <c r="O32" i="68" s="1"/>
  <c r="N23" i="68"/>
  <c r="Q23" i="68" s="1"/>
  <c r="M23" i="68"/>
  <c r="P23" i="68" s="1"/>
  <c r="L23" i="68"/>
  <c r="O23" i="68" s="1"/>
  <c r="N25" i="68"/>
  <c r="Q25" i="68" s="1"/>
  <c r="M25" i="68"/>
  <c r="P25" i="68" s="1"/>
  <c r="L25" i="68"/>
  <c r="O25" i="68" s="1"/>
  <c r="N24" i="68"/>
  <c r="Q24" i="68" s="1"/>
  <c r="M24" i="68"/>
  <c r="P24" i="68" s="1"/>
  <c r="L24" i="68"/>
  <c r="O24" i="68" s="1"/>
  <c r="L15" i="68"/>
  <c r="O15" i="68" s="1"/>
  <c r="M15" i="68"/>
  <c r="P15" i="68" s="1"/>
  <c r="N15" i="68"/>
  <c r="Q15" i="68" s="1"/>
  <c r="N21" i="68"/>
  <c r="Q21" i="68" s="1"/>
  <c r="L21" i="68"/>
  <c r="O21" i="68" s="1"/>
  <c r="M21" i="68"/>
  <c r="P21" i="68" s="1"/>
  <c r="L28" i="68"/>
  <c r="O28" i="68" s="1"/>
  <c r="M28" i="68"/>
  <c r="P28" i="68" s="1"/>
  <c r="N28" i="68"/>
  <c r="Q28" i="68" s="1"/>
  <c r="L10" i="68"/>
  <c r="N10" i="68"/>
  <c r="Q10" i="68" s="1"/>
  <c r="M10" i="68"/>
  <c r="P10" i="68" s="1"/>
  <c r="N29" i="68"/>
  <c r="Q29" i="68" s="1"/>
  <c r="L29" i="68"/>
  <c r="O29" i="68" s="1"/>
  <c r="M29" i="68"/>
  <c r="P29" i="68" s="1"/>
  <c r="N18" i="68"/>
  <c r="Q18" i="68" s="1"/>
  <c r="M18" i="68"/>
  <c r="P18" i="68" s="1"/>
  <c r="L18" i="68"/>
  <c r="O18" i="68" s="1"/>
  <c r="N33" i="68"/>
  <c r="M33" i="68"/>
  <c r="L33" i="68"/>
  <c r="N31" i="68"/>
  <c r="Q31" i="68" s="1"/>
  <c r="M31" i="68"/>
  <c r="P31" i="68" s="1"/>
  <c r="L31" i="68"/>
  <c r="O31" i="68" s="1"/>
  <c r="N11" i="68"/>
  <c r="Q11" i="68" s="1"/>
  <c r="M11" i="68"/>
  <c r="P11" i="68" s="1"/>
  <c r="L11" i="68"/>
  <c r="O11" i="68" s="1"/>
  <c r="L16" i="68"/>
  <c r="O16" i="68" s="1"/>
  <c r="N16" i="68"/>
  <c r="Q16" i="68" s="1"/>
  <c r="M16" i="68"/>
  <c r="P16" i="68" s="1"/>
  <c r="N30" i="68"/>
  <c r="Q30" i="68" s="1"/>
  <c r="L30" i="68"/>
  <c r="O30" i="68" s="1"/>
  <c r="M30" i="68"/>
  <c r="P30" i="68" s="1"/>
  <c r="N12" i="68"/>
  <c r="Q12" i="68" s="1"/>
  <c r="M12" i="68"/>
  <c r="P12" i="68" s="1"/>
  <c r="L12" i="68"/>
  <c r="O12" i="68" s="1"/>
  <c r="L17" i="68"/>
  <c r="O17" i="68" s="1"/>
  <c r="M17" i="68"/>
  <c r="P17" i="68" s="1"/>
  <c r="N17" i="68"/>
  <c r="Q17" i="68" s="1"/>
  <c r="L22" i="68"/>
  <c r="O22" i="68" s="1"/>
  <c r="M22" i="68"/>
  <c r="P22" i="68" s="1"/>
  <c r="N22" i="68"/>
  <c r="Q22" i="68" s="1"/>
  <c r="L19" i="68"/>
  <c r="O19" i="68" s="1"/>
  <c r="M19" i="68"/>
  <c r="P19" i="68" s="1"/>
  <c r="N19" i="68"/>
  <c r="Q19" i="68" s="1"/>
  <c r="L20" i="67"/>
  <c r="O20" i="67" s="1"/>
  <c r="N20" i="67"/>
  <c r="M20" i="67"/>
  <c r="P20" i="67" s="1"/>
  <c r="L33" i="67"/>
  <c r="N33" i="67"/>
  <c r="M33" i="67"/>
  <c r="P33" i="67" s="1"/>
  <c r="L11" i="67"/>
  <c r="M11" i="67"/>
  <c r="N11" i="67"/>
  <c r="N23" i="67"/>
  <c r="M23" i="67"/>
  <c r="P23" i="67" s="1"/>
  <c r="L23" i="67"/>
  <c r="O23" i="67" s="1"/>
  <c r="N14" i="67"/>
  <c r="M14" i="67"/>
  <c r="P14" i="67" s="1"/>
  <c r="L14" i="67"/>
  <c r="O14" i="67" s="1"/>
  <c r="N22" i="67"/>
  <c r="M22" i="67"/>
  <c r="P22" i="67" s="1"/>
  <c r="L22" i="67"/>
  <c r="O22" i="67" s="1"/>
  <c r="N30" i="67"/>
  <c r="M30" i="67"/>
  <c r="P30" i="67" s="1"/>
  <c r="L30" i="67"/>
  <c r="O30" i="67" s="1"/>
  <c r="M15" i="67"/>
  <c r="P15" i="67" s="1"/>
  <c r="N15" i="67"/>
  <c r="L15" i="67"/>
  <c r="O15" i="67" s="1"/>
  <c r="M24" i="67"/>
  <c r="P24" i="67" s="1"/>
  <c r="N24" i="67"/>
  <c r="L24" i="67"/>
  <c r="O24" i="67" s="1"/>
  <c r="L21" i="67"/>
  <c r="O21" i="67" s="1"/>
  <c r="M21" i="67"/>
  <c r="P21" i="67" s="1"/>
  <c r="N21" i="67"/>
  <c r="N18" i="67"/>
  <c r="M18" i="67"/>
  <c r="P18" i="67" s="1"/>
  <c r="L18" i="67"/>
  <c r="O18" i="67" s="1"/>
  <c r="M12" i="67"/>
  <c r="P12" i="67" s="1"/>
  <c r="L12" i="67"/>
  <c r="O12" i="67" s="1"/>
  <c r="N12" i="67"/>
  <c r="N31" i="67"/>
  <c r="L31" i="67"/>
  <c r="O31" i="67" s="1"/>
  <c r="M31" i="67"/>
  <c r="P31" i="67" s="1"/>
  <c r="L32" i="67"/>
  <c r="O32" i="67" s="1"/>
  <c r="M32" i="67"/>
  <c r="P32" i="67" s="1"/>
  <c r="N32" i="67"/>
  <c r="M17" i="67"/>
  <c r="P17" i="67" s="1"/>
  <c r="N17" i="67"/>
  <c r="L17" i="67"/>
  <c r="O17" i="67" s="1"/>
  <c r="L28" i="67"/>
  <c r="O28" i="67" s="1"/>
  <c r="M28" i="67"/>
  <c r="P28" i="67" s="1"/>
  <c r="N28" i="67"/>
  <c r="N26" i="67"/>
  <c r="L26" i="67"/>
  <c r="O26" i="67" s="1"/>
  <c r="M26" i="67"/>
  <c r="P26" i="67" s="1"/>
  <c r="N13" i="67"/>
  <c r="M13" i="67"/>
  <c r="P13" i="67" s="1"/>
  <c r="L13" i="67"/>
  <c r="O13" i="67" s="1"/>
  <c r="N16" i="67"/>
  <c r="L16" i="67"/>
  <c r="O16" i="67" s="1"/>
  <c r="M16" i="67"/>
  <c r="P16" i="67" s="1"/>
  <c r="L27" i="67"/>
  <c r="O27" i="67" s="1"/>
  <c r="M27" i="67"/>
  <c r="P27" i="67" s="1"/>
  <c r="N27" i="67"/>
  <c r="L19" i="67"/>
  <c r="O19" i="67" s="1"/>
  <c r="N19" i="67"/>
  <c r="M19" i="67"/>
  <c r="P19" i="67" s="1"/>
  <c r="M25" i="67"/>
  <c r="P25" i="67" s="1"/>
  <c r="L25" i="67"/>
  <c r="O25" i="67" s="1"/>
  <c r="N25" i="67"/>
  <c r="L29" i="67"/>
  <c r="O29" i="67" s="1"/>
  <c r="M29" i="67"/>
  <c r="P29" i="67" s="1"/>
  <c r="N29" i="67"/>
  <c r="N20" i="74"/>
  <c r="Q20" i="74" s="1"/>
  <c r="L20" i="74"/>
  <c r="O20" i="74" s="1"/>
  <c r="M20" i="74"/>
  <c r="P20" i="74" s="1"/>
  <c r="N33" i="74"/>
  <c r="M33" i="74"/>
  <c r="L33" i="74"/>
  <c r="I52" i="55" s="1"/>
  <c r="N11" i="74"/>
  <c r="Q11" i="74" s="1"/>
  <c r="L11" i="74"/>
  <c r="M11" i="74"/>
  <c r="P11" i="74" s="1"/>
  <c r="N23" i="74"/>
  <c r="Q23" i="74" s="1"/>
  <c r="M23" i="74"/>
  <c r="P23" i="74" s="1"/>
  <c r="L23" i="74"/>
  <c r="O23" i="74" s="1"/>
  <c r="L14" i="74"/>
  <c r="O14" i="74" s="1"/>
  <c r="M14" i="74"/>
  <c r="P14" i="74" s="1"/>
  <c r="N14" i="74"/>
  <c r="Q14" i="74" s="1"/>
  <c r="N22" i="74"/>
  <c r="Q22" i="74" s="1"/>
  <c r="L22" i="74"/>
  <c r="O22" i="74" s="1"/>
  <c r="M22" i="74"/>
  <c r="P22" i="74" s="1"/>
  <c r="N30" i="74"/>
  <c r="Q30" i="74" s="1"/>
  <c r="M30" i="74"/>
  <c r="P30" i="74" s="1"/>
  <c r="L30" i="74"/>
  <c r="O30" i="74" s="1"/>
  <c r="N15" i="74"/>
  <c r="Q15" i="74" s="1"/>
  <c r="M15" i="74"/>
  <c r="P15" i="74" s="1"/>
  <c r="L15" i="74"/>
  <c r="O15" i="74" s="1"/>
  <c r="N24" i="74"/>
  <c r="Q24" i="74" s="1"/>
  <c r="M24" i="74"/>
  <c r="P24" i="74" s="1"/>
  <c r="L24" i="74"/>
  <c r="O24" i="74" s="1"/>
  <c r="N21" i="74"/>
  <c r="Q21" i="74" s="1"/>
  <c r="L21" i="74"/>
  <c r="O21" i="74" s="1"/>
  <c r="M21" i="74"/>
  <c r="P21" i="74" s="1"/>
  <c r="M18" i="74"/>
  <c r="P18" i="74" s="1"/>
  <c r="L18" i="74"/>
  <c r="O18" i="74" s="1"/>
  <c r="N18" i="74"/>
  <c r="Q18" i="74" s="1"/>
  <c r="N12" i="74"/>
  <c r="Q12" i="74" s="1"/>
  <c r="M12" i="74"/>
  <c r="P12" i="74" s="1"/>
  <c r="L12" i="74"/>
  <c r="O12" i="74" s="1"/>
  <c r="M31" i="74"/>
  <c r="P31" i="74" s="1"/>
  <c r="L31" i="74"/>
  <c r="O31" i="74" s="1"/>
  <c r="N31" i="74"/>
  <c r="Q31" i="74" s="1"/>
  <c r="L32" i="74"/>
  <c r="O32" i="74" s="1"/>
  <c r="N32" i="74"/>
  <c r="Q32" i="74" s="1"/>
  <c r="M32" i="74"/>
  <c r="P32" i="74" s="1"/>
  <c r="N17" i="74"/>
  <c r="Q17" i="74" s="1"/>
  <c r="M17" i="74"/>
  <c r="P17" i="74" s="1"/>
  <c r="L17" i="74"/>
  <c r="O17" i="74" s="1"/>
  <c r="L28" i="74"/>
  <c r="O28" i="74" s="1"/>
  <c r="N28" i="74"/>
  <c r="Q28" i="74" s="1"/>
  <c r="M28" i="74"/>
  <c r="P28" i="74" s="1"/>
  <c r="M26" i="74"/>
  <c r="P26" i="74" s="1"/>
  <c r="N26" i="74"/>
  <c r="Q26" i="74" s="1"/>
  <c r="L26" i="74"/>
  <c r="O26" i="74" s="1"/>
  <c r="L13" i="74"/>
  <c r="O13" i="74" s="1"/>
  <c r="N13" i="74"/>
  <c r="Q13" i="74" s="1"/>
  <c r="M13" i="74"/>
  <c r="P13" i="74" s="1"/>
  <c r="N16" i="74"/>
  <c r="Q16" i="74" s="1"/>
  <c r="L16" i="74"/>
  <c r="O16" i="74" s="1"/>
  <c r="M16" i="74"/>
  <c r="P16" i="74" s="1"/>
  <c r="L27" i="74"/>
  <c r="O27" i="74" s="1"/>
  <c r="M27" i="74"/>
  <c r="P27" i="74" s="1"/>
  <c r="N27" i="74"/>
  <c r="Q27" i="74" s="1"/>
  <c r="M19" i="74"/>
  <c r="P19" i="74" s="1"/>
  <c r="L19" i="74"/>
  <c r="O19" i="74" s="1"/>
  <c r="N19" i="74"/>
  <c r="Q19" i="74" s="1"/>
  <c r="L25" i="74"/>
  <c r="O25" i="74" s="1"/>
  <c r="M25" i="74"/>
  <c r="P25" i="74" s="1"/>
  <c r="N25" i="74"/>
  <c r="Q25" i="74" s="1"/>
  <c r="M29" i="74"/>
  <c r="P29" i="74" s="1"/>
  <c r="N29" i="74"/>
  <c r="Q29" i="74" s="1"/>
  <c r="L29" i="74"/>
  <c r="O29" i="74" s="1"/>
  <c r="N20" i="73"/>
  <c r="Q20" i="73" s="1"/>
  <c r="L20" i="73"/>
  <c r="O20" i="73" s="1"/>
  <c r="M20" i="73"/>
  <c r="P20" i="73" s="1"/>
  <c r="N33" i="73"/>
  <c r="Q33" i="73" s="1"/>
  <c r="M33" i="73"/>
  <c r="P33" i="73" s="1"/>
  <c r="L33" i="73"/>
  <c r="O33" i="73" s="1"/>
  <c r="N11" i="73"/>
  <c r="Q11" i="73" s="1"/>
  <c r="L11" i="73"/>
  <c r="O11" i="73" s="1"/>
  <c r="M11" i="73"/>
  <c r="P11" i="73" s="1"/>
  <c r="N23" i="73"/>
  <c r="Q23" i="73" s="1"/>
  <c r="M23" i="73"/>
  <c r="P23" i="73" s="1"/>
  <c r="L23" i="73"/>
  <c r="O23" i="73" s="1"/>
  <c r="L14" i="73"/>
  <c r="O14" i="73" s="1"/>
  <c r="M14" i="73"/>
  <c r="P14" i="73" s="1"/>
  <c r="N14" i="73"/>
  <c r="Q14" i="73" s="1"/>
  <c r="N22" i="73"/>
  <c r="Q22" i="73" s="1"/>
  <c r="L22" i="73"/>
  <c r="O22" i="73" s="1"/>
  <c r="M22" i="73"/>
  <c r="P22" i="73" s="1"/>
  <c r="N30" i="73"/>
  <c r="Q30" i="73" s="1"/>
  <c r="M30" i="73"/>
  <c r="P30" i="73" s="1"/>
  <c r="L30" i="73"/>
  <c r="O30" i="73" s="1"/>
  <c r="N15" i="73"/>
  <c r="Q15" i="73" s="1"/>
  <c r="M15" i="73"/>
  <c r="P15" i="73" s="1"/>
  <c r="L15" i="73"/>
  <c r="O15" i="73" s="1"/>
  <c r="N24" i="73"/>
  <c r="Q24" i="73" s="1"/>
  <c r="M24" i="73"/>
  <c r="P24" i="73" s="1"/>
  <c r="L24" i="73"/>
  <c r="O24" i="73" s="1"/>
  <c r="N21" i="73"/>
  <c r="Q21" i="73" s="1"/>
  <c r="L21" i="73"/>
  <c r="O21" i="73" s="1"/>
  <c r="M21" i="73"/>
  <c r="P21" i="73" s="1"/>
  <c r="M18" i="73"/>
  <c r="P18" i="73" s="1"/>
  <c r="L18" i="73"/>
  <c r="O18" i="73" s="1"/>
  <c r="N18" i="73"/>
  <c r="Q18" i="73" s="1"/>
  <c r="N12" i="73"/>
  <c r="Q12" i="73" s="1"/>
  <c r="M12" i="73"/>
  <c r="P12" i="73" s="1"/>
  <c r="L12" i="73"/>
  <c r="O12" i="73" s="1"/>
  <c r="M31" i="73"/>
  <c r="P31" i="73" s="1"/>
  <c r="L31" i="73"/>
  <c r="O31" i="73" s="1"/>
  <c r="N31" i="73"/>
  <c r="Q31" i="73" s="1"/>
  <c r="L32" i="73"/>
  <c r="O32" i="73" s="1"/>
  <c r="N32" i="73"/>
  <c r="Q32" i="73" s="1"/>
  <c r="M32" i="73"/>
  <c r="P32" i="73" s="1"/>
  <c r="N17" i="73"/>
  <c r="Q17" i="73" s="1"/>
  <c r="M17" i="73"/>
  <c r="P17" i="73" s="1"/>
  <c r="L17" i="73"/>
  <c r="O17" i="73" s="1"/>
  <c r="L28" i="73"/>
  <c r="O28" i="73" s="1"/>
  <c r="N28" i="73"/>
  <c r="Q28" i="73" s="1"/>
  <c r="M28" i="73"/>
  <c r="P28" i="73" s="1"/>
  <c r="M26" i="73"/>
  <c r="P26" i="73" s="1"/>
  <c r="N26" i="73"/>
  <c r="Q26" i="73" s="1"/>
  <c r="L26" i="73"/>
  <c r="L13" i="73"/>
  <c r="O13" i="73" s="1"/>
  <c r="N13" i="73"/>
  <c r="Q13" i="73" s="1"/>
  <c r="M13" i="73"/>
  <c r="P13" i="73" s="1"/>
  <c r="N16" i="73"/>
  <c r="Q16" i="73" s="1"/>
  <c r="L16" i="73"/>
  <c r="O16" i="73" s="1"/>
  <c r="M16" i="73"/>
  <c r="P16" i="73" s="1"/>
  <c r="L27" i="73"/>
  <c r="M27" i="73"/>
  <c r="N27" i="73"/>
  <c r="M19" i="73"/>
  <c r="L19" i="73"/>
  <c r="N19" i="73"/>
  <c r="L25" i="73"/>
  <c r="O25" i="73" s="1"/>
  <c r="M25" i="73"/>
  <c r="P25" i="73" s="1"/>
  <c r="N25" i="73"/>
  <c r="Q25" i="73" s="1"/>
  <c r="M29" i="73"/>
  <c r="N29" i="73"/>
  <c r="L29" i="73"/>
  <c r="L20" i="72"/>
  <c r="O20" i="72" s="1"/>
  <c r="M20" i="72"/>
  <c r="P20" i="72" s="1"/>
  <c r="N20" i="72"/>
  <c r="Q20" i="72" s="1"/>
  <c r="N33" i="72"/>
  <c r="M33" i="72"/>
  <c r="L33" i="72"/>
  <c r="I54" i="55" s="1"/>
  <c r="N11" i="72"/>
  <c r="Q11" i="72" s="1"/>
  <c r="M11" i="72"/>
  <c r="P11" i="72" s="1"/>
  <c r="L11" i="72"/>
  <c r="L23" i="72"/>
  <c r="O23" i="72" s="1"/>
  <c r="N23" i="72"/>
  <c r="Q23" i="72" s="1"/>
  <c r="M23" i="72"/>
  <c r="P23" i="72" s="1"/>
  <c r="M14" i="72"/>
  <c r="P14" i="72" s="1"/>
  <c r="N14" i="72"/>
  <c r="Q14" i="72" s="1"/>
  <c r="L14" i="72"/>
  <c r="O14" i="72" s="1"/>
  <c r="L22" i="72"/>
  <c r="O22" i="72" s="1"/>
  <c r="N22" i="72"/>
  <c r="Q22" i="72" s="1"/>
  <c r="M22" i="72"/>
  <c r="P22" i="72" s="1"/>
  <c r="N30" i="72"/>
  <c r="Q30" i="72" s="1"/>
  <c r="M30" i="72"/>
  <c r="P30" i="72" s="1"/>
  <c r="L30" i="72"/>
  <c r="O30" i="72" s="1"/>
  <c r="L15" i="72"/>
  <c r="O15" i="72" s="1"/>
  <c r="M15" i="72"/>
  <c r="P15" i="72" s="1"/>
  <c r="N15" i="72"/>
  <c r="Q15" i="72" s="1"/>
  <c r="L24" i="72"/>
  <c r="O24" i="72" s="1"/>
  <c r="M24" i="72"/>
  <c r="P24" i="72" s="1"/>
  <c r="N24" i="72"/>
  <c r="Q24" i="72" s="1"/>
  <c r="L21" i="72"/>
  <c r="O21" i="72" s="1"/>
  <c r="M21" i="72"/>
  <c r="P21" i="72" s="1"/>
  <c r="N21" i="72"/>
  <c r="Q21" i="72" s="1"/>
  <c r="L18" i="72"/>
  <c r="O18" i="72" s="1"/>
  <c r="N18" i="72"/>
  <c r="Q18" i="72" s="1"/>
  <c r="M18" i="72"/>
  <c r="P18" i="72" s="1"/>
  <c r="L12" i="72"/>
  <c r="O12" i="72" s="1"/>
  <c r="M12" i="72"/>
  <c r="P12" i="72" s="1"/>
  <c r="N12" i="72"/>
  <c r="Q12" i="72" s="1"/>
  <c r="L31" i="72"/>
  <c r="O31" i="72" s="1"/>
  <c r="M31" i="72"/>
  <c r="P31" i="72" s="1"/>
  <c r="N31" i="72"/>
  <c r="Q31" i="72" s="1"/>
  <c r="L32" i="72"/>
  <c r="O32" i="72" s="1"/>
  <c r="M32" i="72"/>
  <c r="P32" i="72" s="1"/>
  <c r="N32" i="72"/>
  <c r="Q32" i="72" s="1"/>
  <c r="N17" i="72"/>
  <c r="Q17" i="72" s="1"/>
  <c r="M17" i="72"/>
  <c r="P17" i="72" s="1"/>
  <c r="L17" i="72"/>
  <c r="O17" i="72" s="1"/>
  <c r="L28" i="72"/>
  <c r="O28" i="72" s="1"/>
  <c r="M28" i="72"/>
  <c r="P28" i="72" s="1"/>
  <c r="N28" i="72"/>
  <c r="Q28" i="72" s="1"/>
  <c r="L26" i="72"/>
  <c r="O26" i="72" s="1"/>
  <c r="M26" i="72"/>
  <c r="P26" i="72" s="1"/>
  <c r="N26" i="72"/>
  <c r="Q26" i="72" s="1"/>
  <c r="L13" i="72"/>
  <c r="O13" i="72" s="1"/>
  <c r="N13" i="72"/>
  <c r="Q13" i="72" s="1"/>
  <c r="M13" i="72"/>
  <c r="P13" i="72" s="1"/>
  <c r="N16" i="72"/>
  <c r="Q16" i="72" s="1"/>
  <c r="L16" i="72"/>
  <c r="O16" i="72" s="1"/>
  <c r="M16" i="72"/>
  <c r="P16" i="72" s="1"/>
  <c r="L27" i="72"/>
  <c r="O27" i="72" s="1"/>
  <c r="M27" i="72"/>
  <c r="P27" i="72" s="1"/>
  <c r="N27" i="72"/>
  <c r="Q27" i="72" s="1"/>
  <c r="M19" i="72"/>
  <c r="P19" i="72" s="1"/>
  <c r="L19" i="72"/>
  <c r="O19" i="72" s="1"/>
  <c r="N19" i="72"/>
  <c r="Q19" i="72" s="1"/>
  <c r="L25" i="72"/>
  <c r="O25" i="72" s="1"/>
  <c r="M25" i="72"/>
  <c r="P25" i="72" s="1"/>
  <c r="N25" i="72"/>
  <c r="Q25" i="72" s="1"/>
  <c r="M29" i="72"/>
  <c r="P29" i="72" s="1"/>
  <c r="N29" i="72"/>
  <c r="Q29" i="72" s="1"/>
  <c r="L29" i="72"/>
  <c r="O29" i="72" s="1"/>
  <c r="N20" i="71"/>
  <c r="Q20" i="71" s="1"/>
  <c r="L20" i="71"/>
  <c r="O20" i="71" s="1"/>
  <c r="M20" i="71"/>
  <c r="P20" i="71" s="1"/>
  <c r="N33" i="71"/>
  <c r="M33" i="71"/>
  <c r="L33" i="71"/>
  <c r="I55" i="55" s="1"/>
  <c r="N11" i="71"/>
  <c r="Q11" i="71" s="1"/>
  <c r="L11" i="71"/>
  <c r="M11" i="71"/>
  <c r="P11" i="71" s="1"/>
  <c r="N23" i="71"/>
  <c r="Q23" i="71" s="1"/>
  <c r="M23" i="71"/>
  <c r="P23" i="71" s="1"/>
  <c r="L23" i="71"/>
  <c r="O23" i="71" s="1"/>
  <c r="L14" i="71"/>
  <c r="O14" i="71" s="1"/>
  <c r="M14" i="71"/>
  <c r="P14" i="71" s="1"/>
  <c r="N14" i="71"/>
  <c r="Q14" i="71" s="1"/>
  <c r="N22" i="71"/>
  <c r="Q22" i="71" s="1"/>
  <c r="L22" i="71"/>
  <c r="O22" i="71" s="1"/>
  <c r="M22" i="71"/>
  <c r="P22" i="71" s="1"/>
  <c r="N30" i="71"/>
  <c r="Q30" i="71" s="1"/>
  <c r="M30" i="71"/>
  <c r="P30" i="71" s="1"/>
  <c r="L30" i="71"/>
  <c r="O30" i="71" s="1"/>
  <c r="N15" i="71"/>
  <c r="Q15" i="71" s="1"/>
  <c r="M15" i="71"/>
  <c r="P15" i="71" s="1"/>
  <c r="L15" i="71"/>
  <c r="O15" i="71" s="1"/>
  <c r="N24" i="71"/>
  <c r="Q24" i="71" s="1"/>
  <c r="M24" i="71"/>
  <c r="P24" i="71" s="1"/>
  <c r="L24" i="71"/>
  <c r="O24" i="71" s="1"/>
  <c r="N21" i="71"/>
  <c r="Q21" i="71" s="1"/>
  <c r="L21" i="71"/>
  <c r="O21" i="71" s="1"/>
  <c r="M21" i="71"/>
  <c r="P21" i="71" s="1"/>
  <c r="M18" i="71"/>
  <c r="P18" i="71" s="1"/>
  <c r="L18" i="71"/>
  <c r="O18" i="71" s="1"/>
  <c r="N18" i="71"/>
  <c r="Q18" i="71" s="1"/>
  <c r="N12" i="71"/>
  <c r="Q12" i="71" s="1"/>
  <c r="M12" i="71"/>
  <c r="P12" i="71" s="1"/>
  <c r="L12" i="71"/>
  <c r="O12" i="71" s="1"/>
  <c r="M31" i="71"/>
  <c r="P31" i="71" s="1"/>
  <c r="L31" i="71"/>
  <c r="O31" i="71" s="1"/>
  <c r="N31" i="71"/>
  <c r="Q31" i="71" s="1"/>
  <c r="L32" i="71"/>
  <c r="O32" i="71" s="1"/>
  <c r="N32" i="71"/>
  <c r="Q32" i="71" s="1"/>
  <c r="M32" i="71"/>
  <c r="P32" i="71" s="1"/>
  <c r="N17" i="71"/>
  <c r="Q17" i="71" s="1"/>
  <c r="M17" i="71"/>
  <c r="P17" i="71" s="1"/>
  <c r="L17" i="71"/>
  <c r="O17" i="71" s="1"/>
  <c r="L28" i="71"/>
  <c r="O28" i="71" s="1"/>
  <c r="N28" i="71"/>
  <c r="Q28" i="71" s="1"/>
  <c r="M28" i="71"/>
  <c r="P28" i="71" s="1"/>
  <c r="M26" i="71"/>
  <c r="P26" i="71" s="1"/>
  <c r="N26" i="71"/>
  <c r="Q26" i="71" s="1"/>
  <c r="L26" i="71"/>
  <c r="O26" i="71" s="1"/>
  <c r="L13" i="71"/>
  <c r="O13" i="71" s="1"/>
  <c r="N13" i="71"/>
  <c r="Q13" i="71" s="1"/>
  <c r="M13" i="71"/>
  <c r="P13" i="71" s="1"/>
  <c r="N16" i="71"/>
  <c r="Q16" i="71" s="1"/>
  <c r="L16" i="71"/>
  <c r="O16" i="71" s="1"/>
  <c r="M16" i="71"/>
  <c r="P16" i="71" s="1"/>
  <c r="L27" i="71"/>
  <c r="M27" i="71"/>
  <c r="N27" i="71"/>
  <c r="M19" i="71"/>
  <c r="L19" i="71"/>
  <c r="N19" i="71"/>
  <c r="L25" i="71"/>
  <c r="O25" i="71" s="1"/>
  <c r="M25" i="71"/>
  <c r="P25" i="71" s="1"/>
  <c r="N25" i="71"/>
  <c r="Q25" i="71" s="1"/>
  <c r="M29" i="71"/>
  <c r="P29" i="71" s="1"/>
  <c r="N29" i="71"/>
  <c r="Q29" i="71" s="1"/>
  <c r="L29" i="71"/>
  <c r="O29" i="71" s="1"/>
  <c r="N20" i="70"/>
  <c r="Q20" i="70" s="1"/>
  <c r="L20" i="70"/>
  <c r="O20" i="70" s="1"/>
  <c r="M20" i="70"/>
  <c r="P20" i="70" s="1"/>
  <c r="N33" i="70"/>
  <c r="M33" i="70"/>
  <c r="L33" i="70"/>
  <c r="I53" i="55" s="1"/>
  <c r="N11" i="70"/>
  <c r="Q11" i="70" s="1"/>
  <c r="L11" i="70"/>
  <c r="M11" i="70"/>
  <c r="P11" i="70" s="1"/>
  <c r="N23" i="70"/>
  <c r="Q23" i="70" s="1"/>
  <c r="M23" i="70"/>
  <c r="P23" i="70" s="1"/>
  <c r="L23" i="70"/>
  <c r="O23" i="70" s="1"/>
  <c r="L14" i="70"/>
  <c r="O14" i="70" s="1"/>
  <c r="M14" i="70"/>
  <c r="P14" i="70" s="1"/>
  <c r="N14" i="70"/>
  <c r="Q14" i="70" s="1"/>
  <c r="N22" i="70"/>
  <c r="Q22" i="70" s="1"/>
  <c r="L22" i="70"/>
  <c r="O22" i="70" s="1"/>
  <c r="M22" i="70"/>
  <c r="P22" i="70" s="1"/>
  <c r="N30" i="70"/>
  <c r="Q30" i="70" s="1"/>
  <c r="M30" i="70"/>
  <c r="P30" i="70" s="1"/>
  <c r="L30" i="70"/>
  <c r="O30" i="70" s="1"/>
  <c r="N15" i="70"/>
  <c r="Q15" i="70" s="1"/>
  <c r="M15" i="70"/>
  <c r="P15" i="70" s="1"/>
  <c r="L15" i="70"/>
  <c r="O15" i="70" s="1"/>
  <c r="N24" i="70"/>
  <c r="Q24" i="70" s="1"/>
  <c r="M24" i="70"/>
  <c r="P24" i="70" s="1"/>
  <c r="L24" i="70"/>
  <c r="O24" i="70" s="1"/>
  <c r="N21" i="70"/>
  <c r="Q21" i="70" s="1"/>
  <c r="L21" i="70"/>
  <c r="O21" i="70" s="1"/>
  <c r="M21" i="70"/>
  <c r="P21" i="70" s="1"/>
  <c r="M18" i="70"/>
  <c r="P18" i="70" s="1"/>
  <c r="L18" i="70"/>
  <c r="O18" i="70" s="1"/>
  <c r="N18" i="70"/>
  <c r="Q18" i="70" s="1"/>
  <c r="N12" i="70"/>
  <c r="Q12" i="70" s="1"/>
  <c r="M12" i="70"/>
  <c r="P12" i="70" s="1"/>
  <c r="L12" i="70"/>
  <c r="O12" i="70" s="1"/>
  <c r="M31" i="70"/>
  <c r="P31" i="70" s="1"/>
  <c r="L31" i="70"/>
  <c r="O31" i="70" s="1"/>
  <c r="N31" i="70"/>
  <c r="Q31" i="70" s="1"/>
  <c r="L32" i="70"/>
  <c r="O32" i="70" s="1"/>
  <c r="N32" i="70"/>
  <c r="Q32" i="70" s="1"/>
  <c r="M32" i="70"/>
  <c r="P32" i="70" s="1"/>
  <c r="N17" i="70"/>
  <c r="Q17" i="70" s="1"/>
  <c r="M17" i="70"/>
  <c r="P17" i="70" s="1"/>
  <c r="L17" i="70"/>
  <c r="O17" i="70" s="1"/>
  <c r="L28" i="70"/>
  <c r="O28" i="70" s="1"/>
  <c r="N28" i="70"/>
  <c r="Q28" i="70" s="1"/>
  <c r="M28" i="70"/>
  <c r="P28" i="70" s="1"/>
  <c r="M26" i="70"/>
  <c r="P26" i="70" s="1"/>
  <c r="N26" i="70"/>
  <c r="Q26" i="70" s="1"/>
  <c r="L26" i="70"/>
  <c r="O26" i="70" s="1"/>
  <c r="L13" i="70"/>
  <c r="O13" i="70" s="1"/>
  <c r="N13" i="70"/>
  <c r="Q13" i="70" s="1"/>
  <c r="M13" i="70"/>
  <c r="P13" i="70" s="1"/>
  <c r="N16" i="70"/>
  <c r="Q16" i="70" s="1"/>
  <c r="L16" i="70"/>
  <c r="O16" i="70" s="1"/>
  <c r="M16" i="70"/>
  <c r="P16" i="70" s="1"/>
  <c r="L27" i="70"/>
  <c r="O27" i="70" s="1"/>
  <c r="M27" i="70"/>
  <c r="P27" i="70" s="1"/>
  <c r="N27" i="70"/>
  <c r="Q27" i="70" s="1"/>
  <c r="M19" i="70"/>
  <c r="P19" i="70" s="1"/>
  <c r="L19" i="70"/>
  <c r="O19" i="70" s="1"/>
  <c r="N19" i="70"/>
  <c r="Q19" i="70" s="1"/>
  <c r="L25" i="70"/>
  <c r="O25" i="70" s="1"/>
  <c r="M25" i="70"/>
  <c r="P25" i="70" s="1"/>
  <c r="N25" i="70"/>
  <c r="Q25" i="70" s="1"/>
  <c r="M29" i="70"/>
  <c r="P29" i="70" s="1"/>
  <c r="N29" i="70"/>
  <c r="Q29" i="70" s="1"/>
  <c r="L29" i="70"/>
  <c r="O29" i="70" s="1"/>
  <c r="M20" i="69"/>
  <c r="P20" i="69" s="1"/>
  <c r="N20" i="69"/>
  <c r="Q20" i="69" s="1"/>
  <c r="L20" i="69"/>
  <c r="O20" i="69" s="1"/>
  <c r="N33" i="69"/>
  <c r="M33" i="69"/>
  <c r="L33" i="69"/>
  <c r="I51" i="55" s="1"/>
  <c r="N11" i="69"/>
  <c r="Q11" i="69" s="1"/>
  <c r="M11" i="69"/>
  <c r="P11" i="69" s="1"/>
  <c r="L11" i="69"/>
  <c r="M23" i="69"/>
  <c r="P23" i="69" s="1"/>
  <c r="N23" i="69"/>
  <c r="Q23" i="69" s="1"/>
  <c r="L23" i="69"/>
  <c r="O23" i="69" s="1"/>
  <c r="M14" i="69"/>
  <c r="P14" i="69" s="1"/>
  <c r="N14" i="69"/>
  <c r="Q14" i="69" s="1"/>
  <c r="L14" i="69"/>
  <c r="O14" i="69" s="1"/>
  <c r="L22" i="69"/>
  <c r="O22" i="69" s="1"/>
  <c r="N22" i="69"/>
  <c r="Q22" i="69" s="1"/>
  <c r="M22" i="69"/>
  <c r="P22" i="69" s="1"/>
  <c r="N30" i="69"/>
  <c r="Q30" i="69" s="1"/>
  <c r="M30" i="69"/>
  <c r="P30" i="69" s="1"/>
  <c r="L30" i="69"/>
  <c r="O30" i="69" s="1"/>
  <c r="N15" i="69"/>
  <c r="Q15" i="69" s="1"/>
  <c r="M15" i="69"/>
  <c r="P15" i="69" s="1"/>
  <c r="L15" i="69"/>
  <c r="O15" i="69" s="1"/>
  <c r="L24" i="69"/>
  <c r="O24" i="69" s="1"/>
  <c r="N24" i="69"/>
  <c r="Q24" i="69" s="1"/>
  <c r="M24" i="69"/>
  <c r="P24" i="69" s="1"/>
  <c r="M21" i="69"/>
  <c r="P21" i="69" s="1"/>
  <c r="N21" i="69"/>
  <c r="Q21" i="69" s="1"/>
  <c r="L21" i="69"/>
  <c r="O21" i="69" s="1"/>
  <c r="N18" i="69"/>
  <c r="Q18" i="69" s="1"/>
  <c r="M18" i="69"/>
  <c r="P18" i="69" s="1"/>
  <c r="L18" i="69"/>
  <c r="O18" i="69" s="1"/>
  <c r="L12" i="69"/>
  <c r="O12" i="69" s="1"/>
  <c r="N12" i="69"/>
  <c r="Q12" i="69" s="1"/>
  <c r="M12" i="69"/>
  <c r="P12" i="69" s="1"/>
  <c r="M31" i="69"/>
  <c r="P31" i="69" s="1"/>
  <c r="L31" i="69"/>
  <c r="O31" i="69" s="1"/>
  <c r="N31" i="69"/>
  <c r="Q31" i="69" s="1"/>
  <c r="L32" i="69"/>
  <c r="O32" i="69" s="1"/>
  <c r="M32" i="69"/>
  <c r="P32" i="69" s="1"/>
  <c r="N32" i="69"/>
  <c r="Q32" i="69" s="1"/>
  <c r="M17" i="69"/>
  <c r="P17" i="69" s="1"/>
  <c r="N17" i="69"/>
  <c r="Q17" i="69" s="1"/>
  <c r="L17" i="69"/>
  <c r="O17" i="69" s="1"/>
  <c r="L28" i="69"/>
  <c r="O28" i="69" s="1"/>
  <c r="M28" i="69"/>
  <c r="P28" i="69" s="1"/>
  <c r="N28" i="69"/>
  <c r="Q28" i="69" s="1"/>
  <c r="M26" i="69"/>
  <c r="P26" i="69" s="1"/>
  <c r="N26" i="69"/>
  <c r="Q26" i="69" s="1"/>
  <c r="L26" i="69"/>
  <c r="O26" i="69" s="1"/>
  <c r="L13" i="69"/>
  <c r="O13" i="69" s="1"/>
  <c r="N13" i="69"/>
  <c r="Q13" i="69" s="1"/>
  <c r="M13" i="69"/>
  <c r="P13" i="69" s="1"/>
  <c r="L16" i="69"/>
  <c r="N16" i="69"/>
  <c r="M16" i="69"/>
  <c r="L27" i="69"/>
  <c r="O27" i="69" s="1"/>
  <c r="M27" i="69"/>
  <c r="P27" i="69" s="1"/>
  <c r="N27" i="69"/>
  <c r="Q27" i="69" s="1"/>
  <c r="L19" i="69"/>
  <c r="O19" i="69" s="1"/>
  <c r="M19" i="69"/>
  <c r="P19" i="69" s="1"/>
  <c r="N19" i="69"/>
  <c r="Q19" i="69" s="1"/>
  <c r="L25" i="69"/>
  <c r="O25" i="69" s="1"/>
  <c r="M25" i="69"/>
  <c r="P25" i="69" s="1"/>
  <c r="N25" i="69"/>
  <c r="Q25" i="69" s="1"/>
  <c r="L29" i="69"/>
  <c r="O29" i="69" s="1"/>
  <c r="M29" i="69"/>
  <c r="P29" i="69" s="1"/>
  <c r="N29" i="69"/>
  <c r="Q29" i="69" s="1"/>
  <c r="I47" i="55"/>
  <c r="H26" i="46"/>
  <c r="H27" i="46"/>
  <c r="H15" i="73"/>
  <c r="H25" i="46"/>
  <c r="H24" i="46"/>
  <c r="H27" i="70"/>
  <c r="H15" i="74"/>
  <c r="H28" i="70"/>
  <c r="H28" i="68"/>
  <c r="H29" i="67"/>
  <c r="H31" i="70"/>
  <c r="H30" i="68"/>
  <c r="H21" i="73"/>
  <c r="H17" i="73"/>
  <c r="H28" i="72"/>
  <c r="H12" i="72"/>
  <c r="H26" i="74"/>
  <c r="H39" i="73"/>
  <c r="H16" i="69"/>
  <c r="H14" i="69"/>
  <c r="H26" i="70"/>
  <c r="H20" i="72"/>
  <c r="H14" i="73"/>
  <c r="H18" i="67"/>
  <c r="H32" i="71"/>
  <c r="H21" i="70"/>
  <c r="H23" i="67"/>
  <c r="H28" i="74"/>
  <c r="H23" i="71"/>
  <c r="H19" i="67"/>
  <c r="H13" i="70"/>
  <c r="H13" i="74"/>
  <c r="H30" i="70"/>
  <c r="H15" i="69"/>
  <c r="H27" i="72"/>
  <c r="H30" i="73"/>
  <c r="H18" i="73"/>
  <c r="H21" i="71"/>
  <c r="H35" i="73"/>
  <c r="H16" i="70"/>
  <c r="H12" i="69"/>
  <c r="H17" i="70"/>
  <c r="H14" i="70"/>
  <c r="H24" i="73"/>
  <c r="H23" i="72"/>
  <c r="H13" i="69"/>
  <c r="H28" i="67"/>
  <c r="H17" i="68"/>
  <c r="D8" i="75"/>
  <c r="H41" i="73"/>
  <c r="H18" i="71"/>
  <c r="H27" i="68"/>
  <c r="L33" i="46"/>
  <c r="I50" i="55" s="1"/>
  <c r="P33" i="46"/>
  <c r="P24" i="46"/>
  <c r="L24" i="46"/>
  <c r="N24" i="46" s="1"/>
  <c r="L29" i="46"/>
  <c r="N29" i="46" s="1"/>
  <c r="P29" i="46"/>
  <c r="AJ5" i="55"/>
  <c r="D7" i="75"/>
  <c r="L25" i="46"/>
  <c r="N25" i="46" s="1"/>
  <c r="P25" i="46"/>
  <c r="L30" i="46"/>
  <c r="N30" i="46" s="1"/>
  <c r="P30" i="46"/>
  <c r="P32" i="46"/>
  <c r="L32" i="46"/>
  <c r="N32" i="46" s="1"/>
  <c r="H23" i="46"/>
  <c r="AH5" i="55"/>
  <c r="D5" i="75"/>
  <c r="AK5" i="55"/>
  <c r="H33" i="46"/>
  <c r="P26" i="46"/>
  <c r="L26" i="46"/>
  <c r="N26" i="46" s="1"/>
  <c r="P23" i="46"/>
  <c r="L23" i="46"/>
  <c r="N23" i="46" s="1"/>
  <c r="Q23" i="46" s="1"/>
  <c r="AL5" i="55"/>
  <c r="P31" i="46"/>
  <c r="L31" i="46"/>
  <c r="N31" i="46" s="1"/>
  <c r="AI5" i="55"/>
  <c r="D6" i="75"/>
  <c r="P27" i="46"/>
  <c r="L27" i="46"/>
  <c r="N27" i="46" s="1"/>
  <c r="L28" i="46"/>
  <c r="N28" i="46" s="1"/>
  <c r="P28" i="46"/>
  <c r="H34" i="73"/>
  <c r="C7" i="73"/>
  <c r="L34" i="73"/>
  <c r="O34" i="73" s="1"/>
  <c r="M34" i="73"/>
  <c r="P34" i="73" s="1"/>
  <c r="N34" i="73"/>
  <c r="Q34" i="73" s="1"/>
  <c r="N39" i="73"/>
  <c r="Q39" i="73" s="1"/>
  <c r="M39" i="73"/>
  <c r="P39" i="73" s="1"/>
  <c r="L39" i="73"/>
  <c r="O39" i="73" s="1"/>
  <c r="I49" i="55"/>
  <c r="N36" i="67"/>
  <c r="N43" i="67"/>
  <c r="O43" i="67" s="1"/>
  <c r="N41" i="67"/>
  <c r="O41" i="67" s="1"/>
  <c r="N42" i="67"/>
  <c r="O42" i="67" s="1"/>
  <c r="AH10" i="55"/>
  <c r="AK10" i="55"/>
  <c r="E11" i="71"/>
  <c r="H11" i="71" s="1"/>
  <c r="E33" i="70"/>
  <c r="H33" i="70" s="1"/>
  <c r="P19" i="73"/>
  <c r="O19" i="73"/>
  <c r="Q19" i="73"/>
  <c r="AJ13" i="55"/>
  <c r="AL6" i="55"/>
  <c r="L40" i="73"/>
  <c r="O40" i="73" s="1"/>
  <c r="M40" i="73"/>
  <c r="P40" i="73" s="1"/>
  <c r="N40" i="73"/>
  <c r="Q40" i="73" s="1"/>
  <c r="AL11" i="55"/>
  <c r="AL9" i="55"/>
  <c r="AH6" i="55"/>
  <c r="AK6" i="55"/>
  <c r="H11" i="67"/>
  <c r="L36" i="73"/>
  <c r="O36" i="73" s="1"/>
  <c r="N36" i="73"/>
  <c r="Q36" i="73" s="1"/>
  <c r="M36" i="73"/>
  <c r="P36" i="73" s="1"/>
  <c r="Q29" i="73"/>
  <c r="P29" i="73"/>
  <c r="O29" i="73"/>
  <c r="Q19" i="71"/>
  <c r="P19" i="71"/>
  <c r="O19" i="71"/>
  <c r="AI8" i="55"/>
  <c r="AI7" i="55"/>
  <c r="O27" i="71"/>
  <c r="P27" i="71"/>
  <c r="Q27" i="71"/>
  <c r="O26" i="73"/>
  <c r="AL8" i="55"/>
  <c r="AL7" i="55"/>
  <c r="E11" i="70"/>
  <c r="H11" i="70" s="1"/>
  <c r="AH9" i="55"/>
  <c r="AK9" i="55"/>
  <c r="AH13" i="55"/>
  <c r="AK13" i="55"/>
  <c r="E11" i="74"/>
  <c r="H11" i="74" s="1"/>
  <c r="AL13" i="55"/>
  <c r="H10" i="74"/>
  <c r="AJ10" i="55"/>
  <c r="H10" i="71"/>
  <c r="AJ9" i="55"/>
  <c r="E33" i="71"/>
  <c r="H33" i="71" s="1"/>
  <c r="AJ8" i="55"/>
  <c r="AK7" i="55"/>
  <c r="AH7" i="55"/>
  <c r="H11" i="68"/>
  <c r="M41" i="73"/>
  <c r="N41" i="73"/>
  <c r="L41" i="73"/>
  <c r="I48" i="55" s="1"/>
  <c r="M38" i="73"/>
  <c r="P38" i="73" s="1"/>
  <c r="L38" i="73"/>
  <c r="O38" i="73" s="1"/>
  <c r="N38" i="73"/>
  <c r="Q38" i="73" s="1"/>
  <c r="AJ6" i="55"/>
  <c r="N35" i="67"/>
  <c r="AL10" i="55"/>
  <c r="AI11" i="55"/>
  <c r="AJ7" i="55"/>
  <c r="N35" i="73"/>
  <c r="Q35" i="73" s="1"/>
  <c r="M35" i="73"/>
  <c r="P35" i="73" s="1"/>
  <c r="L35" i="73"/>
  <c r="O35" i="73" s="1"/>
  <c r="AI6" i="55"/>
  <c r="N34" i="67"/>
  <c r="E33" i="74"/>
  <c r="H33" i="74" s="1"/>
  <c r="Q27" i="73"/>
  <c r="O27" i="73"/>
  <c r="P27" i="73"/>
  <c r="AJ11" i="55"/>
  <c r="N37" i="73"/>
  <c r="Q37" i="73" s="1"/>
  <c r="M37" i="73"/>
  <c r="P37" i="73" s="1"/>
  <c r="L37" i="73"/>
  <c r="O37" i="73" s="1"/>
  <c r="AK11" i="55"/>
  <c r="AH11" i="55"/>
  <c r="H11" i="72"/>
  <c r="O16" i="69"/>
  <c r="Q16" i="69"/>
  <c r="P16" i="69"/>
  <c r="AH8" i="55"/>
  <c r="AK8" i="55"/>
  <c r="H10" i="69"/>
  <c r="H29" i="69"/>
  <c r="H32" i="73"/>
  <c r="H20" i="73"/>
  <c r="H32" i="67"/>
  <c r="H13" i="68"/>
  <c r="H32" i="70"/>
  <c r="H30" i="71"/>
  <c r="H30" i="69"/>
  <c r="H22" i="74"/>
  <c r="H19" i="73"/>
  <c r="H14" i="74"/>
  <c r="H17" i="69"/>
  <c r="H21" i="74"/>
  <c r="H20" i="74"/>
  <c r="H16" i="72"/>
  <c r="H15" i="67"/>
  <c r="H13" i="71"/>
  <c r="H29" i="70"/>
  <c r="H31" i="68"/>
  <c r="H30" i="74"/>
  <c r="H29" i="73"/>
  <c r="H27" i="73"/>
  <c r="H23" i="70"/>
  <c r="H33" i="68"/>
  <c r="H14" i="67"/>
  <c r="H13" i="72"/>
  <c r="H26" i="73"/>
  <c r="H20" i="71"/>
  <c r="H24" i="68"/>
  <c r="H20" i="67"/>
  <c r="H25" i="72"/>
  <c r="H24" i="70"/>
  <c r="H22" i="70"/>
  <c r="H19" i="72"/>
  <c r="H26" i="71"/>
  <c r="H17" i="67"/>
  <c r="H15" i="72"/>
  <c r="H16" i="68"/>
  <c r="H18" i="69"/>
  <c r="H16" i="73"/>
  <c r="H28" i="46"/>
  <c r="H29" i="74"/>
  <c r="H29" i="68"/>
  <c r="H37" i="73"/>
  <c r="H12" i="74"/>
  <c r="H33" i="72"/>
  <c r="H31" i="71"/>
  <c r="H22" i="71"/>
  <c r="H20" i="68"/>
  <c r="H29" i="72"/>
  <c r="H32" i="69"/>
  <c r="H23" i="69"/>
  <c r="H33" i="67"/>
  <c r="H22" i="73"/>
  <c r="H32" i="72"/>
  <c r="H24" i="67"/>
  <c r="H17" i="74"/>
  <c r="H25" i="73"/>
  <c r="H30" i="46"/>
  <c r="H13" i="73"/>
  <c r="H31" i="67"/>
  <c r="H29" i="71"/>
  <c r="H25" i="67"/>
  <c r="H21" i="72"/>
  <c r="H19" i="68"/>
  <c r="H31" i="73"/>
  <c r="H12" i="70"/>
  <c r="H28" i="71"/>
  <c r="H25" i="74"/>
  <c r="H20" i="69"/>
  <c r="H22" i="68"/>
  <c r="H14" i="71"/>
  <c r="H28" i="69"/>
  <c r="H14" i="68"/>
  <c r="H18" i="72"/>
  <c r="H16" i="71"/>
  <c r="H17" i="72"/>
  <c r="H23" i="74"/>
  <c r="H20" i="70"/>
  <c r="H19" i="74"/>
  <c r="H11" i="69"/>
  <c r="H23" i="73"/>
  <c r="H16" i="74"/>
  <c r="H32" i="74"/>
  <c r="H19" i="71"/>
  <c r="H27" i="67"/>
  <c r="H21" i="68"/>
  <c r="H28" i="73"/>
  <c r="H18" i="70"/>
  <c r="H18" i="74"/>
  <c r="H30" i="72"/>
  <c r="H15" i="71"/>
  <c r="H40" i="73"/>
  <c r="H26" i="67"/>
  <c r="H14" i="72"/>
  <c r="H12" i="67"/>
  <c r="H19" i="69"/>
  <c r="H38" i="73"/>
  <c r="H21" i="69"/>
  <c r="H25" i="70"/>
  <c r="H31" i="69"/>
  <c r="H13" i="67"/>
  <c r="H27" i="74"/>
  <c r="H26" i="68"/>
  <c r="H16" i="67"/>
  <c r="H29" i="46"/>
  <c r="H12" i="73"/>
  <c r="H31" i="72"/>
  <c r="H17" i="71"/>
  <c r="H24" i="72"/>
  <c r="H15" i="70"/>
  <c r="H22" i="67"/>
  <c r="H19" i="70"/>
  <c r="H12" i="71"/>
  <c r="H18" i="68"/>
  <c r="H30" i="67"/>
  <c r="H33" i="69"/>
  <c r="H26" i="72"/>
  <c r="H26" i="69"/>
  <c r="H24" i="69"/>
  <c r="H25" i="68"/>
  <c r="H31" i="46"/>
  <c r="H22" i="72"/>
  <c r="H32" i="68"/>
  <c r="H12" i="68"/>
  <c r="H36" i="73"/>
  <c r="H27" i="71"/>
  <c r="H24" i="74"/>
  <c r="H25" i="69"/>
  <c r="H27" i="69"/>
  <c r="H22" i="69"/>
  <c r="H31" i="74"/>
  <c r="H25" i="71"/>
  <c r="H33" i="73"/>
  <c r="H21" i="67"/>
  <c r="H23" i="68"/>
  <c r="H15" i="68"/>
  <c r="H24" i="71"/>
  <c r="H32" i="46"/>
  <c r="G50" i="55"/>
  <c r="D64" i="76"/>
  <c r="S5" i="55"/>
  <c r="G49" i="55"/>
  <c r="X10" i="77"/>
  <c r="S8" i="55"/>
  <c r="D53" i="55"/>
  <c r="W5" i="55"/>
  <c r="S7" i="55"/>
  <c r="Q6" i="77"/>
  <c r="D52" i="55"/>
  <c r="G72" i="76"/>
  <c r="D11" i="55"/>
  <c r="G70" i="76"/>
  <c r="X5" i="77"/>
  <c r="D5" i="55"/>
  <c r="X6" i="77"/>
  <c r="G55" i="55"/>
  <c r="Q7" i="77"/>
  <c r="D68" i="76"/>
  <c r="G67" i="76"/>
  <c r="F69" i="76"/>
  <c r="E70" i="76"/>
  <c r="E65" i="76"/>
  <c r="AB8" i="55"/>
  <c r="AB5" i="55"/>
  <c r="N10" i="77"/>
  <c r="E66" i="76"/>
  <c r="P5" i="55"/>
  <c r="X8" i="77"/>
  <c r="R10" i="77"/>
  <c r="Q11" i="77"/>
  <c r="E49" i="55"/>
  <c r="D7" i="55"/>
  <c r="N5" i="77"/>
  <c r="G65" i="76"/>
  <c r="G69" i="76"/>
  <c r="E47" i="55"/>
  <c r="G51" i="55"/>
  <c r="R8" i="77"/>
  <c r="E54" i="55"/>
  <c r="P10" i="55"/>
  <c r="N7" i="77"/>
  <c r="G52" i="55"/>
  <c r="E67" i="76"/>
  <c r="AB7" i="55"/>
  <c r="W8" i="55"/>
  <c r="W11" i="55"/>
  <c r="W6" i="55"/>
  <c r="P8" i="55"/>
  <c r="X7" i="77"/>
  <c r="AB6" i="55"/>
  <c r="F51" i="55"/>
  <c r="W7" i="55"/>
  <c r="Q8" i="77"/>
  <c r="N8" i="77"/>
  <c r="F67" i="76"/>
  <c r="D47" i="55"/>
  <c r="F65" i="76"/>
  <c r="R7" i="77"/>
  <c r="D10" i="55"/>
  <c r="F72" i="76"/>
  <c r="S6" i="55"/>
  <c r="D66" i="76"/>
  <c r="R6" i="77"/>
  <c r="F66" i="76"/>
  <c r="F70" i="76"/>
  <c r="R9" i="77"/>
  <c r="D8" i="55"/>
  <c r="D12" i="55"/>
  <c r="F68" i="76"/>
  <c r="G53" i="55"/>
  <c r="P13" i="55"/>
  <c r="F52" i="55"/>
  <c r="E51" i="55"/>
  <c r="P13" i="77"/>
  <c r="P7" i="77"/>
  <c r="F49" i="55"/>
  <c r="F47" i="55"/>
  <c r="W9" i="55"/>
  <c r="P8" i="77"/>
  <c r="D67" i="76"/>
  <c r="D69" i="76"/>
  <c r="R13" i="77"/>
  <c r="AB9" i="55"/>
  <c r="P9" i="55"/>
  <c r="P11" i="55"/>
  <c r="W12" i="55"/>
  <c r="R11" i="77"/>
  <c r="F54" i="55"/>
  <c r="P12" i="55"/>
  <c r="D72" i="76"/>
  <c r="F53" i="55"/>
  <c r="D54" i="55"/>
  <c r="D51" i="55"/>
  <c r="P10" i="77"/>
  <c r="G66" i="76"/>
  <c r="AB12" i="55"/>
  <c r="G68" i="76"/>
  <c r="F50" i="55"/>
  <c r="D65" i="76"/>
  <c r="D55" i="55"/>
  <c r="G47" i="55"/>
  <c r="N11" i="77"/>
  <c r="D50" i="55"/>
  <c r="W13" i="55"/>
  <c r="E50" i="55"/>
  <c r="P6" i="77"/>
  <c r="X11" i="77"/>
  <c r="N13" i="77"/>
  <c r="AB10" i="55"/>
  <c r="P11" i="77"/>
  <c r="D49" i="55"/>
  <c r="F55" i="55"/>
  <c r="S11" i="55"/>
  <c r="P5" i="77"/>
  <c r="F64" i="76"/>
  <c r="Q5" i="77"/>
  <c r="D6" i="55"/>
  <c r="G54" i="55"/>
  <c r="P9" i="77"/>
  <c r="X13" i="77"/>
  <c r="X9" i="77"/>
  <c r="D70" i="76"/>
  <c r="P7" i="55"/>
  <c r="R5" i="77"/>
  <c r="E64" i="76"/>
  <c r="N6" i="77"/>
  <c r="AB11" i="55"/>
  <c r="D9" i="55"/>
  <c r="N9" i="77"/>
  <c r="R7" i="73" l="1" a="1"/>
  <c r="Q33" i="74"/>
  <c r="K52" i="55"/>
  <c r="P33" i="74"/>
  <c r="J52" i="55"/>
  <c r="Q33" i="72"/>
  <c r="K54" i="55"/>
  <c r="P33" i="72"/>
  <c r="J54" i="55"/>
  <c r="Q33" i="71"/>
  <c r="K55" i="55"/>
  <c r="P33" i="71"/>
  <c r="J55" i="55"/>
  <c r="Q33" i="70"/>
  <c r="K53" i="55"/>
  <c r="P33" i="70"/>
  <c r="J53" i="55"/>
  <c r="Q33" i="69"/>
  <c r="K51" i="55"/>
  <c r="P33" i="69"/>
  <c r="J51" i="55"/>
  <c r="K49" i="55"/>
  <c r="P11" i="67"/>
  <c r="J49" i="55"/>
  <c r="P41" i="73"/>
  <c r="J48" i="55"/>
  <c r="Q41" i="73"/>
  <c r="K48" i="55"/>
  <c r="Q33" i="68"/>
  <c r="K47" i="55"/>
  <c r="P33" i="68"/>
  <c r="J47" i="55"/>
  <c r="O33" i="74"/>
  <c r="O33" i="72"/>
  <c r="O33" i="71"/>
  <c r="O33" i="70"/>
  <c r="O33" i="69"/>
  <c r="O33" i="68"/>
  <c r="N33" i="46"/>
  <c r="K50" i="55" s="1"/>
  <c r="O33" i="67"/>
  <c r="O41" i="73"/>
  <c r="I26" i="46"/>
  <c r="C26" i="45" s="1" a="1"/>
  <c r="K26" i="46"/>
  <c r="K25" i="46"/>
  <c r="I25" i="46"/>
  <c r="C25" i="45" s="1" a="1"/>
  <c r="I24" i="46"/>
  <c r="C24" i="45" s="1" a="1"/>
  <c r="K24" i="46"/>
  <c r="O33" i="46"/>
  <c r="Q33" i="46"/>
  <c r="O24" i="46"/>
  <c r="Q24" i="46"/>
  <c r="O29" i="46"/>
  <c r="Q29" i="46"/>
  <c r="O25" i="46"/>
  <c r="Q25" i="46"/>
  <c r="O30" i="46"/>
  <c r="Q30" i="46"/>
  <c r="O32" i="46"/>
  <c r="Q32" i="46"/>
  <c r="O26" i="46"/>
  <c r="Q26" i="46"/>
  <c r="O31" i="46"/>
  <c r="Q31" i="46"/>
  <c r="O27" i="46"/>
  <c r="Q27" i="46"/>
  <c r="O28" i="46"/>
  <c r="Q28" i="46"/>
  <c r="I15" i="73"/>
  <c r="K15" i="73"/>
  <c r="K27" i="46"/>
  <c r="I27" i="46"/>
  <c r="C27" i="45" s="1" a="1"/>
  <c r="AA11" i="55"/>
  <c r="AA10" i="55"/>
  <c r="AA12" i="55"/>
  <c r="AA9" i="55"/>
  <c r="AA6" i="55"/>
  <c r="AA7" i="55"/>
  <c r="AA5" i="55"/>
  <c r="AA8" i="55"/>
  <c r="I27" i="70"/>
  <c r="K27" i="70"/>
  <c r="I15" i="74"/>
  <c r="K15" i="74"/>
  <c r="K28" i="70"/>
  <c r="I28" i="70"/>
  <c r="K30" i="68"/>
  <c r="V30" i="68" s="1" a="1"/>
  <c r="I30" i="68"/>
  <c r="K12" i="72"/>
  <c r="I12" i="72"/>
  <c r="K16" i="69"/>
  <c r="I16" i="69"/>
  <c r="K14" i="69"/>
  <c r="I14" i="69"/>
  <c r="K26" i="70"/>
  <c r="I26" i="70"/>
  <c r="I20" i="72"/>
  <c r="K20" i="72"/>
  <c r="I28" i="68"/>
  <c r="K28" i="68"/>
  <c r="V28" i="68" s="1" a="1"/>
  <c r="K29" i="67"/>
  <c r="I29" i="67"/>
  <c r="I31" i="70"/>
  <c r="K31" i="70"/>
  <c r="I18" i="67"/>
  <c r="K18" i="67"/>
  <c r="I32" i="71"/>
  <c r="K32" i="71"/>
  <c r="I23" i="67"/>
  <c r="K23" i="67"/>
  <c r="I28" i="74"/>
  <c r="K28" i="74"/>
  <c r="I23" i="71"/>
  <c r="K23" i="71"/>
  <c r="I21" i="73"/>
  <c r="K21" i="73"/>
  <c r="K17" i="73"/>
  <c r="I17" i="73"/>
  <c r="I28" i="72"/>
  <c r="K28" i="72"/>
  <c r="K26" i="74"/>
  <c r="I26" i="74"/>
  <c r="I39" i="73"/>
  <c r="K39" i="73"/>
  <c r="K21" i="70"/>
  <c r="I21" i="70"/>
  <c r="K19" i="67"/>
  <c r="I19" i="67"/>
  <c r="I14" i="73"/>
  <c r="K14" i="73"/>
  <c r="I13" i="70"/>
  <c r="K13" i="70"/>
  <c r="I13" i="74"/>
  <c r="K13" i="74"/>
  <c r="K30" i="70"/>
  <c r="I30" i="70"/>
  <c r="I15" i="69"/>
  <c r="K15" i="69"/>
  <c r="I27" i="72"/>
  <c r="K27" i="72"/>
  <c r="I30" i="73"/>
  <c r="K30" i="73"/>
  <c r="I18" i="73"/>
  <c r="K18" i="73"/>
  <c r="K21" i="71"/>
  <c r="I21" i="71"/>
  <c r="K35" i="73"/>
  <c r="I35" i="73"/>
  <c r="K16" i="70"/>
  <c r="I16" i="70"/>
  <c r="K12" i="69"/>
  <c r="I12" i="69"/>
  <c r="K17" i="70"/>
  <c r="I17" i="70"/>
  <c r="K14" i="70"/>
  <c r="I14" i="70"/>
  <c r="K24" i="73"/>
  <c r="I24" i="73"/>
  <c r="K23" i="72"/>
  <c r="I23" i="72"/>
  <c r="I13" i="69"/>
  <c r="K13" i="69"/>
  <c r="K17" i="68"/>
  <c r="V17" i="68" s="1" a="1"/>
  <c r="I17" i="68"/>
  <c r="K18" i="71"/>
  <c r="I18" i="71"/>
  <c r="I28" i="67"/>
  <c r="K28" i="67"/>
  <c r="K27" i="68"/>
  <c r="V27" i="68" s="1" a="1"/>
  <c r="I27" i="68"/>
  <c r="I41" i="73"/>
  <c r="K41" i="73"/>
  <c r="D9" i="75"/>
  <c r="I23" i="46"/>
  <c r="K23" i="46"/>
  <c r="I33" i="46"/>
  <c r="K33" i="46"/>
  <c r="O23" i="46"/>
  <c r="I34" i="73"/>
  <c r="K34" i="73"/>
  <c r="E7" i="73"/>
  <c r="F7" i="73"/>
  <c r="D7" i="73"/>
  <c r="B7" i="73"/>
  <c r="AL12" i="55" s="1"/>
  <c r="G7" i="73"/>
  <c r="J7" i="73"/>
  <c r="O11" i="67"/>
  <c r="AI10" i="55"/>
  <c r="K11" i="71"/>
  <c r="I11" i="71"/>
  <c r="I33" i="70"/>
  <c r="K33" i="70"/>
  <c r="O11" i="70"/>
  <c r="I11" i="67"/>
  <c r="K11" i="67"/>
  <c r="O11" i="69"/>
  <c r="O11" i="74"/>
  <c r="AI9" i="55"/>
  <c r="I11" i="70"/>
  <c r="K11" i="70"/>
  <c r="AI13" i="55"/>
  <c r="K11" i="74"/>
  <c r="I11" i="74"/>
  <c r="K10" i="74"/>
  <c r="I10" i="74"/>
  <c r="I10" i="71"/>
  <c r="K10" i="71"/>
  <c r="O10" i="68"/>
  <c r="V10" i="68" s="1" a="1"/>
  <c r="K33" i="71"/>
  <c r="I33" i="71"/>
  <c r="I11" i="68"/>
  <c r="K11" i="68"/>
  <c r="V11" i="68" s="1" a="1"/>
  <c r="O11" i="72"/>
  <c r="I33" i="74"/>
  <c r="K33" i="74"/>
  <c r="O11" i="71"/>
  <c r="K11" i="72"/>
  <c r="I11" i="72"/>
  <c r="K10" i="69"/>
  <c r="I10" i="69"/>
  <c r="I29" i="69"/>
  <c r="K29" i="69"/>
  <c r="I32" i="73"/>
  <c r="K32" i="73"/>
  <c r="I20" i="73"/>
  <c r="K20" i="73"/>
  <c r="I32" i="67"/>
  <c r="K32" i="67"/>
  <c r="K13" i="68"/>
  <c r="V13" i="68" s="1" a="1"/>
  <c r="I13" i="68"/>
  <c r="K32" i="70"/>
  <c r="I32" i="70"/>
  <c r="K30" i="71"/>
  <c r="I30" i="71"/>
  <c r="K30" i="69"/>
  <c r="I30" i="69"/>
  <c r="K22" i="74"/>
  <c r="I22" i="74"/>
  <c r="K19" i="73"/>
  <c r="I19" i="73"/>
  <c r="K14" i="74"/>
  <c r="I14" i="74"/>
  <c r="I17" i="69"/>
  <c r="K17" i="69"/>
  <c r="K21" i="74"/>
  <c r="I21" i="74"/>
  <c r="I20" i="74"/>
  <c r="K20" i="74"/>
  <c r="I16" i="72"/>
  <c r="K16" i="72"/>
  <c r="I15" i="67"/>
  <c r="K15" i="67"/>
  <c r="K13" i="71"/>
  <c r="I13" i="71"/>
  <c r="I29" i="70"/>
  <c r="K29" i="70"/>
  <c r="I31" i="68"/>
  <c r="K31" i="68"/>
  <c r="V31" i="68" s="1" a="1"/>
  <c r="I30" i="74"/>
  <c r="K30" i="74"/>
  <c r="I29" i="73"/>
  <c r="K29" i="73"/>
  <c r="I27" i="73"/>
  <c r="K27" i="73"/>
  <c r="I23" i="70"/>
  <c r="K23" i="70"/>
  <c r="I33" i="68"/>
  <c r="K33" i="68"/>
  <c r="I14" i="67"/>
  <c r="K14" i="67"/>
  <c r="K13" i="72"/>
  <c r="I13" i="72"/>
  <c r="I26" i="73"/>
  <c r="K26" i="73"/>
  <c r="K20" i="71"/>
  <c r="I20" i="71"/>
  <c r="I24" i="68"/>
  <c r="K24" i="68"/>
  <c r="V24" i="68" s="1" a="1"/>
  <c r="I20" i="67"/>
  <c r="K20" i="67"/>
  <c r="K25" i="72"/>
  <c r="I25" i="72"/>
  <c r="I24" i="70"/>
  <c r="K24" i="70"/>
  <c r="I22" i="70"/>
  <c r="K22" i="70"/>
  <c r="K19" i="72"/>
  <c r="I19" i="72"/>
  <c r="K26" i="71"/>
  <c r="I26" i="71"/>
  <c r="K17" i="67"/>
  <c r="I17" i="67"/>
  <c r="K15" i="72"/>
  <c r="I15" i="72"/>
  <c r="I16" i="68"/>
  <c r="K16" i="68"/>
  <c r="V16" i="68" s="1" a="1"/>
  <c r="I18" i="69"/>
  <c r="K18" i="69"/>
  <c r="I16" i="73"/>
  <c r="K16" i="73"/>
  <c r="K28" i="46"/>
  <c r="I28" i="46"/>
  <c r="I29" i="74"/>
  <c r="K29" i="74"/>
  <c r="K29" i="68"/>
  <c r="V29" i="68" s="1" a="1"/>
  <c r="I29" i="68"/>
  <c r="I37" i="73"/>
  <c r="K37" i="73"/>
  <c r="I12" i="74"/>
  <c r="K12" i="74"/>
  <c r="I33" i="72"/>
  <c r="K33" i="72"/>
  <c r="I31" i="71"/>
  <c r="K31" i="71"/>
  <c r="K22" i="71"/>
  <c r="I22" i="71"/>
  <c r="I20" i="68"/>
  <c r="K20" i="68"/>
  <c r="V20" i="68" s="1" a="1"/>
  <c r="K29" i="72"/>
  <c r="I29" i="72"/>
  <c r="I32" i="69"/>
  <c r="K32" i="69"/>
  <c r="I23" i="69"/>
  <c r="K23" i="69"/>
  <c r="I33" i="67"/>
  <c r="K33" i="67"/>
  <c r="N37" i="67"/>
  <c r="K22" i="73"/>
  <c r="I22" i="73"/>
  <c r="K32" i="72"/>
  <c r="I32" i="72"/>
  <c r="I24" i="67"/>
  <c r="K24" i="67"/>
  <c r="K17" i="74"/>
  <c r="I17" i="74"/>
  <c r="I25" i="73"/>
  <c r="K25" i="73"/>
  <c r="I30" i="46"/>
  <c r="K30" i="46"/>
  <c r="I13" i="73"/>
  <c r="K13" i="73"/>
  <c r="K31" i="67"/>
  <c r="I31" i="67"/>
  <c r="K29" i="71"/>
  <c r="I29" i="71"/>
  <c r="K25" i="67"/>
  <c r="I25" i="67"/>
  <c r="K21" i="72"/>
  <c r="I21" i="72"/>
  <c r="I19" i="68"/>
  <c r="K19" i="68"/>
  <c r="V19" i="68" s="1" a="1"/>
  <c r="K31" i="73"/>
  <c r="I31" i="73"/>
  <c r="I12" i="70"/>
  <c r="K12" i="70"/>
  <c r="I28" i="71"/>
  <c r="K28" i="71"/>
  <c r="K25" i="74"/>
  <c r="I25" i="74"/>
  <c r="K20" i="69"/>
  <c r="I20" i="69"/>
  <c r="I22" i="68"/>
  <c r="K22" i="68"/>
  <c r="V22" i="68" s="1" a="1"/>
  <c r="I14" i="71"/>
  <c r="K14" i="71"/>
  <c r="I28" i="69"/>
  <c r="K28" i="69"/>
  <c r="K14" i="68"/>
  <c r="V14" i="68" s="1" a="1"/>
  <c r="I14" i="68"/>
  <c r="I18" i="72"/>
  <c r="K18" i="72"/>
  <c r="I16" i="71"/>
  <c r="K16" i="71"/>
  <c r="K17" i="72"/>
  <c r="I17" i="72"/>
  <c r="I23" i="74"/>
  <c r="K23" i="74"/>
  <c r="I20" i="70"/>
  <c r="K20" i="70"/>
  <c r="I19" i="74"/>
  <c r="K19" i="74"/>
  <c r="K11" i="69"/>
  <c r="I11" i="69"/>
  <c r="K23" i="73"/>
  <c r="I23" i="73"/>
  <c r="I16" i="74"/>
  <c r="K16" i="74"/>
  <c r="K32" i="74"/>
  <c r="I32" i="74"/>
  <c r="I19" i="71"/>
  <c r="K19" i="71"/>
  <c r="K27" i="67"/>
  <c r="I27" i="67"/>
  <c r="I21" i="68"/>
  <c r="K21" i="68"/>
  <c r="V21" i="68" s="1" a="1"/>
  <c r="K28" i="73"/>
  <c r="I28" i="73"/>
  <c r="K18" i="70"/>
  <c r="I18" i="70"/>
  <c r="K18" i="74"/>
  <c r="I18" i="74"/>
  <c r="K30" i="72"/>
  <c r="I30" i="72"/>
  <c r="I15" i="71"/>
  <c r="K15" i="71"/>
  <c r="I40" i="73"/>
  <c r="K40" i="73"/>
  <c r="K26" i="67"/>
  <c r="I26" i="67"/>
  <c r="I14" i="72"/>
  <c r="K14" i="72"/>
  <c r="I12" i="67"/>
  <c r="K12" i="67"/>
  <c r="K19" i="69"/>
  <c r="I19" i="69"/>
  <c r="K38" i="73"/>
  <c r="I38" i="73"/>
  <c r="K21" i="69"/>
  <c r="I21" i="69"/>
  <c r="K25" i="70"/>
  <c r="I25" i="70"/>
  <c r="I31" i="69"/>
  <c r="K31" i="69"/>
  <c r="I13" i="67"/>
  <c r="K13" i="67"/>
  <c r="I27" i="74"/>
  <c r="K27" i="74"/>
  <c r="I26" i="68"/>
  <c r="K26" i="68"/>
  <c r="V26" i="68" s="1" a="1"/>
  <c r="K16" i="67"/>
  <c r="I16" i="67"/>
  <c r="K29" i="46"/>
  <c r="I29" i="46"/>
  <c r="K12" i="73"/>
  <c r="I12" i="73"/>
  <c r="K31" i="72"/>
  <c r="I31" i="72"/>
  <c r="K17" i="71"/>
  <c r="I17" i="71"/>
  <c r="I24" i="72"/>
  <c r="K24" i="72"/>
  <c r="I15" i="70"/>
  <c r="K15" i="70"/>
  <c r="I22" i="67"/>
  <c r="K22" i="67"/>
  <c r="K19" i="70"/>
  <c r="I19" i="70"/>
  <c r="I12" i="71"/>
  <c r="K12" i="71"/>
  <c r="I18" i="68"/>
  <c r="K18" i="68"/>
  <c r="V18" i="68" s="1" a="1"/>
  <c r="K30" i="67"/>
  <c r="I30" i="67"/>
  <c r="K33" i="69"/>
  <c r="I33" i="69"/>
  <c r="I26" i="72"/>
  <c r="K26" i="72"/>
  <c r="K26" i="69"/>
  <c r="I26" i="69"/>
  <c r="K24" i="69"/>
  <c r="I24" i="69"/>
  <c r="K25" i="68"/>
  <c r="V25" i="68" s="1" a="1"/>
  <c r="I25" i="68"/>
  <c r="I31" i="46"/>
  <c r="K31" i="46"/>
  <c r="I22" i="72"/>
  <c r="K22" i="72"/>
  <c r="K32" i="68"/>
  <c r="V32" i="68" s="1" a="1"/>
  <c r="I32" i="68"/>
  <c r="K12" i="68"/>
  <c r="V12" i="68" s="1" a="1"/>
  <c r="I12" i="68"/>
  <c r="K36" i="73"/>
  <c r="I36" i="73"/>
  <c r="I27" i="71"/>
  <c r="K27" i="71"/>
  <c r="K24" i="74"/>
  <c r="I24" i="74"/>
  <c r="K25" i="69"/>
  <c r="I25" i="69"/>
  <c r="K27" i="69"/>
  <c r="I27" i="69"/>
  <c r="I22" i="69"/>
  <c r="K22" i="69"/>
  <c r="I31" i="74"/>
  <c r="K31" i="74"/>
  <c r="I25" i="71"/>
  <c r="K25" i="71"/>
  <c r="K33" i="73"/>
  <c r="I33" i="73"/>
  <c r="I21" i="67"/>
  <c r="K21" i="67"/>
  <c r="I23" i="68"/>
  <c r="K23" i="68"/>
  <c r="V23" i="68" s="1" a="1"/>
  <c r="K15" i="68"/>
  <c r="V15" i="68" s="1" a="1"/>
  <c r="I15" i="68"/>
  <c r="I24" i="71"/>
  <c r="K24" i="71"/>
  <c r="K32" i="46"/>
  <c r="I32" i="46"/>
  <c r="O44" i="67"/>
  <c r="L26" i="55"/>
  <c r="D18" i="45" a="1"/>
  <c r="F15" i="45" a="1"/>
  <c r="J42" i="45" a="1"/>
  <c r="I60" i="55" a="1"/>
  <c r="F19" i="55"/>
  <c r="Q9" i="77"/>
  <c r="E72" i="76"/>
  <c r="L33" i="54"/>
  <c r="F20" i="55"/>
  <c r="I26" i="45" a="1"/>
  <c r="I25" i="45" a="1"/>
  <c r="I13" i="45" a="1"/>
  <c r="D21" i="55"/>
  <c r="J40" i="45" a="1"/>
  <c r="E21" i="55"/>
  <c r="D16" i="45" a="1"/>
  <c r="D14" i="45" a="1"/>
  <c r="E15" i="45" a="1"/>
  <c r="F27" i="45" a="1"/>
  <c r="N54" i="55"/>
  <c r="I12" i="45" a="1"/>
  <c r="K26" i="45" a="1"/>
  <c r="G17" i="45" a="1"/>
  <c r="E27" i="45" a="1"/>
  <c r="I65" i="55" a="1"/>
  <c r="J39" i="45" a="1"/>
  <c r="D33" i="54"/>
  <c r="S13" i="55"/>
  <c r="E52" i="55"/>
  <c r="F23" i="55"/>
  <c r="N52" i="55"/>
  <c r="H32" i="45" a="1"/>
  <c r="I27" i="45" a="1"/>
  <c r="J35" i="45" a="1"/>
  <c r="E53" i="55"/>
  <c r="E23" i="55"/>
  <c r="D17" i="45" a="1"/>
  <c r="H67" i="76"/>
  <c r="D27" i="45" a="1"/>
  <c r="K19" i="45" a="1"/>
  <c r="F23" i="45" a="1"/>
  <c r="G15" i="45" a="1"/>
  <c r="D31" i="45" a="1"/>
  <c r="G22" i="45" a="1"/>
  <c r="J19" i="45" a="1"/>
  <c r="E22" i="45" a="1"/>
  <c r="I21" i="45" a="1"/>
  <c r="E24" i="45" a="1"/>
  <c r="E18" i="45" a="1"/>
  <c r="E26" i="45" a="1"/>
  <c r="K25" i="45" a="1"/>
  <c r="D11" i="77"/>
  <c r="H29" i="45" a="1"/>
  <c r="D20" i="45" a="1"/>
  <c r="K24" i="45" a="1"/>
  <c r="J23" i="45" a="1"/>
  <c r="E25" i="45" a="1"/>
  <c r="N53" i="55"/>
  <c r="F16" i="45" a="1"/>
  <c r="G14" i="45" a="1"/>
  <c r="J30" i="45" a="1"/>
  <c r="Q10" i="77"/>
  <c r="E19" i="55"/>
  <c r="K11" i="45" a="1"/>
  <c r="D10" i="77"/>
  <c r="J28" i="45" a="1"/>
  <c r="L20" i="55"/>
  <c r="D23" i="45" a="1"/>
  <c r="J14" i="45" a="1"/>
  <c r="S10" i="55"/>
  <c r="H9" i="55"/>
  <c r="E22" i="55"/>
  <c r="D13" i="77"/>
  <c r="H33" i="54"/>
  <c r="I30" i="45" a="1"/>
  <c r="J13" i="45" a="1"/>
  <c r="J33" i="45" a="1"/>
  <c r="F22" i="45" a="1"/>
  <c r="F21" i="45" a="1"/>
  <c r="H13" i="45" a="1"/>
  <c r="H17" i="45" a="1"/>
  <c r="G18" i="45" a="1"/>
  <c r="F32" i="45" a="1"/>
  <c r="F25" i="45" a="1"/>
  <c r="E69" i="76"/>
  <c r="D19" i="55"/>
  <c r="F22" i="55"/>
  <c r="E26" i="55"/>
  <c r="H7" i="55"/>
  <c r="E31" i="45" a="1"/>
  <c r="H13" i="55"/>
  <c r="E21" i="45" a="1"/>
  <c r="H30" i="45" a="1"/>
  <c r="J36" i="45" a="1"/>
  <c r="E20" i="45" a="1"/>
  <c r="H24" i="45" a="1"/>
  <c r="D30" i="45" a="1"/>
  <c r="H19" i="45" a="1"/>
  <c r="J20" i="45" a="1"/>
  <c r="K18" i="45" a="1"/>
  <c r="G25" i="45" a="1"/>
  <c r="H16" i="45" a="1"/>
  <c r="D26" i="45" a="1"/>
  <c r="I32" i="45" a="1"/>
  <c r="G32" i="45" a="1"/>
  <c r="J16" i="45" a="1"/>
  <c r="N49" i="55"/>
  <c r="F14" i="45" a="1"/>
  <c r="G21" i="45" a="1"/>
  <c r="H8" i="55"/>
  <c r="J8" i="45" a="1"/>
  <c r="F24" i="55"/>
  <c r="K20" i="45" a="1"/>
  <c r="L25" i="55"/>
  <c r="K28" i="45" a="1"/>
  <c r="H64" i="76"/>
  <c r="J24" i="45" a="1"/>
  <c r="E55" i="55"/>
  <c r="D9" i="77"/>
  <c r="H72" i="76"/>
  <c r="I29" i="45" a="1"/>
  <c r="D15" i="45" a="1"/>
  <c r="C29" i="45" a="1"/>
  <c r="K30" i="45" a="1"/>
  <c r="H20" i="45" a="1"/>
  <c r="F21" i="55"/>
  <c r="J31" i="45" a="1"/>
  <c r="I17" i="45" a="1"/>
  <c r="E23" i="45" a="1"/>
  <c r="G19" i="45" a="1"/>
  <c r="J26" i="45" a="1"/>
  <c r="D22" i="55"/>
  <c r="E19" i="45" a="1"/>
  <c r="K23" i="45" a="1"/>
  <c r="G20" i="45" a="1"/>
  <c r="K29" i="45" a="1"/>
  <c r="F24" i="45" a="1"/>
  <c r="J37" i="45" a="1"/>
  <c r="E24" i="55"/>
  <c r="J12" i="45" a="1"/>
  <c r="C31" i="45" a="1"/>
  <c r="D22" i="45" a="1"/>
  <c r="D24" i="55"/>
  <c r="N50" i="55"/>
  <c r="G26" i="45" a="1"/>
  <c r="D19" i="45" a="1"/>
  <c r="I23" i="45" a="1"/>
  <c r="D18" i="55"/>
  <c r="J41" i="45" a="1"/>
  <c r="H68" i="76"/>
  <c r="R33" i="54"/>
  <c r="H28" i="45" a="1"/>
  <c r="I33" i="45" a="1"/>
  <c r="D21" i="45" a="1"/>
  <c r="D33" i="45" a="1"/>
  <c r="K12" i="45" a="1"/>
  <c r="E33" i="45" a="1"/>
  <c r="H15" i="45" a="1"/>
  <c r="K33" i="45" a="1"/>
  <c r="N33" i="54"/>
  <c r="H25" i="45" a="1"/>
  <c r="E29" i="45" a="1"/>
  <c r="J10" i="45" a="1"/>
  <c r="I62" i="55" a="1"/>
  <c r="I14" i="45" a="1"/>
  <c r="D20" i="55"/>
  <c r="G23" i="45" a="1"/>
  <c r="F30" i="45" a="1"/>
  <c r="D8" i="77"/>
  <c r="L23" i="55"/>
  <c r="G27" i="45" a="1"/>
  <c r="I20" i="45" a="1"/>
  <c r="H23" i="45" a="1"/>
  <c r="F13" i="45" a="1"/>
  <c r="D5" i="77"/>
  <c r="H11" i="45" a="1"/>
  <c r="H5" i="55"/>
  <c r="F33" i="45" a="1"/>
  <c r="H22" i="45" a="1"/>
  <c r="L24" i="55"/>
  <c r="H21" i="45" a="1"/>
  <c r="E18" i="55"/>
  <c r="J21" i="45" a="1"/>
  <c r="G33" i="45" a="1"/>
  <c r="J33" i="54"/>
  <c r="S7" i="73" l="1" a="1"/>
  <c r="V33" i="68" a="1"/>
  <c r="Q28" i="54"/>
  <c r="Q27" i="54"/>
  <c r="Q29" i="54"/>
  <c r="Q24" i="54"/>
  <c r="Q30" i="54"/>
  <c r="AI12" i="55"/>
  <c r="AJ12" i="55"/>
  <c r="AK12" i="55"/>
  <c r="AH12" i="55"/>
  <c r="H7" i="73"/>
  <c r="Q7" i="73"/>
  <c r="D26" i="55"/>
  <c r="K15" i="45" a="1"/>
  <c r="B33" i="54"/>
  <c r="L19" i="55"/>
  <c r="J17" i="45" a="1"/>
  <c r="F26" i="55"/>
  <c r="C30" i="45" a="1"/>
  <c r="E12" i="45" a="1"/>
  <c r="K31" i="45" a="1"/>
  <c r="K32" i="45" a="1"/>
  <c r="F12" i="45" a="1"/>
  <c r="S9" i="55"/>
  <c r="H6" i="55"/>
  <c r="K13" i="45" a="1"/>
  <c r="I16" i="45" a="1"/>
  <c r="K22" i="45" a="1"/>
  <c r="C28" i="45" a="1"/>
  <c r="G12" i="45" a="1"/>
  <c r="J34" i="45" a="1"/>
  <c r="J25" i="45" a="1"/>
  <c r="K21" i="45" a="1"/>
  <c r="N55" i="55"/>
  <c r="G16" i="45" a="1"/>
  <c r="H10" i="55"/>
  <c r="I31" i="45" a="1"/>
  <c r="J32" i="45" a="1"/>
  <c r="H26" i="45" a="1"/>
  <c r="D7" i="77"/>
  <c r="P19" i="55"/>
  <c r="I24" i="45" a="1"/>
  <c r="G31" i="45" a="1"/>
  <c r="J9" i="45" a="1"/>
  <c r="H69" i="76"/>
  <c r="D32" i="45" a="1"/>
  <c r="D23" i="55"/>
  <c r="F31" i="45" a="1"/>
  <c r="I61" i="55" a="1"/>
  <c r="E28" i="45" a="1"/>
  <c r="J18" i="45" a="1"/>
  <c r="E17" i="45" a="1"/>
  <c r="I63" i="55" a="1"/>
  <c r="J29" i="45" a="1"/>
  <c r="I22" i="45" a="1"/>
  <c r="I15" i="45" a="1"/>
  <c r="I18" i="45" a="1"/>
  <c r="C32" i="45" a="1"/>
  <c r="C33" i="45" a="1"/>
  <c r="F17" i="45" a="1"/>
  <c r="J27" i="45" a="1"/>
  <c r="J15" i="45" a="1"/>
  <c r="H33" i="45" a="1"/>
  <c r="K16" i="45" a="1"/>
  <c r="I66" i="55" a="1"/>
  <c r="E13" i="45" a="1"/>
  <c r="D12" i="45" a="1"/>
  <c r="H12" i="45" a="1"/>
  <c r="H66" i="76"/>
  <c r="G28" i="45" a="1"/>
  <c r="H18" i="45" a="1"/>
  <c r="E14" i="45" a="1"/>
  <c r="F20" i="45" a="1"/>
  <c r="P26" i="55"/>
  <c r="E32" i="45" a="1"/>
  <c r="K17" i="45" a="1"/>
  <c r="D13" i="45" a="1"/>
  <c r="F11" i="45" a="1"/>
  <c r="I28" i="45" a="1"/>
  <c r="D6" i="77"/>
  <c r="F33" i="54"/>
  <c r="L21" i="55"/>
  <c r="G13" i="45" a="1"/>
  <c r="H11" i="55"/>
  <c r="F18" i="55"/>
  <c r="I64" i="55" a="1"/>
  <c r="H70" i="76"/>
  <c r="I67" i="55" a="1"/>
  <c r="K14" i="45" a="1"/>
  <c r="F26" i="45" a="1"/>
  <c r="N51" i="55"/>
  <c r="H65" i="76"/>
  <c r="F29" i="45" a="1"/>
  <c r="L22" i="55"/>
  <c r="F18" i="45" a="1"/>
  <c r="H27" i="45" a="1"/>
  <c r="F28" i="45" a="1"/>
  <c r="F19" i="45" a="1"/>
  <c r="H14" i="45" a="1"/>
  <c r="E68" i="76"/>
  <c r="G24" i="45" a="1"/>
  <c r="G29" i="45" a="1"/>
  <c r="D29" i="45" a="1"/>
  <c r="J11" i="45" a="1"/>
  <c r="I19" i="45" a="1"/>
  <c r="H31" i="45" a="1"/>
  <c r="D25" i="45" a="1"/>
  <c r="K27" i="45" a="1"/>
  <c r="G30" i="45" a="1"/>
  <c r="E20" i="55"/>
  <c r="N47" i="55"/>
  <c r="D28" i="45" a="1"/>
  <c r="Q13" i="77"/>
  <c r="E16" i="45" a="1"/>
  <c r="J38" i="45" a="1"/>
  <c r="D24" i="45" a="1"/>
  <c r="P21" i="55"/>
  <c r="E30" i="45" a="1"/>
  <c r="J22" i="45" a="1"/>
  <c r="P24" i="55"/>
  <c r="AD24" i="55"/>
  <c r="S23" i="55"/>
  <c r="I11" i="45" a="1"/>
  <c r="AE18" i="55"/>
  <c r="AC24" i="55"/>
  <c r="W10" i="55"/>
  <c r="AE20" i="55"/>
  <c r="V13" i="77"/>
  <c r="E5" i="77"/>
  <c r="AG26" i="55"/>
  <c r="AC18" i="55"/>
  <c r="Z20" i="55"/>
  <c r="Y26" i="55"/>
  <c r="AD20" i="55"/>
  <c r="AB13" i="55"/>
  <c r="E8" i="77"/>
  <c r="S21" i="55"/>
  <c r="V11" i="77"/>
  <c r="Z22" i="55"/>
  <c r="L50" i="55"/>
  <c r="AD18" i="55"/>
  <c r="Z23" i="55"/>
  <c r="V9" i="77"/>
  <c r="H54" i="55"/>
  <c r="N48" i="55"/>
  <c r="L53" i="55"/>
  <c r="V6" i="77"/>
  <c r="AE24" i="55"/>
  <c r="AD26" i="55"/>
  <c r="D13" i="55"/>
  <c r="AG22" i="55"/>
  <c r="S26" i="55"/>
  <c r="AC23" i="55"/>
  <c r="E48" i="55"/>
  <c r="AF24" i="55"/>
  <c r="AC22" i="55"/>
  <c r="D11" i="45" a="1"/>
  <c r="S20" i="55"/>
  <c r="V10" i="77"/>
  <c r="E13" i="77"/>
  <c r="AB18" i="55"/>
  <c r="L55" i="55"/>
  <c r="AF21" i="55"/>
  <c r="F48" i="55"/>
  <c r="I67" i="76"/>
  <c r="I65" i="76"/>
  <c r="I69" i="76"/>
  <c r="AE22" i="55"/>
  <c r="Y19" i="55"/>
  <c r="F10" i="45" a="1"/>
  <c r="AF26" i="55"/>
  <c r="H53" i="55"/>
  <c r="Q12" i="77"/>
  <c r="X12" i="77"/>
  <c r="AB19" i="55"/>
  <c r="I70" i="76"/>
  <c r="P25" i="55"/>
  <c r="AG23" i="55"/>
  <c r="AB22" i="55"/>
  <c r="P18" i="55"/>
  <c r="AA26" i="55"/>
  <c r="AG19" i="55"/>
  <c r="AG24" i="55"/>
  <c r="H49" i="55"/>
  <c r="H51" i="55"/>
  <c r="AD23" i="55"/>
  <c r="V5" i="77"/>
  <c r="AE23" i="55"/>
  <c r="E6" i="77"/>
  <c r="V7" i="77"/>
  <c r="G71" i="76"/>
  <c r="H47" i="55"/>
  <c r="I72" i="76"/>
  <c r="AA22" i="55"/>
  <c r="V8" i="77"/>
  <c r="H55" i="55"/>
  <c r="G48" i="55"/>
  <c r="Z18" i="55"/>
  <c r="S12" i="55"/>
  <c r="AD21" i="55"/>
  <c r="F71" i="76"/>
  <c r="AB23" i="55"/>
  <c r="H10" i="45" a="1"/>
  <c r="AB24" i="55"/>
  <c r="AA19" i="55"/>
  <c r="P20" i="55"/>
  <c r="AA18" i="55"/>
  <c r="N12" i="77"/>
  <c r="D48" i="55"/>
  <c r="AC21" i="55"/>
  <c r="P6" i="55"/>
  <c r="E11" i="45" a="1"/>
  <c r="S19" i="55"/>
  <c r="L51" i="55"/>
  <c r="Y21" i="55"/>
  <c r="AA23" i="55"/>
  <c r="AA20" i="55"/>
  <c r="AB21" i="55"/>
  <c r="I66" i="76"/>
  <c r="Z21" i="55"/>
  <c r="I68" i="76"/>
  <c r="E7" i="77"/>
  <c r="G11" i="45" a="1"/>
  <c r="H52" i="55"/>
  <c r="Y22" i="55"/>
  <c r="E71" i="76"/>
  <c r="Y18" i="55"/>
  <c r="AE19" i="55"/>
  <c r="AG18" i="55"/>
  <c r="L52" i="55"/>
  <c r="AE21" i="55"/>
  <c r="AB26" i="55"/>
  <c r="P12" i="77"/>
  <c r="Y20" i="55"/>
  <c r="L49" i="55"/>
  <c r="AG21" i="55"/>
  <c r="AG20" i="55"/>
  <c r="Z24" i="55"/>
  <c r="E9" i="77"/>
  <c r="C23" i="45" a="1"/>
  <c r="AA21" i="55"/>
  <c r="P23" i="55"/>
  <c r="K10" i="45" a="1"/>
  <c r="AC19" i="55"/>
  <c r="L18" i="55"/>
  <c r="AC20" i="55"/>
  <c r="AF22" i="55"/>
  <c r="AF18" i="55"/>
  <c r="Y23" i="55"/>
  <c r="S22" i="55"/>
  <c r="Z19" i="55"/>
  <c r="L47" i="55"/>
  <c r="E10" i="77"/>
  <c r="AB20" i="55"/>
  <c r="S24" i="55"/>
  <c r="R12" i="77"/>
  <c r="AF23" i="55"/>
  <c r="Y24" i="55"/>
  <c r="E11" i="77"/>
  <c r="L54" i="55"/>
  <c r="AC26" i="55"/>
  <c r="S25" i="55"/>
  <c r="AA24" i="55"/>
  <c r="AF20" i="55"/>
  <c r="AF19" i="55"/>
  <c r="P22" i="55"/>
  <c r="H50" i="55"/>
  <c r="Z26" i="55"/>
  <c r="AD19" i="55"/>
  <c r="AD22" i="55"/>
  <c r="I64" i="76"/>
  <c r="AE26" i="55"/>
  <c r="D71" i="76"/>
  <c r="T7" i="73" l="1" a="1"/>
  <c r="K28" i="54"/>
  <c r="Y30" i="55"/>
  <c r="K25" i="54"/>
  <c r="Q26" i="54"/>
  <c r="Q25" i="54"/>
  <c r="Y36" i="55"/>
  <c r="K30" i="54"/>
  <c r="Y31" i="55"/>
  <c r="K23" i="54"/>
  <c r="Q23" i="54"/>
  <c r="K24" i="54"/>
  <c r="W9" i="77"/>
  <c r="J41" i="54"/>
  <c r="K41" i="54" s="1"/>
  <c r="L41" i="54"/>
  <c r="M41" i="54" s="1"/>
  <c r="U25" i="55"/>
  <c r="W8" i="77"/>
  <c r="U20" i="55"/>
  <c r="W11" i="77"/>
  <c r="W10" i="77"/>
  <c r="W13" i="77"/>
  <c r="AA13" i="55"/>
  <c r="Q16" i="77"/>
  <c r="N41" i="54"/>
  <c r="O41" i="54" s="1"/>
  <c r="U24" i="55"/>
  <c r="U21" i="55"/>
  <c r="W7" i="77"/>
  <c r="U26" i="55"/>
  <c r="U22" i="55"/>
  <c r="U23" i="55"/>
  <c r="W6" i="77"/>
  <c r="F40" i="54"/>
  <c r="G40" i="54" s="1"/>
  <c r="W5" i="77"/>
  <c r="I2" i="56" a="1"/>
  <c r="I7" i="73"/>
  <c r="K7" i="73"/>
  <c r="O7" i="73"/>
  <c r="P7" i="73"/>
  <c r="K26" i="54"/>
  <c r="Y33" i="55"/>
  <c r="Y34" i="55"/>
  <c r="K29" i="54"/>
  <c r="Y35" i="55"/>
  <c r="K27" i="54"/>
  <c r="K22" i="54"/>
  <c r="Y32" i="55"/>
  <c r="H71" i="76"/>
  <c r="M54" i="55"/>
  <c r="M53" i="55"/>
  <c r="E25" i="55"/>
  <c r="M55" i="55"/>
  <c r="M47" i="55"/>
  <c r="M52" i="55"/>
  <c r="M51" i="55"/>
  <c r="I59" i="55" a="1"/>
  <c r="F25" i="55"/>
  <c r="P33" i="54"/>
  <c r="M49" i="55"/>
  <c r="D12" i="77"/>
  <c r="D25" i="55"/>
  <c r="M50" i="55"/>
  <c r="H12" i="55"/>
  <c r="F41" i="54" l="1"/>
  <c r="G41" i="54" s="1"/>
  <c r="P26" i="56"/>
  <c r="H41" i="56"/>
  <c r="J41" i="56" s="1"/>
  <c r="O7" i="56"/>
  <c r="O4" i="56"/>
  <c r="H22" i="56"/>
  <c r="J22" i="56" s="1"/>
  <c r="O15" i="56"/>
  <c r="O9" i="56"/>
  <c r="P29" i="56"/>
  <c r="P27" i="56"/>
  <c r="H34" i="56"/>
  <c r="J34" i="56" s="1"/>
  <c r="P8" i="56"/>
  <c r="H21" i="56"/>
  <c r="J21" i="56" s="1"/>
  <c r="H27" i="56"/>
  <c r="J27" i="56" s="1"/>
  <c r="H39" i="56"/>
  <c r="J39" i="56" s="1"/>
  <c r="O25" i="56"/>
  <c r="P10" i="56"/>
  <c r="O26" i="56"/>
  <c r="P39" i="56"/>
  <c r="O16" i="56"/>
  <c r="H30" i="56"/>
  <c r="J30" i="56" s="1"/>
  <c r="H29" i="56"/>
  <c r="J29" i="56" s="1"/>
  <c r="P33" i="56"/>
  <c r="P41" i="56"/>
  <c r="O18" i="56"/>
  <c r="P32" i="56"/>
  <c r="O19" i="56"/>
  <c r="P20" i="56"/>
  <c r="P9" i="56"/>
  <c r="H35" i="56"/>
  <c r="J35" i="56" s="1"/>
  <c r="H25" i="56"/>
  <c r="J25" i="56" s="1"/>
  <c r="P14" i="56"/>
  <c r="P31" i="56"/>
  <c r="O24" i="56"/>
  <c r="O35" i="56"/>
  <c r="O40" i="56"/>
  <c r="P30" i="56"/>
  <c r="P22" i="56"/>
  <c r="O41" i="56"/>
  <c r="O38" i="56"/>
  <c r="H7" i="56"/>
  <c r="J7" i="56" s="1"/>
  <c r="H26" i="56"/>
  <c r="J26" i="56" s="1"/>
  <c r="H4" i="56"/>
  <c r="J4" i="56" s="1"/>
  <c r="H20" i="56"/>
  <c r="J20" i="56" s="1"/>
  <c r="P13" i="56"/>
  <c r="P19" i="56"/>
  <c r="H3" i="56"/>
  <c r="J3" i="56" s="1"/>
  <c r="O31" i="56"/>
  <c r="P25" i="56"/>
  <c r="P12" i="56"/>
  <c r="O32" i="56"/>
  <c r="P34" i="56"/>
  <c r="P37" i="56"/>
  <c r="O22" i="56"/>
  <c r="H23" i="56"/>
  <c r="J23" i="56" s="1"/>
  <c r="H18" i="56"/>
  <c r="J18" i="56" s="1"/>
  <c r="H9" i="56"/>
  <c r="J9" i="56" s="1"/>
  <c r="H13" i="56"/>
  <c r="J13" i="56" s="1"/>
  <c r="O17" i="56"/>
  <c r="H17" i="56"/>
  <c r="J17" i="56" s="1"/>
  <c r="P3" i="56"/>
  <c r="O39" i="56"/>
  <c r="P23" i="56"/>
  <c r="P4" i="56"/>
  <c r="H24" i="56"/>
  <c r="J24" i="56" s="1"/>
  <c r="O34" i="56"/>
  <c r="P21" i="56"/>
  <c r="H15" i="56"/>
  <c r="J15" i="56" s="1"/>
  <c r="H10" i="56"/>
  <c r="J10" i="56" s="1"/>
  <c r="P16" i="56"/>
  <c r="O3" i="56"/>
  <c r="O13" i="56"/>
  <c r="O27" i="56"/>
  <c r="O14" i="56"/>
  <c r="P35" i="56"/>
  <c r="O20" i="56"/>
  <c r="H28" i="56"/>
  <c r="J28" i="56" s="1"/>
  <c r="P15" i="56"/>
  <c r="O12" i="56"/>
  <c r="P40" i="56"/>
  <c r="H32" i="56"/>
  <c r="J32" i="56" s="1"/>
  <c r="O5" i="56"/>
  <c r="P36" i="56"/>
  <c r="O10" i="56"/>
  <c r="P5" i="56"/>
  <c r="O29" i="56"/>
  <c r="O8" i="56"/>
  <c r="P6" i="56"/>
  <c r="P17" i="56"/>
  <c r="H5" i="56"/>
  <c r="J5" i="56" s="1"/>
  <c r="O11" i="56"/>
  <c r="O21" i="56"/>
  <c r="H33" i="56"/>
  <c r="J33" i="56" s="1"/>
  <c r="H12" i="56"/>
  <c r="J12" i="56" s="1"/>
  <c r="P11" i="56"/>
  <c r="H6" i="56"/>
  <c r="J6" i="56" s="1"/>
  <c r="O23" i="56"/>
  <c r="H14" i="56"/>
  <c r="J14" i="56" s="1"/>
  <c r="H31" i="56"/>
  <c r="J31" i="56" s="1"/>
  <c r="P18" i="56"/>
  <c r="O33" i="56"/>
  <c r="O37" i="56"/>
  <c r="H19" i="56"/>
  <c r="J19" i="56" s="1"/>
  <c r="H37" i="56"/>
  <c r="J37" i="56" s="1"/>
  <c r="H38" i="56"/>
  <c r="J38" i="56" s="1"/>
  <c r="H11" i="56"/>
  <c r="J11" i="56" s="1"/>
  <c r="P7" i="56"/>
  <c r="P38" i="56"/>
  <c r="O30" i="56"/>
  <c r="O6" i="56"/>
  <c r="O36" i="56"/>
  <c r="H40" i="56"/>
  <c r="J40" i="56" s="1"/>
  <c r="O28" i="56"/>
  <c r="P28" i="56"/>
  <c r="H16" i="56"/>
  <c r="J16" i="56" s="1"/>
  <c r="H36" i="56"/>
  <c r="J36" i="56" s="1"/>
  <c r="H8" i="56"/>
  <c r="J8" i="56" s="1"/>
  <c r="P24" i="56"/>
  <c r="Q22" i="54"/>
  <c r="P41" i="54"/>
  <c r="O11" i="77"/>
  <c r="O13" i="77"/>
  <c r="O6" i="77"/>
  <c r="O8" i="77"/>
  <c r="O7" i="77"/>
  <c r="O10" i="77"/>
  <c r="O9" i="77"/>
  <c r="O5" i="77"/>
  <c r="O12" i="77"/>
  <c r="L48" i="55"/>
  <c r="I71" i="76"/>
  <c r="AE25" i="55"/>
  <c r="Z25" i="55"/>
  <c r="AC25" i="55"/>
  <c r="V12" i="77"/>
  <c r="S18" i="55"/>
  <c r="AF25" i="55"/>
  <c r="E12" i="77"/>
  <c r="AA25" i="55"/>
  <c r="AD25" i="55"/>
  <c r="H48" i="55"/>
  <c r="J7" i="45" a="1"/>
  <c r="AB25" i="55"/>
  <c r="Y25" i="55"/>
  <c r="AG25" i="55"/>
  <c r="J71" i="76" l="1"/>
  <c r="J69" i="76"/>
  <c r="J64" i="76"/>
  <c r="J70" i="76"/>
  <c r="J65" i="76"/>
  <c r="J66" i="76"/>
  <c r="J72" i="76"/>
  <c r="J67" i="76"/>
  <c r="J68" i="76"/>
  <c r="P16" i="77"/>
  <c r="W12" i="77"/>
  <c r="U19" i="55"/>
  <c r="T25" i="55"/>
  <c r="T20" i="55"/>
  <c r="T26" i="55"/>
  <c r="T22" i="55"/>
  <c r="T24" i="55"/>
  <c r="S22" i="54"/>
  <c r="T23" i="55"/>
  <c r="T19" i="55"/>
  <c r="T21" i="55"/>
  <c r="T18" i="55"/>
  <c r="Q20" i="54"/>
  <c r="M48" i="55"/>
  <c r="K69" i="76" l="1"/>
  <c r="K68" i="76"/>
  <c r="K71" i="76"/>
  <c r="K64" i="76"/>
  <c r="K65" i="76"/>
  <c r="K67" i="76"/>
  <c r="K70" i="76"/>
  <c r="K66" i="76"/>
  <c r="K72" i="76"/>
  <c r="P17" i="77" a="1"/>
  <c r="R16" i="77"/>
  <c r="R17" i="77" s="1"/>
  <c r="Q17" i="77"/>
  <c r="N64" i="76" l="1"/>
  <c r="N67" i="76"/>
  <c r="N68" i="76"/>
  <c r="N66" i="76"/>
  <c r="N71" i="76"/>
  <c r="N72" i="76"/>
  <c r="N65" i="76"/>
  <c r="N70" i="76"/>
  <c r="N69" i="76"/>
  <c r="R64" i="76" l="1"/>
  <c r="O64" i="76"/>
  <c r="S64" i="76"/>
  <c r="P64" i="76"/>
  <c r="Q64" i="76"/>
  <c r="T64" i="76"/>
  <c r="Q67" i="76"/>
  <c r="S67" i="76"/>
  <c r="O67" i="76"/>
  <c r="T67" i="76"/>
  <c r="R67" i="76"/>
  <c r="P67" i="76"/>
  <c r="R68" i="76"/>
  <c r="O68" i="76"/>
  <c r="P68" i="76"/>
  <c r="T68" i="76"/>
  <c r="S68" i="76"/>
  <c r="Q68" i="76"/>
  <c r="S66" i="76"/>
  <c r="R66" i="76"/>
  <c r="T66" i="76"/>
  <c r="O66" i="76"/>
  <c r="Q66" i="76"/>
  <c r="P66" i="76"/>
  <c r="T71" i="76"/>
  <c r="P71" i="76"/>
  <c r="R71" i="76"/>
  <c r="O71" i="76"/>
  <c r="S71" i="76"/>
  <c r="Q71" i="76"/>
  <c r="Q72" i="76"/>
  <c r="S72" i="76"/>
  <c r="T72" i="76"/>
  <c r="P72" i="76"/>
  <c r="R72" i="76"/>
  <c r="O72" i="76"/>
  <c r="O65" i="76"/>
  <c r="P65" i="76"/>
  <c r="Q65" i="76"/>
  <c r="R65" i="76"/>
  <c r="S65" i="76"/>
  <c r="T65" i="76"/>
  <c r="R70" i="76"/>
  <c r="T70" i="76"/>
  <c r="S70" i="76"/>
  <c r="Q70" i="76"/>
  <c r="P70" i="76"/>
  <c r="O70" i="76"/>
  <c r="S69" i="76"/>
  <c r="O69" i="76"/>
  <c r="T69" i="76"/>
  <c r="R69" i="76"/>
  <c r="P69" i="76"/>
  <c r="Q69" i="76"/>
  <c r="U30" i="74" s="1"/>
  <c r="V30" i="74" s="1"/>
  <c r="U26" i="74" s="1"/>
  <c r="V26" i="74" s="1"/>
  <c r="U25" i="74" s="1"/>
  <c r="V25" i="74" s="1"/>
  <c r="U22" i="74" s="1"/>
  <c r="V22" i="74" s="1"/>
  <c r="U21" i="74" s="1"/>
  <c r="V21" i="74" s="1"/>
  <c r="U20" i="74" s="1"/>
  <c r="V20" i="74" s="1"/>
  <c r="U19" i="74" s="1"/>
  <c r="V19" i="74" s="1"/>
  <c r="U17" i="74" s="1"/>
  <c r="V17" i="74" s="1"/>
  <c r="U14" i="74" s="1"/>
  <c r="V14" i="74" s="1"/>
  <c r="U10" i="74" s="1"/>
  <c r="V10" i="74" s="1"/>
  <c r="U9" i="74" s="1"/>
  <c r="V9" i="74" s="1"/>
  <c r="U6" i="74" s="1"/>
  <c r="V6" i="74" s="1"/>
  <c r="U5" i="74" s="1"/>
  <c r="V5" i="74" s="1"/>
  <c r="U4" i="74" s="1"/>
  <c r="V4" i="74" s="1"/>
  <c r="U3" i="74" s="1"/>
  <c r="V3" i="74" s="1"/>
  <c r="U41" i="73" s="1"/>
  <c r="V41" i="73" s="1"/>
  <c r="U38" i="73" s="1"/>
  <c r="V38" i="73" s="1"/>
  <c r="U36" i="73" s="1"/>
  <c r="V36" i="73" s="1"/>
  <c r="U34" i="73" s="1"/>
  <c r="V34" i="73" s="1"/>
  <c r="U33" i="73" s="1"/>
  <c r="V33" i="73" s="1"/>
  <c r="U30" i="73" s="1"/>
  <c r="V30" i="73" s="1"/>
  <c r="U29" i="73" s="1"/>
  <c r="V29" i="73" s="1"/>
  <c r="U28" i="73" s="1"/>
  <c r="V28" i="73" s="1"/>
  <c r="U27" i="73" s="1"/>
  <c r="V27" i="73" s="1"/>
  <c r="U25" i="73" s="1"/>
  <c r="V25" i="73" s="1"/>
  <c r="U20" i="73" s="1"/>
  <c r="V20" i="73" s="1"/>
  <c r="U18" i="73" s="1"/>
  <c r="V18" i="73" s="1"/>
  <c r="U17" i="73" s="1"/>
  <c r="V17" i="73" s="1"/>
  <c r="U14" i="73" s="1"/>
  <c r="V14" i="73" s="1"/>
  <c r="U13" i="73" s="1"/>
  <c r="V13" i="73" s="1"/>
  <c r="U12" i="73" s="1"/>
  <c r="V12" i="73" s="1"/>
  <c r="U11" i="73" s="1"/>
  <c r="V11" i="73" s="1"/>
  <c r="U9" i="73" s="1"/>
  <c r="V9" i="73" s="1"/>
  <c r="U6" i="73" s="1"/>
  <c r="V6" i="73" s="1"/>
  <c r="U4" i="73" s="1"/>
  <c r="V4" i="73" s="1"/>
  <c r="U33" i="72" s="1"/>
  <c r="V33" i="72" s="1"/>
  <c r="U30" i="72" s="1"/>
  <c r="V30" i="72" s="1"/>
  <c r="U28" i="72" s="1"/>
  <c r="V28" i="72" s="1"/>
  <c r="U27" i="72" s="1"/>
  <c r="V27" i="72" s="1"/>
  <c r="U25" i="72" s="1"/>
  <c r="V25" i="72" s="1"/>
  <c r="U22" i="72" s="1"/>
  <c r="V22" i="72" s="1"/>
  <c r="U17" i="72" s="1"/>
  <c r="V17" i="72" s="1"/>
  <c r="U14" i="72" s="1"/>
  <c r="V14" i="72" s="1"/>
  <c r="U12" i="72" s="1"/>
  <c r="V12" i="72" s="1"/>
  <c r="U11" i="72" s="1"/>
  <c r="V11" i="72" s="1"/>
  <c r="U9" i="72" s="1"/>
  <c r="V9" i="72" s="1"/>
  <c r="U6" i="72" s="1"/>
  <c r="V6" i="72" s="1"/>
  <c r="U4" i="72" s="1"/>
  <c r="V4" i="72" s="1"/>
  <c r="U33" i="71" s="1"/>
  <c r="V33" i="71" s="1"/>
  <c r="U30" i="71" s="1"/>
  <c r="V30" i="71" s="1"/>
  <c r="U29" i="71" s="1"/>
  <c r="V29" i="71" s="1"/>
  <c r="U28" i="71" s="1"/>
  <c r="V28" i="71" s="1"/>
  <c r="U27" i="71" s="1"/>
  <c r="V27" i="71" s="1"/>
  <c r="U25" i="71" s="1"/>
  <c r="V25" i="71" s="1"/>
  <c r="U22" i="71" s="1"/>
  <c r="V22" i="71" s="1"/>
  <c r="U20" i="71" s="1"/>
  <c r="V20" i="71" s="1"/>
  <c r="U17" i="71" s="1"/>
  <c r="V17" i="71" s="1"/>
  <c r="U14" i="71" s="1"/>
  <c r="V14" i="71" s="1"/>
  <c r="U13" i="71" s="1"/>
  <c r="V13" i="71" s="1"/>
  <c r="U12" i="71" s="1"/>
  <c r="V12" i="71" s="1"/>
  <c r="U11" i="71" s="1"/>
  <c r="V11" i="71" s="1"/>
  <c r="U9" i="71" s="1"/>
  <c r="V9" i="71" s="1"/>
  <c r="U6" i="71" s="1"/>
  <c r="V6" i="71" s="1"/>
  <c r="U4" i="71" s="1"/>
  <c r="V4" i="71" s="1"/>
  <c r="U33" i="70" s="1"/>
  <c r="V33" i="70" s="1"/>
  <c r="U29" i="70" s="1"/>
  <c r="V29" i="70" s="1"/>
  <c r="U28" i="70" s="1"/>
  <c r="V28" i="70" s="1"/>
  <c r="U27" i="70" s="1"/>
  <c r="V27" i="70" s="1"/>
  <c r="U25" i="70" s="1"/>
  <c r="V25" i="70" s="1"/>
  <c r="U22" i="70" s="1"/>
  <c r="V22" i="70" s="1"/>
  <c r="U20" i="70" s="1"/>
  <c r="V20" i="70" s="1"/>
  <c r="U17" i="70" s="1"/>
  <c r="V17" i="70" s="1"/>
  <c r="U14" i="70" s="1"/>
  <c r="V14" i="70" s="1"/>
  <c r="U13" i="70" s="1"/>
  <c r="V13" i="70" s="1"/>
  <c r="U12" i="70" s="1"/>
  <c r="V12" i="70" s="1"/>
  <c r="U11" i="70" s="1"/>
  <c r="V11" i="70" s="1"/>
  <c r="U9" i="70" s="1"/>
  <c r="V9" i="70" s="1"/>
  <c r="U6" i="70" s="1"/>
  <c r="V6" i="70" s="1"/>
  <c r="U4" i="70" s="1"/>
  <c r="V4" i="70" s="1"/>
  <c r="U33" i="69" s="1"/>
  <c r="V33" i="69" s="1"/>
  <c r="U29" i="69" s="1"/>
  <c r="V29" i="69" s="1"/>
  <c r="U28" i="69" s="1"/>
  <c r="V28" i="69" s="1"/>
  <c r="U27" i="69" s="1"/>
  <c r="V27" i="69" s="1"/>
  <c r="U25" i="69" s="1"/>
  <c r="V25" i="69" s="1"/>
  <c r="U22" i="69" s="1"/>
  <c r="V22" i="69" s="1"/>
  <c r="U20" i="69" s="1"/>
  <c r="V20" i="69" s="1"/>
  <c r="U17" i="69" s="1"/>
  <c r="V17" i="69" s="1"/>
  <c r="U14" i="69" s="1"/>
  <c r="V14" i="69" s="1"/>
  <c r="U13" i="69" s="1"/>
  <c r="V13" i="69" s="1"/>
  <c r="U12" i="69" s="1"/>
  <c r="V12" i="69" s="1"/>
  <c r="U11" i="69" s="1"/>
  <c r="V11" i="69" s="1"/>
  <c r="U9" i="69" s="1"/>
  <c r="V9" i="69" s="1"/>
  <c r="U6" i="69" s="1"/>
  <c r="V6" i="69" s="1"/>
  <c r="U4" i="69" s="1"/>
  <c r="V4" i="69" s="1"/>
  <c r="T28" i="45" a="1"/>
  <c r="V14" i="45" a="1"/>
  <c r="U28" i="45" a="1"/>
  <c r="T4" i="45" a="1"/>
  <c r="W17" i="45" a="1"/>
  <c r="S27" i="45" a="1"/>
  <c r="W6" i="45" a="1"/>
  <c r="T29" i="45" a="1"/>
  <c r="S9" i="45" a="1"/>
  <c r="Y10" i="45" a="1"/>
  <c r="X25" i="45" a="1"/>
  <c r="Y22" i="45" a="1"/>
  <c r="X27" i="45" a="1"/>
  <c r="Q59" i="55" a="1"/>
  <c r="X30" i="45" a="1"/>
  <c r="X33" i="45" a="1"/>
  <c r="T6" i="45" a="1"/>
  <c r="Y4" i="45" a="1"/>
  <c r="T14" i="45" a="1"/>
  <c r="Y30" i="45" a="1"/>
  <c r="X9" i="45" a="1"/>
  <c r="Y3" i="45" a="1"/>
  <c r="U14" i="45" a="1"/>
  <c r="V29" i="45" a="1"/>
  <c r="T22" i="45" a="1"/>
  <c r="U20" i="45" a="1"/>
  <c r="Y14" i="45" a="1"/>
  <c r="V9" i="45" a="1"/>
  <c r="V22" i="45" a="1"/>
  <c r="T11" i="45" a="1"/>
  <c r="V6" i="45" a="1"/>
  <c r="V4" i="45" a="1"/>
  <c r="W11" i="45" a="1"/>
  <c r="W4" i="45" a="1"/>
  <c r="S17" i="45" a="1"/>
  <c r="U33" i="45" a="1"/>
  <c r="X4" i="45" a="1"/>
  <c r="Y9" i="45" a="1"/>
  <c r="V28" i="45" a="1"/>
  <c r="T20" i="45" a="1"/>
  <c r="V25" i="45" a="1"/>
  <c r="S13" i="45" a="1"/>
  <c r="S14" i="45" a="1"/>
  <c r="W33" i="45" a="1"/>
  <c r="W27" i="45" a="1"/>
  <c r="V17" i="45" a="1"/>
  <c r="Y21" i="45" a="1"/>
  <c r="X20" i="45" a="1"/>
  <c r="T13" i="45" a="1"/>
  <c r="U22" i="45" a="1"/>
  <c r="V12" i="45" a="1"/>
  <c r="S12" i="45" a="1"/>
  <c r="U11" i="45" a="1"/>
  <c r="W14" i="45" a="1"/>
  <c r="Y17" i="45" a="1"/>
  <c r="Y20" i="45" a="1"/>
  <c r="W12" i="45" a="1"/>
  <c r="T27" i="45" a="1"/>
  <c r="U17" i="45" a="1"/>
  <c r="U4" i="45" a="1"/>
  <c r="S30" i="45" a="1"/>
  <c r="X18" i="45" a="1"/>
  <c r="V13" i="45" a="1"/>
  <c r="U12" i="45" a="1"/>
  <c r="V11" i="45" a="1"/>
  <c r="X29" i="45" a="1"/>
  <c r="W22" i="45" a="1"/>
  <c r="Q48" i="55"/>
  <c r="O48" i="55"/>
  <c r="S29" i="45" a="1"/>
  <c r="X6" i="45" a="1"/>
  <c r="X28" i="45" a="1"/>
  <c r="X11" i="45" a="1"/>
  <c r="P48" i="55"/>
  <c r="S25" i="45" a="1"/>
  <c r="W30" i="45" a="1"/>
  <c r="S20" i="45" a="1"/>
  <c r="X34" i="45" a="1"/>
  <c r="U27" i="45" a="1"/>
  <c r="W28" i="45" a="1"/>
  <c r="W9" i="45" a="1"/>
  <c r="X14" i="45" a="1"/>
  <c r="V30" i="45" a="1"/>
  <c r="Y25" i="45" a="1"/>
  <c r="T12" i="45" a="1"/>
  <c r="V27" i="45" a="1"/>
  <c r="S33" i="45" a="1"/>
  <c r="X12" i="45" a="1"/>
  <c r="Y19" i="45" a="1"/>
  <c r="U9" i="45" a="1"/>
  <c r="X41" i="45" a="1"/>
  <c r="O59" i="55" a="1"/>
  <c r="X13" i="45" a="1"/>
  <c r="U25" i="45" a="1"/>
  <c r="S11" i="45" a="1"/>
  <c r="S22" i="45" a="1"/>
  <c r="T33" i="45" a="1"/>
  <c r="X38" i="45" a="1"/>
  <c r="T9" i="45" a="1"/>
  <c r="W25" i="45" a="1"/>
  <c r="Y5" i="45" a="1"/>
  <c r="U13" i="45" a="1"/>
  <c r="U29" i="45" a="1"/>
  <c r="X36" i="45" a="1"/>
  <c r="Y26" i="45" a="1"/>
  <c r="S28" i="45" a="1"/>
  <c r="T25" i="45" a="1"/>
  <c r="V33" i="45" a="1"/>
  <c r="V20" i="45" a="1"/>
  <c r="U6" i="45" a="1"/>
  <c r="S4" i="45" a="1"/>
  <c r="S6" i="45" a="1"/>
  <c r="T17" i="45" a="1"/>
  <c r="Y6" i="45" a="1"/>
  <c r="P59" i="55" a="1"/>
  <c r="X17" i="45" a="1"/>
  <c r="U10" i="69" l="1"/>
  <c r="V10" i="69" s="1"/>
  <c r="U26" i="69"/>
  <c r="V26" i="69" s="1"/>
  <c r="U10" i="70"/>
  <c r="V10" i="70" s="1"/>
  <c r="U26" i="70"/>
  <c r="V26" i="70" s="1"/>
  <c r="U10" i="71"/>
  <c r="V10" i="71" s="1"/>
  <c r="U26" i="71"/>
  <c r="V26" i="71" s="1"/>
  <c r="U10" i="72"/>
  <c r="V10" i="72" s="1"/>
  <c r="U26" i="72"/>
  <c r="V26" i="72" s="1"/>
  <c r="U10" i="73"/>
  <c r="V10" i="73" s="1"/>
  <c r="U26" i="73"/>
  <c r="V26" i="73" s="1"/>
  <c r="U18" i="74"/>
  <c r="V18" i="74" s="1"/>
  <c r="U5" i="69"/>
  <c r="V5" i="69" s="1"/>
  <c r="U21" i="69"/>
  <c r="V21" i="69" s="1"/>
  <c r="U5" i="70"/>
  <c r="V5" i="70" s="1"/>
  <c r="U21" i="70"/>
  <c r="V21" i="70" s="1"/>
  <c r="U5" i="71"/>
  <c r="V5" i="71" s="1"/>
  <c r="U21" i="71"/>
  <c r="V21" i="71" s="1"/>
  <c r="U5" i="72"/>
  <c r="V5" i="72" s="1"/>
  <c r="U13" i="74"/>
  <c r="V13" i="74" s="1"/>
  <c r="U22" i="73"/>
  <c r="V22" i="73" s="1"/>
  <c r="U21" i="72"/>
  <c r="V21" i="72" s="1"/>
  <c r="U5" i="73"/>
  <c r="V5" i="73" s="1"/>
  <c r="U21" i="73"/>
  <c r="V21" i="73" s="1"/>
  <c r="U37" i="73"/>
  <c r="V37" i="73" s="1"/>
  <c r="U29" i="74"/>
  <c r="V29" i="74" s="1"/>
  <c r="I26" i="55"/>
  <c r="U16" i="69"/>
  <c r="V16" i="69" s="1"/>
  <c r="U32" i="69"/>
  <c r="V32" i="69" s="1"/>
  <c r="U16" i="70"/>
  <c r="V16" i="70" s="1"/>
  <c r="U32" i="70"/>
  <c r="V32" i="70" s="1"/>
  <c r="U16" i="71"/>
  <c r="V16" i="71" s="1"/>
  <c r="U32" i="71"/>
  <c r="V32" i="71" s="1"/>
  <c r="U16" i="72"/>
  <c r="V16" i="72" s="1"/>
  <c r="U32" i="72"/>
  <c r="V32" i="72" s="1"/>
  <c r="U16" i="73"/>
  <c r="V16" i="73" s="1"/>
  <c r="U32" i="73"/>
  <c r="V32" i="73" s="1"/>
  <c r="U8" i="74"/>
  <c r="V8" i="74" s="1"/>
  <c r="U24" i="74"/>
  <c r="V24" i="74" s="1"/>
  <c r="U7" i="69"/>
  <c r="V7" i="69" s="1"/>
  <c r="U23" i="69"/>
  <c r="V23" i="69" s="1"/>
  <c r="U7" i="70"/>
  <c r="V7" i="70" s="1"/>
  <c r="U23" i="70"/>
  <c r="V23" i="70" s="1"/>
  <c r="U7" i="71"/>
  <c r="V7" i="71" s="1"/>
  <c r="U23" i="71"/>
  <c r="V23" i="71" s="1"/>
  <c r="U7" i="72"/>
  <c r="V7" i="72" s="1"/>
  <c r="U23" i="72"/>
  <c r="V23" i="72" s="1"/>
  <c r="U7" i="73"/>
  <c r="V7" i="73" s="1"/>
  <c r="U23" i="73"/>
  <c r="V23" i="73" s="1"/>
  <c r="U39" i="73"/>
  <c r="V39" i="73" s="1"/>
  <c r="U15" i="74"/>
  <c r="V15" i="74" s="1"/>
  <c r="U31" i="74"/>
  <c r="V31" i="74" s="1"/>
  <c r="U18" i="69"/>
  <c r="V18" i="69" s="1"/>
  <c r="U18" i="70"/>
  <c r="V18" i="70" s="1"/>
  <c r="U18" i="71"/>
  <c r="V18" i="71" s="1"/>
  <c r="U18" i="72"/>
  <c r="V18" i="72" s="1"/>
  <c r="U13" i="72"/>
  <c r="V13" i="72" s="1"/>
  <c r="U29" i="72"/>
  <c r="V29" i="72" s="1"/>
  <c r="U8" i="69"/>
  <c r="V8" i="69" s="1"/>
  <c r="U24" i="69"/>
  <c r="V24" i="69" s="1"/>
  <c r="U8" i="70"/>
  <c r="V8" i="70" s="1"/>
  <c r="U24" i="70"/>
  <c r="V24" i="70" s="1"/>
  <c r="U8" i="71"/>
  <c r="V8" i="71" s="1"/>
  <c r="U24" i="71"/>
  <c r="V24" i="71" s="1"/>
  <c r="U8" i="72"/>
  <c r="V8" i="72" s="1"/>
  <c r="U24" i="72"/>
  <c r="V24" i="72" s="1"/>
  <c r="U8" i="73"/>
  <c r="V8" i="73" s="1"/>
  <c r="U24" i="73"/>
  <c r="V24" i="73" s="1"/>
  <c r="U40" i="73"/>
  <c r="V40" i="73" s="1"/>
  <c r="U16" i="74"/>
  <c r="V16" i="74" s="1"/>
  <c r="U3" i="69"/>
  <c r="V3" i="69" s="1"/>
  <c r="U19" i="69"/>
  <c r="V19" i="69" s="1"/>
  <c r="U3" i="70"/>
  <c r="V3" i="70" s="1"/>
  <c r="U19" i="70"/>
  <c r="V19" i="70" s="1"/>
  <c r="U3" i="71"/>
  <c r="V3" i="71" s="1"/>
  <c r="U19" i="71"/>
  <c r="V19" i="71" s="1"/>
  <c r="U3" i="72"/>
  <c r="V3" i="72" s="1"/>
  <c r="U19" i="72"/>
  <c r="V19" i="72" s="1"/>
  <c r="U3" i="73"/>
  <c r="V3" i="73" s="1"/>
  <c r="U19" i="73"/>
  <c r="V19" i="73" s="1"/>
  <c r="U35" i="73"/>
  <c r="V35" i="73" s="1"/>
  <c r="U11" i="74"/>
  <c r="V11" i="74" s="1"/>
  <c r="U27" i="74"/>
  <c r="V27" i="74" s="1"/>
  <c r="U30" i="69"/>
  <c r="V30" i="69" s="1"/>
  <c r="U30" i="70"/>
  <c r="V30" i="70" s="1"/>
  <c r="U20" i="72"/>
  <c r="V20" i="72" s="1"/>
  <c r="U12" i="74"/>
  <c r="V12" i="74" s="1"/>
  <c r="U28" i="74"/>
  <c r="V28" i="74" s="1"/>
  <c r="I23" i="55"/>
  <c r="U15" i="69"/>
  <c r="V15" i="69" s="1"/>
  <c r="U31" i="69"/>
  <c r="V31" i="69" s="1"/>
  <c r="U15" i="70"/>
  <c r="V15" i="70" s="1"/>
  <c r="U31" i="70"/>
  <c r="V31" i="70" s="1"/>
  <c r="U15" i="71"/>
  <c r="V15" i="71" s="1"/>
  <c r="U31" i="71"/>
  <c r="V31" i="71" s="1"/>
  <c r="U15" i="72"/>
  <c r="V15" i="72" s="1"/>
  <c r="U31" i="72"/>
  <c r="V31" i="72" s="1"/>
  <c r="U15" i="73"/>
  <c r="V15" i="73" s="1"/>
  <c r="U31" i="73"/>
  <c r="V31" i="73" s="1"/>
  <c r="U7" i="74"/>
  <c r="V7" i="74" s="1"/>
  <c r="U23" i="74"/>
  <c r="V23" i="74" s="1"/>
  <c r="AB41" i="45" s="1" a="1"/>
  <c r="U2" i="69"/>
  <c r="V2" i="69" s="1"/>
  <c r="S51" i="55" s="1"/>
  <c r="U2" i="71"/>
  <c r="V2" i="71" s="1"/>
  <c r="S55" i="55" s="1"/>
  <c r="U2" i="72"/>
  <c r="V2" i="72" s="1"/>
  <c r="S54" i="55" s="1"/>
  <c r="U2" i="73"/>
  <c r="V2" i="73" s="1"/>
  <c r="S48" i="55" s="1"/>
  <c r="S47" i="55"/>
  <c r="I18" i="55"/>
  <c r="M10" i="45"/>
  <c r="I21" i="55"/>
  <c r="I24" i="55"/>
  <c r="AB36" i="45" a="1"/>
  <c r="AM36" i="45" a="1"/>
  <c r="AB42" i="45" a="1"/>
  <c r="AM42" i="45" a="1"/>
  <c r="I20" i="55"/>
  <c r="I19" i="55"/>
  <c r="U2" i="70"/>
  <c r="V2" i="70" s="1"/>
  <c r="S53" i="55" s="1"/>
  <c r="I22" i="55"/>
  <c r="I25" i="55"/>
  <c r="AB38" i="45" a="1"/>
  <c r="AM38" i="45" a="1"/>
  <c r="AB34" i="45" a="1"/>
  <c r="AM34" i="45" a="1"/>
  <c r="H2" i="56"/>
  <c r="J2" i="56" s="1"/>
  <c r="O2" i="56"/>
  <c r="P2" i="56"/>
  <c r="U2" i="74"/>
  <c r="V2" i="74" s="1"/>
  <c r="S52" i="55" s="1"/>
  <c r="U32" i="74"/>
  <c r="V32" i="74" s="1"/>
  <c r="U33" i="74"/>
  <c r="V33" i="74" s="1"/>
  <c r="Y18" i="45" a="1"/>
  <c r="V18" i="45" a="1"/>
  <c r="Y12" i="45" a="1"/>
  <c r="X15" i="45" a="1"/>
  <c r="U21" i="45" a="1"/>
  <c r="X7" i="45" a="1"/>
  <c r="X35" i="45" a="1"/>
  <c r="Q55" i="55"/>
  <c r="Y24" i="45" a="1"/>
  <c r="T26" i="45" a="1"/>
  <c r="S8" i="45" a="1"/>
  <c r="S31" i="45" a="1"/>
  <c r="Q54" i="55"/>
  <c r="T30" i="45" a="1"/>
  <c r="S18" i="45" a="1"/>
  <c r="P64" i="55" a="1"/>
  <c r="X10" i="45" a="1"/>
  <c r="T7" i="45" a="1"/>
  <c r="U3" i="45" a="1"/>
  <c r="P63" i="55" a="1"/>
  <c r="Q52" i="55"/>
  <c r="U32" i="45" a="1"/>
  <c r="V24" i="45" a="1"/>
  <c r="W15" i="45" a="1"/>
  <c r="O52" i="55"/>
  <c r="P55" i="55"/>
  <c r="P50" i="55"/>
  <c r="X5" i="45" a="1"/>
  <c r="W24" i="45" a="1"/>
  <c r="Q62" i="55" a="1"/>
  <c r="T5" i="45" a="1"/>
  <c r="V23" i="45" a="1"/>
  <c r="W19" i="45" a="1"/>
  <c r="W7" i="45" a="1"/>
  <c r="X19" i="45" a="1"/>
  <c r="S15" i="45" a="1"/>
  <c r="Q47" i="55"/>
  <c r="Y31" i="45" a="1"/>
  <c r="W3" i="45" a="1"/>
  <c r="X40" i="45" a="1"/>
  <c r="Y13" i="45" a="1"/>
  <c r="U30" i="45" a="1"/>
  <c r="Q53" i="55"/>
  <c r="S7" i="45" a="1"/>
  <c r="U31" i="45" a="1"/>
  <c r="Y33" i="45" a="1"/>
  <c r="Y23" i="45" a="1"/>
  <c r="W23" i="45" a="1"/>
  <c r="P47" i="55"/>
  <c r="O66" i="55" a="1"/>
  <c r="Q65" i="55" a="1"/>
  <c r="W13" i="45" a="1"/>
  <c r="Y29" i="45" a="1"/>
  <c r="O53" i="55"/>
  <c r="Q63" i="55" a="1"/>
  <c r="P62" i="55" a="1"/>
  <c r="W16" i="45" a="1"/>
  <c r="P53" i="55"/>
  <c r="W21" i="45" a="1"/>
  <c r="W8" i="45" a="1"/>
  <c r="W31" i="45" a="1"/>
  <c r="X21" i="45" a="1"/>
  <c r="U10" i="45" a="1"/>
  <c r="O54" i="55"/>
  <c r="Q61" i="55" a="1"/>
  <c r="S24" i="45" a="1"/>
  <c r="Y15" i="45" a="1"/>
  <c r="T15" i="45" a="1"/>
  <c r="T32" i="45" a="1"/>
  <c r="U24" i="45" a="1"/>
  <c r="V15" i="45" a="1"/>
  <c r="Y32" i="45" a="1"/>
  <c r="T18" i="45" a="1"/>
  <c r="R53" i="55"/>
  <c r="X26" i="45" a="1"/>
  <c r="T23" i="45" a="1"/>
  <c r="U19" i="45" a="1"/>
  <c r="O62" i="55" a="1"/>
  <c r="U23" i="45" a="1"/>
  <c r="V19" i="45" a="1"/>
  <c r="Q67" i="55" a="1"/>
  <c r="S21" i="45" a="1"/>
  <c r="X37" i="45" a="1"/>
  <c r="W29" i="45" a="1"/>
  <c r="Q66" i="55" a="1"/>
  <c r="P67" i="55" a="1"/>
  <c r="P54" i="55"/>
  <c r="S3" i="45" a="1"/>
  <c r="T24" i="45" a="1"/>
  <c r="T16" i="45" a="1"/>
  <c r="O51" i="55"/>
  <c r="Q50" i="55"/>
  <c r="Y16" i="45" a="1"/>
  <c r="R55" i="55"/>
  <c r="T31" i="45" a="1"/>
  <c r="V26" i="45" a="1"/>
  <c r="S19" i="45" a="1"/>
  <c r="Q51" i="55"/>
  <c r="X8" i="45" a="1"/>
  <c r="T21" i="45" a="1"/>
  <c r="P52" i="55"/>
  <c r="X16" i="45" a="1"/>
  <c r="V16" i="45" a="1"/>
  <c r="V3" i="45" a="1"/>
  <c r="V32" i="45" a="1"/>
  <c r="T10" i="45" a="1"/>
  <c r="Y8" i="45" a="1"/>
  <c r="P61" i="55" a="1"/>
  <c r="V5" i="45" a="1"/>
  <c r="Y11" i="45" a="1"/>
  <c r="X23" i="45" a="1"/>
  <c r="V21" i="45" a="1"/>
  <c r="X39" i="45" a="1"/>
  <c r="Y27" i="45" a="1"/>
  <c r="P51" i="55"/>
  <c r="W5" i="45" a="1"/>
  <c r="U26" i="45" a="1"/>
  <c r="W26" i="45" a="1"/>
  <c r="S23" i="45" a="1"/>
  <c r="T19" i="45" a="1"/>
  <c r="R51" i="55"/>
  <c r="O61" i="55" a="1"/>
  <c r="U16" i="45" a="1"/>
  <c r="V8" i="45" a="1"/>
  <c r="V31" i="45" a="1"/>
  <c r="U18" i="45" a="1"/>
  <c r="W20" i="45" a="1"/>
  <c r="O64" i="55" a="1"/>
  <c r="U7" i="45" a="1"/>
  <c r="O63" i="55" a="1"/>
  <c r="S5" i="45" a="1"/>
  <c r="W18" i="45" a="1"/>
  <c r="Y28" i="45" a="1"/>
  <c r="R48" i="55"/>
  <c r="W32" i="45" a="1"/>
  <c r="X24" i="45" a="1"/>
  <c r="Y7" i="45" a="1"/>
  <c r="X32" i="45" a="1"/>
  <c r="Q64" i="55" a="1"/>
  <c r="S16" i="45" a="1"/>
  <c r="X22" i="45" a="1"/>
  <c r="U8" i="45" a="1"/>
  <c r="R54" i="55"/>
  <c r="S10" i="45" a="1"/>
  <c r="O67" i="55" a="1"/>
  <c r="V10" i="45" a="1"/>
  <c r="T8" i="45" a="1"/>
  <c r="S32" i="45" a="1"/>
  <c r="U15" i="45" a="1"/>
  <c r="W10" i="45" a="1"/>
  <c r="T3" i="45" a="1"/>
  <c r="X31" i="45" a="1"/>
  <c r="U5" i="45" a="1"/>
  <c r="P66" i="55" a="1"/>
  <c r="O47" i="55"/>
  <c r="O55" i="55"/>
  <c r="R52" i="55"/>
  <c r="V7" i="45" a="1"/>
  <c r="P65" i="55" a="1"/>
  <c r="X3" i="45" a="1"/>
  <c r="R47" i="55"/>
  <c r="S26" i="45" a="1"/>
  <c r="AM41" i="45" a="1"/>
  <c r="R62" i="55" a="1"/>
  <c r="R66" i="55" a="1"/>
  <c r="R64" i="55" a="1"/>
  <c r="R63" i="55" a="1"/>
  <c r="R67" i="55" a="1"/>
  <c r="R61" i="55" a="1"/>
  <c r="R59" i="55" a="1"/>
  <c r="W40" i="54" l="1"/>
  <c r="AB40" i="45" a="1"/>
  <c r="AM40" i="45" a="1"/>
  <c r="AM35" i="45" a="1"/>
  <c r="AB35" i="45" a="1"/>
  <c r="AM37" i="45" a="1"/>
  <c r="AB37" i="45" a="1"/>
  <c r="AB39" i="45" a="1"/>
  <c r="AM39" i="45" a="1"/>
  <c r="S63" i="55" a="1"/>
  <c r="U2" i="45" a="1"/>
  <c r="Y2" i="45" a="1"/>
  <c r="S2" i="45" a="1"/>
  <c r="S66" i="55" a="1"/>
  <c r="X2" i="45" a="1"/>
  <c r="S59" i="55" a="1"/>
  <c r="S61" i="55" a="1"/>
  <c r="V2" i="45" a="1"/>
  <c r="S64" i="55" a="1"/>
  <c r="S67" i="55" a="1"/>
  <c r="T2" i="45" a="1"/>
  <c r="W2" i="45" a="1"/>
  <c r="S62" i="55" a="1"/>
  <c r="J67" i="55" l="1" a="1"/>
  <c r="K67" i="55" s="1" a="1"/>
  <c r="J66" i="55" a="1"/>
  <c r="K66" i="55" s="1" a="1"/>
  <c r="J65" i="55" a="1"/>
  <c r="K65" i="55" s="1" a="1"/>
  <c r="J64" i="55" a="1"/>
  <c r="K64" i="55" s="1" a="1"/>
  <c r="J63" i="55" a="1"/>
  <c r="K63" i="55" s="1" a="1"/>
  <c r="J62" i="55" a="1"/>
  <c r="K62" i="55" s="1" a="1"/>
  <c r="J61" i="55" a="1"/>
  <c r="K61" i="55" s="1" a="1"/>
  <c r="J60" i="55" a="1"/>
  <c r="K60" i="55" s="1" a="1"/>
  <c r="J59" i="55" a="1"/>
  <c r="K59" i="55" s="1" a="1"/>
  <c r="U9" i="46"/>
  <c r="V9" i="46" s="1"/>
  <c r="Q9" i="45" s="1" a="1"/>
  <c r="U10" i="46"/>
  <c r="V10" i="46" s="1"/>
  <c r="Q10" i="45" s="1" a="1"/>
  <c r="U11" i="46"/>
  <c r="V11" i="46" s="1"/>
  <c r="Q11" i="45" s="1" a="1"/>
  <c r="U12" i="46"/>
  <c r="V12" i="46" s="1"/>
  <c r="Q12" i="45" s="1" a="1"/>
  <c r="U13" i="46"/>
  <c r="V13" i="46" s="1"/>
  <c r="Q13" i="45" s="1" a="1"/>
  <c r="U14" i="46"/>
  <c r="V14" i="46" s="1"/>
  <c r="Q14" i="45" s="1" a="1"/>
  <c r="U15" i="46"/>
  <c r="V15" i="46" s="1"/>
  <c r="Q15" i="45" s="1" a="1"/>
  <c r="U16" i="46"/>
  <c r="U17" i="46"/>
  <c r="V17" i="46" s="1"/>
  <c r="U19" i="46"/>
  <c r="U21" i="46"/>
  <c r="U22" i="46"/>
  <c r="V22" i="46" s="1"/>
  <c r="Q22" i="45" s="1" a="1"/>
  <c r="U23" i="46"/>
  <c r="U24" i="46"/>
  <c r="V24" i="46" s="1"/>
  <c r="Q24" i="45" s="1" a="1"/>
  <c r="U25" i="46"/>
  <c r="V25" i="46" s="1"/>
  <c r="Q25" i="45" s="1" a="1"/>
  <c r="U27" i="46"/>
  <c r="V27" i="46" s="1"/>
  <c r="Q27" i="45" s="1" a="1"/>
  <c r="U29" i="46"/>
  <c r="V29" i="46" s="1"/>
  <c r="Q29" i="45" s="1" a="1"/>
  <c r="U31" i="46"/>
  <c r="U2" i="46"/>
  <c r="V2" i="46" s="1"/>
  <c r="Q2" i="45" s="1" a="1"/>
  <c r="U3" i="46"/>
  <c r="V3" i="46" s="1"/>
  <c r="Q3" i="45" s="1" a="1"/>
  <c r="U5" i="46"/>
  <c r="V5" i="46" s="1"/>
  <c r="Q5" i="45" s="1" a="1"/>
  <c r="U6" i="46"/>
  <c r="V6" i="46" s="1"/>
  <c r="Q6" i="45" s="1" a="1"/>
  <c r="U7" i="46"/>
  <c r="V7" i="46" s="1"/>
  <c r="Q7" i="45" s="1" a="1"/>
  <c r="U18" i="46"/>
  <c r="V18" i="46" s="1"/>
  <c r="Q18" i="45" s="1" a="1"/>
  <c r="U20" i="46"/>
  <c r="V20" i="46" s="1"/>
  <c r="Q20" i="45" s="1" a="1"/>
  <c r="U26" i="46"/>
  <c r="V26" i="46" s="1"/>
  <c r="Q26" i="45" s="1" a="1"/>
  <c r="U28" i="46"/>
  <c r="V28" i="46" s="1"/>
  <c r="Q28" i="45" s="1" a="1"/>
  <c r="U30" i="46"/>
  <c r="V30" i="46" s="1"/>
  <c r="U32" i="46"/>
  <c r="U33" i="46"/>
  <c r="V33" i="46" s="1"/>
  <c r="Q33" i="45" s="1" a="1"/>
  <c r="U4" i="46"/>
  <c r="V4" i="46" s="1"/>
  <c r="Q4" i="45" s="1" a="1"/>
  <c r="U8" i="46"/>
  <c r="O65" i="55" a="1"/>
  <c r="V19" i="46"/>
  <c r="Q19" i="45" a="1"/>
  <c r="O50" i="55"/>
  <c r="R50" i="55"/>
  <c r="R65" i="55" a="1"/>
  <c r="V23" i="46"/>
  <c r="V8" i="46"/>
  <c r="V21" i="46"/>
  <c r="V16" i="46"/>
  <c r="V32" i="46"/>
  <c r="V31" i="46"/>
  <c r="Q23" i="45" a="1"/>
  <c r="Q21" i="45" a="1"/>
  <c r="Q31" i="45" a="1"/>
  <c r="Q32" i="45" a="1"/>
  <c r="Q8" i="45" a="1"/>
  <c r="Q16" i="45" a="1"/>
  <c r="Q17" i="45" l="1" a="1"/>
  <c r="S50" i="55"/>
  <c r="Q30" i="45" a="1"/>
  <c r="S65" i="55" a="1"/>
  <c r="U7" i="67" l="1"/>
  <c r="V7" i="67" s="1"/>
  <c r="R7" i="45" s="1" a="1"/>
  <c r="U8" i="67"/>
  <c r="V8" i="67"/>
  <c r="R8" i="45" a="1"/>
  <c r="U9" i="67"/>
  <c r="V9" i="67" s="1"/>
  <c r="R9" i="45" s="1" a="1"/>
  <c r="U18" i="67"/>
  <c r="V18" i="67"/>
  <c r="R18" i="45" a="1"/>
  <c r="U24" i="67"/>
  <c r="V24" i="67" s="1"/>
  <c r="R24" i="45" s="1" a="1"/>
  <c r="U29" i="67"/>
  <c r="V29" i="67" s="1"/>
  <c r="R29" i="45" s="1" a="1"/>
  <c r="U33" i="67"/>
  <c r="V33" i="67" s="1"/>
  <c r="R33" i="45" s="1" a="1"/>
  <c r="U6" i="67"/>
  <c r="V6" i="67" s="1"/>
  <c r="R6" i="45" s="1" a="1"/>
  <c r="U11" i="67"/>
  <c r="V11" i="67" s="1"/>
  <c r="R11" i="45" s="1" a="1"/>
  <c r="U13" i="67"/>
  <c r="V13" i="67" s="1"/>
  <c r="R13" i="45" s="1" a="1"/>
  <c r="U16" i="67"/>
  <c r="V16" i="67" s="1"/>
  <c r="R16" i="45" s="1" a="1"/>
  <c r="U17" i="67"/>
  <c r="V17" i="67" s="1"/>
  <c r="R17" i="45" s="1" a="1"/>
  <c r="U20" i="67"/>
  <c r="V20" i="67" s="1"/>
  <c r="R20" i="45" s="1" a="1"/>
  <c r="U23" i="67"/>
  <c r="V23" i="67" s="1"/>
  <c r="R23" i="45" s="1" a="1"/>
  <c r="U26" i="67"/>
  <c r="V26" i="67" s="1"/>
  <c r="R26" i="45" s="1" a="1"/>
  <c r="U31" i="67"/>
  <c r="V31" i="67" s="1"/>
  <c r="R31" i="45" s="1" a="1"/>
  <c r="U15" i="67"/>
  <c r="V15" i="67" s="1"/>
  <c r="R15" i="45" s="1" a="1"/>
  <c r="U21" i="67"/>
  <c r="V21" i="67" s="1"/>
  <c r="R21" i="45" s="1" a="1"/>
  <c r="U27" i="67"/>
  <c r="V27" i="67" s="1"/>
  <c r="R27" i="45" s="1" a="1"/>
  <c r="U30" i="67"/>
  <c r="V30" i="67" s="1"/>
  <c r="R30" i="45" s="1" a="1"/>
  <c r="U5" i="67"/>
  <c r="V5" i="67" s="1"/>
  <c r="R5" i="45" s="1" a="1"/>
  <c r="U10" i="67"/>
  <c r="V10" i="67" s="1"/>
  <c r="R10" i="45" s="1" a="1"/>
  <c r="U12" i="67"/>
  <c r="V12" i="67" s="1"/>
  <c r="R12" i="45" s="1" a="1"/>
  <c r="U14" i="67"/>
  <c r="V14" i="67" s="1"/>
  <c r="R14" i="45" s="1" a="1"/>
  <c r="U19" i="67"/>
  <c r="V19" i="67" s="1"/>
  <c r="R19" i="45" s="1" a="1"/>
  <c r="U22" i="67"/>
  <c r="V22" i="67" s="1"/>
  <c r="R22" i="45" s="1" a="1"/>
  <c r="U25" i="67"/>
  <c r="V25" i="67" s="1"/>
  <c r="R25" i="45" s="1" a="1"/>
  <c r="U28" i="67"/>
  <c r="V28" i="67" s="1"/>
  <c r="R28" i="45" s="1" a="1"/>
  <c r="U32" i="67"/>
  <c r="V32" i="67" s="1"/>
  <c r="R32" i="45" s="1" a="1"/>
  <c r="U3" i="67"/>
  <c r="V3" i="67" s="1"/>
  <c r="U2" i="67"/>
  <c r="V2" i="67" s="1"/>
  <c r="U4" i="67"/>
  <c r="V4" i="67" s="1"/>
  <c r="R4" i="45" s="1" a="1"/>
  <c r="P60" i="55" a="1"/>
  <c r="Q49" i="55"/>
  <c r="O49" i="55"/>
  <c r="O60" i="55" a="1"/>
  <c r="P49" i="55"/>
  <c r="R49" i="55"/>
  <c r="R60" i="55" a="1"/>
  <c r="Q60" i="55" a="1"/>
  <c r="S60" i="55" l="1" a="1"/>
  <c r="R2" i="45" a="1"/>
  <c r="AM7" i="45" a="1"/>
  <c r="AB7" i="45" a="1"/>
  <c r="AB8" i="45" a="1"/>
  <c r="AM8" i="45" a="1"/>
  <c r="AM9" i="45" a="1"/>
  <c r="AB9" i="45" a="1"/>
  <c r="AM18" i="45" a="1"/>
  <c r="AB18" i="45" a="1"/>
  <c r="AM24" i="45" a="1"/>
  <c r="AB24" i="45" a="1"/>
  <c r="AB29" i="45" a="1"/>
  <c r="AM29" i="45" a="1"/>
  <c r="AB33" i="45" a="1"/>
  <c r="AM33" i="45" a="1"/>
  <c r="AM6" i="45" a="1"/>
  <c r="AB6" i="45" a="1"/>
  <c r="AB11" i="45" a="1"/>
  <c r="AM11" i="45" a="1"/>
  <c r="AB13" i="45" a="1"/>
  <c r="AM13" i="45" a="1"/>
  <c r="AB16" i="45" a="1"/>
  <c r="AM16" i="45" a="1"/>
  <c r="AM17" i="45" a="1"/>
  <c r="AB17" i="45" a="1"/>
  <c r="AM20" i="45" a="1"/>
  <c r="AB20" i="45" a="1"/>
  <c r="AM23" i="45" a="1"/>
  <c r="AB23" i="45" a="1"/>
  <c r="AM26" i="45" a="1"/>
  <c r="AB26" i="45" a="1"/>
  <c r="AB31" i="45" a="1"/>
  <c r="AM31" i="45" a="1"/>
  <c r="AB15" i="45" a="1"/>
  <c r="AM15" i="45" a="1"/>
  <c r="AM21" i="45" a="1"/>
  <c r="AB21" i="45" a="1"/>
  <c r="AM27" i="45" a="1"/>
  <c r="AB27" i="45" a="1"/>
  <c r="AB30" i="45" a="1"/>
  <c r="AM30" i="45" a="1"/>
  <c r="AB5" i="45" a="1"/>
  <c r="AM5" i="45" a="1"/>
  <c r="AM10" i="45" a="1"/>
  <c r="AB10" i="45" a="1"/>
  <c r="AM12" i="45" a="1"/>
  <c r="AB12" i="45" a="1"/>
  <c r="AB14" i="45" a="1"/>
  <c r="AM14" i="45" a="1"/>
  <c r="AB19" i="45" a="1"/>
  <c r="AM19" i="45" a="1"/>
  <c r="AM22" i="45" a="1"/>
  <c r="AB22" i="45" a="1"/>
  <c r="AM25" i="45" a="1"/>
  <c r="AB25" i="45" a="1"/>
  <c r="AM28" i="45" a="1"/>
  <c r="AB28" i="45" a="1"/>
  <c r="AB32" i="45" a="1"/>
  <c r="AM32" i="45" a="1"/>
  <c r="S49" i="55"/>
  <c r="R3" i="45" a="1"/>
  <c r="AB4" i="45" a="1"/>
  <c r="AM4" i="45" a="1"/>
  <c r="AM2" i="45" l="1" a="1"/>
  <c r="AB2" i="45" a="1"/>
  <c r="AM3" i="45" a="1"/>
  <c r="AB3" i="45" a="1"/>
  <c r="L8" i="55" l="1"/>
  <c r="L9" i="55"/>
  <c r="L5" i="55"/>
  <c r="L6" i="55"/>
  <c r="L7" i="55"/>
  <c r="L10" i="55"/>
  <c r="L11" i="55"/>
  <c r="L12" i="55"/>
  <c r="L13" i="55"/>
  <c r="W41" i="5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M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R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R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R22" authorId="0" shapeId="0" xr:uid="{D0860965-94C1-4DCD-B62E-8E0713E0B15F}">
      <text>
        <r>
          <rPr>
            <b/>
            <sz val="9"/>
            <color indexed="81"/>
            <rFont val="Tahoma"/>
            <family val="2"/>
          </rPr>
          <t>Alf-Henrik Håker:</t>
        </r>
        <r>
          <rPr>
            <sz val="9"/>
            <color indexed="81"/>
            <rFont val="Tahoma"/>
            <family val="2"/>
          </rPr>
          <t xml:space="preserve">
1 pk. Safari kjeks</t>
        </r>
      </text>
    </comment>
    <comment ref="M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R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M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<sst xmlns="http://schemas.openxmlformats.org/spreadsheetml/2006/main" count="3875" uniqueCount="960">
  <si>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</si>
  <si>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</si>
  <si>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</si>
  <si>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</si>
  <si>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</si>
  <si>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</si>
  <si>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</si>
  <si>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</si>
  <si>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</si>
  <si>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</si>
  <si>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</si>
  <si>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</si>
  <si>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</si>
  <si>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</si>
  <si>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</si>
  <si>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</si>
  <si>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</si>
  <si>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</si>
  <si>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</si>
  <si>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</si>
  <si>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</si>
  <si>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</si>
  <si>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</si>
  <si>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</si>
  <si>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</si>
  <si>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</si>
  <si>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</si>
  <si>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</si>
  <si>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</si>
  <si>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</si>
  <si>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</si>
  <si>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</si>
  <si>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</si>
  <si>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</si>
  <si>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</si>
  <si>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Premie</t>
  </si>
  <si>
    <t>All Time High</t>
  </si>
  <si>
    <t>Hjemme</t>
  </si>
  <si>
    <t>Uavgjort</t>
  </si>
  <si>
    <t>Borte</t>
  </si>
  <si>
    <t>Poengsnitt</t>
  </si>
  <si>
    <t>Ukeseire</t>
  </si>
  <si>
    <t>All Time Low</t>
  </si>
  <si>
    <t>Ukens Jumbo</t>
  </si>
  <si>
    <t>STPS 2027</t>
  </si>
  <si>
    <t>Skorgen Tippelag - Skorgens Beste</t>
  </si>
  <si>
    <t>øg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</si>
  <si>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</si>
  <si>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</si>
  <si>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</si>
  <si>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</si>
  <si>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</si>
  <si>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</si>
  <si>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</si>
  <si>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</si>
  <si>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</si>
  <si>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</si>
  <si>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</si>
  <si>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</si>
  <si>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</si>
  <si>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</si>
  <si>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</si>
  <si>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</si>
  <si>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</si>
  <si>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</si>
  <si>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</si>
  <si>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</si>
  <si>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</si>
  <si>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</si>
  <si>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</si>
  <si>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</si>
  <si>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</si>
  <si>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</si>
  <si>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</si>
  <si>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</si>
  <si>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</si>
  <si>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</si>
  <si>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</si>
  <si>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</si>
  <si>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</si>
  <si>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</si>
  <si>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</si>
  <si>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</si>
  <si>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</si>
  <si>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</si>
  <si>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</si>
  <si>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</si>
  <si>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 xml:space="preserve">                    </t>
  </si>
  <si>
    <t xml:space="preserve">                 </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</si>
  <si>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</si>
  <si>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</si>
  <si>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</si>
  <si>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</si>
  <si>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</si>
  <si>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</si>
  <si>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</si>
  <si>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</si>
  <si>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</si>
  <si>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</si>
  <si>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</si>
  <si>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</si>
  <si>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</si>
  <si>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</si>
  <si>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</si>
  <si>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</si>
  <si>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</si>
  <si>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</si>
  <si>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</si>
  <si>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</si>
  <si>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</si>
  <si>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</si>
  <si>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</si>
  <si>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</si>
  <si>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</si>
  <si>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</si>
  <si>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</si>
  <si>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</si>
  <si>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</si>
  <si>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</si>
  <si>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</si>
  <si>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</si>
  <si>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</si>
  <si>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</si>
  <si>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</si>
  <si>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</si>
  <si>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</si>
  <si>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</si>
  <si>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</si>
  <si>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</si>
  <si>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</si>
  <si>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</si>
  <si>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</si>
  <si>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</si>
  <si>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</si>
  <si>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</si>
  <si>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</si>
  <si>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</si>
  <si>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</si>
  <si>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</si>
  <si>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</si>
  <si>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</si>
  <si>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</si>
  <si>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</si>
  <si>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</si>
  <si>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</si>
  <si>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</si>
  <si>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</si>
  <si>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</si>
  <si>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</si>
  <si>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</si>
  <si>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</si>
  <si>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</si>
  <si>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</si>
  <si>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</si>
  <si>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</si>
  <si>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</si>
  <si>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</si>
  <si>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</si>
  <si>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</si>
  <si>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</si>
  <si>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</si>
  <si>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</si>
  <si>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</si>
  <si>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</si>
  <si>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</si>
  <si>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</si>
  <si>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</si>
  <si>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</si>
  <si>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</si>
  <si>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</si>
  <si>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</si>
  <si>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</si>
  <si>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</si>
  <si>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</si>
  <si>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</si>
  <si>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</si>
  <si>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</si>
  <si>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</si>
  <si>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</si>
  <si>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</si>
  <si>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</si>
  <si>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</si>
  <si>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</si>
  <si>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</si>
  <si>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</si>
  <si>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</si>
  <si>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</si>
  <si>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</si>
  <si>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</si>
  <si>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</si>
  <si>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</si>
  <si>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</si>
  <si>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</si>
  <si>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</si>
  <si>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</si>
  <si>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</si>
  <si>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</si>
  <si>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</si>
  <si>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</si>
  <si>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</si>
  <si>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</si>
  <si>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</si>
  <si>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</si>
  <si>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</si>
  <si>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</si>
  <si>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</si>
  <si>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</si>
  <si>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</si>
  <si>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</si>
  <si>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</si>
  <si>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</si>
  <si>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</si>
  <si>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</si>
  <si>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</si>
  <si>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</si>
  <si>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</si>
  <si>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</si>
  <si>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</si>
  <si>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</si>
  <si>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</si>
  <si>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</si>
  <si>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</si>
  <si>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</si>
  <si>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</si>
  <si>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</si>
  <si>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</si>
  <si>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</si>
  <si>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</si>
  <si>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</si>
  <si>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</si>
  <si>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</si>
  <si>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</si>
  <si>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</si>
  <si>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</si>
  <si>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God Jul!</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</si>
  <si>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</si>
  <si>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</si>
  <si>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</si>
  <si>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</si>
  <si>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</si>
  <si>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</si>
  <si>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</si>
  <si>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</si>
  <si>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</si>
  <si>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</si>
  <si>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</si>
  <si>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</si>
  <si>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Omg.</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</si>
  <si>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</si>
  <si>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</si>
  <si>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</si>
  <si>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</si>
  <si>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</si>
  <si>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</si>
  <si>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</si>
  <si>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</si>
  <si>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</si>
  <si>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</si>
  <si>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</si>
  <si>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</si>
  <si>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</si>
  <si>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</si>
  <si>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</si>
  <si>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</si>
  <si>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</si>
  <si>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</si>
  <si>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</si>
  <si>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</si>
  <si>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</si>
  <si>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</si>
  <si>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</si>
  <si>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</si>
  <si>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</si>
  <si>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</si>
  <si>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</si>
  <si>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</si>
  <si>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</si>
  <si>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</si>
  <si>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</si>
  <si>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</si>
  <si>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</si>
  <si>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</si>
  <si>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</si>
  <si>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</si>
  <si>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</si>
  <si>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</si>
  <si>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</si>
  <si>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</si>
  <si>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</si>
  <si>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</si>
  <si>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</si>
  <si>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</si>
  <si>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</si>
  <si>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</si>
  <si>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</si>
  <si>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</si>
  <si>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</si>
  <si>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</si>
  <si>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</si>
  <si>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</si>
  <si>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</si>
  <si>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</si>
  <si>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</si>
  <si>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</si>
  <si>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</si>
  <si>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</si>
  <si>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</si>
  <si>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</si>
  <si>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</si>
  <si>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</si>
  <si>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</si>
  <si>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</si>
  <si>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</si>
  <si>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</si>
  <si>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</si>
  <si>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</si>
  <si>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</si>
  <si>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</si>
  <si>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</si>
  <si>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</si>
  <si>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</si>
  <si>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</si>
  <si>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</si>
  <si>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</si>
  <si>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</si>
  <si>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</si>
  <si>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</si>
  <si>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</si>
  <si>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</si>
  <si>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</si>
  <si>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</si>
  <si>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</si>
  <si>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</si>
  <si>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</si>
  <si>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</si>
  <si>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</si>
  <si>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</si>
  <si>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</si>
  <si>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</si>
  <si>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</si>
  <si>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</si>
  <si>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</si>
  <si>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</si>
  <si>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</si>
  <si>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</si>
  <si>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</si>
  <si>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</si>
  <si>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</si>
  <si>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</si>
  <si>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</si>
  <si>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</si>
  <si>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</si>
  <si>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</si>
  <si>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</si>
  <si>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</si>
  <si>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</si>
  <si>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</si>
  <si>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</si>
  <si>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</si>
  <si>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</si>
  <si>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</si>
  <si>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</si>
  <si>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</si>
  <si>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</si>
  <si>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</si>
  <si>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</si>
  <si>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</si>
  <si>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</si>
  <si>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</si>
  <si>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</si>
  <si>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</si>
  <si>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</si>
  <si>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</si>
  <si>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</si>
  <si>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</si>
  <si>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</si>
  <si>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</si>
  <si>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</si>
  <si>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</si>
  <si>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</si>
  <si>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</si>
  <si>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</si>
  <si>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</si>
  <si>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</si>
  <si>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</si>
  <si>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</si>
  <si>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</si>
  <si>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</si>
  <si>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</si>
  <si>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</si>
  <si>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</si>
  <si>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</si>
  <si>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</si>
  <si>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</si>
  <si>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</si>
  <si>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</si>
  <si>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</si>
  <si>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</si>
  <si>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</si>
  <si>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</si>
  <si>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</si>
  <si>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</si>
  <si>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</si>
  <si>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</si>
  <si>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</si>
  <si>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</si>
  <si>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</si>
  <si>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</si>
  <si>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</si>
  <si>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</si>
  <si>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</si>
  <si>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</si>
  <si>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</si>
  <si>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</si>
  <si>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</si>
  <si>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</si>
  <si>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</si>
  <si>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</si>
  <si>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</si>
  <si>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</si>
  <si>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</si>
  <si>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</si>
  <si>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</si>
  <si>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</si>
  <si>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</si>
  <si>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</si>
  <si>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</si>
  <si>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</si>
  <si>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</si>
  <si>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</si>
  <si>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</si>
  <si>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</si>
  <si>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</si>
  <si>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</si>
  <si>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</si>
  <si>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</si>
  <si>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Tast inn ukenr,</t>
  </si>
  <si>
    <t>TipperOversikt</t>
  </si>
  <si>
    <t>All time high</t>
  </si>
  <si>
    <t>Jumbo</t>
  </si>
  <si>
    <t>Antall</t>
  </si>
  <si>
    <t>trekk</t>
  </si>
  <si>
    <t>Snittpoeng</t>
  </si>
  <si>
    <t>Hp</t>
  </si>
  <si>
    <t>Up</t>
  </si>
  <si>
    <t>Bp</t>
  </si>
  <si>
    <t>Tp</t>
  </si>
  <si>
    <t>Endring</t>
  </si>
  <si>
    <t>Tipper</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</si>
  <si>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</si>
  <si>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</si>
  <si>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</si>
  <si>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</si>
  <si>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</si>
  <si>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</si>
  <si>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</si>
  <si>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</si>
  <si>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</si>
  <si>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</si>
  <si>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</si>
  <si>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</si>
  <si>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</si>
  <si>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</si>
  <si>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</si>
  <si>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</si>
  <si>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</si>
  <si>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Premie Poeng</t>
  </si>
  <si>
    <t>Totalt</t>
  </si>
  <si>
    <t xml:space="preserve">  </t>
  </si>
  <si>
    <t>Bare tipperne</t>
  </si>
  <si>
    <t>Premier totalt 2025/2026 sesongen i Skorgen Tippellag</t>
  </si>
  <si>
    <t>?</t>
  </si>
  <si>
    <t>Årsoversikt</t>
  </si>
  <si>
    <t>Navn</t>
  </si>
  <si>
    <t>Summert</t>
  </si>
  <si>
    <t>12_Antall</t>
  </si>
  <si>
    <t>11_Antall</t>
  </si>
  <si>
    <t>10_Antall</t>
  </si>
  <si>
    <t>12_poeng</t>
  </si>
  <si>
    <t>11_poeng</t>
  </si>
  <si>
    <t>10_poeng</t>
  </si>
  <si>
    <t>12_pLEV</t>
  </si>
  <si>
    <t>11_pLEV</t>
  </si>
  <si>
    <t>10_pLEV</t>
  </si>
  <si>
    <t>LEV_poeng</t>
  </si>
  <si>
    <t>Sist uke</t>
  </si>
  <si>
    <t>Regnskap sesongen 2025/2026</t>
  </si>
  <si>
    <t>Skorgen Tippelag</t>
  </si>
  <si>
    <t>Premier</t>
  </si>
  <si>
    <t>Antall Gevinster</t>
  </si>
  <si>
    <t>Innbetalt</t>
  </si>
  <si>
    <t>Kost</t>
  </si>
  <si>
    <t>Inntekt</t>
  </si>
  <si>
    <t>Div.</t>
  </si>
  <si>
    <t>Saldo</t>
  </si>
  <si>
    <t>utg.</t>
  </si>
  <si>
    <t>Uke nr</t>
  </si>
  <si>
    <t>Dato</t>
  </si>
  <si>
    <t>Ansv.</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</si>
  <si>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</si>
  <si>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</si>
  <si>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</si>
  <si>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</si>
  <si>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</si>
  <si>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</si>
  <si>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</si>
  <si>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</si>
  <si>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</si>
  <si>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</si>
  <si>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</si>
  <si>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</si>
  <si>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</si>
  <si>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</si>
  <si>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</si>
  <si>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</si>
  <si>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</si>
  <si>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</si>
  <si>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</si>
  <si>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</si>
  <si>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</si>
  <si>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</si>
  <si>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</si>
  <si>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</si>
  <si>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</si>
  <si>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</si>
  <si>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</si>
  <si>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</si>
  <si>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</si>
  <si>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</si>
  <si>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</si>
  <si>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oppnår1o_rette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</si>
  <si>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</si>
  <si>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</si>
  <si>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</si>
  <si>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</si>
  <si>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</si>
  <si>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</si>
  <si>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</si>
  <si>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</si>
  <si>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</si>
  <si>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</si>
  <si>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</si>
  <si>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</si>
  <si>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</si>
  <si>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</si>
  <si>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</si>
  <si>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</si>
  <si>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</si>
  <si>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</si>
  <si>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</si>
  <si>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</si>
  <si>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</si>
  <si>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</si>
  <si>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</si>
  <si>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</si>
  <si>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</si>
  <si>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</si>
  <si>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</si>
  <si>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</si>
  <si>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</si>
  <si>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</si>
  <si>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</si>
  <si>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</si>
  <si>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</si>
  <si>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</si>
  <si>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</si>
  <si>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</si>
  <si>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</si>
  <si>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</si>
  <si>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10,11_og12_rette. 50 for1o_rette, 100 for elve rette og 300 for12_rette.</t>
  </si>
  <si>
    <t>Tatt bort kontroll for faste tips.</t>
  </si>
  <si>
    <t>Lagt til kontroll for bombetreff</t>
  </si>
  <si>
    <t>Lagt til poeng for bombetreff.</t>
  </si>
  <si>
    <t>Maks poeng oppnåelig er nå 1099 poeng, ved treff på12_uavgjorte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</si>
  <si>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</si>
  <si>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</si>
  <si>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</si>
  <si>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</si>
  <si>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</si>
  <si>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</si>
  <si>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</si>
  <si>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</si>
  <si>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</si>
  <si>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</si>
  <si>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</si>
  <si>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</si>
  <si>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</si>
  <si>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</si>
  <si>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</si>
  <si>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</si>
  <si>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</si>
  <si>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</si>
  <si>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</si>
  <si>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</si>
  <si>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</si>
  <si>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</si>
  <si>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</si>
  <si>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</si>
  <si>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</si>
  <si>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</si>
  <si>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</si>
  <si>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</si>
  <si>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</si>
  <si>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</si>
  <si>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</si>
  <si>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</si>
  <si>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</si>
  <si>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</si>
  <si>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</si>
  <si>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</si>
  <si>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</si>
  <si>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</si>
  <si>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</si>
  <si>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</si>
  <si>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</si>
  <si>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</si>
  <si>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søndag11_august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</si>
  <si>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</si>
  <si>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</si>
  <si>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</si>
  <si>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</si>
  <si>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</si>
  <si>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</si>
  <si>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</si>
  <si>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</si>
  <si>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</si>
  <si>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</si>
  <si>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</si>
  <si>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</si>
  <si>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</si>
  <si>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</si>
  <si>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</si>
  <si>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</si>
  <si>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</si>
  <si>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</si>
  <si>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</si>
  <si>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</si>
  <si>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</si>
  <si>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</si>
  <si>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</si>
  <si>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</si>
  <si>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</si>
  <si>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</si>
  <si>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</si>
  <si>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</si>
  <si>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mandag1o_februar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</si>
  <si>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</si>
  <si>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</si>
  <si>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</si>
  <si>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</si>
  <si>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</si>
  <si>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</si>
  <si>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</si>
  <si>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</si>
  <si>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</si>
  <si>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</si>
  <si>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</si>
  <si>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</si>
  <si>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</si>
  <si>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</si>
  <si>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fredag1o_desember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</si>
  <si>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</si>
  <si>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</si>
  <si>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</si>
  <si>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</si>
  <si>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</si>
  <si>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</si>
  <si>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</si>
  <si>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</si>
  <si>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</si>
  <si>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</si>
  <si>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</si>
  <si>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</si>
  <si>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</si>
  <si>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</si>
  <si>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</si>
  <si>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</si>
  <si>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</si>
  <si>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</si>
  <si>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</si>
  <si>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</si>
  <si>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</si>
  <si>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</si>
  <si>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</si>
  <si>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</si>
  <si>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</si>
  <si>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</si>
  <si>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</si>
  <si>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</si>
  <si>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</si>
  <si>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</si>
  <si>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</si>
  <si>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</si>
  <si>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</si>
  <si>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</si>
  <si>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</si>
  <si>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</si>
  <si>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</si>
  <si>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</si>
  <si>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</si>
  <si>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</si>
  <si>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</si>
  <si>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</si>
  <si>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</si>
  <si>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</si>
  <si>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</si>
  <si>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</si>
  <si>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</si>
  <si>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</si>
  <si>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</si>
  <si>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</si>
  <si>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fredag1o_juni 09:56:11</t>
  </si>
  <si>
    <t>Det ser ut til at fanene ikke bør beskyttes, for å unngå feilmeldingen ved oppstart</t>
  </si>
  <si>
    <t>2022 søndag12_juni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</si>
  <si>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</si>
  <si>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</si>
  <si>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</si>
  <si>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</si>
  <si>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</si>
  <si>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</si>
  <si>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</si>
  <si>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</si>
  <si>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</si>
  <si>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</si>
  <si>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</si>
  <si>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</si>
  <si>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</si>
  <si>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</si>
  <si>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</si>
  <si>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</si>
  <si>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</si>
  <si>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</si>
  <si>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</si>
  <si>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</si>
  <si>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</si>
  <si>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</si>
  <si>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</si>
  <si>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</si>
  <si>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</si>
  <si>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</si>
  <si>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</si>
  <si>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</si>
  <si>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</si>
  <si>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</si>
  <si>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</si>
  <si>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</si>
  <si>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</si>
  <si>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</si>
  <si>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</si>
  <si>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</si>
  <si>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</si>
  <si>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</si>
  <si>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</si>
  <si>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</si>
  <si>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</si>
  <si>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</si>
  <si>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</si>
  <si>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</si>
  <si>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</si>
  <si>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</si>
  <si>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</si>
  <si>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</si>
  <si>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</si>
  <si>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</si>
  <si>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</si>
  <si>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</si>
  <si>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</si>
  <si>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</si>
  <si>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</si>
  <si>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</si>
  <si>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</si>
  <si>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</si>
  <si>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</si>
  <si>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</si>
  <si>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</si>
  <si>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</si>
  <si>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</si>
  <si>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</si>
  <si>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</si>
  <si>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</si>
  <si>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</si>
  <si>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</si>
  <si>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</si>
  <si>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</si>
  <si>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</si>
  <si>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</si>
  <si>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</si>
  <si>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</si>
  <si>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</si>
  <si>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20.06.2026  - 18:29:12</t>
  </si>
  <si>
    <t>Har laget ny versjon av STPS (2027) til for seongen 2026/27'</t>
  </si>
  <si>
    <t>Poengsystemet er endret no.</t>
  </si>
  <si>
    <t>80-poengere er redusert til 65 som er topp-poeng</t>
  </si>
  <si>
    <t>Spillerne får extra poeng for1o_(58),11_(161) og12_(1070) rette</t>
  </si>
  <si>
    <t>En rett defineres som treff på høyeste tips i en kamp.</t>
  </si>
  <si>
    <t>Den som fyller ut LEV-rekka mottar eventuelle poeng fra den.</t>
  </si>
  <si>
    <t>Bruker Python til å lage en oversiktstabell som legges opp på www.tresfjording.no/report_2027.html</t>
  </si>
  <si>
    <t>Eksempel på oversiktstabell</t>
  </si>
  <si>
    <t>Antall rette</t>
  </si>
  <si>
    <t>12 Antall</t>
  </si>
  <si>
    <t>11 Antall</t>
  </si>
  <si>
    <t>10 Antall</t>
  </si>
  <si>
    <t>12 poeng</t>
  </si>
  <si>
    <t>11 poeng</t>
  </si>
  <si>
    <t>10 poeng</t>
  </si>
  <si>
    <t>LEV-Poeng</t>
  </si>
  <si>
    <t>Maks poeng på en rekke:</t>
  </si>
  <si>
    <t>12 rette</t>
  </si>
  <si>
    <t>LEV-poeng</t>
  </si>
  <si>
    <t>Max</t>
  </si>
  <si>
    <t>2026 torsdag 25 juni 13:25:52</t>
  </si>
  <si>
    <t>Versjon klar til release….</t>
  </si>
  <si>
    <t>30.06.2026  - 14:54:07</t>
  </si>
  <si>
    <t>Rette opp en deel summeringsfeil. o alle tippernes egne ark</t>
  </si>
  <si>
    <t>La inn RB i kongerekka for 2026</t>
  </si>
  <si>
    <t>Det deles ut poeng mer etter opnådd premier i tillegg til poenger.</t>
  </si>
  <si>
    <t>For å så tipperen etil å tippe mer reellt enn bare 80-10-10</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</si>
  <si>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</si>
  <si>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</si>
  <si>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</si>
  <si>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</si>
  <si>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</si>
  <si>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</si>
  <si>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</si>
  <si>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</si>
  <si>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</si>
  <si>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</si>
  <si>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</si>
  <si>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</si>
  <si>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</si>
  <si>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</si>
  <si>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</si>
  <si>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</si>
  <si>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</si>
  <si>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</si>
  <si>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</si>
  <si>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</si>
  <si>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</si>
  <si>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</si>
  <si>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</si>
  <si>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</si>
  <si>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</si>
  <si>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</si>
  <si>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</si>
  <si>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</si>
  <si>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</si>
  <si>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</si>
  <si>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</si>
  <si>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Poengfordeling</t>
  </si>
  <si>
    <t>Øyvind Granberg</t>
  </si>
  <si>
    <t>Ukenr.</t>
  </si>
  <si>
    <t>Ansvarlig</t>
  </si>
  <si>
    <t>Rette</t>
  </si>
  <si>
    <t>Poengnøkkel</t>
  </si>
  <si>
    <t>©</t>
  </si>
  <si>
    <t>sh</t>
  </si>
  <si>
    <t>su</t>
  </si>
  <si>
    <t>sb</t>
  </si>
  <si>
    <t>l</t>
  </si>
  <si>
    <t>TIPPEPAUSE</t>
  </si>
  <si>
    <t>Medlemmer</t>
  </si>
  <si>
    <t>Alf Henrik Håker</t>
  </si>
  <si>
    <t>callisto@mimer.no</t>
  </si>
  <si>
    <t>f_ahh</t>
  </si>
  <si>
    <t>t_ahh</t>
  </si>
  <si>
    <t>Rune Bjermeland</t>
  </si>
  <si>
    <t>runebjermr@hotmail.com</t>
  </si>
  <si>
    <t>f_rb</t>
  </si>
  <si>
    <t>t_rb</t>
  </si>
  <si>
    <t>Endre Brekkhus</t>
  </si>
  <si>
    <t>ebrekkhu@online.no</t>
  </si>
  <si>
    <t>f_eb</t>
  </si>
  <si>
    <t>t_eb</t>
  </si>
  <si>
    <t xml:space="preserve">AHH </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</si>
  <si>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</si>
  <si>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</si>
  <si>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</si>
  <si>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</si>
  <si>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</si>
  <si>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</si>
  <si>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</si>
  <si>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</si>
  <si>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</si>
  <si>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</si>
  <si>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</si>
  <si>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</si>
  <si>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</si>
  <si>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</si>
  <si>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</si>
  <si>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</si>
  <si>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</si>
  <si>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</si>
  <si>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</si>
  <si>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</si>
  <si>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</si>
  <si>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</si>
  <si>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</si>
  <si>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</si>
  <si>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</si>
  <si>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</si>
  <si>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</si>
  <si>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</si>
  <si>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</si>
  <si>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</si>
  <si>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År</t>
  </si>
  <si>
    <t>ahh</t>
  </si>
  <si>
    <t>rb</t>
  </si>
  <si>
    <t>eb</t>
  </si>
  <si>
    <t>kaf</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</si>
  <si>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</si>
  <si>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</si>
  <si>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</si>
  <si>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</si>
  <si>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</si>
  <si>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</si>
  <si>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</si>
  <si>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</si>
  <si>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</si>
  <si>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</si>
  <si>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</si>
  <si>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</si>
  <si>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</si>
  <si>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</si>
  <si>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</si>
  <si>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</si>
  <si>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</si>
  <si>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</si>
  <si>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</si>
  <si>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</si>
  <si>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</si>
  <si>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</si>
  <si>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</si>
  <si>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</si>
  <si>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</si>
  <si>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</si>
  <si>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</si>
  <si>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</si>
  <si>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</si>
  <si>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2010 - 2025 årlige ATH</t>
  </si>
  <si>
    <t>Antall årlige ATH</t>
  </si>
  <si>
    <t>Høyeste Årlige ATH</t>
  </si>
  <si>
    <t>BLT</t>
  </si>
  <si>
    <t>Høyest poengsum</t>
  </si>
  <si>
    <t>All time High sortert</t>
  </si>
  <si>
    <t>Antall_rette</t>
  </si>
  <si>
    <t>Snitt up</t>
  </si>
  <si>
    <t>Snitt bp</t>
  </si>
  <si>
    <t>Snitt straff</t>
  </si>
  <si>
    <t>Snitt totale poeng</t>
  </si>
  <si>
    <t>Poengandel innhentet</t>
  </si>
  <si>
    <t>Antall1o_rette</t>
  </si>
  <si>
    <t>Antall11_rette</t>
  </si>
  <si>
    <t>Antall12_rette</t>
  </si>
  <si>
    <t>uke</t>
  </si>
  <si>
    <t>navn</t>
  </si>
  <si>
    <t>Uke</t>
  </si>
  <si>
    <t>haf</t>
  </si>
  <si>
    <t>lav</t>
  </si>
  <si>
    <t>18.07.2026  - 20:49:46</t>
  </si>
  <si>
    <t>Lagt inn utreging av poeng for den ansvarlige for UTG-rakka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</si>
</sst>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10"/>
      <name val="Arial"/>
      <family val="2"/>
    </font>
    <font>
      <sz val="8"/>
      <name val="Arial"/>
      <family val="2"/>
    </font>
    <font>
      <b/>
      <sz val="8"/>
      <color rgb="FFFF0000"/>
      <name val="Arial"/>
      <family val="2"/>
    </font>
    <font>
      <sz val="11"/>
      <color rgb="FF000000"/>
      <name val="Comic Sans MS"/>
      <family val="2"/>
    </font>
    <font>
      <b/>
      <sz val="11"/>
      <color rgb="FF0000FF"/>
      <name val="Aptos Narrow"/>
      <family val="2"/>
    </font>
    <font>
      <b/>
      <sz val="10"/>
      <color rgb="FF0000FF"/>
      <name val="Aptos Narrow"/>
      <family val="2"/>
    </font>
    <font>
      <b/>
      <sz val="11"/>
      <color rgb="FF000000"/>
      <name val="Comic Sans MS"/>
      <family val="4"/>
    </font>
    <font>
      <b/>
      <sz val="11"/>
      <color rgb="FFFF0000"/>
      <name val="Aptos Narrow"/>
      <family val="2"/>
    </font>
    <font>
      <b/>
      <sz val="11"/>
      <color rgb="FF0000FF"/>
      <name val="Comic Sans MS"/>
      <family val="4"/>
    </font>
    <font>
      <b/>
      <sz val="24"/>
      <name val="Arial"/>
      <family val="2"/>
    </font>
    <font>
      <sz val="12"/>
      <color rgb="FFCC6600"/>
      <name val="Arial"/>
      <family val="2"/>
    </font>
    <font>
      <sz val="28"/>
      <color rgb="FF800000"/>
      <name val="Consolas"/>
      <family val="3"/>
    </font>
    <font>
      <sz val="10"/>
      <color rgb="FF000000"/>
      <name val="Arial"/>
      <family val="2"/>
    </font>
    <font>
      <sz val="8"/>
      <name val="Arial"/>
      <family val="2"/>
    </font>
  </fonts>
  <fills count="31">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rgb="FFFFC000"/>
        <bgColor rgb="FF000000"/>
      </patternFill>
    </fill>
    <fill>
      <patternFill patternType="solid">
        <fgColor rgb="FFFFFFFF"/>
        <bgColor rgb="FF000000"/>
      </patternFill>
    </fill>
    <fill>
      <patternFill patternType="solid">
        <fgColor rgb="FFFFFF00"/>
        <bgColor rgb="FF000000"/>
      </patternFill>
    </fill>
    <fill>
      <patternFill patternType="solid">
        <fgColor rgb="FFF1A983"/>
        <bgColor rgb="FF000000"/>
      </patternFill>
    </fill>
  </fills>
  <borders count="169">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6" fillId="0" borderId="0" applyFont="0" applyFill="0" applyBorder="0" applyAlignment="0" applyProtection="0"/>
    <xf numFmtId="165" fontId="5" fillId="0" borderId="0" applyFont="0" applyFill="0" applyBorder="0" applyAlignment="0" applyProtection="0"/>
    <xf numFmtId="43" fontId="120" fillId="0" borderId="0" applyFont="0" applyFill="0" applyBorder="0" applyAlignment="0" applyProtection="0"/>
  </cellStyleXfs>
  <cellXfs count="899">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1" fillId="0" borderId="0" xfId="0" applyFont="1"/>
    <xf numFmtId="0" fontId="0" fillId="0" borderId="83" xfId="0" applyBorder="1"/>
    <xf numFmtId="0" fontId="72" fillId="0" borderId="83" xfId="0" applyFont="1" applyBorder="1"/>
    <xf numFmtId="0" fontId="50" fillId="0" borderId="0" xfId="0" applyFont="1" applyAlignment="1">
      <alignment vertical="center"/>
    </xf>
    <xf numFmtId="0" fontId="73" fillId="0" borderId="0" xfId="0" applyFont="1"/>
    <xf numFmtId="0" fontId="74" fillId="0" borderId="0" xfId="0" applyFont="1" applyAlignment="1">
      <alignment vertical="center"/>
    </xf>
    <xf numFmtId="0" fontId="75" fillId="0" borderId="0" xfId="0" applyFont="1"/>
    <xf numFmtId="0" fontId="75" fillId="0" borderId="83" xfId="0" applyFont="1" applyBorder="1"/>
    <xf numFmtId="14" fontId="48" fillId="0" borderId="0" xfId="0" applyNumberFormat="1" applyFont="1"/>
    <xf numFmtId="0" fontId="5" fillId="12" borderId="0" xfId="0" applyFont="1" applyFill="1"/>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0"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7" fillId="12" borderId="37" xfId="0" applyFont="1" applyFill="1" applyBorder="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2" fontId="78" fillId="13" borderId="38" xfId="0" applyNumberFormat="1" applyFont="1" applyFill="1" applyBorder="1" applyAlignment="1">
      <alignment horizontal="center"/>
    </xf>
    <xf numFmtId="0" fontId="5" fillId="13" borderId="38" xfId="0" applyFont="1" applyFill="1" applyBorder="1"/>
    <xf numFmtId="0" fontId="70" fillId="13" borderId="43" xfId="0" applyFont="1" applyFill="1" applyBorder="1" applyAlignment="1">
      <alignment vertical="center"/>
    </xf>
    <xf numFmtId="0" fontId="5" fillId="13" borderId="43" xfId="0" applyFont="1" applyFill="1" applyBorder="1"/>
    <xf numFmtId="2" fontId="68" fillId="13" borderId="39" xfId="0" applyNumberFormat="1" applyFont="1" applyFill="1" applyBorder="1" applyAlignment="1">
      <alignment horizontal="center"/>
    </xf>
    <xf numFmtId="0" fontId="5" fillId="13" borderId="39" xfId="0" applyFont="1" applyFill="1" applyBorder="1"/>
    <xf numFmtId="0" fontId="78" fillId="13" borderId="39" xfId="0" applyFont="1" applyFill="1" applyBorder="1" applyAlignment="1">
      <alignment horizontal="center"/>
    </xf>
    <xf numFmtId="0" fontId="69" fillId="13" borderId="39" xfId="0" applyFont="1" applyFill="1" applyBorder="1" applyAlignment="1">
      <alignment horizontal="center" vertical="center"/>
    </xf>
    <xf numFmtId="0" fontId="78"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79" fillId="0" borderId="0" xfId="0" applyFont="1" applyAlignment="1">
      <alignment vertical="center"/>
    </xf>
    <xf numFmtId="173" fontId="0" fillId="0" borderId="0" xfId="0" applyNumberFormat="1"/>
    <xf numFmtId="0" fontId="80" fillId="0" borderId="0" xfId="0" applyFont="1" applyAlignment="1">
      <alignment vertical="center"/>
    </xf>
    <xf numFmtId="0" fontId="81" fillId="0" borderId="0" xfId="0" applyFont="1" applyAlignment="1">
      <alignment vertical="center"/>
    </xf>
    <xf numFmtId="0" fontId="82" fillId="0" borderId="0" xfId="0" applyFont="1" applyAlignment="1">
      <alignment vertical="center"/>
    </xf>
    <xf numFmtId="168" fontId="84" fillId="12" borderId="42" xfId="0" applyNumberFormat="1" applyFont="1" applyFill="1" applyBorder="1" applyAlignment="1">
      <alignment vertical="center"/>
    </xf>
    <xf numFmtId="4" fontId="71" fillId="0" borderId="0" xfId="0" applyNumberFormat="1" applyFont="1" applyAlignment="1">
      <alignment horizontal="center" vertical="center"/>
    </xf>
    <xf numFmtId="0" fontId="85" fillId="0" borderId="0" xfId="0" applyFont="1"/>
    <xf numFmtId="0" fontId="87" fillId="15" borderId="9" xfId="0" applyFont="1" applyFill="1" applyBorder="1" applyAlignment="1">
      <alignment horizontal="left" indent="1"/>
    </xf>
    <xf numFmtId="0" fontId="87" fillId="15" borderId="7" xfId="0" applyFont="1" applyFill="1" applyBorder="1" applyAlignment="1">
      <alignment horizontal="left" indent="1"/>
    </xf>
    <xf numFmtId="0" fontId="87" fillId="15" borderId="0" xfId="0" applyFont="1" applyFill="1" applyAlignment="1">
      <alignment horizontal="left" indent="1"/>
    </xf>
    <xf numFmtId="0" fontId="87" fillId="15" borderId="14" xfId="0" applyFont="1" applyFill="1" applyBorder="1" applyAlignment="1">
      <alignment horizontal="left" indent="1"/>
    </xf>
    <xf numFmtId="0" fontId="87"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7" fillId="15" borderId="8" xfId="0" applyFont="1" applyFill="1" applyBorder="1" applyAlignment="1">
      <alignment horizontal="left" indent="1"/>
    </xf>
    <xf numFmtId="0" fontId="87" fillId="15" borderId="10" xfId="0" applyFont="1" applyFill="1" applyBorder="1" applyAlignment="1">
      <alignment horizontal="left" indent="1"/>
    </xf>
    <xf numFmtId="0" fontId="87" fillId="15" borderId="11" xfId="0" applyFont="1" applyFill="1" applyBorder="1" applyAlignment="1">
      <alignment horizontal="left" indent="1"/>
    </xf>
    <xf numFmtId="0" fontId="87"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7" fillId="0" borderId="0" xfId="0" applyFont="1" applyAlignment="1">
      <alignment horizontal="left" indent="1"/>
    </xf>
    <xf numFmtId="10" fontId="57" fillId="0" borderId="0" xfId="0" applyNumberFormat="1" applyFont="1" applyAlignment="1">
      <alignment horizontal="left" indent="1"/>
    </xf>
    <xf numFmtId="1" fontId="87" fillId="15" borderId="8" xfId="0" applyNumberFormat="1" applyFont="1" applyFill="1" applyBorder="1" applyAlignment="1">
      <alignment horizontal="left" indent="1"/>
    </xf>
    <xf numFmtId="1" fontId="87" fillId="15" borderId="10" xfId="0" applyNumberFormat="1" applyFont="1" applyFill="1" applyBorder="1" applyAlignment="1">
      <alignment horizontal="left" indent="1"/>
    </xf>
    <xf numFmtId="1" fontId="87"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8" fillId="0" borderId="90" xfId="0" applyFont="1" applyBorder="1" applyAlignment="1">
      <alignment horizontal="center"/>
    </xf>
    <xf numFmtId="0" fontId="83" fillId="0" borderId="83" xfId="0" applyFont="1" applyBorder="1"/>
    <xf numFmtId="0" fontId="88" fillId="0" borderId="83" xfId="0" applyFont="1" applyBorder="1" applyAlignment="1">
      <alignment horizontal="center"/>
    </xf>
    <xf numFmtId="0" fontId="88"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0" fillId="0" borderId="88" xfId="0" applyFont="1" applyBorder="1" applyAlignment="1">
      <alignment horizontal="center"/>
    </xf>
    <xf numFmtId="0" fontId="91" fillId="0" borderId="84" xfId="0" applyFont="1" applyBorder="1"/>
    <xf numFmtId="0" fontId="90" fillId="0" borderId="84" xfId="0" applyFont="1" applyBorder="1" applyAlignment="1">
      <alignment horizontal="center"/>
    </xf>
    <xf numFmtId="0" fontId="94"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6"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0" fillId="0" borderId="0" xfId="0" applyFont="1"/>
    <xf numFmtId="0" fontId="23" fillId="0" borderId="0" xfId="0" applyFont="1"/>
    <xf numFmtId="0" fontId="23" fillId="0" borderId="0" xfId="0" applyFont="1" applyAlignment="1">
      <alignment horizontal="right"/>
    </xf>
    <xf numFmtId="1" fontId="87" fillId="15" borderId="7" xfId="0" applyNumberFormat="1" applyFont="1" applyFill="1" applyBorder="1" applyAlignment="1">
      <alignment horizontal="left" indent="1"/>
    </xf>
    <xf numFmtId="1" fontId="87" fillId="15" borderId="0" xfId="0" applyNumberFormat="1" applyFont="1" applyFill="1" applyAlignment="1">
      <alignment horizontal="left" indent="1"/>
    </xf>
    <xf numFmtId="1" fontId="87" fillId="15" borderId="1" xfId="0" applyNumberFormat="1" applyFont="1" applyFill="1" applyBorder="1" applyAlignment="1">
      <alignment horizontal="left" indent="1"/>
    </xf>
    <xf numFmtId="1" fontId="74" fillId="0" borderId="0" xfId="0" applyNumberFormat="1" applyFont="1" applyAlignment="1">
      <alignment vertical="center"/>
    </xf>
    <xf numFmtId="1" fontId="85" fillId="0" borderId="0" xfId="0" applyNumberFormat="1" applyFont="1" applyAlignment="1">
      <alignment readingOrder="1"/>
    </xf>
    <xf numFmtId="1" fontId="85" fillId="0" borderId="0" xfId="0" applyNumberFormat="1" applyFont="1"/>
    <xf numFmtId="1" fontId="71"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1" xfId="0" applyFont="1" applyFill="1" applyBorder="1" applyAlignment="1">
      <alignment horizontal="right"/>
    </xf>
    <xf numFmtId="14" fontId="36" fillId="0" borderId="116" xfId="0" applyNumberFormat="1" applyFont="1" applyBorder="1"/>
    <xf numFmtId="0" fontId="75" fillId="0" borderId="83" xfId="0" applyFont="1" applyBorder="1" applyAlignment="1">
      <alignment horizontal="right"/>
    </xf>
    <xf numFmtId="0" fontId="85" fillId="0" borderId="83" xfId="0" applyFont="1" applyBorder="1" applyAlignment="1">
      <alignment horizontal="right"/>
    </xf>
    <xf numFmtId="0" fontId="73" fillId="0" borderId="84" xfId="0" applyFont="1" applyBorder="1"/>
    <xf numFmtId="0" fontId="92" fillId="0" borderId="84" xfId="0" applyFont="1" applyBorder="1"/>
    <xf numFmtId="0" fontId="73" fillId="0" borderId="83" xfId="0" applyFont="1" applyBorder="1"/>
    <xf numFmtId="0" fontId="92" fillId="0" borderId="83" xfId="0" applyFont="1" applyBorder="1"/>
    <xf numFmtId="0" fontId="16" fillId="19" borderId="119" xfId="0" applyFont="1" applyFill="1" applyBorder="1"/>
    <xf numFmtId="0" fontId="16" fillId="19" borderId="120"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2" fillId="0" borderId="84" xfId="0" applyFont="1" applyBorder="1" applyAlignment="1">
      <alignment vertical="center"/>
    </xf>
    <xf numFmtId="0" fontId="92" fillId="0" borderId="83" xfId="0" applyFont="1" applyBorder="1" applyAlignment="1">
      <alignment vertical="center"/>
    </xf>
    <xf numFmtId="0" fontId="92" fillId="0" borderId="83" xfId="0" applyFont="1" applyBorder="1" applyAlignment="1">
      <alignment horizontal="right"/>
    </xf>
    <xf numFmtId="0" fontId="0" fillId="0" borderId="88" xfId="0" applyBorder="1"/>
    <xf numFmtId="0" fontId="73" fillId="0" borderId="89" xfId="0" applyFont="1" applyBorder="1"/>
    <xf numFmtId="0" fontId="0" fillId="0" borderId="90" xfId="0" applyBorder="1"/>
    <xf numFmtId="0" fontId="73" fillId="0" borderId="91" xfId="0" applyFont="1" applyBorder="1"/>
    <xf numFmtId="0" fontId="87" fillId="15" borderId="9" xfId="0" applyFont="1" applyFill="1" applyBorder="1" applyAlignment="1">
      <alignment horizontal="center"/>
    </xf>
    <xf numFmtId="0" fontId="87" fillId="15" borderId="14" xfId="0" applyFont="1" applyFill="1" applyBorder="1" applyAlignment="1">
      <alignment horizontal="center"/>
    </xf>
    <xf numFmtId="0" fontId="41" fillId="16" borderId="5" xfId="2" applyFont="1" applyFill="1" applyBorder="1" applyAlignment="1">
      <alignment vertical="center"/>
    </xf>
    <xf numFmtId="0" fontId="87" fillId="15" borderId="7" xfId="0" applyFont="1" applyFill="1" applyBorder="1"/>
    <xf numFmtId="0" fontId="87" fillId="15" borderId="0" xfId="0" applyFont="1" applyFill="1"/>
    <xf numFmtId="0" fontId="87" fillId="15" borderId="1" xfId="0" applyFont="1" applyFill="1" applyBorder="1"/>
    <xf numFmtId="0" fontId="99"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7" fillId="0" borderId="120"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5"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6" xfId="2" applyFont="1" applyFill="1" applyBorder="1"/>
    <xf numFmtId="0" fontId="63" fillId="20" borderId="127"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8"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0"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1" xfId="2" applyFont="1" applyFill="1" applyBorder="1" applyAlignment="1">
      <alignment horizontal="center"/>
    </xf>
    <xf numFmtId="0" fontId="64" fillId="20" borderId="67" xfId="2" applyFont="1" applyFill="1" applyBorder="1" applyAlignment="1">
      <alignment horizontal="center"/>
    </xf>
    <xf numFmtId="0" fontId="64" fillId="20" borderId="132"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3" xfId="2" applyFont="1" applyFill="1" applyBorder="1" applyAlignment="1">
      <alignment horizontal="left"/>
    </xf>
    <xf numFmtId="0" fontId="64" fillId="3" borderId="134" xfId="2" applyFont="1" applyFill="1" applyBorder="1" applyAlignment="1">
      <alignment horizontal="center"/>
    </xf>
    <xf numFmtId="14" fontId="64" fillId="3" borderId="135" xfId="2" applyNumberFormat="1" applyFont="1" applyFill="1" applyBorder="1" applyAlignment="1">
      <alignment horizontal="center"/>
    </xf>
    <xf numFmtId="0" fontId="63" fillId="20" borderId="0" xfId="2" applyFont="1" applyFill="1"/>
    <xf numFmtId="0" fontId="63" fillId="0" borderId="145" xfId="2" applyFont="1" applyBorder="1" applyAlignment="1" applyProtection="1">
      <alignment horizontal="center"/>
      <protection locked="0"/>
    </xf>
    <xf numFmtId="0" fontId="63" fillId="0" borderId="143" xfId="2" applyFont="1" applyBorder="1" applyAlignment="1" applyProtection="1">
      <alignment horizontal="center"/>
      <protection locked="0"/>
    </xf>
    <xf numFmtId="0" fontId="63" fillId="0" borderId="144" xfId="2" applyFont="1" applyBorder="1" applyAlignment="1" applyProtection="1">
      <alignment horizontal="center"/>
      <protection locked="0"/>
    </xf>
    <xf numFmtId="172" fontId="63" fillId="0" borderId="146" xfId="2" applyNumberFormat="1" applyFont="1" applyBorder="1" applyProtection="1">
      <protection locked="0"/>
    </xf>
    <xf numFmtId="4" fontId="63" fillId="0" borderId="146" xfId="2" applyNumberFormat="1" applyFont="1" applyBorder="1" applyProtection="1">
      <protection locked="0"/>
    </xf>
    <xf numFmtId="4" fontId="63" fillId="3" borderId="145" xfId="2" applyNumberFormat="1" applyFont="1" applyFill="1" applyBorder="1"/>
    <xf numFmtId="4" fontId="63" fillId="3" borderId="143" xfId="2" applyNumberFormat="1" applyFont="1" applyFill="1" applyBorder="1"/>
    <xf numFmtId="4" fontId="63" fillId="3" borderId="147" xfId="2" applyNumberFormat="1" applyFont="1" applyFill="1" applyBorder="1"/>
    <xf numFmtId="172" fontId="63" fillId="0" borderId="148" xfId="2" applyNumberFormat="1" applyFont="1" applyBorder="1"/>
    <xf numFmtId="172" fontId="63" fillId="3" borderId="149" xfId="2" applyNumberFormat="1" applyFont="1" applyFill="1" applyBorder="1" applyAlignment="1">
      <alignment horizontal="right"/>
    </xf>
    <xf numFmtId="172" fontId="63" fillId="3" borderId="149" xfId="2" applyNumberFormat="1" applyFont="1" applyFill="1" applyBorder="1"/>
    <xf numFmtId="0" fontId="63" fillId="20" borderId="118" xfId="2" applyFont="1" applyFill="1" applyBorder="1"/>
    <xf numFmtId="14" fontId="63" fillId="20" borderId="150"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1"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0" fillId="0" borderId="0" xfId="0" applyFont="1"/>
    <xf numFmtId="0" fontId="16" fillId="0" borderId="0" xfId="0" applyFont="1"/>
    <xf numFmtId="0" fontId="0" fillId="0" borderId="10" xfId="0" applyBorder="1"/>
    <xf numFmtId="0" fontId="0" fillId="0" borderId="0" xfId="0" quotePrefix="1"/>
    <xf numFmtId="0" fontId="100"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1" fillId="0" borderId="0" xfId="2" applyFont="1"/>
    <xf numFmtId="0" fontId="102"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3" xfId="0" applyNumberFormat="1" applyFont="1" applyFill="1" applyBorder="1"/>
    <xf numFmtId="0" fontId="36" fillId="22" borderId="153" xfId="0" applyFont="1" applyFill="1" applyBorder="1"/>
    <xf numFmtId="0" fontId="36" fillId="22" borderId="152" xfId="0" applyFont="1" applyFill="1" applyBorder="1"/>
    <xf numFmtId="14" fontId="36" fillId="23" borderId="153" xfId="0" applyNumberFormat="1" applyFont="1" applyFill="1" applyBorder="1"/>
    <xf numFmtId="0" fontId="36" fillId="23" borderId="153" xfId="0" applyFont="1" applyFill="1" applyBorder="1"/>
    <xf numFmtId="0" fontId="36" fillId="23" borderId="152" xfId="0" applyFont="1" applyFill="1" applyBorder="1"/>
    <xf numFmtId="14" fontId="36" fillId="22" borderId="154" xfId="0" applyNumberFormat="1" applyFont="1" applyFill="1" applyBorder="1"/>
    <xf numFmtId="0" fontId="36" fillId="22" borderId="154"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89" fillId="0" borderId="84" xfId="0" applyFont="1" applyBorder="1" applyAlignment="1">
      <alignment vertical="center"/>
    </xf>
    <xf numFmtId="0" fontId="89" fillId="0" borderId="0" xfId="0" applyFont="1" applyAlignment="1">
      <alignment vertical="center"/>
    </xf>
    <xf numFmtId="0" fontId="92" fillId="0" borderId="84" xfId="0" applyFont="1" applyBorder="1" applyAlignment="1">
      <alignment horizontal="center"/>
    </xf>
    <xf numFmtId="0" fontId="73" fillId="0" borderId="84" xfId="0" applyFont="1" applyBorder="1" applyAlignment="1">
      <alignment horizontal="center"/>
    </xf>
    <xf numFmtId="0" fontId="103" fillId="0" borderId="83" xfId="0" applyFont="1" applyBorder="1" applyAlignment="1">
      <alignment horizontal="center"/>
    </xf>
    <xf numFmtId="0" fontId="74" fillId="0" borderId="83" xfId="0" applyFont="1" applyBorder="1" applyAlignment="1">
      <alignment horizontal="centerContinuous"/>
    </xf>
    <xf numFmtId="0" fontId="74" fillId="0" borderId="89" xfId="0" applyFont="1" applyBorder="1" applyAlignment="1">
      <alignment vertical="center"/>
    </xf>
    <xf numFmtId="0" fontId="85" fillId="0" borderId="155" xfId="0" applyFont="1" applyBorder="1" applyAlignment="1">
      <alignment horizontal="left" indent="1"/>
    </xf>
    <xf numFmtId="0" fontId="71" fillId="0" borderId="155" xfId="1" applyNumberFormat="1" applyFont="1" applyBorder="1" applyAlignment="1" applyProtection="1">
      <alignment horizontal="left" vertical="center" indent="1"/>
    </xf>
    <xf numFmtId="0" fontId="73" fillId="0" borderId="0" xfId="0" applyFont="1" applyAlignment="1">
      <alignment horizontal="left" indent="1"/>
    </xf>
    <xf numFmtId="175" fontId="93"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6" xfId="2" applyNumberFormat="1" applyFont="1" applyBorder="1" applyProtection="1">
      <protection locked="0"/>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0"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29" xfId="2" applyFont="1" applyFill="1" applyBorder="1" applyAlignment="1">
      <alignment horizontal="center"/>
    </xf>
    <xf numFmtId="164" fontId="63" fillId="0" borderId="142" xfId="2" applyNumberFormat="1" applyFont="1" applyBorder="1" applyProtection="1">
      <protection locked="0"/>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39" xfId="2" applyNumberFormat="1" applyFont="1" applyBorder="1" applyAlignment="1" applyProtection="1">
      <alignment horizontal="center"/>
      <protection locked="0"/>
    </xf>
    <xf numFmtId="164" fontId="63" fillId="0" borderId="137"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3" borderId="139" xfId="2" applyNumberFormat="1" applyFont="1" applyFill="1" applyBorder="1"/>
    <xf numFmtId="164" fontId="63" fillId="3" borderId="72" xfId="2" applyNumberFormat="1" applyFont="1" applyFill="1" applyBorder="1"/>
    <xf numFmtId="164" fontId="63" fillId="3" borderId="141" xfId="2" applyNumberFormat="1" applyFont="1" applyFill="1" applyBorder="1"/>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4" fillId="0" borderId="0" xfId="2" applyFont="1"/>
    <xf numFmtId="0" fontId="105"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6" fillId="0" borderId="0" xfId="0" applyFont="1"/>
    <xf numFmtId="0" fontId="106" fillId="0" borderId="0" xfId="0" applyFont="1" applyAlignment="1">
      <alignment horizontal="right"/>
    </xf>
    <xf numFmtId="0" fontId="8" fillId="0" borderId="0" xfId="0" applyFont="1"/>
    <xf numFmtId="0" fontId="9" fillId="13" borderId="45" xfId="0" applyFont="1" applyFill="1" applyBorder="1"/>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7"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7" fillId="0" borderId="0" xfId="2" applyFont="1"/>
    <xf numFmtId="0" fontId="107" fillId="0" borderId="0" xfId="2" applyFont="1" applyAlignment="1">
      <alignment horizontal="center"/>
    </xf>
    <xf numFmtId="0" fontId="107" fillId="24" borderId="32" xfId="2" applyFont="1" applyFill="1" applyBorder="1" applyAlignment="1">
      <alignment horizontal="center" textRotation="45"/>
    </xf>
    <xf numFmtId="0" fontId="107" fillId="24" borderId="7" xfId="2" applyFont="1" applyFill="1" applyBorder="1" applyAlignment="1">
      <alignment textRotation="45"/>
    </xf>
    <xf numFmtId="0" fontId="107" fillId="24" borderId="6" xfId="2" applyFont="1" applyFill="1" applyBorder="1" applyAlignment="1">
      <alignment textRotation="45"/>
    </xf>
    <xf numFmtId="0" fontId="107" fillId="24" borderId="13" xfId="2" applyFont="1" applyFill="1" applyBorder="1" applyAlignment="1">
      <alignment textRotation="45"/>
    </xf>
    <xf numFmtId="0" fontId="108" fillId="25" borderId="32" xfId="2" applyFont="1" applyFill="1" applyBorder="1" applyAlignment="1">
      <alignment horizontal="right"/>
    </xf>
    <xf numFmtId="0" fontId="108" fillId="25" borderId="7" xfId="2" applyFont="1" applyFill="1" applyBorder="1" applyAlignment="1">
      <alignment horizontal="right"/>
    </xf>
    <xf numFmtId="0" fontId="108" fillId="25" borderId="158" xfId="2" applyFont="1" applyFill="1" applyBorder="1" applyAlignment="1">
      <alignment horizontal="center"/>
    </xf>
    <xf numFmtId="0" fontId="108" fillId="25" borderId="7" xfId="2" applyFont="1" applyFill="1" applyBorder="1" applyAlignment="1">
      <alignment horizontal="center"/>
    </xf>
    <xf numFmtId="0" fontId="108" fillId="25" borderId="159" xfId="2" applyFont="1" applyFill="1" applyBorder="1" applyAlignment="1">
      <alignment horizontal="center"/>
    </xf>
    <xf numFmtId="0" fontId="108" fillId="25" borderId="8" xfId="2" applyFont="1" applyFill="1" applyBorder="1" applyAlignment="1">
      <alignment horizontal="center"/>
    </xf>
    <xf numFmtId="0" fontId="108" fillId="25" borderId="34" xfId="2" applyFont="1" applyFill="1" applyBorder="1" applyAlignment="1">
      <alignment horizontal="center"/>
    </xf>
    <xf numFmtId="0" fontId="108" fillId="25" borderId="32" xfId="2" applyFont="1" applyFill="1" applyBorder="1" applyAlignment="1">
      <alignment horizontal="center"/>
    </xf>
    <xf numFmtId="0" fontId="108" fillId="25" borderId="9" xfId="2" applyFont="1" applyFill="1" applyBorder="1" applyAlignment="1">
      <alignment horizontal="right"/>
    </xf>
    <xf numFmtId="0" fontId="108" fillId="25" borderId="0" xfId="2" applyFont="1" applyFill="1" applyAlignment="1">
      <alignment horizontal="right"/>
    </xf>
    <xf numFmtId="0" fontId="107" fillId="6" borderId="32" xfId="2" applyFont="1" applyFill="1" applyBorder="1" applyAlignment="1">
      <alignment horizontal="center"/>
    </xf>
    <xf numFmtId="0" fontId="107" fillId="6" borderId="7" xfId="2" applyFont="1" applyFill="1" applyBorder="1" applyAlignment="1">
      <alignment horizontal="center"/>
    </xf>
    <xf numFmtId="0" fontId="107" fillId="6" borderId="158" xfId="2" applyFont="1" applyFill="1" applyBorder="1" applyAlignment="1">
      <alignment horizontal="center"/>
    </xf>
    <xf numFmtId="0" fontId="107" fillId="6" borderId="159" xfId="2" applyFont="1" applyFill="1" applyBorder="1" applyAlignment="1">
      <alignment horizontal="center"/>
    </xf>
    <xf numFmtId="0" fontId="107" fillId="6" borderId="8" xfId="2" applyFont="1" applyFill="1" applyBorder="1" applyAlignment="1">
      <alignment horizontal="center"/>
    </xf>
    <xf numFmtId="0" fontId="107" fillId="6" borderId="9" xfId="2" applyFont="1" applyFill="1" applyBorder="1" applyAlignment="1">
      <alignment horizontal="center"/>
    </xf>
    <xf numFmtId="0" fontId="107" fillId="6" borderId="0" xfId="2" applyFont="1" applyFill="1" applyAlignment="1">
      <alignment horizontal="center"/>
    </xf>
    <xf numFmtId="0" fontId="107" fillId="6" borderId="114" xfId="2" applyFont="1" applyFill="1" applyBorder="1" applyAlignment="1">
      <alignment horizontal="center"/>
    </xf>
    <xf numFmtId="0" fontId="107" fillId="6" borderId="160" xfId="2" applyFont="1" applyFill="1" applyBorder="1" applyAlignment="1">
      <alignment horizontal="center"/>
    </xf>
    <xf numFmtId="0" fontId="107" fillId="6" borderId="10" xfId="2" applyFont="1" applyFill="1" applyBorder="1" applyAlignment="1">
      <alignment horizontal="center"/>
    </xf>
    <xf numFmtId="0" fontId="108" fillId="25" borderId="14" xfId="2" applyFont="1" applyFill="1" applyBorder="1" applyAlignment="1">
      <alignment horizontal="right"/>
    </xf>
    <xf numFmtId="0" fontId="108" fillId="25" borderId="1" xfId="2" applyFont="1" applyFill="1" applyBorder="1" applyAlignment="1">
      <alignment horizontal="right"/>
    </xf>
    <xf numFmtId="0" fontId="107" fillId="6" borderId="1" xfId="2" applyFont="1" applyFill="1" applyBorder="1" applyAlignment="1">
      <alignment horizontal="center"/>
    </xf>
    <xf numFmtId="0" fontId="107" fillId="6" borderId="161" xfId="2" applyFont="1" applyFill="1" applyBorder="1" applyAlignment="1">
      <alignment horizontal="center"/>
    </xf>
    <xf numFmtId="0" fontId="107" fillId="6" borderId="162" xfId="2" applyFont="1" applyFill="1" applyBorder="1" applyAlignment="1">
      <alignment horizontal="center"/>
    </xf>
    <xf numFmtId="0" fontId="107" fillId="6" borderId="11" xfId="2" applyFont="1" applyFill="1" applyBorder="1" applyAlignment="1">
      <alignment horizontal="center"/>
    </xf>
    <xf numFmtId="14" fontId="107" fillId="0" borderId="0" xfId="2" applyNumberFormat="1" applyFont="1"/>
    <xf numFmtId="0" fontId="108" fillId="25" borderId="0" xfId="2" applyFont="1" applyFill="1" applyAlignment="1">
      <alignment horizontal="left" vertical="center"/>
    </xf>
    <xf numFmtId="0" fontId="108" fillId="25" borderId="0" xfId="2" applyFont="1" applyFill="1" applyAlignment="1">
      <alignment horizontal="left"/>
    </xf>
    <xf numFmtId="176" fontId="108" fillId="25" borderId="0" xfId="10" applyNumberFormat="1" applyFont="1" applyFill="1" applyAlignment="1">
      <alignment horizontal="center" vertical="center"/>
    </xf>
    <xf numFmtId="0" fontId="108" fillId="25" borderId="163" xfId="2" applyFont="1" applyFill="1" applyBorder="1" applyAlignment="1">
      <alignment horizontal="center" vertical="center"/>
    </xf>
    <xf numFmtId="0" fontId="107" fillId="0" borderId="0" xfId="2" applyFont="1" applyAlignment="1">
      <alignment vertical="center"/>
    </xf>
    <xf numFmtId="14" fontId="108" fillId="0" borderId="0" xfId="2" applyNumberFormat="1" applyFont="1"/>
    <xf numFmtId="0" fontId="107" fillId="0" borderId="0" xfId="2" applyFont="1" applyAlignment="1">
      <alignment horizontal="right"/>
    </xf>
    <xf numFmtId="0" fontId="107" fillId="0" borderId="0" xfId="2" applyFont="1" applyAlignment="1">
      <alignment horizontal="center" vertical="center"/>
    </xf>
    <xf numFmtId="172" fontId="63" fillId="2" borderId="157"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6" fillId="12" borderId="37" xfId="0"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1" fillId="10" borderId="32" xfId="0" applyFont="1" applyFill="1" applyBorder="1"/>
    <xf numFmtId="0" fontId="111" fillId="10" borderId="8" xfId="0" applyFont="1" applyFill="1" applyBorder="1"/>
    <xf numFmtId="0" fontId="111" fillId="10" borderId="9" xfId="0" applyFont="1" applyFill="1" applyBorder="1"/>
    <xf numFmtId="0" fontId="111" fillId="10" borderId="10" xfId="0" applyFont="1" applyFill="1" applyBorder="1"/>
    <xf numFmtId="0" fontId="111" fillId="10" borderId="14" xfId="0" applyFont="1" applyFill="1" applyBorder="1"/>
    <xf numFmtId="0" fontId="111" fillId="10" borderId="11" xfId="0" applyFont="1" applyFill="1" applyBorder="1"/>
    <xf numFmtId="0" fontId="6" fillId="0" borderId="0" xfId="0" applyFont="1"/>
    <xf numFmtId="0" fontId="6" fillId="0" borderId="0" xfId="0" applyFont="1" applyAlignment="1">
      <alignment horizontal="left"/>
    </xf>
    <xf numFmtId="0" fontId="112" fillId="0" borderId="0" xfId="0" applyFont="1" applyAlignment="1">
      <alignment horizontal="left"/>
    </xf>
    <xf numFmtId="0" fontId="111" fillId="2" borderId="5" xfId="0" applyFont="1" applyFill="1" applyBorder="1"/>
    <xf numFmtId="0" fontId="111" fillId="2" borderId="13" xfId="0" applyFont="1" applyFill="1" applyBorder="1"/>
    <xf numFmtId="0" fontId="111" fillId="0" borderId="5" xfId="0" applyFont="1" applyBorder="1"/>
    <xf numFmtId="0" fontId="111" fillId="0" borderId="13" xfId="0" applyFont="1" applyBorder="1"/>
    <xf numFmtId="0" fontId="111" fillId="10" borderId="0" xfId="0" applyFont="1" applyFill="1"/>
    <xf numFmtId="0" fontId="111" fillId="10" borderId="10" xfId="0" applyFont="1" applyFill="1" applyBorder="1" applyAlignment="1">
      <alignment horizontal="left"/>
    </xf>
    <xf numFmtId="0" fontId="111" fillId="10" borderId="1" xfId="0" applyFont="1" applyFill="1" applyBorder="1"/>
    <xf numFmtId="0" fontId="111" fillId="10" borderId="11" xfId="0" applyFont="1" applyFill="1" applyBorder="1" applyAlignment="1">
      <alignment horizontal="left"/>
    </xf>
    <xf numFmtId="0" fontId="111" fillId="0" borderId="6" xfId="0" applyFont="1" applyBorder="1"/>
    <xf numFmtId="0" fontId="102" fillId="0" borderId="0" xfId="2" applyFont="1" applyAlignment="1">
      <alignment horizontal="right"/>
    </xf>
    <xf numFmtId="0" fontId="113" fillId="0" borderId="0" xfId="2" applyFont="1" applyAlignment="1">
      <alignment horizontal="left"/>
    </xf>
    <xf numFmtId="0" fontId="114" fillId="16" borderId="6" xfId="2" applyFont="1" applyFill="1" applyBorder="1" applyAlignment="1">
      <alignment horizontal="center" vertical="center"/>
    </xf>
    <xf numFmtId="0" fontId="114" fillId="16" borderId="13" xfId="2" applyFont="1" applyFill="1" applyBorder="1" applyAlignment="1">
      <alignment horizontal="center" vertical="center"/>
    </xf>
    <xf numFmtId="0" fontId="114"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10" fillId="0" borderId="0" xfId="2" applyFont="1" applyAlignment="1">
      <alignment horizont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2" fillId="0" borderId="84" xfId="0" applyNumberFormat="1" applyFont="1" applyBorder="1" applyAlignment="1">
      <alignment vertical="center"/>
    </xf>
    <xf numFmtId="1" fontId="92" fillId="0" borderId="83" xfId="0" applyNumberFormat="1" applyFont="1" applyBorder="1" applyAlignment="1">
      <alignment vertical="center"/>
    </xf>
    <xf numFmtId="0" fontId="73" fillId="0" borderId="83" xfId="0" applyFont="1" applyBorder="1" applyAlignment="1">
      <alignment horizontal="left"/>
    </xf>
    <xf numFmtId="0" fontId="103" fillId="0" borderId="83" xfId="0" applyFont="1" applyBorder="1" applyAlignment="1">
      <alignment horizontal="right"/>
    </xf>
    <xf numFmtId="0" fontId="92" fillId="0" borderId="84" xfId="0" applyFont="1" applyBorder="1" applyAlignment="1">
      <alignment horizontal="right"/>
    </xf>
    <xf numFmtId="1" fontId="103" fillId="0" borderId="83" xfId="0" applyNumberFormat="1" applyFont="1" applyBorder="1" applyAlignment="1">
      <alignment horizontal="right"/>
    </xf>
    <xf numFmtId="14" fontId="5" fillId="13" borderId="37" xfId="0" applyNumberFormat="1" applyFont="1" applyFill="1" applyBorder="1"/>
    <xf numFmtId="0" fontId="117"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1"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7"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2" fontId="87" fillId="15" borderId="8" xfId="0" applyNumberFormat="1" applyFont="1" applyFill="1" applyBorder="1"/>
    <xf numFmtId="2" fontId="87" fillId="15" borderId="10" xfId="0" applyNumberFormat="1" applyFont="1" applyFill="1" applyBorder="1"/>
    <xf numFmtId="2" fontId="87" fillId="15" borderId="11" xfId="0" applyNumberFormat="1" applyFont="1" applyFill="1" applyBorder="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7" fillId="15" borderId="8" xfId="0" applyFont="1" applyFill="1" applyBorder="1" applyAlignment="1">
      <alignment horizontal="center"/>
    </xf>
    <xf numFmtId="0" fontId="87" fillId="15" borderId="10" xfId="0" applyFont="1" applyFill="1" applyBorder="1" applyAlignment="1">
      <alignment horizontal="center"/>
    </xf>
    <xf numFmtId="0" fontId="87" fillId="15" borderId="11" xfId="0" applyFont="1" applyFill="1" applyBorder="1" applyAlignment="1">
      <alignment horizontal="center"/>
    </xf>
    <xf numFmtId="0" fontId="57" fillId="15" borderId="11" xfId="2" quotePrefix="1" applyFont="1" applyFill="1" applyBorder="1" applyAlignment="1">
      <alignment horizontal="left" vertical="center" indent="1"/>
    </xf>
    <xf numFmtId="0" fontId="7" fillId="0" borderId="55" xfId="2" applyFont="1" applyBorder="1"/>
    <xf numFmtId="14" fontId="102" fillId="0" borderId="0" xfId="2" applyNumberFormat="1" applyFont="1"/>
    <xf numFmtId="0" fontId="7" fillId="0" borderId="0" xfId="2" applyFont="1" applyAlignment="1">
      <alignment horizontal="right"/>
    </xf>
    <xf numFmtId="0" fontId="7" fillId="0" borderId="0" xfId="2" applyFont="1" applyAlignment="1">
      <alignment horizontal="left"/>
    </xf>
    <xf numFmtId="0" fontId="39" fillId="0" borderId="0" xfId="0" applyFont="1" applyAlignment="1">
      <alignment horizontal="right" wrapText="1"/>
    </xf>
    <xf numFmtId="0" fontId="7" fillId="0" borderId="0" xfId="2" applyFont="1" applyAlignment="1">
      <alignment horizontal="right" wrapText="1"/>
    </xf>
    <xf numFmtId="1" fontId="7" fillId="0" borderId="0" xfId="2" applyNumberFormat="1" applyFont="1" applyAlignment="1">
      <alignment horizontal="right" wrapText="1"/>
    </xf>
    <xf numFmtId="0" fontId="9" fillId="0" borderId="0" xfId="2" applyFont="1" applyAlignment="1">
      <alignment horizontal="right" wrapText="1"/>
    </xf>
    <xf numFmtId="1" fontId="9" fillId="0" borderId="0" xfId="2" applyNumberFormat="1" applyFont="1" applyAlignment="1">
      <alignment horizontal="right" wrapText="1"/>
    </xf>
    <xf numFmtId="1" fontId="5" fillId="0" borderId="0" xfId="0" applyNumberFormat="1" applyFont="1"/>
    <xf numFmtId="0" fontId="6" fillId="0" borderId="7" xfId="2" applyFont="1" applyBorder="1"/>
    <xf numFmtId="0" fontId="6" fillId="0" borderId="7" xfId="2" applyFont="1" applyBorder="1" applyAlignment="1">
      <alignment horizontal="right"/>
    </xf>
    <xf numFmtId="0" fontId="6" fillId="0" borderId="7" xfId="2" applyFont="1" applyBorder="1" applyAlignment="1">
      <alignment vertical="center"/>
    </xf>
    <xf numFmtId="0" fontId="122" fillId="0" borderId="7" xfId="2" applyFont="1" applyBorder="1" applyAlignment="1">
      <alignment horizontal="right"/>
    </xf>
    <xf numFmtId="44" fontId="122" fillId="0" borderId="7" xfId="11" applyNumberFormat="1" applyFont="1" applyBorder="1" applyAlignment="1">
      <alignment horizontal="right"/>
    </xf>
    <xf numFmtId="1" fontId="56" fillId="0" borderId="0" xfId="2" applyNumberFormat="1" applyFont="1" applyAlignment="1">
      <alignment horizontal="center" vertical="center"/>
    </xf>
    <xf numFmtId="0" fontId="0" fillId="0" borderId="0" xfId="2" applyFont="1"/>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102" fillId="0" borderId="0" xfId="0" applyFont="1" applyAlignment="1">
      <alignment horizontal="left" indent="1"/>
    </xf>
    <xf numFmtId="1" fontId="9" fillId="0" borderId="0" xfId="2" applyNumberFormat="1" applyFont="1" applyAlignment="1">
      <alignment horizontal="right" vertical="center" indent="1"/>
    </xf>
    <xf numFmtId="1" fontId="9" fillId="0" borderId="0" xfId="2" applyNumberFormat="1" applyFont="1" applyAlignment="1">
      <alignment horizontal="center" vertical="center"/>
    </xf>
    <xf numFmtId="0" fontId="58" fillId="0" borderId="0" xfId="2" applyFont="1" applyAlignment="1">
      <alignment horizontal="right" vertical="center" indent="1"/>
    </xf>
    <xf numFmtId="0" fontId="53" fillId="0" borderId="0" xfId="2" applyFont="1" applyAlignment="1">
      <alignment vertical="center"/>
    </xf>
    <xf numFmtId="1" fontId="53" fillId="0" borderId="0" xfId="2" applyNumberFormat="1" applyFont="1" applyAlignment="1">
      <alignment horizontal="center" vertical="center"/>
    </xf>
    <xf numFmtId="14" fontId="7" fillId="0" borderId="0" xfId="2" applyNumberFormat="1" applyFont="1"/>
    <xf numFmtId="0" fontId="8" fillId="0" borderId="0" xfId="2" applyFont="1"/>
    <xf numFmtId="0" fontId="118" fillId="0" borderId="0" xfId="2" applyFont="1"/>
    <xf numFmtId="0" fontId="7" fillId="26" borderId="0" xfId="2" applyFont="1" applyFill="1"/>
    <xf numFmtId="0" fontId="5" fillId="26" borderId="0" xfId="2" applyFill="1"/>
    <xf numFmtId="0" fontId="5" fillId="0" borderId="164" xfId="2" applyBorder="1"/>
    <xf numFmtId="0" fontId="123" fillId="0" borderId="0" xfId="0" applyFont="1"/>
    <xf numFmtId="0" fontId="124" fillId="0" borderId="165" xfId="0" applyFont="1" applyBorder="1" applyAlignment="1">
      <alignment horizontal="center"/>
    </xf>
    <xf numFmtId="0" fontId="125" fillId="0" borderId="166" xfId="0" applyFont="1" applyBorder="1" applyAlignment="1">
      <alignment horizontal="center"/>
    </xf>
    <xf numFmtId="0" fontId="125" fillId="27" borderId="166" xfId="0" applyFont="1" applyFill="1" applyBorder="1" applyAlignment="1">
      <alignment horizontal="center"/>
    </xf>
    <xf numFmtId="0" fontId="125" fillId="0" borderId="167" xfId="0" applyFont="1" applyBorder="1" applyAlignment="1">
      <alignment horizontal="center"/>
    </xf>
    <xf numFmtId="0" fontId="124" fillId="0" borderId="128" xfId="0" applyFont="1" applyBorder="1" applyAlignment="1">
      <alignment horizontal="center"/>
    </xf>
    <xf numFmtId="0" fontId="125" fillId="0" borderId="12" xfId="0" applyFont="1" applyBorder="1" applyAlignment="1">
      <alignment horizontal="center"/>
    </xf>
    <xf numFmtId="0" fontId="124" fillId="0" borderId="12" xfId="0" applyFont="1" applyBorder="1" applyAlignment="1">
      <alignment horizontal="center"/>
    </xf>
    <xf numFmtId="0" fontId="125" fillId="0" borderId="168" xfId="0" applyFont="1" applyBorder="1" applyAlignment="1">
      <alignment horizontal="center"/>
    </xf>
    <xf numFmtId="14" fontId="123" fillId="28" borderId="12" xfId="0" applyNumberFormat="1" applyFont="1" applyFill="1" applyBorder="1" applyAlignment="1">
      <alignment horizontal="center"/>
    </xf>
    <xf numFmtId="0" fontId="123" fillId="28" borderId="12" xfId="0" applyFont="1" applyFill="1" applyBorder="1" applyAlignment="1">
      <alignment horizontal="center"/>
    </xf>
    <xf numFmtId="0" fontId="126" fillId="28" borderId="168" xfId="0" applyFont="1" applyFill="1" applyBorder="1" applyAlignment="1">
      <alignment horizontal="center"/>
    </xf>
    <xf numFmtId="0" fontId="124" fillId="27" borderId="168" xfId="0" applyFont="1" applyFill="1" applyBorder="1" applyAlignment="1">
      <alignment horizontal="center"/>
    </xf>
    <xf numFmtId="17" fontId="123" fillId="28" borderId="12" xfId="0" applyNumberFormat="1" applyFont="1" applyFill="1" applyBorder="1" applyAlignment="1">
      <alignment horizontal="center"/>
    </xf>
    <xf numFmtId="16" fontId="123" fillId="28" borderId="12" xfId="0" applyNumberFormat="1" applyFont="1" applyFill="1" applyBorder="1" applyAlignment="1">
      <alignment horizontal="center"/>
    </xf>
    <xf numFmtId="0" fontId="124" fillId="30" borderId="168" xfId="0" applyFont="1" applyFill="1" applyBorder="1" applyAlignment="1">
      <alignment horizontal="center"/>
    </xf>
    <xf numFmtId="0" fontId="124" fillId="28" borderId="12" xfId="0" applyFont="1" applyFill="1" applyBorder="1" applyAlignment="1">
      <alignment horizontal="center"/>
    </xf>
    <xf numFmtId="0" fontId="128" fillId="27" borderId="168" xfId="0" applyFont="1" applyFill="1" applyBorder="1" applyAlignment="1">
      <alignment horizontal="center"/>
    </xf>
    <xf numFmtId="0" fontId="123" fillId="0" borderId="12" xfId="0" applyFont="1" applyBorder="1" applyAlignment="1">
      <alignment horizontal="center"/>
    </xf>
    <xf numFmtId="0" fontId="124" fillId="28" borderId="129" xfId="0" applyFont="1" applyFill="1" applyBorder="1" applyAlignment="1">
      <alignment horizontal="center"/>
    </xf>
    <xf numFmtId="14" fontId="123" fillId="28" borderId="69" xfId="0" applyNumberFormat="1" applyFont="1" applyFill="1" applyBorder="1" applyAlignment="1">
      <alignment horizontal="center"/>
    </xf>
    <xf numFmtId="0" fontId="124" fillId="0" borderId="69" xfId="0" applyFont="1" applyBorder="1" applyAlignment="1">
      <alignment horizontal="center"/>
    </xf>
    <xf numFmtId="0" fontId="123" fillId="28" borderId="69" xfId="0" applyFont="1" applyFill="1" applyBorder="1" applyAlignment="1">
      <alignment horizontal="center"/>
    </xf>
    <xf numFmtId="0" fontId="126" fillId="28" borderId="133" xfId="0" applyFont="1" applyFill="1" applyBorder="1" applyAlignment="1">
      <alignment horizontal="center"/>
    </xf>
    <xf numFmtId="0" fontId="64" fillId="20" borderId="56" xfId="2" applyFont="1" applyFill="1" applyBorder="1" applyAlignment="1">
      <alignment horizontal="center"/>
    </xf>
    <xf numFmtId="0" fontId="64" fillId="20" borderId="56" xfId="2" applyFont="1" applyFill="1" applyBorder="1" applyAlignment="1">
      <alignment horizontal="centerContinuous"/>
    </xf>
    <xf numFmtId="0" fontId="64" fillId="20" borderId="13" xfId="2" applyFont="1" applyFill="1" applyBorder="1" applyAlignment="1">
      <alignment horizontal="centerContinuous"/>
    </xf>
    <xf numFmtId="0" fontId="63" fillId="0" borderId="0" xfId="2" applyFont="1" applyAlignment="1" applyProtection="1">
      <alignment horizontal="center"/>
      <protection locked="0"/>
    </xf>
    <xf numFmtId="164" fontId="64" fillId="8" borderId="0" xfId="2" applyNumberFormat="1" applyFont="1" applyFill="1" applyAlignment="1">
      <alignment horizontal="center" vertical="center"/>
    </xf>
    <xf numFmtId="0" fontId="127" fillId="29" borderId="5" xfId="0" applyFont="1" applyFill="1" applyBorder="1"/>
    <xf numFmtId="0" fontId="127" fillId="29" borderId="6" xfId="0" applyFont="1" applyFill="1" applyBorder="1"/>
    <xf numFmtId="0" fontId="127" fillId="29" borderId="13" xfId="0" applyFont="1" applyFill="1" applyBorder="1"/>
    <xf numFmtId="0" fontId="123" fillId="0" borderId="56" xfId="0" applyFont="1" applyBorder="1"/>
    <xf numFmtId="0" fontId="102" fillId="0" borderId="0" xfId="0" applyFont="1" applyAlignment="1">
      <alignment horizontal="right"/>
    </xf>
    <xf numFmtId="14" fontId="14" fillId="0" borderId="0" xfId="0" applyNumberFormat="1" applyFont="1"/>
    <xf numFmtId="0" fontId="130" fillId="12" borderId="0" xfId="0" applyFont="1" applyFill="1" applyAlignment="1">
      <alignment vertical="top"/>
    </xf>
    <xf numFmtId="14" fontId="5" fillId="0" borderId="0" xfId="2" applyNumberFormat="1"/>
    <xf numFmtId="14" fontId="6" fillId="0" borderId="0" xfId="2" applyNumberFormat="1" applyFont="1"/>
    <xf numFmtId="0" fontId="63" fillId="0" borderId="139" xfId="2" applyFont="1" applyBorder="1" applyAlignment="1" applyProtection="1">
      <alignment horizontal="center"/>
      <protection locked="0"/>
    </xf>
    <xf numFmtId="0" fontId="63" fillId="0" borderId="137" xfId="2" applyFont="1" applyBorder="1" applyAlignment="1" applyProtection="1">
      <alignment horizontal="center"/>
      <protection locked="0"/>
    </xf>
    <xf numFmtId="0" fontId="63" fillId="0" borderId="138" xfId="2" applyFont="1" applyBorder="1" applyAlignment="1" applyProtection="1">
      <alignment horizontal="center"/>
      <protection locked="0"/>
    </xf>
    <xf numFmtId="1" fontId="129" fillId="13" borderId="37" xfId="0" applyNumberFormat="1" applyFont="1" applyFill="1" applyBorder="1" applyAlignment="1">
      <alignment horizontal="center"/>
    </xf>
    <xf numFmtId="1" fontId="129" fillId="13" borderId="0" xfId="0" applyNumberFormat="1" applyFont="1" applyFill="1" applyAlignment="1">
      <alignment horizontal="center"/>
    </xf>
    <xf numFmtId="0" fontId="15" fillId="12" borderId="37" xfId="0" applyFont="1" applyFill="1" applyBorder="1" applyAlignment="1">
      <alignment horizontal="center" vertical="center"/>
    </xf>
    <xf numFmtId="0" fontId="15" fillId="12" borderId="42" xfId="0" applyFont="1" applyFill="1" applyBorder="1" applyAlignment="1">
      <alignment horizontal="center" vertical="center"/>
    </xf>
    <xf numFmtId="0" fontId="61" fillId="0" borderId="0" xfId="0" applyFont="1" applyAlignment="1">
      <alignment horizontal="center" readingOrder="1"/>
    </xf>
    <xf numFmtId="174" fontId="98" fillId="0" borderId="122" xfId="0" applyNumberFormat="1" applyFont="1" applyBorder="1" applyAlignment="1">
      <alignment horizontal="center" vertical="center"/>
    </xf>
    <xf numFmtId="174" fontId="98" fillId="0" borderId="123" xfId="0" applyNumberFormat="1" applyFont="1" applyBorder="1" applyAlignment="1">
      <alignment horizontal="center" vertical="center"/>
    </xf>
    <xf numFmtId="174" fontId="98" fillId="0" borderId="124" xfId="0" applyNumberFormat="1" applyFont="1" applyBorder="1" applyAlignment="1">
      <alignment horizontal="center" vertical="center"/>
    </xf>
    <xf numFmtId="0" fontId="95" fillId="0" borderId="0" xfId="0" applyFont="1" applyAlignment="1">
      <alignment horizontal="center" vertical="center" shrinkToFit="1"/>
    </xf>
    <xf numFmtId="0" fontId="119" fillId="0" borderId="88" xfId="0" applyFont="1" applyBorder="1" applyAlignment="1">
      <alignment horizontal="center" vertical="center"/>
    </xf>
    <xf numFmtId="0" fontId="119" fillId="0" borderId="84" xfId="0" applyFont="1" applyBorder="1" applyAlignment="1">
      <alignment horizontal="center" vertical="center"/>
    </xf>
    <xf numFmtId="0" fontId="119" fillId="0" borderId="89" xfId="0" applyFont="1" applyBorder="1" applyAlignment="1">
      <alignment horizontal="center" vertical="center"/>
    </xf>
    <xf numFmtId="0" fontId="119" fillId="0" borderId="155" xfId="0" applyFont="1" applyBorder="1" applyAlignment="1">
      <alignment horizontal="center" vertical="center"/>
    </xf>
    <xf numFmtId="0" fontId="119" fillId="0" borderId="0" xfId="0" applyFont="1" applyAlignment="1">
      <alignment horizontal="center" vertical="center"/>
    </xf>
    <xf numFmtId="0" fontId="119" fillId="0" borderId="156" xfId="0" applyFont="1" applyBorder="1" applyAlignment="1">
      <alignment horizontal="center" vertical="center"/>
    </xf>
    <xf numFmtId="0" fontId="119" fillId="0" borderId="90" xfId="0" applyFont="1" applyBorder="1" applyAlignment="1">
      <alignment horizontal="center" vertical="center"/>
    </xf>
    <xf numFmtId="0" fontId="119" fillId="0" borderId="83" xfId="0" applyFont="1" applyBorder="1" applyAlignment="1">
      <alignment horizontal="center" vertical="center"/>
    </xf>
    <xf numFmtId="0" fontId="119" fillId="0" borderId="91" xfId="0" applyFont="1" applyBorder="1" applyAlignment="1">
      <alignment horizontal="center" vertical="center"/>
    </xf>
    <xf numFmtId="14" fontId="116" fillId="0" borderId="0" xfId="0" applyNumberFormat="1" applyFont="1" applyAlignment="1">
      <alignment horizontal="center"/>
    </xf>
    <xf numFmtId="0" fontId="115"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112">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22/10/relationships/richValueRel" Target="richData/richValueRel.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0</c:v>
                </c:pt>
                <c:pt idx="1">
                  <c:v>780</c:v>
                </c:pt>
                <c:pt idx="2">
                  <c:v>780</c:v>
                </c:pt>
                <c:pt idx="3">
                  <c:v>780</c:v>
                </c:pt>
                <c:pt idx="4">
                  <c:v>852</c:v>
                </c:pt>
                <c:pt idx="5">
                  <c:v>852</c:v>
                </c:pt>
                <c:pt idx="6">
                  <c:v>710</c:v>
                </c:pt>
                <c:pt idx="7">
                  <c:v>814</c:v>
                </c:pt>
                <c:pt idx="8">
                  <c:v>888</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6456</c:v>
                </c:pt>
                <c:pt idx="1">
                  <c:v>6456</c:v>
                </c:pt>
                <c:pt idx="2">
                  <c:v>6456</c:v>
                </c:pt>
                <c:pt idx="3">
                  <c:v>6456</c:v>
                </c:pt>
                <c:pt idx="4">
                  <c:v>6456</c:v>
                </c:pt>
                <c:pt idx="5">
                  <c:v>6456</c:v>
                </c:pt>
                <c:pt idx="6">
                  <c:v>6456</c:v>
                </c:pt>
                <c:pt idx="7">
                  <c:v>6456</c:v>
                </c:pt>
                <c:pt idx="8">
                  <c:v>6456</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5</c:v>
                </c:pt>
                <c:pt idx="5">
                  <c:v>5</c:v>
                </c:pt>
                <c:pt idx="6">
                  <c:v>5</c:v>
                </c:pt>
                <c:pt idx="7">
                  <c:v>5</c:v>
                </c:pt>
                <c:pt idx="8">
                  <c:v>5</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156444</xdr:colOff>
      <xdr:row>17</xdr:row>
      <xdr:rowOff>24102</xdr:rowOff>
    </xdr:from>
    <xdr:to>
      <xdr:col>17</xdr:col>
      <xdr:colOff>337419</xdr:colOff>
      <xdr:row>18</xdr:row>
      <xdr:rowOff>17019</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53257" y="2794290"/>
          <a:ext cx="180975" cy="1516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609600</xdr:colOff>
          <xdr:row>173</xdr:row>
          <xdr:rowOff>28575</xdr:rowOff>
        </xdr:from>
        <xdr:to>
          <xdr:col>21</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5</xdr:row>
      <xdr:rowOff>38100</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86EBE5-2A6A-44A7-9234-CA35B9A345A2}" name="Summasummarium" displayName="Summasummarium" ref="C46:S55" totalsRowShown="0" headerRowDxfId="2111" headerRowCellStyle="Normal 2" dataCellStyle="Normal 2">
  <sortState xmlns:xlrd2="http://schemas.microsoft.com/office/spreadsheetml/2017/richdata2" ref="C47:S55">
    <sortCondition descending="1" ref="S47:S55"/>
    <sortCondition ref="C47:C55"/>
  </sortState>
  <tableColumns count="17">
    <tableColumn id="1" xr3:uid="{1DF4FB56-26E2-405F-9C78-3E550229D9B0}" name="Navn"/>
    <tableColumn id="2" xr3:uid="{64748FD0-B5E1-4859-B853-2960849DA79F}" name="hp" dataDxfId="2110" dataCellStyle="Normal 2">
      <calculatedColumnFormula>IF(SUM(INDIRECT("t_"&amp;$C47&amp;"["&amp;D$46&amp;"]"))&gt;0,SUM(INDIRECT("t_"&amp;$C47&amp;"["&amp;D$46&amp;"]")),"")</calculatedColumnFormula>
    </tableColumn>
    <tableColumn id="3" xr3:uid="{CDD670E3-3E0E-4B75-962B-DFB1F17F97E6}" name="up" dataCellStyle="Normal 2">
      <calculatedColumnFormula>IF(SUM(INDIRECT("t_"&amp;$C47&amp;"["&amp;E$46&amp;"]"))&gt;0,SUM(INDIRECT("t_"&amp;$C47&amp;"["&amp;E$46&amp;"]")),"")</calculatedColumnFormula>
    </tableColumn>
    <tableColumn id="4" xr3:uid="{00B046CE-88C2-4B30-92DC-7D60FB09CACF}" name="bp" dataCellStyle="Normal 2">
      <calculatedColumnFormula>IF(SUM(INDIRECT("t_"&amp;$C47&amp;"["&amp;F$46&amp;"]"))&gt;0,SUM(INDIRECT("t_"&amp;$C47&amp;"["&amp;F$46&amp;"]")),"")</calculatedColumnFormula>
    </tableColumn>
    <tableColumn id="5" xr3:uid="{F86E0FAD-5C9B-46D7-A783-DAB6F4D6657F}" name="straff" dataCellStyle="Normal 2">
      <calculatedColumnFormula>IF(SUM(INDIRECT("t_"&amp;$C47&amp;"["&amp;G$46&amp;"]"))&gt;0,SUM(INDIRECT("t_"&amp;$C47&amp;"["&amp;G$46&amp;"]")),"")</calculatedColumnFormula>
    </tableColumn>
    <tableColumn id="6" xr3:uid="{2A7866E5-37D0-4D5A-8A49-8BA2B14CE311}" name="Summert" dataCellStyle="Normal 2">
      <calculatedColumnFormula>IF(SUM(INDIRECT("t_"&amp;$C47&amp;"["&amp;H$46&amp;"]"))&gt;0,SUM(INDIRECT("t_"&amp;$C47&amp;"["&amp;H$46&amp;"]")),"")</calculatedColumnFormula>
    </tableColumn>
    <tableColumn id="7" xr3:uid="{FF5521D5-A728-455F-8CDD-13780A4A4C4C}" name="12_Antall" dataDxfId="2109" dataCellStyle="Normal 2">
      <calculatedColumnFormula>IF(SUM(INDIRECT("t_"&amp;$C47&amp;"["&amp;I$46&amp;"]"))&lt;&gt;"",SUM(INDIRECT("t_"&amp;$C47&amp;"["&amp;I$46&amp;"]")),"")</calculatedColumnFormula>
    </tableColumn>
    <tableColumn id="8" xr3:uid="{1B79DCEC-12A9-4A43-9CF4-425223633399}" name="11_Antall" dataDxfId="2108" dataCellStyle="Normal 2">
      <calculatedColumnFormula>IF(SUM(INDIRECT("t_"&amp;$C47&amp;"["&amp;J$46&amp;"]"))&lt;&gt;"",SUM(INDIRECT("t_"&amp;$C47&amp;"["&amp;J$46&amp;"]")),"")</calculatedColumnFormula>
    </tableColumn>
    <tableColumn id="9" xr3:uid="{46860B55-A5A4-4DAE-84AA-480FD3EC7990}" name="10_Antall" dataDxfId="2107" dataCellStyle="Normal 2">
      <calculatedColumnFormula>IF(SUM(INDIRECT("t_"&amp;$C47&amp;"["&amp;K$46&amp;"]"))&lt;&gt;"",SUM(INDIRECT("t_"&amp;$C47&amp;"["&amp;K$46&amp;"]")),"")</calculatedColumnFormula>
    </tableColumn>
    <tableColumn id="10" xr3:uid="{6F61797F-E850-4290-9DC4-29C4B80E0D9D}" name="12_poeng" dataDxfId="2106" dataCellStyle="Normal 2">
      <calculatedColumnFormula>IF(SUM(INDIRECT("t_"&amp;$C47&amp;"["&amp;L$46&amp;"]"))&gt;0,SUM(INDIRECT("t_"&amp;$C47&amp;"["&amp;L$46&amp;"]")),"")</calculatedColumnFormula>
    </tableColumn>
    <tableColumn id="11" xr3:uid="{C330BDC8-485A-445D-ABA0-2BBC4F71D864}" name="11_poeng" dataDxfId="2105" dataCellStyle="Normal 2">
      <calculatedColumnFormula>IF(Summasummarium[[#This Row],[12_poeng]]&lt;&gt;"",IF(SUM(INDIRECT("t_"&amp;$C47&amp;"["&amp;M$46&amp;"]"))&lt;&gt;"",SUM(INDIRECT("t_"&amp;$C47&amp;"["&amp;M$46&amp;"]"))),"")</calculatedColumnFormula>
    </tableColumn>
    <tableColumn id="12" xr3:uid="{457B4657-F792-46A8-8970-C30E93C6F8C4}" name="10_poeng" dataCellStyle="Normal 2">
      <calculatedColumnFormula>IF(SUM(INDIRECT("t_"&amp;$C47&amp;"["&amp;N$46&amp;"]"))&gt;0,SUM(INDIRECT("t_"&amp;$C47&amp;"["&amp;N$46&amp;"]")),"")</calculatedColumnFormula>
    </tableColumn>
    <tableColumn id="13" xr3:uid="{124F2041-C8AF-4B64-89BA-4A2867B463F2}" name="12_pLEV" dataCellStyle="Normal 2">
      <calculatedColumnFormula>IF(SUM(INDIRECT("t_"&amp;$C47&amp;"["&amp;O$46&amp;"]"))&gt;0,SUM(INDIRECT("t_"&amp;$C47&amp;"["&amp;O$46&amp;"]")),"")</calculatedColumnFormula>
    </tableColumn>
    <tableColumn id="14" xr3:uid="{602140C9-E12D-4873-BCEC-92E69908529C}" name="11_pLEV" dataCellStyle="Normal 2">
      <calculatedColumnFormula>IF(SUM(INDIRECT("t_"&amp;$C47&amp;"["&amp;P$46&amp;"]"))&gt;0,SUM(INDIRECT("t_"&amp;$C47&amp;"["&amp;P$46&amp;"]")),"")</calculatedColumnFormula>
    </tableColumn>
    <tableColumn id="15" xr3:uid="{AC67A0CC-C458-4B0A-A008-35937F33A1C9}" name="10_pLEV" dataCellStyle="Normal 2">
      <calculatedColumnFormula>IF(SUM(INDIRECT("t_"&amp;$C47&amp;"["&amp;Q$46&amp;"]"))&gt;0,SUM(INDIRECT("t_"&amp;$C47&amp;"["&amp;Q$46&amp;"]")),"")</calculatedColumnFormula>
    </tableColumn>
    <tableColumn id="16" xr3:uid="{BE5470CA-6048-4B36-BDC3-88E161ECB1F2}" name="LEV_poeng" dataCellStyle="Normal 2">
      <calculatedColumnFormula>IF(SUM(INDIRECT("t_"&amp;$C47&amp;"["&amp;R$46&amp;"]"))&gt;0,SUM(INDIRECT("t_"&amp;$C47&amp;"["&amp;R$46&amp;"]")),"")</calculatedColumnFormula>
    </tableColumn>
    <tableColumn id="17" xr3:uid="{1EB2DFC7-D19B-46CF-93C0-B392A6423C2A}" name="Totalt" dataCellStyle="Normal 2">
      <calculatedColumnFormula>IF(SUM(INDIRECT("t_"&amp;$C47&amp;"["&amp;S$46&amp;"]"))&gt;0,SUM(INDIRECT("t_"&amp;$C47&amp;"["&amp;S$46&amp;"]")),"")</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038402-0D08-45D0-A200-D85E7EFC55D4}" name="Summasummarium5" displayName="Summasummarium5" ref="C58:S67" totalsRowShown="0" headerRowDxfId="2104" headerRowCellStyle="Normal 2" dataCellStyle="Normal 2">
  <sortState xmlns:xlrd2="http://schemas.microsoft.com/office/spreadsheetml/2017/richdata2" ref="C59:S67">
    <sortCondition descending="1" ref="S47:S55"/>
    <sortCondition ref="C47:C55"/>
  </sortState>
  <tableColumns count="17">
    <tableColumn id="1" xr3:uid="{87EED4BD-5D74-45A8-8F68-50EC0D5DBADE}" name="Navn"/>
    <tableColumn id="2" xr3:uid="{15541347-2CB2-4502-A94C-907AD2CC1465}" name="hp" dataDxfId="2103" dataCellStyle="Normal 2">
      <calculatedColumnFormula array="1">_xlfn.XLOOKUP(TRUE,(INDIRECT("t_"&amp;$C59&amp;"["&amp;D$58&amp;"]")&lt;&gt;""),INDIRECT("t_"&amp;$C59&amp;"["&amp;D$58&amp;"]"),"",-1)</calculatedColumnFormula>
    </tableColumn>
    <tableColumn id="3" xr3:uid="{A8E2A408-E3B3-419F-8D46-DC621EFB482D}" name="up" dataDxfId="2102" dataCellStyle="Normal 2">
      <calculatedColumnFormula array="1">_xlfn.XLOOKUP(TRUE,(INDIRECT("t_"&amp;$C59&amp;"["&amp;E$58&amp;"]")&lt;&gt;""),INDIRECT("t_"&amp;$C59&amp;"["&amp;E$58&amp;"]"),"",-1)</calculatedColumnFormula>
    </tableColumn>
    <tableColumn id="4" xr3:uid="{AD88807E-612B-4393-B05F-2FC722C83843}" name="bp" dataDxfId="2101" dataCellStyle="Normal 2">
      <calculatedColumnFormula array="1">_xlfn.XLOOKUP(TRUE,(INDIRECT("t_"&amp;$C59&amp;"["&amp;F$58&amp;"]")&lt;&gt;""),INDIRECT("t_"&amp;$C59&amp;"["&amp;F$58&amp;"]"),0,-1)</calculatedColumnFormula>
    </tableColumn>
    <tableColumn id="5" xr3:uid="{682E3B83-5BF8-4E1A-924E-94C340E8DF1A}" name="straff" dataDxfId="2100" dataCellStyle="Normal 2">
      <calculatedColumnFormula array="1">_xlfn.XLOOKUP(TRUE,(INDIRECT("t_"&amp;$C59&amp;"["&amp;G$58&amp;"]")&lt;&gt;""),INDIRECT("t_"&amp;$C59&amp;"["&amp;G$58&amp;"]"),"",-1)</calculatedColumnFormula>
    </tableColumn>
    <tableColumn id="6" xr3:uid="{1FE4A173-005B-4ACB-A2C9-5F4CADC5E85A}" name="Summert" dataDxfId="2099" dataCellStyle="Normal 2">
      <calculatedColumnFormula array="1">_xlfn.XLOOKUP(TRUE,(INDIRECT("t_"&amp;$C59&amp;"["&amp;H$58&amp;"]")&lt;&gt;""),INDIRECT("t_"&amp;$C59&amp;"["&amp;H$58&amp;"]"),0,-1)</calculatedColumnFormula>
    </tableColumn>
    <tableColumn id="7" xr3:uid="{AAF9CC1F-8D69-49BC-932A-65A686D70C2B}" name="12_Antall" dataCellStyle="Normal 2">
      <calculatedColumnFormula array="1">_xlfn.XLOOKUP(TRUE,(INDIRECT("t_"&amp;$C59&amp;"["&amp;I$58&amp;"]")&lt;&gt;""),INDIRECT("t_"&amp;$C59&amp;"["&amp;I$58&amp;"]"),0,-1)</calculatedColumnFormula>
    </tableColumn>
    <tableColumn id="8" xr3:uid="{C0EE4D0D-DAC1-4A72-B003-9B99652AF5D0}" name="11_Antall" dataDxfId="2098" dataCellStyle="Normal 2">
      <calculatedColumnFormula array="1">IF(Summasummarium5[[#This Row],[12_Antall]]&lt;&gt;"","",_xlfn.XLOOKUP(TRUE,(INDIRECT("t_"&amp;$C59&amp;"["&amp;J$58&amp;"]")&lt;&gt;""),INDIRECT("t_"&amp;$C59&amp;"["&amp;J$58&amp;"]"),0,-1))</calculatedColumnFormula>
    </tableColumn>
    <tableColumn id="9" xr3:uid="{3C2A5EC0-2BFC-4CCF-B5B5-50E623F27032}" name="10_Antall" dataDxfId="2097" dataCellStyle="Normal 2">
      <calculatedColumnFormula array="1">IF(OR(Summasummarium5[[#This Row],[12_Antall]]&lt;&gt;"",Summasummarium5[[#This Row],[11_Antall]]&lt;&gt;""),"",IF(_xlfn.XLOOKUP(TRUE,(INDIRECT("t_"&amp;$C59&amp;"["&amp;K$58&amp;"]")&lt;&gt;""),INDIRECT("t_"&amp;$C59&amp;"["&amp;K$58&amp;"]"),0,-1)&lt;&gt;"",1,""))</calculatedColumnFormula>
    </tableColumn>
    <tableColumn id="10" xr3:uid="{68444261-45F1-4878-B0DE-269F57D63A18}" name="12_poeng" dataDxfId="2096" dataCellStyle="Normal 2">
      <calculatedColumnFormula array="1">_xlfn.XLOOKUP(TRUE,(INDIRECT("t_"&amp;$C59&amp;"["&amp;L$58&amp;"]")&lt;&gt;""),INDIRECT("t_"&amp;$C59&amp;"["&amp;L$58&amp;"]"),"",-1)</calculatedColumnFormula>
    </tableColumn>
    <tableColumn id="11" xr3:uid="{476587FC-ECD5-468B-BB25-CF48C9238130}" name="11_poeng" dataDxfId="2095" dataCellStyle="Normal 2">
      <calculatedColumnFormula array="1">_xlfn.XLOOKUP(TRUE,(INDIRECT("t_"&amp;$C59&amp;"["&amp;M$58&amp;"]")&lt;&gt;""),INDIRECT("t_"&amp;$C59&amp;"["&amp;M$58&amp;"]"),0,-1)</calculatedColumnFormula>
    </tableColumn>
    <tableColumn id="12" xr3:uid="{8BEBE76F-3AC8-4EF1-9B45-E27CE4E4E174}" name="10_poeng" dataCellStyle="Normal 2">
      <calculatedColumnFormula array="1">_xlfn.XLOOKUP(TRUE,(INDIRECT("t_"&amp;$C59&amp;"["&amp;N$58&amp;"]")&lt;&gt;""),INDIRECT("t_"&amp;$C59&amp;"["&amp;N$58&amp;"]"),0,-1)</calculatedColumnFormula>
    </tableColumn>
    <tableColumn id="13" xr3:uid="{A916AD34-1A79-4074-9FCA-E9B3D7E7E6FD}" name="12_pLEV" dataCellStyle="Normal 2">
      <calculatedColumnFormula array="1">_xlfn.XLOOKUP(TRUE,(INDIRECT("t_"&amp;$C59&amp;"["&amp;O$58&amp;"]")&lt;&gt;""),INDIRECT("t_"&amp;$C59&amp;"["&amp;O$58&amp;"]"),0,-1)</calculatedColumnFormula>
    </tableColumn>
    <tableColumn id="14" xr3:uid="{B211C332-E3EC-4C98-B27C-BC4950A5A0E5}" name="11_pLEV" dataCellStyle="Normal 2">
      <calculatedColumnFormula array="1">_xlfn.XLOOKUP(TRUE,(INDIRECT("t_"&amp;$C59&amp;"["&amp;P$58&amp;"]")&lt;&gt;""),INDIRECT("t_"&amp;$C59&amp;"["&amp;P$58&amp;"]"),0,-1)</calculatedColumnFormula>
    </tableColumn>
    <tableColumn id="15" xr3:uid="{A945E58B-807C-4CAB-A5E3-23C06437A9F4}" name="10_pLEV" dataCellStyle="Normal 2">
      <calculatedColumnFormula array="1">_xlfn.XLOOKUP(TRUE,(INDIRECT("t_"&amp;$C59&amp;"["&amp;Q$58&amp;"]")&lt;&gt;""),INDIRECT("t_"&amp;$C59&amp;"["&amp;Q$58&amp;"]"),0,-1)</calculatedColumnFormula>
    </tableColumn>
    <tableColumn id="16" xr3:uid="{977A9D7B-0434-4867-A26E-54E911E52D92}" name="LEV_poeng" dataCellStyle="Normal 2">
      <calculatedColumnFormula array="1">_xlfn.XLOOKUP(TRUE,(INDIRECT("t_"&amp;$C59&amp;"["&amp;R$58&amp;"]")&lt;&gt;""),INDIRECT("t_"&amp;$C59&amp;"["&amp;R$58&amp;"]"),0,-1)</calculatedColumnFormula>
    </tableColumn>
    <tableColumn id="17" xr3:uid="{C0AF54CF-90B7-47BD-909A-05858EAFDA0A}" name="Totalt" dataCellStyle="Normal 2">
      <calculatedColumnFormula array="1">_xlfn.XLOOKUP(TRUE,(INDIRECT("t_"&amp;$C59&amp;"["&amp;S$58&amp;"]")&lt;&gt;""),INDIRECT("t_"&amp;$C59&amp;"["&amp;S$58&amp;"]"),0,-1)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2094">
  <tableColumns count="10">
    <tableColumn id="1" xr3:uid="{B544D0B1-DD0A-4864-AAD5-517C2E99498D}" name="Dato" dataDxfId="2093">
      <calculatedColumnFormula>B1+7</calculatedColumnFormula>
    </tableColumn>
    <tableColumn id="2" xr3:uid="{0A985387-79AE-47BB-A7D2-AB50CE63CC69}" name="ahh" dataDxfId="2092">
      <calculatedColumnFormula array="1">IFERROR(_xlfn.XLOOKUP(_xlfn.SINGLE(t_rang[[Dato]:[Dato]]),INDIRECT("t_"&amp;C$1&amp;"[[Dato]]"),INDIRECT("t_"&amp;C$1&amp;"[[Rank]]")),"")</calculatedColumnFormula>
    </tableColumn>
    <tableColumn id="3" xr3:uid="{F8C1A9D7-BAED-42DA-AF2D-9D0C1F927241}" name="rb">
      <calculatedColumnFormula array="1">IFERROR(_xlfn.XLOOKUP(_xlfn.SINGLE(t_rang[[Dato]:[Dato]]),INDIRECT("t_"&amp;D$1&amp;"[[Dato]]"),INDIRECT("t_"&amp;D$1&amp;"[[Rank]]")),"")</calculatedColumnFormula>
    </tableColumn>
    <tableColumn id="4" xr3:uid="{4B0E4C71-8153-45B0-9665-F481D78C39CD}" name="eb">
      <calculatedColumnFormula array="1">IFERROR(_xlfn.XLOOKUP(_xlfn.SINGLE(t_rang[[Dato]:[Dato]]),INDIRECT("t_"&amp;E$1&amp;"[[Dato]]"),INDIRECT("t_"&amp;E$1&amp;"[[Rank]]")),"")</calculatedColumnFormula>
    </tableColumn>
    <tableColumn id="5" xr3:uid="{93DC4F00-3A84-4634-8939-BA95F2ACB30C}" name="kaf">
      <calculatedColumnFormula array="1">IFERROR(_xlfn.XLOOKUP(_xlfn.SINGLE(t_rang[[Dato]:[Dato]]),INDIRECT("t_"&amp;F$1&amp;"[[Dato]]"),INDIRECT("t_"&amp;F$1&amp;"[[Rank]]")),"")</calculatedColumnFormula>
    </tableColumn>
    <tableColumn id="6" xr3:uid="{2D1CC3B1-94A6-48FF-AAB3-E4DAEEFA63D8}" name="øg">
      <calculatedColumnFormula array="1">IFERROR(_xlfn.XLOOKUP(_xlfn.SINGLE(t_rang[[Dato]:[Dato]]),INDIRECT("t_"&amp;G$1&amp;"[[Dato]]"),INDIRECT("t_"&amp;G$1&amp;"[[Rank]]")),"")</calculatedColumnFormula>
    </tableColumn>
    <tableColumn id="7" xr3:uid="{E83E08DC-ABEB-4464-BECA-99953730715F}" name="jh">
      <calculatedColumnFormula array="1">IFERROR(_xlfn.XLOOKUP(_xlfn.SINGLE(t_rang[[Dato]:[Dato]]),INDIRECT("t_"&amp;H$1&amp;"[[Dato]]"),INDIRECT("t_"&amp;H$1&amp;"[[Rank]]")),"")</calculatedColumnFormula>
    </tableColumn>
    <tableColumn id="8" xr3:uid="{A0F9CC31-F4D5-45C2-921E-D513BE765323}" name="toh">
      <calculatedColumnFormula array="1">IFERROR(_xlfn.XLOOKUP(_xlfn.SINGLE(t_rang[[Dato]:[Dato]]),INDIRECT("t_"&amp;I$1&amp;"[[Dato]]"),INDIRECT("t_"&amp;I$1&amp;"[[Rank]]")),"")</calculatedColumnFormula>
    </tableColumn>
    <tableColumn id="9" xr3:uid="{C3ABB63C-79F9-4F3C-ABD4-BB2F04A0701E}" name="utg" dataDxfId="2091">
      <calculatedColumnFormula array="1">IFERROR(_xlfn.XLOOKUP(_xlfn.SINGLE(t_rang[[Dato]:[Dato]]),INDIRECT("t_"&amp;J$1&amp;"[[Dato]]"),INDIRECT("t_"&amp;J$1&amp;"[[Rank]]")),"")</calculatedColumnFormula>
    </tableColumn>
    <tableColumn id="10" xr3:uid="{F2B4A2DD-947C-4742-88BC-A83177DCE64B}" name="lev" dataDxfId="2090">
      <calculatedColumnFormula array="1">IFERROR(_xlfn.XLOOKUP(_xlfn.SINGLE(t_rang[[Dato]:[Dato]]),INDIRECT("t_"&amp;K$1&amp;"[[Dato]]"),INDIRECT("t_"&amp;K$1&amp;"[[Rank]]")),"")</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2089" headerRowBorderDxfId="2088">
  <tableColumns count="10">
    <tableColumn id="1" xr3:uid="{FC127EB6-FC0A-4607-A409-4AC494B39A65}" name="Dato" dataDxfId="2087">
      <calculatedColumnFormula>Data!AL1</calculatedColumnFormula>
    </tableColumn>
    <tableColumn id="2" xr3:uid="{C70E91C4-619A-47C8-B71A-7D0B684EF795}" name="ahh" dataDxfId="2086">
      <calculatedColumnFormula array="1">IFERROR(INDIRECT("t_"&amp;Q$1&amp;"[@[Totalt]:[Totalt]]"),"")</calculatedColumnFormula>
    </tableColumn>
    <tableColumn id="3" xr3:uid="{1070DC7D-0F6D-4B5D-9C8F-274D757D5698}" name="rb" dataDxfId="2085">
      <calculatedColumnFormula array="1">IFERROR(INDIRECT("t_"&amp;R$1&amp;"[@[Totalt]:[Totalt]]"),"")</calculatedColumnFormula>
    </tableColumn>
    <tableColumn id="4" xr3:uid="{25CD612D-2024-4B38-A116-C0022E94EF27}" name="eb" dataDxfId="2084">
      <calculatedColumnFormula array="1">IFERROR(INDIRECT("t_"&amp;S$1&amp;"[@[Totalt]:[Totalt]]"),"")</calculatedColumnFormula>
    </tableColumn>
    <tableColumn id="5" xr3:uid="{9E8E4A46-866C-4AE6-8495-BA87813F56B3}" name="kaf" dataDxfId="2083">
      <calculatedColumnFormula array="1">IFERROR(INDIRECT("t_"&amp;T$1&amp;"[@[Totalt]:[Totalt]]"),"")</calculatedColumnFormula>
    </tableColumn>
    <tableColumn id="6" xr3:uid="{60D5BCD9-45DB-4E57-A7EE-909708EA8F57}" name="øg" dataDxfId="2082">
      <calculatedColumnFormula array="1">IFERROR(INDIRECT("t_"&amp;U$1&amp;"[@[Totalt]:[Totalt]]"),"")</calculatedColumnFormula>
    </tableColumn>
    <tableColumn id="7" xr3:uid="{2BC75E5A-1A9B-4D03-98E7-4541C8232402}" name="jh" dataDxfId="2081">
      <calculatedColumnFormula array="1">IFERROR(INDIRECT("t_"&amp;V$1&amp;"[@[Totalt]:[Totalt]]"),"")</calculatedColumnFormula>
    </tableColumn>
    <tableColumn id="8" xr3:uid="{8105981B-BFD1-4B9C-8AA1-38CBCD067707}" name="toh" dataDxfId="2080">
      <calculatedColumnFormula array="1">IFERROR(INDIRECT("t_"&amp;W$1&amp;"[@[Totalt]:[Totalt]]"),"")</calculatedColumnFormula>
    </tableColumn>
    <tableColumn id="9" xr3:uid="{2DD2B2E9-7C7E-4A11-9280-EF6DDBC4AA4B}" name="utg" dataDxfId="2079">
      <calculatedColumnFormula array="1">IFERROR(INDIRECT("t_"&amp;X$1&amp;"[@[Totalt]:[Totalt]]"),"")</calculatedColumnFormula>
    </tableColumn>
    <tableColumn id="10" xr3:uid="{8D7E7447-4B24-4E81-811C-1942DD6410E3}" name="lev" dataDxfId="2078">
      <calculatedColumnFormula array="1">IFERROR(INDIRECT("t_"&amp;Y$1&amp;"[@[Totalt]:[Totalt]]"),"")</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V33" totalsRowShown="0" headerRowDxfId="2077">
  <tableColumns count="22">
    <tableColumn id="22" xr3:uid="{21D62383-FA20-49D7-AD7B-159C801F3E51}" name="navn" dataDxfId="2076"/>
    <tableColumn id="5" xr3:uid="{776DBF54-499D-4ABB-99BC-29CB2E92B6D4}" name="uke" dataDxfId="2075">
      <calculatedColumnFormula>IF(t_ahh[[#This Row],[Dato]]&lt;&gt;"",WEEKNUM(t_ahh[[#This Row],[Dato]]),"")</calculatedColumnFormula>
    </tableColumn>
    <tableColumn id="1" xr3:uid="{0C11D2FE-02E8-403E-A654-1D808397DB1D}" name="Dato" dataDxfId="2074">
      <calculatedColumnFormula>Data!AL1</calculatedColumnFormula>
    </tableColumn>
    <tableColumn id="2" xr3:uid="{42F02574-5008-4CEB-A1B0-1FE4C7B1DC51}" name="hp" dataDxfId="2073">
      <calculatedColumnFormula>IFERROR(IF(t_ahh[[#This Row],[Dato]]="","",OFFSET(_xlfn.XLOOKUP(C2,Kuponger!E:E,Kuponger!Q:Q),15,0)),"")</calculatedColumnFormula>
    </tableColumn>
    <tableColumn id="3" xr3:uid="{29450744-BD9E-4DD5-B989-0015596D80CE}" name="up" dataDxfId="2072">
      <calculatedColumnFormula>IFERROR(OFFSET(_xlfn.XLOOKUP(C2,Kuponger!E:E,Kuponger!Q:Q),15,1),"")</calculatedColumnFormula>
    </tableColumn>
    <tableColumn id="4" xr3:uid="{295622D1-0B25-4FAE-AD90-1C9F403631CA}" name="bp" dataDxfId="2071">
      <calculatedColumnFormula>IFERROR(IF(t_ahh[[#This Row],[Dato]]="","",OFFSET(_xlfn.XLOOKUP(C2,Kuponger!E:E,Kuponger!Q:Q),15,2)),"")</calculatedColumnFormula>
    </tableColumn>
    <tableColumn id="10" xr3:uid="{664A9258-AB45-40F9-BA32-ABA901D9D1F5}" name="straff" dataDxfId="2070">
      <calculatedColumnFormula>IFERROR(IF(OFFSET(_xlfn.XLOOKUP(C2,Kuponger!E:E,Kuponger!Q:Q),0,2)=0,"",OFFSET(_xlfn.XLOOKUP(C2,Kuponger!E:E,Kuponger!Q:Q),1,2))*-1,"")</calculatedColumnFormula>
    </tableColumn>
    <tableColumn id="14" xr3:uid="{19796E45-C8BC-464A-AD44-3B6CC0F64D2E}" name="tp" dataDxfId="2069">
      <calculatedColumnFormula>IF(SUMIF(D2:G2,"&lt;&gt;""")=0,"",SUMIF(D2:G2,"&lt;&gt;"""))</calculatedColumnFormula>
    </tableColumn>
    <tableColumn id="15" xr3:uid="{359F1EE2-95DE-4E28-8B82-0CB4B13220FE}" name="Rank" dataDxfId="2068">
      <calculatedColumnFormula>IFERROR(IF(t_ahh[[#This Row],[tp]]&lt;&gt;"",OFFSET(_xlfn.XLOOKUP(C2,Kuponger!E:E,Kuponger!Q:Q),1,1),""),"")</calculatedColumnFormula>
    </tableColumn>
    <tableColumn id="6" xr3:uid="{2FBF12AB-7FCA-4787-B515-4E3BFB36DE14}" name="Antall_rette" dataDxfId="2067">
      <calculatedColumnFormula>IFERROR(IF(t_ahh[[#This Row],[Dato]]="",0,OFFSET(_xlfn.XLOOKUP(t_ahh[[#This Row],[Dato]],Kuponger!E:E,Kuponger!Q:Q),1,7)),"")</calculatedColumnFormula>
    </tableColumn>
    <tableColumn id="7" xr3:uid="{E5D4936C-D1BC-4177-81EB-959D9A56B77D}" name="Summert" dataDxfId="2066">
      <calculatedColumnFormula>IFERROR(SUM(t_ahh[[#This Row],[tp]]),0)</calculatedColumnFormula>
    </tableColumn>
    <tableColumn id="13" xr3:uid="{9558DFA7-B22B-4AEB-94C7-A5E0A9E77774}" name="12_Antall" dataDxfId="2065">
      <calculatedColumnFormula>IF(t_ahh[[#This Row],[Antall_rette]]=12,1,"")</calculatedColumnFormula>
    </tableColumn>
    <tableColumn id="16" xr3:uid="{812DA88A-D9F4-4DA0-BF4F-AB8E577AB18E}" name="11_Antall" dataDxfId="2064">
      <calculatedColumnFormula>IF(t_ahh[[#This Row],[Antall_rette]]&lt;&gt;11,"",IF(t_ahh[[#This Row],[Antall_rette]]=11,1,""))</calculatedColumnFormula>
    </tableColumn>
    <tableColumn id="17" xr3:uid="{700CFD09-EA6A-4FD3-AA0D-508629335F99}" name="10_Antall" dataDxfId="2063">
      <calculatedColumnFormula>IF(OR(t_ahh[[#This Row],[12_Antall]]=1,t_ahh[[#This Row],[11_Antall]]=1),"",IF(t_ahh[[#This Row],[Antall_rette]]&gt;9,1,""))</calculatedColumnFormula>
    </tableColumn>
    <tableColumn id="9" xr3:uid="{7AD12ABB-C943-40C2-83A6-2DFF8B7D4168}" name="12_poeng" dataDxfId="2062">
      <calculatedColumnFormula>IF(t_ahh[[#This Row],[12_Antall]]=1,Data!$AJ$3,0)</calculatedColumnFormula>
    </tableColumn>
    <tableColumn id="11" xr3:uid="{83B09812-8F4C-4AC6-8DB9-34962F5DAC61}" name="11_poeng" dataDxfId="2061"/>
    <tableColumn id="12" xr3:uid="{A4DA7477-BE8B-439E-A39C-DD3D95746867}" name="10_poeng" dataDxfId="2060"/>
    <tableColumn id="8" xr3:uid="{2247319E-DDB7-441B-8E99-3761E91A8915}" name="12_pLEV" dataDxfId="2059">
      <calculatedColumnFormula array="1">IFERROR(IF(_xlfn.XLOOKUP(t_ahh[[#This Row],[Dato]]&amp;t_ahh[[#This Row],[navn]],Regnskap!$C$10:$C$51&amp;Regnskap!$K$10:$K$51,Regnskap!$H$10:$H$51)&gt;0,Data!$AJ$3,""),"")</calculatedColumnFormula>
    </tableColumn>
    <tableColumn id="21" xr3:uid="{2199F243-21BB-42AD-9E98-666348DD3D2E}" name="11_pLEV" dataDxfId="2058">
      <calculatedColumnFormula array="1">IFERROR(IF(t_ahh[[#This Row],[12_pLEV]]="",IF(_xlfn.XLOOKUP(t_ahh[[#This Row],[Dato]]&amp;t_ahh[[#This Row],[navn]],Regnskap!$C$10:$C$51&amp;Regnskap!$K$10:$K$51,Regnskap!$I$10:$I$51)&gt;0,Data!$AJ$2)),"")</calculatedColumnFormula>
    </tableColumn>
    <tableColumn id="20" xr3:uid="{467342A8-A73C-4690-9F22-C43D93243859}" name="10_pLEV" dataDxfId="2057">
      <calculatedColumnFormula array="1">IFERROR(IF(t_ahh[[#This Row],[11_pLEV]]="",IF(_xlfn.XLOOKUP(t_ahh[[#This Row],[Dato]]&amp;t_ahh[[#This Row],[navn]],Regnskap!$C$10:$C$51&amp;Regnskap!$K$10:$K$51,Regnskap!$J$10:$J$51)&gt;0,Data!$AJ$1),""),"")</calculatedColumnFormula>
    </tableColumn>
    <tableColumn id="18" xr3:uid="{6D7F8343-C28C-4B66-B3AC-8B1126AFA4CD}" name="LEV_poeng" dataDxfId="2056">
      <calculatedColumnFormula>SUM(t_ahh[[#This Row],[12_pLEV]:[10_pLEV]])</calculatedColumnFormula>
    </tableColumn>
    <tableColumn id="19" xr3:uid="{FFD6F1BA-4ADD-47B0-B4FC-ACCAE7B2E66B}" name="Totalt" dataDxfId="2055">
      <calculatedColumnFormula>SUM(t_ahh[[#This Row],[Summert]]+t_ahh[[#This Row],[LEV_poeng]])</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V33" totalsRowShown="0" headerRowDxfId="2054">
  <tableColumns count="22">
    <tableColumn id="22" xr3:uid="{6E8984CA-D4EA-46F5-ABE5-70643C59E504}" name="Navn" dataDxfId="2053"/>
    <tableColumn id="5" xr3:uid="{2D89C157-9927-4706-95FA-97C0BAD4317C}" name="uke" dataDxfId="2052">
      <calculatedColumnFormula>IF(t_rb[[#This Row],[Dato]]&lt;&gt;"",WEEKNUM(t_rb[[#This Row],[Dato]]),"")</calculatedColumnFormula>
    </tableColumn>
    <tableColumn id="1" xr3:uid="{07F74BCA-7422-4F59-B937-95C5860D9DCE}" name="Dato" dataDxfId="2051">
      <calculatedColumnFormula>Data!AL1</calculatedColumnFormula>
    </tableColumn>
    <tableColumn id="2" xr3:uid="{5B75CAEF-2629-4DFB-A230-9AB83BDA9995}" name="hp" dataDxfId="2050">
      <calculatedColumnFormula>IFERROR(IF(t_rb[[#This Row],[Dato]]="","",OFFSET(_xlfn.XLOOKUP(C2,Kuponger!E:E,Kuponger!Q:Q),15,0)),"")</calculatedColumnFormula>
    </tableColumn>
    <tableColumn id="3" xr3:uid="{7A0D6D96-ACE2-40EC-89F6-CDBB565EC6E0}" name="up" dataDxfId="2049">
      <calculatedColumnFormula>IFERROR(OFFSET(_xlfn.XLOOKUP(C2,Kuponger!E:E,Kuponger!Q:Q),15,1),"")</calculatedColumnFormula>
    </tableColumn>
    <tableColumn id="4" xr3:uid="{9F127C9B-CE28-4C7D-B80B-848B3B10A00B}" name="bp" dataDxfId="2048">
      <calculatedColumnFormula>IFERROR(IF(t_rb[[#This Row],[Dato]]="","",OFFSET(_xlfn.XLOOKUP(C2,Kuponger!E:E,Kuponger!Q:Q),15,2)),"")</calculatedColumnFormula>
    </tableColumn>
    <tableColumn id="10" xr3:uid="{B80458A8-5503-4FA4-8E13-2CE76CDC765A}" name="straff" dataDxfId="2047">
      <calculatedColumnFormula>IFERROR(IF(OFFSET(_xlfn.XLOOKUP(C2,Kuponger!E:E,Kuponger!Q:Q),0,2)=0,"",OFFSET(_xlfn.XLOOKUP(C2,Kuponger!E:E,Kuponger!Q:Q),1,2))*-1,"")</calculatedColumnFormula>
    </tableColumn>
    <tableColumn id="14" xr3:uid="{DBE759F7-7269-4766-9A2D-8A3D21F75B54}" name="tp" dataDxfId="2046">
      <calculatedColumnFormula>IF(SUMIF(D2:G2,"&lt;&gt;""")=0,"",SUMIF(D2:G2,"&lt;&gt;"""))</calculatedColumnFormula>
    </tableColumn>
    <tableColumn id="15" xr3:uid="{7F7FED9F-F165-4624-8398-C7C565DAEEC6}" name="Rank" dataDxfId="2045">
      <calculatedColumnFormula>IFERROR(IF(t_rb[[#This Row],[tp]]&lt;&gt;"",OFFSET(_xlfn.XLOOKUP(C2,Kuponger!E:E,Kuponger!Q:Q),1,1),""),"")</calculatedColumnFormula>
    </tableColumn>
    <tableColumn id="6" xr3:uid="{D911BAB6-19CD-4731-96F0-7CDC2607D765}" name="Antall_rette" dataDxfId="2044">
      <calculatedColumnFormula>IFERROR(IF(t_rb[[#This Row],[Dato]]="",0,OFFSET(_xlfn.XLOOKUP(t_rb[[#This Row],[Dato]],Kuponger!E:E,Kuponger!Q:Q),1,7)),"")</calculatedColumnFormula>
    </tableColumn>
    <tableColumn id="7" xr3:uid="{68299328-4B3A-4C9E-B323-CE771B40D0C8}" name="Summert" dataDxfId="2043">
      <calculatedColumnFormula>IFERROR(SUM(t_rb[[#This Row],[tp]]),0)</calculatedColumnFormula>
    </tableColumn>
    <tableColumn id="8" xr3:uid="{9748E04C-A5EE-4504-B793-BCC4BE13B076}" name="12_Antall" dataDxfId="2042">
      <calculatedColumnFormula>IF(t_ahh[[#This Row],[Antall_rette]]=12,1,"")</calculatedColumnFormula>
    </tableColumn>
    <tableColumn id="9" xr3:uid="{E6868677-B8A9-4EF0-B7D7-7D1C9C897E9A}" name="11_Antall" dataDxfId="2041">
      <calculatedColumnFormula>IF(t_ahh[[#This Row],[Antall_rette]]=11,1,"")</calculatedColumnFormula>
    </tableColumn>
    <tableColumn id="11" xr3:uid="{140C0D09-7F4C-4BCF-8152-34F3CD670A90}" name="10_Antall" dataDxfId="2040">
      <calculatedColumnFormula>IF(t_ahh[[#This Row],[Antall_rette]]=10,1,"")</calculatedColumnFormula>
    </tableColumn>
    <tableColumn id="12" xr3:uid="{1FECAF34-BE14-4A42-A03F-5EE677CC4D9A}" name="12_poeng" dataDxfId="2039">
      <calculatedColumnFormula>IF(t_ahh[[#This Row],[12_Antall]]=1,Data!$AJ$3,0)</calculatedColumnFormula>
    </tableColumn>
    <tableColumn id="13" xr3:uid="{EA1601E2-0F48-48F8-9AEA-B2BFCE2B0C07}" name="11_poeng" dataDxfId="2038">
      <calculatedColumnFormula>IF(t_ahh[[#This Row],[11_Antall]]=1,Data!$AJ$2,0)</calculatedColumnFormula>
    </tableColumn>
    <tableColumn id="16" xr3:uid="{115E9919-7AF2-40E7-8B02-A3ADE14BEC47}" name="10_poeng" dataDxfId="2037">
      <calculatedColumnFormula array="1">IFERROR(IF(_xlfn.XLOOKUP(t_ahh[[#This Row],[Dato]]&amp;t_ahh[[#This Row],[navn]],Regnskap!$C$10:$C$51&amp;Regnskap!$K$10:$K$51,Regnskap!$H$10:$H$51)&gt;0,Data!AI2,""),"")</calculatedColumnFormula>
    </tableColumn>
    <tableColumn id="17" xr3:uid="{97EAD862-6689-49C4-8934-BF53C39679B8}" name="12_pLEV" dataDxfId="2036">
      <calculatedColumnFormula array="1">IFERROR(IF(_xlfn.XLOOKUP(t_ahh[[#This Row],[Dato]]&amp;t_ahh[[#This Row],[navn]],Regnskap!$C$10:$C$51&amp;Regnskap!$K$10:$K$51,Regnskap!$H$10:$H$51)&gt;0,Data!$AJ$3,""),"")</calculatedColumnFormula>
    </tableColumn>
    <tableColumn id="18" xr3:uid="{5A43DE17-806A-4AF1-BCE2-1D0B2667435E}" name="11_pLEV" dataDxfId="2035">
      <calculatedColumnFormula array="1">IFERROR(IF(t_ahh[[#This Row],[12_pLEV]]="",IF(_xlfn.XLOOKUP(t_ahh[[#This Row],[Dato]]&amp;t_ahh[[#This Row],[navn]],Regnskap!$C$10:$C$51&amp;Regnskap!$K$10:$K$51,Regnskap!$I$10:$I$51)&gt;0,Data!$AJ$2)),"")</calculatedColumnFormula>
    </tableColumn>
    <tableColumn id="19" xr3:uid="{DDE00D4F-6F8E-41EA-83EE-86A5070B4E46}" name="10_pLEV" dataDxfId="2034">
      <calculatedColumnFormula array="1">IFERROR(IF(t_ahh[[#This Row],[11_pLEV]]="",IF(_xlfn.XLOOKUP(t_ahh[[#This Row],[Dato]]&amp;t_ahh[[#This Row],[navn]],Regnskap!$C$10:$C$51&amp;Regnskap!$K$10:$K$51,Regnskap!$J$10:$J$51)&gt;0,Data!$AJ$1),""),"")</calculatedColumnFormula>
    </tableColumn>
    <tableColumn id="20" xr3:uid="{78FA6D1D-B77C-4318-A43B-92F6D54AB925}" name="LEV_poeng" dataDxfId="2033">
      <calculatedColumnFormula>SUM(t_rb[[#This Row],[12_poeng]:[10_pLEV]])</calculatedColumnFormula>
    </tableColumn>
    <tableColumn id="21" xr3:uid="{96DF07F3-3C93-4C19-876F-21FB33F46509}" name="Totalt" dataDxfId="2032">
      <calculatedColumnFormula>SUM(t_rb[[#This Row],[Summert]]+t_rb[[#This Row],[LEV_poeng]])</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V34" totalsRowShown="0" headerRowDxfId="2031">
  <tableColumns count="22">
    <tableColumn id="23" xr3:uid="{5EE327E9-43EF-4926-9BE8-6AAB3671CC61}" name="navn" dataDxfId="2030"/>
    <tableColumn id="5" xr3:uid="{A15796FE-F36B-4B1A-955F-4BA42A87CA26}" name="uke" dataDxfId="2029">
      <calculatedColumnFormula>IF(t_eb[[#This Row],[Dato]]&lt;&gt;"",WEEKNUM(t_eb[[#This Row],[Dato]]),"")</calculatedColumnFormula>
    </tableColumn>
    <tableColumn id="1" xr3:uid="{CD00B1F4-E8BA-4950-9164-8417FCF59394}" name="Dato" dataDxfId="2028">
      <calculatedColumnFormula>Data!AL1</calculatedColumnFormula>
    </tableColumn>
    <tableColumn id="2" xr3:uid="{1E9F4881-BB4A-42EC-8219-B7163B4B961B}" name="hp" dataDxfId="2027">
      <calculatedColumnFormula>IFERROR(IF(t_eb[[#This Row],[Dato]]="","",OFFSET(_xlfn.XLOOKUP(C2,Kuponger!E:E,Kuponger!Q:Q),15,0)),"")</calculatedColumnFormula>
    </tableColumn>
    <tableColumn id="3" xr3:uid="{D5AD16F8-79A2-4DF1-8AF6-60D0E15D13D9}" name="up" dataDxfId="2026">
      <calculatedColumnFormula>IFERROR(OFFSET(_xlfn.XLOOKUP(C2,Kuponger!E:E,Kuponger!Q:Q),15,1),"")</calculatedColumnFormula>
    </tableColumn>
    <tableColumn id="4" xr3:uid="{249A4D4A-6E68-44E5-B04F-D408080D3EF2}" name="bp" dataDxfId="2025">
      <calculatedColumnFormula>IFERROR(IF(t_eb[[#This Row],[Dato]]="","",OFFSET(_xlfn.XLOOKUP(C2,Kuponger!E:E,Kuponger!Q:Q),15,2)),"")</calculatedColumnFormula>
    </tableColumn>
    <tableColumn id="10" xr3:uid="{AC23FBAC-1F70-4E4C-B95B-FF2BAE396182}" name="straff" dataDxfId="2024">
      <calculatedColumnFormula>IFERROR(IF(OFFSET(_xlfn.XLOOKUP(C2,Kuponger!E:E,Kuponger!Q:Q),0,2)=0,"",OFFSET(_xlfn.XLOOKUP(C2,Kuponger!E:E,Kuponger!Q:Q),1,2))*-1,"")</calculatedColumnFormula>
    </tableColumn>
    <tableColumn id="14" xr3:uid="{E41EFCCA-72C3-4F7C-85AA-6F9F96C885D7}" name="tp" dataDxfId="2023">
      <calculatedColumnFormula>IF(SUMIF(D2:G2,"&lt;&gt;""")=0,"",SUMIF(D2:G2,"&lt;&gt;"""))</calculatedColumnFormula>
    </tableColumn>
    <tableColumn id="15" xr3:uid="{BE225933-369E-4A02-9053-FDE36F6F35B5}" name="Rank" dataDxfId="2022">
      <calculatedColumnFormula>IFERROR(IF(t_eb[[#This Row],[tp]]&lt;&gt;"",OFFSET(_xlfn.XLOOKUP(C2,Kuponger!E:E,Kuponger!Q:Q),1,1),""),"")</calculatedColumnFormula>
    </tableColumn>
    <tableColumn id="6" xr3:uid="{0F22D495-231E-44DF-8C40-D91D610F4F63}" name="Antall_rette" dataDxfId="2021">
      <calculatedColumnFormula>IFERROR(IF(t_eb[[#This Row],[Dato]]="",0,OFFSET(_xlfn.XLOOKUP(t_eb[[#This Row],[Dato]],Kuponger!E:E,Kuponger!Q:Q),1,7)),"")</calculatedColumnFormula>
    </tableColumn>
    <tableColumn id="7" xr3:uid="{E6A817D4-0CAD-4C3F-AA0D-7A2C9AE38ACF}" name="Summert" dataDxfId="2020">
      <calculatedColumnFormula>IFERROR(SUM(t_eb[[#This Row],[tp]]),0)</calculatedColumnFormula>
    </tableColumn>
    <tableColumn id="8" xr3:uid="{5B746D1B-429A-4401-8638-E8B251D004EC}" name="12_Antall" dataDxfId="2019">
      <calculatedColumnFormula>IF(t_rb[[#This Row],[Antall_rette]]=12,1,"")</calculatedColumnFormula>
    </tableColumn>
    <tableColumn id="9" xr3:uid="{DCD77E4D-EE94-4EF8-8B66-CA5DFDD3C1B9}" name="11_Antall" dataDxfId="2018">
      <calculatedColumnFormula>IF(t_rb[[#This Row],[Antall_rette]]=11,1,"")</calculatedColumnFormula>
    </tableColumn>
    <tableColumn id="11" xr3:uid="{7FA26375-C883-4370-96B2-26976D10ABF1}" name="10_Antall" dataDxfId="2017">
      <calculatedColumnFormula>IF(t_rb[[#This Row],[Antall_rette]]=10,1,"")</calculatedColumnFormula>
    </tableColumn>
    <tableColumn id="12" xr3:uid="{5377E843-203F-483E-987A-852CFDABEE86}" name="12_poeng" dataDxfId="2016">
      <calculatedColumnFormula>IF(t_ahh[[#This Row],[12_Antall]]=1,Data!$AJ$3,0)</calculatedColumnFormula>
    </tableColumn>
    <tableColumn id="13" xr3:uid="{FA0D423A-D2C5-43B5-A4CD-F87071D3F7D3}" name="11_poeng" dataDxfId="2015">
      <calculatedColumnFormula>IF(t_ahh[[#This Row],[11_Antall]]=1,Data!$AJ$2,0)</calculatedColumnFormula>
    </tableColumn>
    <tableColumn id="16" xr3:uid="{C9BB6E0F-D204-41C2-8BA7-80B1A39554CC}" name="10_poeng" dataDxfId="2014">
      <calculatedColumnFormula>IF(t_ahh[[#This Row],[10_Antall]]=1,Data!$AJ$1,0)</calculatedColumnFormula>
    </tableColumn>
    <tableColumn id="17" xr3:uid="{2B427031-6501-4A18-8DD0-1BC819C5DB93}" name="12_pLEV" dataDxfId="2013">
      <calculatedColumnFormula array="1">IFERROR(IF(_xlfn.XLOOKUP(t_ahh[[#This Row],[Dato]]&amp;t_ahh[[#This Row],[navn]],Regnskap!$C$10:$C$51&amp;Regnskap!$K$10:$K$51,Regnskap!$H$10:$H$51)&gt;0,Data!$AJ$3,""),"")</calculatedColumnFormula>
    </tableColumn>
    <tableColumn id="19" xr3:uid="{10B291EC-C5B7-4FC7-AAC0-C6E6DAF6DA8C}" name="11_pLEV" dataDxfId="2012">
      <calculatedColumnFormula array="1">IFERROR(IF(t_ahh[[#This Row],[12_pLEV]]="",IF(_xlfn.XLOOKUP(t_ahh[[#This Row],[Dato]]&amp;t_ahh[[#This Row],[navn]],Regnskap!$C$10:$C$51&amp;Regnskap!$K$10:$K$51,Regnskap!$I$10:$I$51)&gt;0,Data!$AJ$2)),"")</calculatedColumnFormula>
    </tableColumn>
    <tableColumn id="18" xr3:uid="{89B0F121-1915-43C0-8F29-FF673C201580}" name="10_pLEV" dataDxfId="2011">
      <calculatedColumnFormula array="1">IFERROR(IF(t_ahh[[#This Row],[11_pLEV]]="",IF(_xlfn.XLOOKUP(t_ahh[[#This Row],[Dato]]&amp;t_ahh[[#This Row],[navn]],Regnskap!$C$10:$C$51&amp;Regnskap!$K$10:$K$51,Regnskap!$J$10:$J$51)&gt;0,Data!$AJ$1),""),"")</calculatedColumnFormula>
    </tableColumn>
    <tableColumn id="20" xr3:uid="{07F9B2A6-9321-4632-8568-4534BFA78AE0}" name="LEV_poeng" dataDxfId="2010"/>
    <tableColumn id="21" xr3:uid="{442C8848-07A4-49A8-883A-CD9F3D7C31D6}" name="Totalt" dataDxfId="2009">
      <calculatedColumnFormula array="1">SUM(t_eb[[#This Row],[Summert]]+t_eb[[#This Row],[12_poeng]:[10_poeng]]+t_eb[[#This Row],[LEV_poeng]])</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V33" totalsRowShown="0" headerRowDxfId="2008">
  <tableColumns count="22">
    <tableColumn id="22" xr3:uid="{794AE325-7220-4504-B579-5C249EC2F16A}" name="navn" dataDxfId="2007"/>
    <tableColumn id="5" xr3:uid="{5CA6750E-3511-49DE-B901-40A4322569E2}" name="Uke" dataDxfId="2006">
      <calculatedColumnFormula>IF(t_kaf[[#This Row],[Dato]]&lt;&gt;"",WEEKNUM(t_kaf[[#This Row],[Dato]]),"")</calculatedColumnFormula>
    </tableColumn>
    <tableColumn id="1" xr3:uid="{3C3F3AAB-0CBA-4066-B2E0-7464FE4F74F4}" name="Dato" dataDxfId="2005">
      <calculatedColumnFormula>Data!AL1</calculatedColumnFormula>
    </tableColumn>
    <tableColumn id="2" xr3:uid="{889C9045-6D6F-449D-8DC3-F8A5259FAE9D}" name="hp" dataDxfId="2004">
      <calculatedColumnFormula>IFERROR(IF(t_ahh[[#This Row],[Dato]]="","",OFFSET(_xlfn.XLOOKUP(C2,Kuponger!E:E,Kuponger!Q:Q),15,0)),"")</calculatedColumnFormula>
    </tableColumn>
    <tableColumn id="3" xr3:uid="{24DA5F76-6AF1-4DA1-8107-A70E9A19203A}" name="up" dataDxfId="2003">
      <calculatedColumnFormula>IFERROR(OFFSET(_xlfn.XLOOKUP(C2,Kuponger!E:E,Kuponger!Q:Q),15,1),"")</calculatedColumnFormula>
    </tableColumn>
    <tableColumn id="4" xr3:uid="{C7BC259E-95FB-4C23-BCF2-971D988FDA2F}" name="bp" dataDxfId="2002">
      <calculatedColumnFormula>IFERROR(IF(t_ahh[[#This Row],[Dato]]="","",OFFSET(_xlfn.XLOOKUP(C2,Kuponger!E:E,Kuponger!Q:Q),15,2)),"")</calculatedColumnFormula>
    </tableColumn>
    <tableColumn id="10" xr3:uid="{E719F286-317F-480F-8BED-630F9A8491E7}" name="straff" dataDxfId="2001">
      <calculatedColumnFormula>IFERROR(IF(OFFSET(_xlfn.XLOOKUP(C2,Kuponger!E:E,Kuponger!Q:Q),0,2)=0,"",OFFSET(_xlfn.XLOOKUP(C2,Kuponger!E:E,Kuponger!Q:Q),1,2))*-1,"")</calculatedColumnFormula>
    </tableColumn>
    <tableColumn id="14" xr3:uid="{8CCD4BFB-87A1-4D7A-B9EB-09A514714E04}" name="tp" dataDxfId="2000">
      <calculatedColumnFormula>IF(SUMIF(D2:G2,"&lt;&gt;""")=0,"",SUMIF(D2:G2,"&lt;&gt;"""))</calculatedColumnFormula>
    </tableColumn>
    <tableColumn id="15" xr3:uid="{A2A31940-DB76-4446-892E-98D5C9011A49}" name="Rank" dataDxfId="1999">
      <calculatedColumnFormula>IFERROR(IF(t_rb[[#This Row],[tp]]&lt;&gt;"",OFFSET(_xlfn.XLOOKUP(C2,Kuponger!E:E,Kuponger!Q:Q),1,1),""),"")</calculatedColumnFormula>
    </tableColumn>
    <tableColumn id="6" xr3:uid="{1D0599E6-807D-407E-BF66-0D4EE0BB0003}" name="Antall_rette" dataDxfId="1998">
      <calculatedColumnFormula>IFERROR(IF(t_rb[[#This Row],[Dato]]="",0,OFFSET(_xlfn.XLOOKUP(t_rb[[#This Row],[Dato]],Kuponger!E:E,Kuponger!Q:Q),1,7)),"")</calculatedColumnFormula>
    </tableColumn>
    <tableColumn id="7" xr3:uid="{A38A0109-722F-4CC4-A29E-B5E6605167CC}" name="Summert" dataDxfId="1997">
      <calculatedColumnFormula>IFERROR(SUM(t_eb[[#This Row],[tp]]),0)</calculatedColumnFormula>
    </tableColumn>
    <tableColumn id="8" xr3:uid="{683A2F96-B1E1-47EF-9A5E-E8FE2E8F02EF}" name="12_Antall" dataDxfId="1996">
      <calculatedColumnFormula>IF(t_rb[[#This Row],[Antall_rette]]=12,1,"")</calculatedColumnFormula>
    </tableColumn>
    <tableColumn id="9" xr3:uid="{D213ACCF-1124-4D0F-9981-CD193391E29C}" name="11_Antall" dataDxfId="1995">
      <calculatedColumnFormula>IF(t_rb[[#This Row],[Antall_rette]]=11,1,"")</calculatedColumnFormula>
    </tableColumn>
    <tableColumn id="11" xr3:uid="{F5E26A88-9471-42EA-A8B1-A4631661DD34}" name="10_Antall" dataDxfId="1994">
      <calculatedColumnFormula>IF(t_rb[[#This Row],[Antall_rette]]=10,1,"")</calculatedColumnFormula>
    </tableColumn>
    <tableColumn id="12" xr3:uid="{D2785C6C-9E62-4F07-8FA8-EAB7645805E0}" name="12_poeng" dataDxfId="1993">
      <calculatedColumnFormula>IF(t_ahh[[#This Row],[12_Antall]]=1,Data!$AJ$3,0)</calculatedColumnFormula>
    </tableColumn>
    <tableColumn id="13" xr3:uid="{F3D9A010-2205-484E-AABD-1B681811DC26}" name="11_poeng" dataDxfId="1992">
      <calculatedColumnFormula>IF(t_ahh[[#This Row],[11_Antall]]=1,Data!$AJ$2,0)</calculatedColumnFormula>
    </tableColumn>
    <tableColumn id="16" xr3:uid="{0C79B1FB-E7E0-4655-B945-723F95026A49}" name="10_poeng" dataDxfId="1991">
      <calculatedColumnFormula>IF(t_ahh[[#This Row],[10_Antall]]=1,Data!$AJ$1,0)</calculatedColumnFormula>
    </tableColumn>
    <tableColumn id="17" xr3:uid="{30C80DC2-3125-442B-85FE-EFC980596F1E}" name="12_pLEV" dataDxfId="1990">
      <calculatedColumnFormula array="1">IFERROR(IF(_xlfn.XLOOKUP(t_ahh[[#This Row],[Dato]]&amp;t_ahh[[#This Row],[navn]],Regnskap!$C$10:$C$51&amp;Regnskap!$K$10:$K$51,Regnskap!$H$10:$H$51)&gt;0,Data!$AJ$3,""),"")</calculatedColumnFormula>
    </tableColumn>
    <tableColumn id="19" xr3:uid="{D7073995-BD11-4A66-BA62-AE865A71D51C}" name="11_pLEV" dataDxfId="1989">
      <calculatedColumnFormula array="1">IFERROR(IF(t_ahh[[#This Row],[12_pLEV]]="",IF(_xlfn.XLOOKUP(t_ahh[[#This Row],[Dato]]&amp;t_ahh[[#This Row],[navn]],Regnskap!$C$10:$C$51&amp;Regnskap!$K$10:$K$51,Regnskap!$I$10:$I$51)&gt;0,Data!$AJ$2)),"")</calculatedColumnFormula>
    </tableColumn>
    <tableColumn id="18" xr3:uid="{113A3325-3BF0-4B04-BEF7-5E644C490E85}" name="10_pLEV" dataDxfId="1988">
      <calculatedColumnFormula array="1">IFERROR(IF(t_ahh[[#This Row],[11_pLEV]]="",IF(_xlfn.XLOOKUP(t_ahh[[#This Row],[Dato]]&amp;t_ahh[[#This Row],[navn]],Regnskap!$C$10:$C$51&amp;Regnskap!$K$10:$K$51,Regnskap!$J$10:$J$51)&gt;0,Data!$AJ$1),""),"")</calculatedColumnFormula>
    </tableColumn>
    <tableColumn id="20" xr3:uid="{877D903B-856C-4316-BFAB-1FF2EC2B989A}" name="LEV_poeng" dataDxfId="1987">
      <calculatedColumnFormula>SUM(t_kaf[[#This Row],[12_poeng]:[10_pLEV]])</calculatedColumnFormula>
    </tableColumn>
    <tableColumn id="21" xr3:uid="{AC7C36DA-F58D-445A-B7E4-D1C21461F7D7}" name="Totalt" dataDxfId="1986">
      <calculatedColumnFormula>SUM(t_kaf[[#This Row],[Summert]]+t_kaf[[#This Row],[LEV_poeng]])</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V33" totalsRowShown="0" headerRowDxfId="1985">
  <tableColumns count="22">
    <tableColumn id="22" xr3:uid="{6609F6AE-6126-45E9-AF52-00BF8ACA40A8}" name="navn" dataDxfId="1984"/>
    <tableColumn id="5" xr3:uid="{39DA23F7-9EE9-461A-9F5C-208557F7C1C4}" name="uke" dataDxfId="1983">
      <calculatedColumnFormula>IF(t_øg[[#This Row],[Dato]]&lt;&gt;"",WEEKNUM(t_øg[[#This Row],[Dato]]),"")</calculatedColumnFormula>
    </tableColumn>
    <tableColumn id="1" xr3:uid="{FF4018BF-E389-4B7C-9FF4-CA15987A054B}" name="Dato" dataDxfId="1982">
      <calculatedColumnFormula>Data!AL1</calculatedColumnFormula>
    </tableColumn>
    <tableColumn id="2" xr3:uid="{25AA7385-CA57-419A-A566-F03D8237FA42}" name="hp" dataDxfId="1981">
      <calculatedColumnFormula>IFERROR(IF(t_øg[[#This Row],[Dato]]="","",OFFSET(_xlfn.XLOOKUP(C2,Kuponger!E:E,Kuponger!BA:BA),15,0)),"")</calculatedColumnFormula>
    </tableColumn>
    <tableColumn id="3" xr3:uid="{C3D1920D-237B-4041-8CB0-D0B1A280B0EC}" name="up" dataDxfId="1980">
      <calculatedColumnFormula>IFERROR(IF(t_øg[[#This Row],[hp]]&lt;&gt;"",OFFSET(_xlfn.XLOOKUP(C2,Kuponger!E:E,Kuponger!BA:BA),15,1),""),"")</calculatedColumnFormula>
    </tableColumn>
    <tableColumn id="4" xr3:uid="{629AD9E1-172E-404C-B09A-1BEFCACD837C}" name="bp" dataDxfId="1979">
      <calculatedColumnFormula>IFERROR(IF(t_øg[[#This Row],[Dato]]="","",OFFSET(_xlfn.XLOOKUP(C2,Kuponger!E:E,Kuponger!BA:BA),15,2)),"")</calculatedColumnFormula>
    </tableColumn>
    <tableColumn id="10" xr3:uid="{32C6A94C-71B4-433D-95A3-BBD35955F51C}" name="straff" dataDxfId="1978">
      <calculatedColumnFormula>IFERROR(IF(OFFSET(_xlfn.XLOOKUP(C2,Kuponger!E:E,Kuponger!BA:BA),0,2)=0,"",OFFSET(_xlfn.XLOOKUP(C2,Kuponger!E:E,Kuponger!BA:BA),1,2))*-1,"")</calculatedColumnFormula>
    </tableColumn>
    <tableColumn id="14" xr3:uid="{BCB78745-1463-4BEE-920F-DD39A6676B28}" name="tp" dataDxfId="1977">
      <calculatedColumnFormula>IF(SUMIF(D2:G2,"&lt;&gt;""")=0,"",SUMIF(D2:G2,"&lt;&gt;"""))</calculatedColumnFormula>
    </tableColumn>
    <tableColumn id="15" xr3:uid="{142DF14E-CFB2-4582-A514-1E6E62284FB7}" name="Rank" dataDxfId="1976">
      <calculatedColumnFormula>IFERROR(IF(t_øg[[#This Row],[tp]]&lt;&gt;"",OFFSET(_xlfn.XLOOKUP(C2,Kuponger!E:E,Kuponger!BA:BA),1,1),""),"")</calculatedColumnFormula>
    </tableColumn>
    <tableColumn id="6" xr3:uid="{EE4A31F3-7720-4789-82AC-AF7E459BA07E}" name="Antall_rette" dataDxfId="1975">
      <calculatedColumnFormula>IFERROR(IF(t_øg[[#This Row],[Dato]]="",0,OFFSET(_xlfn.XLOOKUP(t_øg[[#This Row],[Dato]],Kuponger!E:E,Kuponger!BA:BA),1,7)),"")</calculatedColumnFormula>
    </tableColumn>
    <tableColumn id="7" xr3:uid="{2E24510B-B1D2-45F6-AFFE-C8AE16670275}" name="Summert" dataDxfId="1974">
      <calculatedColumnFormula>IFERROR(SUM(t_øg[[#This Row],[tp]]),0)</calculatedColumnFormula>
    </tableColumn>
    <tableColumn id="8" xr3:uid="{747D860E-1002-4824-A7DC-023B52B2F9E9}" name="12_Antall" dataDxfId="1973">
      <calculatedColumnFormula>IF(t_rb[[#This Row],[Antall_rette]]=12,1,"")</calculatedColumnFormula>
    </tableColumn>
    <tableColumn id="9" xr3:uid="{2E506A10-BB03-44B8-9F9C-7EC69B94A9B3}" name="11_Antall" dataDxfId="1972">
      <calculatedColumnFormula>IF(t_rb[[#This Row],[Antall_rette]]=11,1,"")</calculatedColumnFormula>
    </tableColumn>
    <tableColumn id="11" xr3:uid="{F8460F62-769E-43A8-A942-3B9B936725D2}" name="10_Antall" dataDxfId="1971">
      <calculatedColumnFormula>IF(t_rb[[#This Row],[Antall_rette]]=10,1,"")</calculatedColumnFormula>
    </tableColumn>
    <tableColumn id="12" xr3:uid="{15FE41CC-EC1D-47B4-89CB-4DFC1CAC445D}" name="12_poeng" dataDxfId="1970">
      <calculatedColumnFormula>IF(t_ahh[[#This Row],[12_Antall]]=1,Data!$AJ$3,0)</calculatedColumnFormula>
    </tableColumn>
    <tableColumn id="13" xr3:uid="{5BCF3378-4476-4A4E-90B1-A015E607C0EC}" name="11_poeng" dataDxfId="1969">
      <calculatedColumnFormula>IF(t_ahh[[#This Row],[11_Antall]]=1,Data!$AJ$2,0)</calculatedColumnFormula>
    </tableColumn>
    <tableColumn id="16" xr3:uid="{B7E3652E-7045-451A-8A3A-B873C15D1A2A}" name="10_poeng" dataDxfId="1968">
      <calculatedColumnFormula>IF(t_ahh[[#This Row],[10_Antall]]=1,Data!$AJ$1,0)</calculatedColumnFormula>
    </tableColumn>
    <tableColumn id="17" xr3:uid="{C090EBEA-F37D-470E-98A9-2E7CE16D30A6}" name="12_pLEV" dataDxfId="1967">
      <calculatedColumnFormula array="1">IFERROR(IF(_xlfn.XLOOKUP(t_kaf[[#This Row],[Dato]]&amp;t_kaf[[#This Row],[navn]],Regnskap!$C$10:$C$51&amp;Regnskap!$K$10:$K$51,Regnskap!$H$10:$H$51)&gt;0,Data!$AJ$3,""),"")</calculatedColumnFormula>
    </tableColumn>
    <tableColumn id="19" xr3:uid="{BCD66BE7-CE4B-4323-9D77-EC0659582B2D}" name="11_pLEV" dataDxfId="1966">
      <calculatedColumnFormula array="1">IFERROR(IF(t_kaf[[#This Row],[12_pLEV]]="",IF(_xlfn.XLOOKUP(t_kaf[[#This Row],[Dato]]&amp;t_kaf[[#This Row],[navn]],Regnskap!$C$10:$C$51&amp;Regnskap!$K$10:$K$51,Regnskap!$I$10:$I$51)&gt;0,Data!$AJ$2)),"")</calculatedColumnFormula>
    </tableColumn>
    <tableColumn id="18" xr3:uid="{ABEA70DF-EB0F-4C08-B1E4-D9B43793ABD6}" name="10_pLEV" dataDxfId="1965">
      <calculatedColumnFormula array="1">IFERROR(IF(t_kaf[[#This Row],[11_pLEV]]="",IF(_xlfn.XLOOKUP(t_kaf[[#This Row],[Dato]]&amp;t_kaf[[#This Row],[navn]],Regnskap!$C$10:$C$51&amp;Regnskap!$K$10:$K$51,Regnskap!$J$10:$J$51)&gt;0,Data!$AJ$1),""),"")</calculatedColumnFormula>
    </tableColumn>
    <tableColumn id="20" xr3:uid="{CCFE20E8-B1D1-4466-A943-24D2E962390E}" name="LEV_poeng" dataDxfId="1964">
      <calculatedColumnFormula>SUM(t_øg[[#This Row],[12_poeng]:[10_pLEV]])</calculatedColumnFormula>
    </tableColumn>
    <tableColumn id="21" xr3:uid="{2170201F-BE25-4464-9E2F-F2EAFA937AED}" name="Totalt" dataDxfId="1963">
      <calculatedColumnFormula>SUM(t_øg[[#This Row],[Summert]]+t_øg[[#This Row],[LEV_poeng]])</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V33" totalsRowShown="0" headerRowDxfId="1962">
  <tableColumns count="22">
    <tableColumn id="22" xr3:uid="{2C9F2716-D165-4B72-9124-D072BE94BC01}" name="navn" dataDxfId="1961"/>
    <tableColumn id="5" xr3:uid="{0CF4F0D6-F811-418F-A09C-D34ECABC5B8F}" name="uke" dataDxfId="1960">
      <calculatedColumnFormula>IF(t_jh[[#This Row],[Dato]]&lt;&gt;"",WEEKNUM(t_jh[[#This Row],[Dato]]),"")</calculatedColumnFormula>
    </tableColumn>
    <tableColumn id="1" xr3:uid="{F3C6761A-4435-41E3-B6FE-70C86961716B}" name="Dato" dataDxfId="1959">
      <calculatedColumnFormula>Data!AL1</calculatedColumnFormula>
    </tableColumn>
    <tableColumn id="2" xr3:uid="{DBF35897-8789-4823-B2D3-CF0C9D30DF5D}" name="hp" dataDxfId="1958">
      <calculatedColumnFormula>IFERROR(IF(t_jh[[#This Row],[Dato]]="","",OFFSET(_xlfn.XLOOKUP(C2,Kuponger!E:E,Kuponger!BJ:BJ),15,0)),"")</calculatedColumnFormula>
    </tableColumn>
    <tableColumn id="3" xr3:uid="{CB0F0A70-B9E2-46A1-AC35-89A76D171D50}" name="up" dataDxfId="1957">
      <calculatedColumnFormula>IFERROR(IF(t_jh[[#This Row],[hp]]&lt;&gt;"",OFFSET(_xlfn.XLOOKUP(C2,Kuponger!E:E,Kuponger!BJ:BJ),15,1),""),"")</calculatedColumnFormula>
    </tableColumn>
    <tableColumn id="4" xr3:uid="{A5C532BF-2CF2-4D26-BC01-987718C1906C}" name="bp" dataDxfId="1956">
      <calculatedColumnFormula>IFERROR(IF(t_jh[[#This Row],[Dato]]="","",OFFSET(_xlfn.XLOOKUP(C2,Kuponger!E:E,Kuponger!BJ:BJ),15,2)),"")</calculatedColumnFormula>
    </tableColumn>
    <tableColumn id="10" xr3:uid="{A6224F5E-A8C3-4D78-8E78-8ABE26FE6A43}" name="straff" dataDxfId="1955">
      <calculatedColumnFormula>IFERROR(IF(OFFSET(_xlfn.XLOOKUP(C2,Kuponger!E:E,Kuponger!BJ:BJ),0,2)=0,"",OFFSET(_xlfn.XLOOKUP(C2,Kuponger!E:E,Kuponger!BJ:BJ),1,2))*-1,"")</calculatedColumnFormula>
    </tableColumn>
    <tableColumn id="14" xr3:uid="{30EB6F07-1C3E-408E-8B2D-E3F2F9274E8D}" name="tp" dataDxfId="1954">
      <calculatedColumnFormula>IF(SUMIF(D2:G2,"&lt;&gt;""")=0,"",SUMIF(D2:G2,"&lt;&gt;"""))</calculatedColumnFormula>
    </tableColumn>
    <tableColumn id="15" xr3:uid="{CEDC092F-3BBD-4085-BBFD-479DE33DE1D4}" name="Rank" dataDxfId="1953">
      <calculatedColumnFormula>IFERROR(IF(t_jh[[#This Row],[tp]]&lt;&gt;"",OFFSET(_xlfn.XLOOKUP(C2,Kuponger!E:E,Kuponger!BJ:BJ),1,1),""),"")</calculatedColumnFormula>
    </tableColumn>
    <tableColumn id="6" xr3:uid="{5032DADC-A856-475F-8B06-3193D9323387}" name="Antall_rette" dataDxfId="1952">
      <calculatedColumnFormula>IFERROR(IF(t_jh[[#This Row],[Dato]]="",0,OFFSET(_xlfn.XLOOKUP(t_jh[[#This Row],[Dato]],Kuponger!E:E,Kuponger!BJ:BJ),1,7)),"")</calculatedColumnFormula>
    </tableColumn>
    <tableColumn id="7" xr3:uid="{92243807-26C1-4F9B-9B9C-272675DCD93B}" name="Summert" dataDxfId="1951">
      <calculatedColumnFormula>IFERROR(SUM(t_jh[[#This Row],[tp]]),0)</calculatedColumnFormula>
    </tableColumn>
    <tableColumn id="8" xr3:uid="{86712415-D8B6-4B54-BCC3-39EB6286517B}" name="12_Antall" dataDxfId="1950">
      <calculatedColumnFormula>IF(t_rb[[#This Row],[Antall_rette]]=12,1,"")</calculatedColumnFormula>
    </tableColumn>
    <tableColumn id="9" xr3:uid="{DCDE5FE9-B517-44F1-A445-DBB3C8CFC0C7}" name="11_Antall" dataDxfId="1949">
      <calculatedColumnFormula>IF(t_rb[[#This Row],[Antall_rette]]=11,1,"")</calculatedColumnFormula>
    </tableColumn>
    <tableColumn id="11" xr3:uid="{924FD915-9CFB-4FC0-9B87-420CFA8F264E}" name="10_Antall" dataDxfId="1948">
      <calculatedColumnFormula>IF(t_rb[[#This Row],[Antall_rette]]=10,1,"")</calculatedColumnFormula>
    </tableColumn>
    <tableColumn id="12" xr3:uid="{7920431E-6998-4AAA-AF7A-B9388CD5B546}" name="12_poeng" dataDxfId="1947">
      <calculatedColumnFormula>IF(t_ahh[[#This Row],[12_Antall]]=1,Data!$AJ$3,0)</calculatedColumnFormula>
    </tableColumn>
    <tableColumn id="13" xr3:uid="{26438AF4-078A-4180-A064-3C75955926EE}" name="11_poeng" dataDxfId="1946">
      <calculatedColumnFormula>IF(t_ahh[[#This Row],[11_Antall]]=1,Data!$AJ$2,0)</calculatedColumnFormula>
    </tableColumn>
    <tableColumn id="16" xr3:uid="{C962CDC6-6E15-4371-B277-0215F311A671}" name="10_poeng" dataDxfId="1945">
      <calculatedColumnFormula>IF(t_ahh[[#This Row],[10_Antall]]=1,Data!$AJ$1,0)</calculatedColumnFormula>
    </tableColumn>
    <tableColumn id="17" xr3:uid="{01A4628F-13B7-48BB-AF61-6EC2F3E5546D}" name="12_pLEV" dataDxfId="1944">
      <calculatedColumnFormula array="1">IFERROR(IF(_xlfn.XLOOKUP(t_øg[[#This Row],[Dato]]&amp;t_øg[[#This Row],[navn]],Regnskap!$C$10:$C$51&amp;Regnskap!$K$10:$K$51,Regnskap!$H$10:$H$51)&gt;0,Data!$AJ$3,""),"")</calculatedColumnFormula>
    </tableColumn>
    <tableColumn id="19" xr3:uid="{56796A0E-186C-4BA7-93EF-A02AFCA3DEDE}" name="11_pLEV" dataDxfId="1943">
      <calculatedColumnFormula array="1">IFERROR(IF(t_øg[[#This Row],[12_pLEV]]="",IF(_xlfn.XLOOKUP(t_øg[[#This Row],[Dato]]&amp;t_øg[[#This Row],[navn]],Regnskap!$C$10:$C$51&amp;Regnskap!$K$10:$K$51,Regnskap!$I$10:$I$51)&gt;0,Data!$AJ$2)),"")</calculatedColumnFormula>
    </tableColumn>
    <tableColumn id="18" xr3:uid="{25F7513B-8C51-408B-A619-6D01F9760286}" name="10_pLEV" dataDxfId="1942">
      <calculatedColumnFormula array="1">IFERROR(IF(t_øg[[#This Row],[11_pLEV]]="",IF(_xlfn.XLOOKUP(t_øg[[#This Row],[Dato]]&amp;t_øg[[#This Row],[navn]],Regnskap!$C$10:$C$51&amp;Regnskap!$K$10:$K$51,Regnskap!$J$10:$J$51)&gt;0,Data!$AJ$1),""),"")</calculatedColumnFormula>
    </tableColumn>
    <tableColumn id="20" xr3:uid="{BE2E21D2-A120-4A98-AA68-2AF5F0CCE97B}" name="LEV_poeng" dataDxfId="1941">
      <calculatedColumnFormula>SUM(t_jh[[#This Row],[12_poeng]:[10_pLEV]])</calculatedColumnFormula>
    </tableColumn>
    <tableColumn id="21" xr3:uid="{2B276A9E-C405-4068-924B-CB243208DC10}" name="Totalt" dataDxfId="1940">
      <calculatedColumnFormula>SUM(t_jh[[#This Row],[Summert]]+t_jh[[#This Row],[LEV_poeng]])</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V33" totalsRowShown="0" headerRowDxfId="1939">
  <tableColumns count="22">
    <tableColumn id="22" xr3:uid="{583FF56D-3DD2-4146-A75D-FAD108F1A39E}" name="navn" dataDxfId="1938"/>
    <tableColumn id="5" xr3:uid="{160A1B66-A9A2-4E62-903B-AD1C69B06C48}" name="uke" dataDxfId="1937">
      <calculatedColumnFormula>IF(t_toh[[#This Row],[Dato]]&lt;&gt;"",WEEKNUM(t_toh[[#This Row],[Dato]]),"")</calculatedColumnFormula>
    </tableColumn>
    <tableColumn id="1" xr3:uid="{4EDB6DE7-33D0-4CB7-991F-1057332BBAFB}" name="Dato" dataDxfId="1936">
      <calculatedColumnFormula>Data!AL1</calculatedColumnFormula>
    </tableColumn>
    <tableColumn id="2" xr3:uid="{CE83906A-F4FD-4490-B1CE-E108BDE7E1C7}" name="hp" dataDxfId="1935">
      <calculatedColumnFormula>IFERROR(IF(t_toh[[#This Row],[Dato]]="","",OFFSET(_xlfn.XLOOKUP(C2,Kuponger!E:E,Kuponger!BS:BS),15,0)),"")</calculatedColumnFormula>
    </tableColumn>
    <tableColumn id="3" xr3:uid="{B9939ECF-6BCA-4AF3-8451-56E6C2EADDB6}" name="up" dataDxfId="1934">
      <calculatedColumnFormula>IFERROR(OFFSET(_xlfn.XLOOKUP(C2,Kuponger!E:E,Kuponger!BS:BS),15,1),"")</calculatedColumnFormula>
    </tableColumn>
    <tableColumn id="4" xr3:uid="{D4F128E0-E6C9-41EA-91A6-E372F955DD97}" name="bp" dataDxfId="1933">
      <calculatedColumnFormula>IFERROR(IF(t_toh[[#This Row],[Dato]]="","",OFFSET(_xlfn.XLOOKUP(C2,Kuponger!E:E,Kuponger!BS:BS),15,2)),"")</calculatedColumnFormula>
    </tableColumn>
    <tableColumn id="10" xr3:uid="{44354A2A-730D-4E39-B517-5F07D14A4D5B}" name="straff" dataDxfId="1932">
      <calculatedColumnFormula>IFERROR(IF(OFFSET(_xlfn.XLOOKUP(C2,Kuponger!E:E,Kuponger!BS:BS),0,2)=0,"",OFFSET(_xlfn.XLOOKUP(C2,Kuponger!E:E,Kuponger!BS:BS),1,2))*-1,"")</calculatedColumnFormula>
    </tableColumn>
    <tableColumn id="14" xr3:uid="{C0768D76-9909-4776-BF12-A15300BE0C76}" name="tp" dataDxfId="1931">
      <calculatedColumnFormula>IF(SUMIF(D2:G2,"&lt;&gt;""")=0,"",SUMIF(D2:G2,"&lt;&gt;"""))</calculatedColumnFormula>
    </tableColumn>
    <tableColumn id="15" xr3:uid="{CE9CF6BC-6F17-47B5-A621-9578D3922D2E}" name="Rank" dataDxfId="1930">
      <calculatedColumnFormula>IFERROR(IF(t_toh[[#This Row],[tp]]&lt;&gt;"",OFFSET(_xlfn.XLOOKUP(C2,Kuponger!E:E,Kuponger!BS:BS),1,1),""),"")</calculatedColumnFormula>
    </tableColumn>
    <tableColumn id="6" xr3:uid="{9C3DBCA8-9777-42D9-86FE-91B73D67F855}" name="Antall_rette" dataDxfId="1929">
      <calculatedColumnFormula>IFERROR(IF(t_toh[[#This Row],[Dato]]="",0,OFFSET(_xlfn.XLOOKUP(t_toh[[#This Row],[Dato]],Kuponger!E:E,Kuponger!BS:BS),1,7)),"")</calculatedColumnFormula>
    </tableColumn>
    <tableColumn id="7" xr3:uid="{A20F9DC9-CC03-4C76-95A0-B5A5671B856A}" name="Summert" dataDxfId="1928">
      <calculatedColumnFormula>IFERROR(SUM(t_toh[[#This Row],[tp]]),0)</calculatedColumnFormula>
    </tableColumn>
    <tableColumn id="8" xr3:uid="{B4D3E8EB-7446-4727-A645-4D30A5C53561}" name="12_Antall" dataDxfId="1927">
      <calculatedColumnFormula>IF(t_rb[[#This Row],[Antall_rette]]=12,1,"")</calculatedColumnFormula>
    </tableColumn>
    <tableColumn id="9" xr3:uid="{06821A53-3950-4D7C-9F24-34C7D66C7A5A}" name="11_Antall" dataDxfId="1926">
      <calculatedColumnFormula>IF(t_rb[[#This Row],[Antall_rette]]=11,1,"")</calculatedColumnFormula>
    </tableColumn>
    <tableColumn id="11" xr3:uid="{50F3D150-7549-450D-B749-FAE44087BB1A}" name="10_Antall" dataDxfId="1925">
      <calculatedColumnFormula>IF(t_rb[[#This Row],[Antall_rette]]=10,1,"")</calculatedColumnFormula>
    </tableColumn>
    <tableColumn id="12" xr3:uid="{0C765704-000E-46C1-9722-B054202475C9}" name="12_poeng" dataDxfId="1924">
      <calculatedColumnFormula>IF(t_ahh[[#This Row],[12_Antall]]=1,Data!$AJ$3,0)</calculatedColumnFormula>
    </tableColumn>
    <tableColumn id="13" xr3:uid="{43406C0A-CF98-4F79-A339-3D42FDD03655}" name="11_poeng" dataDxfId="1923">
      <calculatedColumnFormula>IF(t_ahh[[#This Row],[11_Antall]]=1,Data!$AJ$2,0)</calculatedColumnFormula>
    </tableColumn>
    <tableColumn id="16" xr3:uid="{12A048B2-006B-4B83-92E3-654F65E8AB95}" name="10_poeng" dataDxfId="1922">
      <calculatedColumnFormula>IF(t_ahh[[#This Row],[10_Antall]]=1,Data!$AJ$1,0)</calculatedColumnFormula>
    </tableColumn>
    <tableColumn id="17" xr3:uid="{07B1C583-5700-4A75-807C-91B0A1EE8F52}" name="12_pLEV" dataDxfId="1921">
      <calculatedColumnFormula array="1">IFERROR(IF(_xlfn.XLOOKUP(t_jh[[#This Row],[Dato]]&amp;t_jh[[#This Row],[navn]],Regnskap!$C$10:$C$51&amp;Regnskap!$K$10:$K$51,Regnskap!$H$10:$H$51)&gt;0,Data!$AJ$3,""),"")</calculatedColumnFormula>
    </tableColumn>
    <tableColumn id="19" xr3:uid="{DFBBA5B0-CA9D-47F8-AF4C-A961C8F5297B}" name="11_pLEV" dataDxfId="1920">
      <calculatedColumnFormula array="1">IFERROR(IF(t_jh[[#This Row],[12_pLEV]]="",IF(_xlfn.XLOOKUP(t_jh[[#This Row],[Dato]]&amp;t_jh[[#This Row],[navn]],Regnskap!$C$10:$C$51&amp;Regnskap!$K$10:$K$51,Regnskap!$I$10:$I$51)&gt;0,Data!$AJ$2)),"")</calculatedColumnFormula>
    </tableColumn>
    <tableColumn id="18" xr3:uid="{5B9B8FF2-467A-4841-AEF3-9DF3AD519D4D}" name="10_pLEV" dataDxfId="1919">
      <calculatedColumnFormula array="1">IFERROR(IF(t_jh[[#This Row],[11_pLEV]]="",IF(_xlfn.XLOOKUP(t_jh[[#This Row],[Dato]]&amp;t_jh[[#This Row],[navn]],Regnskap!$C$10:$C$51&amp;Regnskap!$K$10:$K$51,Regnskap!$J$10:$J$51)&gt;0,Data!$AJ$1),""),"")</calculatedColumnFormula>
    </tableColumn>
    <tableColumn id="20" xr3:uid="{867ECE3E-6718-442F-B41E-FD254095CA3C}" name="LEV_poeng" dataDxfId="1918">
      <calculatedColumnFormula>SUM(t_toh[[#This Row],[12_poeng]:[10_pLEV]])</calculatedColumnFormula>
    </tableColumn>
    <tableColumn id="21" xr3:uid="{1A0425CA-9232-4B65-99F3-C437ECFEF9E4}" name="Totalt" dataDxfId="1917">
      <calculatedColumnFormula>SUM(t_toh[[#This Row],[Summert]]+t_toh[[#This Row],[LEV_poeng]])</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V41" totalsRowShown="0" headerRowDxfId="1916">
  <tableColumns count="22">
    <tableColumn id="22" xr3:uid="{31EEFCB2-97AB-4ED6-A84F-610DE5D5F1A7}" name="navn" dataDxfId="1915"/>
    <tableColumn id="5" xr3:uid="{C3507477-E3B6-4A8B-9719-E9AD1A2FB846}" name="uke" dataDxfId="1914">
      <calculatedColumnFormula>IF(t_utg[[#This Row],[Dato]]&lt;&gt;"",WEEKNUM(t_utg[[#This Row],[Dato]]),"")</calculatedColumnFormula>
    </tableColumn>
    <tableColumn id="1" xr3:uid="{8335060C-3EC2-4BB4-97C9-E61E78C6DF51}" name="Dato" dataDxfId="1913">
      <calculatedColumnFormula>Data!AL1</calculatedColumnFormula>
    </tableColumn>
    <tableColumn id="2" xr3:uid="{EE0773A9-EE62-482C-AF6B-1702525AEB6E}" name="hp" dataDxfId="1912">
      <calculatedColumnFormula>IFERROR(IF(t_utg[[#This Row],[Dato]]="","",OFFSET(_xlfn.XLOOKUP(C2,Kuponger!E:E,Kuponger!CB:CB),15,0)),"")</calculatedColumnFormula>
    </tableColumn>
    <tableColumn id="3" xr3:uid="{429F1F0B-EF5F-45B4-938B-930E7FA2BD76}" name="up" dataDxfId="1911">
      <calculatedColumnFormula>IFERROR(OFFSET(_xlfn.XLOOKUP(C2,Kuponger!E:E,Kuponger!CB:CB),15,1),"")</calculatedColumnFormula>
    </tableColumn>
    <tableColumn id="4" xr3:uid="{C3AA9F83-5B80-4FBF-9025-5D3D69B67C5D}" name="bp" dataDxfId="1910">
      <calculatedColumnFormula>IFERROR(IF(t_utg[[#This Row],[Dato]]="","",OFFSET(_xlfn.XLOOKUP(C2,Kuponger!E:E,Kuponger!CB:CB),15,2)),"")</calculatedColumnFormula>
    </tableColumn>
    <tableColumn id="10" xr3:uid="{088CA75D-D110-4522-AC66-43F87318824A}" name="straff" dataDxfId="1909">
      <calculatedColumnFormula>IFERROR(IF(OFFSET(_xlfn.XLOOKUP(C2,Kuponger!E:E,Kuponger!CB:CB),0,2)=0,"",OFFSET(_xlfn.XLOOKUP(C2,Kuponger!E:E,Kuponger!CB:CB),1,2))*-1,"")</calculatedColumnFormula>
    </tableColumn>
    <tableColumn id="14" xr3:uid="{DD5C48A0-C709-46CA-9EFC-C39BCA0FA9CA}" name="tp" dataDxfId="1908">
      <calculatedColumnFormula>IF(SUMIF(D2:G2,"&lt;&gt;""")=0,"",SUMIF(D2:G2,"&lt;&gt;"""))</calculatedColumnFormula>
    </tableColumn>
    <tableColumn id="15" xr3:uid="{1662E82D-5D46-40ED-A8DC-B3C839CE9033}" name="Rank" dataDxfId="1907">
      <calculatedColumnFormula>IFERROR(IF(t_utg[[#This Row],[tp]]&lt;&gt;"",OFFSET(_xlfn.XLOOKUP(C2,Kuponger!E:E,Kuponger!CB:CB),1,1),""),"")</calculatedColumnFormula>
    </tableColumn>
    <tableColumn id="6" xr3:uid="{ECC786A7-3BA4-4656-A553-8E8FE2C5FC7C}" name="Antall_rette" dataDxfId="1906">
      <calculatedColumnFormula>IFERROR(IF(t_utg[[#This Row],[Dato]]="",0,OFFSET(_xlfn.XLOOKUP(t_utg[[#This Row],[Dato]],Kuponger!E:E,Kuponger!CB:CB),1,7)),"")</calculatedColumnFormula>
    </tableColumn>
    <tableColumn id="7" xr3:uid="{9A1ABD87-8218-4D3C-BD47-F9B8D4312B49}" name="Summert" dataDxfId="1905">
      <calculatedColumnFormula>IFERROR(SUM(t_utg[[#This Row],[tp]]),0)</calculatedColumnFormula>
    </tableColumn>
    <tableColumn id="8" xr3:uid="{F9BE88A0-BC92-45A8-892A-3BB56EAD84F9}" name="12_Antall" dataDxfId="1904">
      <calculatedColumnFormula>IF(t_ahh[[#This Row],[Antall_rette]]=12,1,"")</calculatedColumnFormula>
    </tableColumn>
    <tableColumn id="9" xr3:uid="{5077A7BE-72E4-4FBE-AE42-F36B9B453DA3}" name="11_Antall" dataDxfId="1903">
      <calculatedColumnFormula>IF(t_ahh[[#This Row],[Antall_rette]]&gt;10,1,"")</calculatedColumnFormula>
    </tableColumn>
    <tableColumn id="11" xr3:uid="{5127672B-D6F8-4AEA-B08C-464D148BE115}" name="10_Antall" dataDxfId="1902">
      <calculatedColumnFormula>IF(t_ahh[[#This Row],[Antall_rette]]&gt;9,1,"")</calculatedColumnFormula>
    </tableColumn>
    <tableColumn id="12" xr3:uid="{B5E0D557-925E-44D4-B69A-2E054FCBBB58}" name="12_poeng" dataDxfId="1901">
      <calculatedColumnFormula>IF(t_ahh[[#This Row],[12_Antall]]=1,Data!$AJ$3,0)</calculatedColumnFormula>
    </tableColumn>
    <tableColumn id="13" xr3:uid="{1240D729-A409-4ED9-9CE8-D5354A7F2369}" name="11_poeng" dataDxfId="1900">
      <calculatedColumnFormula>IF(t_ahh[[#This Row],[11_Antall]]=1,Data!$AJ$2,0)</calculatedColumnFormula>
    </tableColumn>
    <tableColumn id="16" xr3:uid="{9B18D6A2-103B-4B05-8A98-1D388D18F3A8}" name="10_poeng" dataDxfId="1899">
      <calculatedColumnFormula>IF(t_ahh[[#This Row],[10_Antall]]=1,Data!$AJ$1,0)</calculatedColumnFormula>
    </tableColumn>
    <tableColumn id="17" xr3:uid="{08960350-98D7-442D-A56F-50FCD6A700C8}" name="12_pLEV" dataDxfId="1898"/>
    <tableColumn id="19" xr3:uid="{7133A4C7-B543-4911-8B48-D67772018F16}" name="11_pLEV" dataDxfId="1897"/>
    <tableColumn id="18" xr3:uid="{73416927-961E-41E3-8527-E8366D0DA0DC}" name="10_pLEV" dataDxfId="1896"/>
    <tableColumn id="20" xr3:uid="{256EFEEF-BAFA-4CAD-BE66-22B948B9B55A}" name="LEV_poeng" dataDxfId="1895">
      <calculatedColumnFormula>SUM(t_utg[[#This Row],[12_poeng]:[10_pLEV]])</calculatedColumnFormula>
    </tableColumn>
    <tableColumn id="21" xr3:uid="{1D4D0404-C342-4F32-ABF7-604451238E5E}" name="Totalt" dataDxfId="1894">
      <calculatedColumnFormula>SUM(t_utg[[#This Row],[Summert]]+t_utg[[#This Row],[LEV_poeng]])</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V33" totalsRowShown="0" headerRowDxfId="1893">
  <tableColumns count="22">
    <tableColumn id="22" xr3:uid="{AB703FBE-AA9F-41A0-A69A-470E48216F53}" name="navn" dataDxfId="1892"/>
    <tableColumn id="5" xr3:uid="{5215E5C1-13C3-4C3D-BC52-3A5297442920}" name="uke" dataDxfId="1891">
      <calculatedColumnFormula>IF(t_lev[[#This Row],[Dato]]&lt;&gt;"",WEEKNUM(t_lev[[#This Row],[Dato]]),"")</calculatedColumnFormula>
    </tableColumn>
    <tableColumn id="1" xr3:uid="{CBF54F42-4601-4737-92E7-98D4C9BF8E1B}" name="Dato" dataDxfId="1890">
      <calculatedColumnFormula>Data!AL1</calculatedColumnFormula>
    </tableColumn>
    <tableColumn id="2" xr3:uid="{96CB0BB9-544E-4E92-A6D5-E4E30A38D028}" name="hp" dataDxfId="1889">
      <calculatedColumnFormula>IFERROR(IF(t_lev[[#This Row],[Dato]]="","",OFFSET(_xlfn.XLOOKUP(C2,Kuponger!E:E,Kuponger!CK:CK),15,0)),"")</calculatedColumnFormula>
    </tableColumn>
    <tableColumn id="3" xr3:uid="{E455EC2C-8B80-4D31-B493-4A6149B42937}" name="up" dataDxfId="1888">
      <calculatedColumnFormula>IFERROR(IF(t_lev[[#This Row],[hp]]&lt;&gt;"",OFFSET(_xlfn.XLOOKUP(C2,Kuponger!E:E,Kuponger!CK:CK),15,1),""),"")</calculatedColumnFormula>
    </tableColumn>
    <tableColumn id="4" xr3:uid="{1277449A-7341-4632-B74C-F720A96E4167}" name="bp" dataDxfId="1887">
      <calculatedColumnFormula>IFERROR(IF(t_lev[[#This Row],[Dato]]="","",OFFSET(_xlfn.XLOOKUP(C2,Kuponger!E:E,Kuponger!CK:CK),15,2)),"")</calculatedColumnFormula>
    </tableColumn>
    <tableColumn id="10" xr3:uid="{EFF6A21F-4290-4E65-9558-A6BBBE63EE04}" name="straff" dataDxfId="1886">
      <calculatedColumnFormula>IFERROR(IF(OFFSET(_xlfn.XLOOKUP(C2,Kuponger!E:E,Kuponger!CK:CK),0,2)=0,"",OFFSET(_xlfn.XLOOKUP(C2,Kuponger!E:E,Kuponger!CK:CK),1,2))*-1,"")</calculatedColumnFormula>
    </tableColumn>
    <tableColumn id="14" xr3:uid="{17A20ADD-C9E3-4E62-A073-E226DF8D876D}" name="tp" dataDxfId="1885">
      <calculatedColumnFormula>IF(SUMIF(D2:G2,"&lt;&gt;""")=0,"",SUMIF(D2:G2,"&lt;&gt;"""))</calculatedColumnFormula>
    </tableColumn>
    <tableColumn id="15" xr3:uid="{4B44B407-AF1E-46A2-A351-69D345A2F77C}" name="Rank" dataDxfId="1884">
      <calculatedColumnFormula>IFERROR(IF(t_lev[[#This Row],[tp]]&lt;&gt;"",OFFSET(_xlfn.XLOOKUP(C2,Kuponger!E:E,Kuponger!CK:CK),1,1),""),"")</calculatedColumnFormula>
    </tableColumn>
    <tableColumn id="6" xr3:uid="{072FE38D-7414-43DB-9CF8-9625A3320706}" name="Antall_rette" dataDxfId="1883">
      <calculatedColumnFormula>IFERROR(IF(t_lev[[#This Row],[Dato]]="",0,OFFSET(_xlfn.XLOOKUP(t_lev[[#This Row],[Dato]],Kuponger!E:E,Kuponger!CK:CK),1,7)),"")</calculatedColumnFormula>
    </tableColumn>
    <tableColumn id="7" xr3:uid="{B63484A8-F920-4B96-AF68-0E014623AAEC}" name="Summert" dataDxfId="1882">
      <calculatedColumnFormula>IFERROR(SUM(t_lev[[#This Row],[tp]]),0)</calculatedColumnFormula>
    </tableColumn>
    <tableColumn id="8" xr3:uid="{42F6DA56-EB83-485F-9E01-DB4EA89F238C}" name="12_Antall" dataDxfId="1881">
      <calculatedColumnFormula>IF(t_rb[[#This Row],[Antall_rette]]=12,1,"")</calculatedColumnFormula>
    </tableColumn>
    <tableColumn id="9" xr3:uid="{EC851989-1A9E-4550-AE88-B6B404D67C36}" name="11_Antall" dataDxfId="1880">
      <calculatedColumnFormula>IF(t_rb[[#This Row],[Antall_rette]]=11,1,"")</calculatedColumnFormula>
    </tableColumn>
    <tableColumn id="11" xr3:uid="{FE58C3E7-3912-4CAA-A10E-4282B6BC1296}" name="10_Antall" dataDxfId="1879">
      <calculatedColumnFormula>IF(t_rb[[#This Row],[Antall_rette]]=10,1,"")</calculatedColumnFormula>
    </tableColumn>
    <tableColumn id="12" xr3:uid="{6BB3DE34-58F4-41B5-B7EA-8EB7AD476849}" name="12_poeng" dataDxfId="1878">
      <calculatedColumnFormula>IF(t_ahh[[#This Row],[12_Antall]]=1,Data!$AJ$3,0)</calculatedColumnFormula>
    </tableColumn>
    <tableColumn id="13" xr3:uid="{41FE2154-9216-4CD3-B7F4-C9ED03834FAA}" name="11_poeng" dataDxfId="1877">
      <calculatedColumnFormula>IF(t_ahh[[#This Row],[11_Antall]]=1,Data!$AJ$2,0)</calculatedColumnFormula>
    </tableColumn>
    <tableColumn id="16" xr3:uid="{A8481BC3-F7FD-414C-899E-2AB259E163B6}" name="10_poeng" dataDxfId="1876">
      <calculatedColumnFormula>IF(t_ahh[[#This Row],[10_Antall]]=1,Data!$AJ$1,0)</calculatedColumnFormula>
    </tableColumn>
    <tableColumn id="17" xr3:uid="{AED7C349-118B-4706-A318-F9FD07F65791}" name="12_pLEV" dataDxfId="1875">
      <calculatedColumnFormula array="1">IFERROR(IF(_xlfn.XLOOKUP(t_utg[[#This Row],[Dato]]&amp;t_utg[[#This Row],[navn]],Regnskap!$C$10:$C$51&amp;Regnskap!$K$10:$K$51,Regnskap!$H$10:$H$51)&gt;0,Data!$AJ$3,""),"")</calculatedColumnFormula>
    </tableColumn>
    <tableColumn id="19" xr3:uid="{9BCBAE78-2DE2-4B41-B067-F3C3AA8E7A77}" name="11_pLEV" dataDxfId="1874">
      <calculatedColumnFormula array="1">IFERROR(IF(t_utg[[#This Row],[12_pLEV]]="",IF(_xlfn.XLOOKUP(t_utg[[#This Row],[Dato]]&amp;t_utg[[#This Row],[navn]],Regnskap!$C$10:$C$51&amp;Regnskap!$K$10:$K$51,Regnskap!$I$10:$I$51)&gt;0,Data!$AJ$2)),"")</calculatedColumnFormula>
    </tableColumn>
    <tableColumn id="18" xr3:uid="{AB360307-1B86-4DD8-A2F6-C70E4A8EB859}" name="10_pLEV" dataDxfId="1873">
      <calculatedColumnFormula array="1">IFERROR(IF(t_utg[[#This Row],[11_pLEV]]="",IF(_xlfn.XLOOKUP(t_utg[[#This Row],[Dato]]&amp;t_utg[[#This Row],[navn]],Regnskap!$C$10:$C$51&amp;Regnskap!$K$10:$K$51,Regnskap!$J$10:$J$51)&gt;0,Data!$AJ$1),""),"")</calculatedColumnFormula>
    </tableColumn>
    <tableColumn id="20" xr3:uid="{1A139249-480B-42A6-B372-6FCF667B65B7}" name="LEV_poeng" dataDxfId="1872">
      <calculatedColumnFormula>SUM(t_lev[[#This Row],[12_poeng]:[10_pLEV]])</calculatedColumnFormula>
    </tableColumn>
    <tableColumn id="21" xr3:uid="{0EE59DA8-E72F-4703-8F93-090D8B9C775F}" name="Totalt" dataDxfId="1871">
      <calculatedColumnFormula>SUM(t_lev[[#This Row],[Summert]]+t_lev[[#This Row],[LEV_poeng]])</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686"/>
    <col min="2" max="2" width="2" style="686" customWidth="1"/>
    <col min="3" max="3" width="7.42578125" style="686" customWidth="1"/>
    <col min="4" max="4" width="8.7109375" style="686" bestFit="1" customWidth="1"/>
    <col min="5" max="5" width="5.42578125" style="686" bestFit="1" customWidth="1"/>
    <col min="6" max="6" width="5.5703125" style="686" bestFit="1" customWidth="1"/>
    <col min="7" max="9" width="5" style="686" bestFit="1" customWidth="1"/>
    <col min="10" max="10" width="5.42578125" style="686" bestFit="1" customWidth="1"/>
    <col min="11" max="11" width="5" style="686" bestFit="1" customWidth="1"/>
    <col min="12" max="12" width="5.42578125" style="686" bestFit="1" customWidth="1"/>
    <col min="13" max="13" width="5.5703125" style="687" bestFit="1" customWidth="1"/>
    <col min="14" max="14" width="7.5703125" style="687" hidden="1" customWidth="1"/>
    <col min="15" max="15" width="8.28515625" style="686" customWidth="1"/>
    <col min="16" max="18" width="13.7109375" style="686" customWidth="1"/>
    <col min="19" max="19" width="6.42578125" style="686" bestFit="1" customWidth="1"/>
    <col min="20" max="22" width="6.5703125" style="686" bestFit="1" customWidth="1"/>
    <col min="23" max="23" width="11.42578125" style="686" customWidth="1"/>
    <col min="24" max="24" width="5.85546875" style="686" bestFit="1" customWidth="1"/>
    <col min="25" max="25" width="14.5703125" style="686" customWidth="1"/>
    <col min="26" max="16384" width="11.42578125" style="686"/>
  </cols>
  <sheetData>
    <row r="2" spans="2:24" x14ac:dyDescent="0.25">
      <c r="C2" s="686" t="s">
        <v>0</v>
      </c>
    </row>
    <row r="3" spans="2:24" ht="94.5" customHeight="1" x14ac:dyDescent="0.25">
      <c r="B3" s="688"/>
      <c r="C3" s="689" t="s">
        <v>1</v>
      </c>
      <c r="D3" s="689" t="s">
        <v>2</v>
      </c>
      <c r="E3" s="689" t="s">
        <v>3</v>
      </c>
      <c r="F3" s="689" t="s">
        <v>4</v>
      </c>
      <c r="G3" s="689" t="s">
        <v>4</v>
      </c>
      <c r="H3" s="689" t="s">
        <v>4</v>
      </c>
      <c r="I3" s="689" t="s">
        <v>4</v>
      </c>
      <c r="J3" s="689" t="s">
        <v>4</v>
      </c>
      <c r="K3" s="689" t="s">
        <v>4</v>
      </c>
      <c r="L3" s="689" t="s">
        <v>4</v>
      </c>
      <c r="M3" s="689" t="s">
        <v>4</v>
      </c>
      <c r="N3" s="689" t="s">
        <v>5</v>
      </c>
      <c r="O3" s="690" t="s">
        <v>6</v>
      </c>
      <c r="P3" s="690" t="s">
        <v>7</v>
      </c>
      <c r="Q3" s="690" t="s">
        <v>8</v>
      </c>
      <c r="R3" s="690" t="s">
        <v>9</v>
      </c>
      <c r="S3" s="690" t="s">
        <v>10</v>
      </c>
      <c r="T3" s="690" t="s">
        <v>11</v>
      </c>
      <c r="U3" s="690" t="s">
        <v>12</v>
      </c>
      <c r="V3" s="690" t="s">
        <v>13</v>
      </c>
      <c r="W3" s="690" t="s">
        <v>14</v>
      </c>
      <c r="X3" s="691" t="s">
        <v>5</v>
      </c>
    </row>
    <row r="4" spans="2:24" x14ac:dyDescent="0.25">
      <c r="B4" s="692"/>
      <c r="C4" s="693"/>
      <c r="D4" s="693"/>
      <c r="E4" s="693"/>
      <c r="F4" s="694">
        <v>80</v>
      </c>
      <c r="G4" s="695">
        <v>70</v>
      </c>
      <c r="H4" s="695">
        <v>60</v>
      </c>
      <c r="I4" s="695">
        <v>50</v>
      </c>
      <c r="J4" s="693">
        <v>40</v>
      </c>
      <c r="K4" s="693">
        <v>30</v>
      </c>
      <c r="L4" s="693">
        <v>20</v>
      </c>
      <c r="M4" s="696">
        <v>10</v>
      </c>
      <c r="N4" s="697" t="s">
        <v>15</v>
      </c>
      <c r="O4" s="698"/>
      <c r="P4" s="699" t="s">
        <v>16</v>
      </c>
      <c r="Q4" s="695" t="s">
        <v>17</v>
      </c>
      <c r="R4" s="695" t="s">
        <v>18</v>
      </c>
      <c r="S4" s="695">
        <f>$S$16</f>
        <v>80</v>
      </c>
      <c r="T4" s="695">
        <f t="shared" ref="T4:U4" si="0">$S$16</f>
        <v>80</v>
      </c>
      <c r="U4" s="695">
        <f t="shared" si="0"/>
        <v>80</v>
      </c>
      <c r="V4" s="695"/>
      <c r="W4" s="695"/>
      <c r="X4" s="697"/>
    </row>
    <row r="5" spans="2:24" ht="18" customHeight="1" x14ac:dyDescent="0.25">
      <c r="B5" s="700"/>
      <c r="C5" s="701" t="s">
        <v>19</v>
      </c>
      <c r="D5" s="702">
        <f ca="1">SUMIFS(INDIRECT("t_"&amp;C5&amp;"[tp]"),INDIRECT("t_"&amp;C5&amp;"[tp]"),"&lt;&gt;""")+X5</f>
        <v>6456</v>
      </c>
      <c r="E5" s="703">
        <f ca="1">AVERAGE(INDIRECT("t_"&amp;C5&amp;"[Rank]"))</f>
        <v>1</v>
      </c>
      <c r="F5" s="704">
        <f>COUNTIF(Kuponger!$U:$W,F$4)</f>
        <v>0</v>
      </c>
      <c r="G5" s="703">
        <f>COUNTIF(Kuponger!$U:$W,G$4)</f>
        <v>0</v>
      </c>
      <c r="H5" s="703">
        <f>COUNTIF(Kuponger!$U:$W,H$4)</f>
        <v>0</v>
      </c>
      <c r="I5" s="703">
        <f>COUNTIF(Kuponger!$U:$W,I$4)</f>
        <v>0</v>
      </c>
      <c r="J5" s="703">
        <f>COUNTIF(Kuponger!$U:$W,J$4)</f>
        <v>0</v>
      </c>
      <c r="K5" s="703">
        <f>COUNTIF(Kuponger!$U:$W,K$4)</f>
        <v>0</v>
      </c>
      <c r="L5" s="703">
        <f>COUNTIF(Kuponger!$U:$W,L$4)</f>
        <v>0</v>
      </c>
      <c r="M5" s="705">
        <f>COUNTIF(Kuponger!$U:$W,M$4)</f>
        <v>0</v>
      </c>
      <c r="N5" s="703">
        <f ca="1">(SUM(INDIRECT("t_"&amp;C5&amp;"[Straff]"))/50)*-1</f>
        <v>0</v>
      </c>
      <c r="O5" s="703">
        <f ca="1">_xlfn.RANK.EQ(D5,$D$5:$D$13)</f>
        <v>1</v>
      </c>
      <c r="P5" s="704">
        <f ca="1">SUMIFS(INDIRECT("t_"&amp;C5&amp;"[hp]"),INDIRECT("t_"&amp;C5&amp;"[hp]"),"&lt;&gt;""")</f>
        <v>2340</v>
      </c>
      <c r="Q5" s="703">
        <f ca="1">SUMIFS(INDIRECT("t_"&amp;C5&amp;"[up]"),INDIRECT("t_"&amp;C5&amp;"[up]"),"&lt;&gt;""")</f>
        <v>1702</v>
      </c>
      <c r="R5" s="705">
        <f ca="1">SUMIFS(INDIRECT("t_"&amp;C5&amp;"[bp]"),INDIRECT("t_"&amp;C5&amp;"[bp]"),"&lt;&gt;""")</f>
        <v>2414</v>
      </c>
      <c r="S5" s="704">
        <f>COUNTIF(Kuponger!U:U,S4)</f>
        <v>0</v>
      </c>
      <c r="T5" s="703">
        <f>COUNTIF(Kuponger!V:V,T4)</f>
        <v>0</v>
      </c>
      <c r="U5" s="705">
        <f>COUNTIF(Kuponger!W:W,U4)</f>
        <v>0</v>
      </c>
      <c r="V5" s="703">
        <f ca="1">COUNTIF(INDIRECT("t_"&amp;$C5&amp;"[Rank]"),"&gt;0")</f>
        <v>5</v>
      </c>
      <c r="W5" s="703">
        <f ca="1">(960*$V5)-SUM(P5:R5)</f>
        <v>-1656</v>
      </c>
      <c r="X5" s="706">
        <f ca="1">(SUM(INDIRECT("t_"&amp;C5&amp;"[Straff]"))/50)*-1</f>
        <v>0</v>
      </c>
    </row>
    <row r="6" spans="2:24" ht="18" customHeight="1" x14ac:dyDescent="0.25">
      <c r="B6" s="700"/>
      <c r="C6" s="701" t="s">
        <v>20</v>
      </c>
      <c r="D6" s="707">
        <f ca="1">SUMIFS(INDIRECT("t_"&amp;C6&amp;"[tp]"),INDIRECT("t_"&amp;C6&amp;"[tp]"),"&lt;&gt;""")+X6</f>
        <v>6456</v>
      </c>
      <c r="E6" s="708">
        <f t="shared" ref="E6:E13" ca="1" si="1">AVERAGE(INDIRECT("t_"&amp;C6&amp;"[Rank]"))</f>
        <v>1</v>
      </c>
      <c r="F6" s="709">
        <f>COUNTIF(Kuponger!$AD:$AF,F$4)</f>
        <v>0</v>
      </c>
      <c r="G6" s="708">
        <f>COUNTIF(Kuponger!$AD:$AF,G$4)</f>
        <v>0</v>
      </c>
      <c r="H6" s="708">
        <f>COUNTIF(Kuponger!$AD:$AF,H$4)</f>
        <v>0</v>
      </c>
      <c r="I6" s="708">
        <f>COUNTIF(Kuponger!$AD:$AF,I$4)</f>
        <v>0</v>
      </c>
      <c r="J6" s="708">
        <f>COUNTIF(Kuponger!$AD:$AF,J$4)</f>
        <v>0</v>
      </c>
      <c r="K6" s="708">
        <f>COUNTIF(Kuponger!$AD:$AF,K$4)</f>
        <v>0</v>
      </c>
      <c r="L6" s="708">
        <f>COUNTIF(Kuponger!$AD:$AF,L$4)</f>
        <v>0</v>
      </c>
      <c r="M6" s="710">
        <f>COUNTIF(Kuponger!$AD:$AF,M$4)</f>
        <v>0</v>
      </c>
      <c r="N6" s="708">
        <f t="shared" ref="N6:N13" ca="1" si="2">(SUM(INDIRECT("t_"&amp;C6&amp;"[Straff]"))/50)*-1</f>
        <v>0</v>
      </c>
      <c r="O6" s="708">
        <f t="shared" ref="O6:O13" ca="1" si="3">_xlfn.RANK.EQ(D6,$D$5:$D$13)</f>
        <v>1</v>
      </c>
      <c r="P6" s="709">
        <f t="shared" ref="P6:P13" ca="1" si="4">SUMIFS(INDIRECT("t_"&amp;C6&amp;"[hp]"),INDIRECT("t_"&amp;C6&amp;"[hp]"),"&lt;&gt;""")</f>
        <v>2340</v>
      </c>
      <c r="Q6" s="708">
        <f t="shared" ref="Q6:Q13" ca="1" si="5">SUMIFS(INDIRECT("t_"&amp;C6&amp;"[up]"),INDIRECT("t_"&amp;C6&amp;"[up]"),"&lt;&gt;""")</f>
        <v>1702</v>
      </c>
      <c r="R6" s="710">
        <f t="shared" ref="R6:R13" ca="1" si="6">SUMIFS(INDIRECT("t_"&amp;C6&amp;"[bp]"),INDIRECT("t_"&amp;C6&amp;"[bp]"),"&lt;&gt;""")</f>
        <v>2414</v>
      </c>
      <c r="S6" s="709">
        <f>COUNTIF(Kuponger!AD:AD,S4)</f>
        <v>0</v>
      </c>
      <c r="T6" s="708">
        <f>COUNTIF(Kuponger!AE:AE,T4)</f>
        <v>0</v>
      </c>
      <c r="U6" s="710">
        <f>COUNTIF(Kuponger!AF:AF,U4)</f>
        <v>0</v>
      </c>
      <c r="V6" s="708">
        <f t="shared" ref="V6:V13" ca="1" si="7">COUNTIF(INDIRECT("t_"&amp;$C6&amp;"[Rank]"),"&gt;0")</f>
        <v>5</v>
      </c>
      <c r="W6" s="708">
        <f t="shared" ref="W6:W13" ca="1" si="8">(960*$V6)-SUM(P6:R6)</f>
        <v>-1656</v>
      </c>
      <c r="X6" s="711">
        <f t="shared" ref="X6:X13" ca="1" si="9">(SUM(INDIRECT("t_"&amp;C6&amp;"[Straff]"))/50)*-1</f>
        <v>0</v>
      </c>
    </row>
    <row r="7" spans="2:24" ht="18" customHeight="1" x14ac:dyDescent="0.25">
      <c r="B7" s="700"/>
      <c r="C7" s="701" t="s">
        <v>21</v>
      </c>
      <c r="D7" s="707">
        <f t="shared" ref="D7:D13" ca="1" si="10">SUMIFS(INDIRECT("t_"&amp;C7&amp;"[tp]"),INDIRECT("t_"&amp;C7&amp;"[tp]"),"&lt;&gt;""")+X7</f>
        <v>6456</v>
      </c>
      <c r="E7" s="708">
        <f t="shared" ca="1" si="1"/>
        <v>1</v>
      </c>
      <c r="F7" s="709">
        <f>COUNTIF(Kuponger!$AM:$AO,F$4)</f>
        <v>0</v>
      </c>
      <c r="G7" s="708">
        <f>COUNTIF(Kuponger!$AM:$AO,G$4)</f>
        <v>0</v>
      </c>
      <c r="H7" s="708">
        <f>COUNTIF(Kuponger!$AM:$AO,H$4)</f>
        <v>0</v>
      </c>
      <c r="I7" s="708">
        <f>COUNTIF(Kuponger!$AM:$AO,I$4)</f>
        <v>0</v>
      </c>
      <c r="J7" s="708">
        <f>COUNTIF(Kuponger!$AM:$AO,J$4)</f>
        <v>0</v>
      </c>
      <c r="K7" s="708">
        <f>COUNTIF(Kuponger!$AM:$AO,K$4)</f>
        <v>0</v>
      </c>
      <c r="L7" s="708">
        <f>COUNTIF(Kuponger!$AM:$AO,L$4)</f>
        <v>0</v>
      </c>
      <c r="M7" s="710">
        <f>COUNTIF(Kuponger!$AM:$AO,M$4)</f>
        <v>0</v>
      </c>
      <c r="N7" s="708">
        <f t="shared" ca="1" si="2"/>
        <v>0</v>
      </c>
      <c r="O7" s="708">
        <f t="shared" ca="1" si="3"/>
        <v>1</v>
      </c>
      <c r="P7" s="709">
        <f t="shared" ca="1" si="4"/>
        <v>2340</v>
      </c>
      <c r="Q7" s="708">
        <f t="shared" ca="1" si="5"/>
        <v>1702</v>
      </c>
      <c r="R7" s="710">
        <f t="shared" ca="1" si="6"/>
        <v>2414</v>
      </c>
      <c r="S7" s="709">
        <f>COUNTIF(Kuponger!AM:AM,S4)</f>
        <v>0</v>
      </c>
      <c r="T7" s="708">
        <f>COUNTIF(Kuponger!AN:AN,T4)</f>
        <v>0</v>
      </c>
      <c r="U7" s="710">
        <f>COUNTIF(Kuponger!AO:AO,U4)</f>
        <v>0</v>
      </c>
      <c r="V7" s="708">
        <f t="shared" ca="1" si="7"/>
        <v>5</v>
      </c>
      <c r="W7" s="708">
        <f t="shared" ca="1" si="8"/>
        <v>-1656</v>
      </c>
      <c r="X7" s="711">
        <f t="shared" ca="1" si="9"/>
        <v>0</v>
      </c>
    </row>
    <row r="8" spans="2:24" ht="18" customHeight="1" x14ac:dyDescent="0.25">
      <c r="B8" s="700"/>
      <c r="C8" s="701" t="s">
        <v>22</v>
      </c>
      <c r="D8" s="707">
        <f t="shared" ca="1" si="10"/>
        <v>6456</v>
      </c>
      <c r="E8" s="708">
        <f t="shared" ca="1" si="1"/>
        <v>1</v>
      </c>
      <c r="F8" s="709">
        <f>COUNTIF(Kuponger!$AV:$AX,F$4)</f>
        <v>0</v>
      </c>
      <c r="G8" s="708">
        <f>COUNTIF(Kuponger!$AV:$AX,G$4)</f>
        <v>0</v>
      </c>
      <c r="H8" s="708">
        <f>COUNTIF(Kuponger!$AV:$AX,H$4)</f>
        <v>0</v>
      </c>
      <c r="I8" s="708">
        <f>COUNTIF(Kuponger!$AV:$AX,I$4)</f>
        <v>0</v>
      </c>
      <c r="J8" s="708">
        <f>COUNTIF(Kuponger!$AV:$AX,J$4)</f>
        <v>0</v>
      </c>
      <c r="K8" s="708">
        <f>COUNTIF(Kuponger!$AV:$AX,K$4)</f>
        <v>0</v>
      </c>
      <c r="L8" s="708">
        <f>COUNTIF(Kuponger!$AV:$AX,L$4)</f>
        <v>0</v>
      </c>
      <c r="M8" s="710">
        <f>COUNTIF(Kuponger!$AV:$AX,M$4)</f>
        <v>0</v>
      </c>
      <c r="N8" s="708">
        <f t="shared" ca="1" si="2"/>
        <v>0</v>
      </c>
      <c r="O8" s="708">
        <f t="shared" ca="1" si="3"/>
        <v>1</v>
      </c>
      <c r="P8" s="709">
        <f t="shared" ca="1" si="4"/>
        <v>2340</v>
      </c>
      <c r="Q8" s="708">
        <f t="shared" ca="1" si="5"/>
        <v>1702</v>
      </c>
      <c r="R8" s="710">
        <f t="shared" ca="1" si="6"/>
        <v>2414</v>
      </c>
      <c r="S8" s="709">
        <f>COUNTIF(Kuponger!AV:AV,S4)</f>
        <v>0</v>
      </c>
      <c r="T8" s="708">
        <f>COUNTIF(Kuponger!AW:AW,T4)</f>
        <v>0</v>
      </c>
      <c r="U8" s="710">
        <f>COUNTIF(Kuponger!AX:AX,U4)</f>
        <v>0</v>
      </c>
      <c r="V8" s="708">
        <f t="shared" ca="1" si="7"/>
        <v>5</v>
      </c>
      <c r="W8" s="708">
        <f t="shared" ca="1" si="8"/>
        <v>-1656</v>
      </c>
      <c r="X8" s="711">
        <f t="shared" ca="1" si="9"/>
        <v>0</v>
      </c>
    </row>
    <row r="9" spans="2:24" ht="18" customHeight="1" x14ac:dyDescent="0.25">
      <c r="B9" s="700"/>
      <c r="C9" s="701" t="s">
        <v>23</v>
      </c>
      <c r="D9" s="707">
        <f t="shared" ca="1" si="10"/>
        <v>6456</v>
      </c>
      <c r="E9" s="708">
        <f t="shared" ca="1" si="1"/>
        <v>1</v>
      </c>
      <c r="F9" s="709">
        <f>COUNTIF(Kuponger!$BE:$BG,F$4)</f>
        <v>0</v>
      </c>
      <c r="G9" s="708">
        <f>COUNTIF(Kuponger!$BE:$BG,G$4)</f>
        <v>0</v>
      </c>
      <c r="H9" s="708">
        <f>COUNTIF(Kuponger!$BE:$BG,H$4)</f>
        <v>0</v>
      </c>
      <c r="I9" s="708">
        <f>COUNTIF(Kuponger!$BE:$BG,I$4)</f>
        <v>0</v>
      </c>
      <c r="J9" s="708">
        <f>COUNTIF(Kuponger!$BE:$BG,J$4)</f>
        <v>0</v>
      </c>
      <c r="K9" s="708">
        <f>COUNTIF(Kuponger!$BE:$BG,K$4)</f>
        <v>0</v>
      </c>
      <c r="L9" s="708">
        <f>COUNTIF(Kuponger!$BE:$BG,L$4)</f>
        <v>0</v>
      </c>
      <c r="M9" s="710">
        <f>COUNTIF(Kuponger!$BE:$BG,M$4)</f>
        <v>0</v>
      </c>
      <c r="N9" s="708">
        <f t="shared" ca="1" si="2"/>
        <v>0</v>
      </c>
      <c r="O9" s="708">
        <f t="shared" ca="1" si="3"/>
        <v>1</v>
      </c>
      <c r="P9" s="709">
        <f t="shared" ca="1" si="4"/>
        <v>2340</v>
      </c>
      <c r="Q9" s="708">
        <f t="shared" ca="1" si="5"/>
        <v>1702</v>
      </c>
      <c r="R9" s="710">
        <f t="shared" ca="1" si="6"/>
        <v>2414</v>
      </c>
      <c r="S9" s="709">
        <f>COUNTIF(Kuponger!BE:BE,S4)</f>
        <v>0</v>
      </c>
      <c r="T9" s="708">
        <f>COUNTIF(Kuponger!BF:BF,T4)</f>
        <v>0</v>
      </c>
      <c r="U9" s="710">
        <f>COUNTIF(Kuponger!BG:BG,U4)</f>
        <v>0</v>
      </c>
      <c r="V9" s="708">
        <f t="shared" ca="1" si="7"/>
        <v>5</v>
      </c>
      <c r="W9" s="708">
        <f t="shared" ca="1" si="8"/>
        <v>-1656</v>
      </c>
      <c r="X9" s="711">
        <f t="shared" ca="1" si="9"/>
        <v>0</v>
      </c>
    </row>
    <row r="10" spans="2:24" ht="18" customHeight="1" x14ac:dyDescent="0.25">
      <c r="B10" s="700"/>
      <c r="C10" s="701" t="s">
        <v>24</v>
      </c>
      <c r="D10" s="707">
        <f t="shared" ca="1" si="10"/>
        <v>6456</v>
      </c>
      <c r="E10" s="708">
        <f t="shared" ca="1" si="1"/>
        <v>1</v>
      </c>
      <c r="F10" s="709">
        <f>COUNTIF(Kuponger!$BN:$BP,F$4)</f>
        <v>0</v>
      </c>
      <c r="G10" s="708">
        <f>COUNTIF(Kuponger!$BN:$BP,G$4)</f>
        <v>0</v>
      </c>
      <c r="H10" s="708">
        <f>COUNTIF(Kuponger!$BN:$BP,H$4)</f>
        <v>0</v>
      </c>
      <c r="I10" s="708">
        <f>COUNTIF(Kuponger!$BN:$BP,I$4)</f>
        <v>0</v>
      </c>
      <c r="J10" s="708">
        <f>COUNTIF(Kuponger!$BN:$BP,J$4)</f>
        <v>0</v>
      </c>
      <c r="K10" s="708">
        <f>COUNTIF(Kuponger!$BN:$BP,K$4)</f>
        <v>0</v>
      </c>
      <c r="L10" s="708">
        <f>COUNTIF(Kuponger!$BN:$BP,L$4)</f>
        <v>0</v>
      </c>
      <c r="M10" s="710">
        <f>COUNTIF(Kuponger!$BN:$BP,M$4)</f>
        <v>0</v>
      </c>
      <c r="N10" s="708">
        <f t="shared" ca="1" si="2"/>
        <v>0</v>
      </c>
      <c r="O10" s="708">
        <f t="shared" ca="1" si="3"/>
        <v>1</v>
      </c>
      <c r="P10" s="709">
        <f t="shared" ca="1" si="4"/>
        <v>2340</v>
      </c>
      <c r="Q10" s="708">
        <f t="shared" ca="1" si="5"/>
        <v>1702</v>
      </c>
      <c r="R10" s="710">
        <f t="shared" ca="1" si="6"/>
        <v>2414</v>
      </c>
      <c r="S10" s="709">
        <f>COUNTIF(Kuponger!BN:BN,S4)</f>
        <v>0</v>
      </c>
      <c r="T10" s="708">
        <f>COUNTIF(Kuponger!BO:BO,T4)</f>
        <v>0</v>
      </c>
      <c r="U10" s="710">
        <f>COUNTIF(Kuponger!BP:BP,U4)</f>
        <v>0</v>
      </c>
      <c r="V10" s="708">
        <f t="shared" ca="1" si="7"/>
        <v>5</v>
      </c>
      <c r="W10" s="708">
        <f t="shared" ca="1" si="8"/>
        <v>-1656</v>
      </c>
      <c r="X10" s="711">
        <f t="shared" ca="1" si="9"/>
        <v>0</v>
      </c>
    </row>
    <row r="11" spans="2:24" ht="18" customHeight="1" x14ac:dyDescent="0.25">
      <c r="B11" s="700"/>
      <c r="C11" s="701" t="s">
        <v>25</v>
      </c>
      <c r="D11" s="707">
        <f t="shared" ca="1" si="10"/>
        <v>6456</v>
      </c>
      <c r="E11" s="708">
        <f t="shared" ca="1" si="1"/>
        <v>1</v>
      </c>
      <c r="F11" s="709">
        <f>COUNTIF(Kuponger!$BW:$BY,F$4)</f>
        <v>0</v>
      </c>
      <c r="G11" s="708">
        <f>COUNTIF(Kuponger!$BW:$BY,G$4)</f>
        <v>0</v>
      </c>
      <c r="H11" s="708">
        <f>COUNTIF(Kuponger!$BW:$BY,H$4)</f>
        <v>0</v>
      </c>
      <c r="I11" s="708">
        <f>COUNTIF(Kuponger!$BW:$BY,I$4)</f>
        <v>0</v>
      </c>
      <c r="J11" s="708">
        <f>COUNTIF(Kuponger!$BW:$BY,J$4)</f>
        <v>0</v>
      </c>
      <c r="K11" s="708">
        <f>COUNTIF(Kuponger!$BW:$BY,K$4)</f>
        <v>0</v>
      </c>
      <c r="L11" s="708">
        <f>COUNTIF(Kuponger!$BW:$BY,L$4)</f>
        <v>0</v>
      </c>
      <c r="M11" s="710">
        <f>COUNTIF(Kuponger!$BW:$BY,M$4)</f>
        <v>0</v>
      </c>
      <c r="N11" s="708">
        <f t="shared" ca="1" si="2"/>
        <v>0</v>
      </c>
      <c r="O11" s="708">
        <f t="shared" ca="1" si="3"/>
        <v>1</v>
      </c>
      <c r="P11" s="709">
        <f t="shared" ca="1" si="4"/>
        <v>2340</v>
      </c>
      <c r="Q11" s="708">
        <f t="shared" ca="1" si="5"/>
        <v>1702</v>
      </c>
      <c r="R11" s="710">
        <f t="shared" ca="1" si="6"/>
        <v>2414</v>
      </c>
      <c r="S11" s="709">
        <f>COUNTIF(Kuponger!BW:BW,S4)</f>
        <v>0</v>
      </c>
      <c r="T11" s="708">
        <f>COUNTIF(Kuponger!BX:BX,T4)</f>
        <v>0</v>
      </c>
      <c r="U11" s="710">
        <f>COUNTIF(Kuponger!BY:BY,U4)</f>
        <v>0</v>
      </c>
      <c r="V11" s="708">
        <f t="shared" ca="1" si="7"/>
        <v>5</v>
      </c>
      <c r="W11" s="708">
        <f t="shared" ca="1" si="8"/>
        <v>-1656</v>
      </c>
      <c r="X11" s="711">
        <f t="shared" ca="1" si="9"/>
        <v>0</v>
      </c>
    </row>
    <row r="12" spans="2:24" ht="18" customHeight="1" x14ac:dyDescent="0.25">
      <c r="B12" s="700"/>
      <c r="C12" s="701" t="s">
        <v>26</v>
      </c>
      <c r="D12" s="708">
        <f t="shared" ca="1" si="10"/>
        <v>6456</v>
      </c>
      <c r="E12" s="708">
        <f t="shared" ca="1" si="1"/>
        <v>1</v>
      </c>
      <c r="F12" s="709">
        <f>COUNTIF(Kuponger!$CF:$CH,F$4)</f>
        <v>0</v>
      </c>
      <c r="G12" s="708">
        <f>COUNTIF(Kuponger!$CF:$CH,G$4)</f>
        <v>0</v>
      </c>
      <c r="H12" s="708">
        <f>COUNTIF(Kuponger!$CF:$CH,H$4)</f>
        <v>0</v>
      </c>
      <c r="I12" s="708">
        <f>COUNTIF(Kuponger!$CF:$CH,I$4)</f>
        <v>0</v>
      </c>
      <c r="J12" s="708">
        <f>COUNTIF(Kuponger!$CF:$CH,J$4)</f>
        <v>0</v>
      </c>
      <c r="K12" s="708">
        <f>COUNTIF(Kuponger!$CF:$CH,K$4)</f>
        <v>0</v>
      </c>
      <c r="L12" s="708">
        <f>COUNTIF(Kuponger!$CF:$CH,L$4)</f>
        <v>0</v>
      </c>
      <c r="M12" s="710">
        <f>COUNTIF(Kuponger!$CF:$CH,M$4)</f>
        <v>0</v>
      </c>
      <c r="N12" s="708">
        <f t="shared" ca="1" si="2"/>
        <v>0</v>
      </c>
      <c r="O12" s="708">
        <f t="shared" ca="1" si="3"/>
        <v>1</v>
      </c>
      <c r="P12" s="709">
        <f t="shared" ca="1" si="4"/>
        <v>2340</v>
      </c>
      <c r="Q12" s="708">
        <f t="shared" ca="1" si="5"/>
        <v>1702</v>
      </c>
      <c r="R12" s="710">
        <f t="shared" ca="1" si="6"/>
        <v>2414</v>
      </c>
      <c r="S12" s="709">
        <f>COUNTIF(Kuponger!CF:CF,S4)</f>
        <v>0</v>
      </c>
      <c r="T12" s="708">
        <f>COUNTIF(Kuponger!CG:CG,T4)</f>
        <v>0</v>
      </c>
      <c r="U12" s="710">
        <f>COUNTIF(Kuponger!CH:CH,U4)</f>
        <v>0</v>
      </c>
      <c r="V12" s="708">
        <f t="shared" ca="1" si="7"/>
        <v>5</v>
      </c>
      <c r="W12" s="708">
        <f t="shared" ca="1" si="8"/>
        <v>-1656</v>
      </c>
      <c r="X12" s="711">
        <f t="shared" ca="1" si="9"/>
        <v>0</v>
      </c>
    </row>
    <row r="13" spans="2:24" ht="18" customHeight="1" x14ac:dyDescent="0.25">
      <c r="B13" s="712"/>
      <c r="C13" s="713" t="s">
        <v>27</v>
      </c>
      <c r="D13" s="714">
        <f t="shared" ca="1" si="10"/>
        <v>6456</v>
      </c>
      <c r="E13" s="714">
        <f t="shared" ca="1" si="1"/>
        <v>1</v>
      </c>
      <c r="F13" s="715">
        <f>COUNTIF(Kuponger!$CO:$CQ,F$4)</f>
        <v>0</v>
      </c>
      <c r="G13" s="714">
        <f>COUNTIF(Kuponger!$CO:$CQ,G$4)</f>
        <v>0</v>
      </c>
      <c r="H13" s="714">
        <f>COUNTIF(Kuponger!$CO:$CQ,H$4)</f>
        <v>0</v>
      </c>
      <c r="I13" s="714">
        <f>COUNTIF(Kuponger!$CO:$CQ,I$4)</f>
        <v>0</v>
      </c>
      <c r="J13" s="714">
        <f>COUNTIF(Kuponger!$CO:$CQ,J$4)</f>
        <v>0</v>
      </c>
      <c r="K13" s="714">
        <f>COUNTIF(Kuponger!$CO:$CQ,K$4)</f>
        <v>0</v>
      </c>
      <c r="L13" s="714">
        <f>COUNTIF(Kuponger!$CO:$CQ,L$4)</f>
        <v>0</v>
      </c>
      <c r="M13" s="716">
        <f>COUNTIF(Kuponger!$CO:$CQ,M$4)</f>
        <v>0</v>
      </c>
      <c r="N13" s="714">
        <f t="shared" ca="1" si="2"/>
        <v>0</v>
      </c>
      <c r="O13" s="714">
        <f t="shared" ca="1" si="3"/>
        <v>1</v>
      </c>
      <c r="P13" s="715">
        <f t="shared" ca="1" si="4"/>
        <v>2340</v>
      </c>
      <c r="Q13" s="714">
        <f t="shared" ca="1" si="5"/>
        <v>1702</v>
      </c>
      <c r="R13" s="716">
        <f t="shared" ca="1" si="6"/>
        <v>2414</v>
      </c>
      <c r="S13" s="715">
        <f>COUNTIF(Kuponger!CO:CO,S4)</f>
        <v>0</v>
      </c>
      <c r="T13" s="714">
        <f>COUNTIF(Kuponger!CP:CP,T4)</f>
        <v>0</v>
      </c>
      <c r="U13" s="716">
        <f>COUNTIF(Kuponger!CQ:CQ,U4)</f>
        <v>0</v>
      </c>
      <c r="V13" s="714">
        <f t="shared" ca="1" si="7"/>
        <v>5</v>
      </c>
      <c r="W13" s="714">
        <f t="shared" ca="1" si="8"/>
        <v>-1656</v>
      </c>
      <c r="X13" s="717">
        <f t="shared" ca="1" si="9"/>
        <v>0</v>
      </c>
    </row>
    <row r="14" spans="2:24" x14ac:dyDescent="0.25">
      <c r="T14" s="718"/>
    </row>
    <row r="15" spans="2:24" x14ac:dyDescent="0.25">
      <c r="P15" s="687" t="s">
        <v>28</v>
      </c>
      <c r="Q15" s="687" t="s">
        <v>29</v>
      </c>
      <c r="R15" s="687" t="s">
        <v>14</v>
      </c>
      <c r="T15" s="718"/>
    </row>
    <row r="16" spans="2:24" ht="31.5" customHeight="1" x14ac:dyDescent="0.25">
      <c r="B16" s="719"/>
      <c r="C16" s="719"/>
      <c r="D16" s="720"/>
      <c r="E16" s="720"/>
      <c r="F16" s="720"/>
      <c r="G16" s="720"/>
      <c r="H16" s="720"/>
      <c r="I16" s="720"/>
      <c r="J16" s="720"/>
      <c r="K16" s="720"/>
      <c r="L16" s="720"/>
      <c r="M16" s="720"/>
      <c r="N16" s="720"/>
      <c r="O16" s="720"/>
      <c r="P16" s="721">
        <f ca="1">960*3*SUM($V$5:$V$13)</f>
        <v>129600</v>
      </c>
      <c r="Q16" s="721">
        <f ca="1">SUM($P$5:$R$13)</f>
        <v>58104</v>
      </c>
      <c r="R16" s="721">
        <f ca="1">P16-Q16</f>
        <v>71496</v>
      </c>
      <c r="S16" s="722">
        <v>80</v>
      </c>
      <c r="T16" s="720"/>
      <c r="U16" s="720"/>
      <c r="V16" s="720"/>
      <c r="W16" s="720"/>
      <c r="X16" s="720"/>
    </row>
    <row r="17" spans="3:37" ht="30" customHeight="1" x14ac:dyDescent="0.25">
      <c r="C17" s="723"/>
      <c r="O17" s="726" t="s">
        <v>30</v>
      </c>
      <c r="P17" s="721" cm="1">
        <f t="array" aca="1" ref="P17" ca="1">$P$16:P$16/P$16*100</f>
        <v>100</v>
      </c>
      <c r="Q17" s="721">
        <f ca="1">Q16/P16*100</f>
        <v>44.833333333333329</v>
      </c>
      <c r="R17" s="721">
        <f ca="1">R16/P16*100</f>
        <v>55.166666666666664</v>
      </c>
      <c r="S17" s="726" t="s">
        <v>30</v>
      </c>
    </row>
    <row r="18" spans="3:37" ht="21.75" customHeight="1" x14ac:dyDescent="0.25">
      <c r="C18" s="723"/>
      <c r="R18" s="724" t="str">
        <f>"Trefftabell "&amp;TEXT('Heder &amp; Ære'!$C$4,"dddd, dd.mm.åååå")</f>
        <v>Trefftabell lørdag, 00.01.1900</v>
      </c>
    </row>
    <row r="19" spans="3:37" ht="21.75" customHeight="1" x14ac:dyDescent="0.25">
      <c r="C19" s="723"/>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25"/>
      <c r="M21" s="686"/>
      <c r="N21" s="686"/>
    </row>
    <row r="22" spans="3:37" x14ac:dyDescent="0.25">
      <c r="C22" s="725"/>
      <c r="M22" s="686"/>
      <c r="N22" s="686"/>
    </row>
    <row r="23" spans="3:37" x14ac:dyDescent="0.25">
      <c r="C23" s="725"/>
      <c r="M23" s="686"/>
      <c r="N23" s="686"/>
    </row>
    <row r="24" spans="3:37" x14ac:dyDescent="0.25">
      <c r="C24" s="725"/>
      <c r="M24" s="686"/>
      <c r="N24" s="686"/>
    </row>
    <row r="25" spans="3:37" x14ac:dyDescent="0.25">
      <c r="C25" s="725"/>
      <c r="M25" s="686"/>
      <c r="N25" s="686"/>
    </row>
    <row r="26" spans="3:37" x14ac:dyDescent="0.25">
      <c r="C26" s="725"/>
      <c r="M26" s="686"/>
      <c r="N26" s="686"/>
    </row>
    <row r="27" spans="3:37" x14ac:dyDescent="0.25">
      <c r="C27" s="725"/>
      <c r="M27" s="686"/>
      <c r="N27" s="686"/>
    </row>
    <row r="28" spans="3:37" x14ac:dyDescent="0.25">
      <c r="C28" s="725"/>
      <c r="M28" s="686"/>
      <c r="N28" s="686"/>
    </row>
    <row r="29" spans="3:37" x14ac:dyDescent="0.25">
      <c r="C29" s="725"/>
      <c r="M29" s="686"/>
      <c r="N29" s="686"/>
    </row>
  </sheetData>
  <sheetProtection selectLockedCells="1"/>
  <conditionalFormatting sqref="D5:D13">
    <cfRule type="expression" dxfId="1870" priority="18">
      <formula>D5=LARGE($D$5:$D$13,1)</formula>
    </cfRule>
  </conditionalFormatting>
  <conditionalFormatting sqref="E5:E13">
    <cfRule type="expression" dxfId="1869" priority="20">
      <formula>E5=SMALL(E$5:E$11,1)</formula>
    </cfRule>
  </conditionalFormatting>
  <conditionalFormatting sqref="F5:F13">
    <cfRule type="expression" dxfId="1868" priority="17">
      <formula>F5=LARGE($F$5:$F$13,1)</formula>
    </cfRule>
  </conditionalFormatting>
  <conditionalFormatting sqref="G5:N13">
    <cfRule type="expression" dxfId="1867" priority="9">
      <formula>G5=LARGE(G$5:G$13,1)</formula>
    </cfRule>
  </conditionalFormatting>
  <conditionalFormatting sqref="O5:O13">
    <cfRule type="expression" dxfId="1866" priority="8">
      <formula>O5=SMALL(O$5:O$11,1)</formula>
    </cfRule>
  </conditionalFormatting>
  <conditionalFormatting sqref="P5:U13">
    <cfRule type="expression" dxfId="1865" priority="2">
      <formula>P5=LARGE(P$5:P$13,1)</formula>
    </cfRule>
  </conditionalFormatting>
  <conditionalFormatting sqref="W5:W13">
    <cfRule type="expression" dxfId="1864" priority="1">
      <formula>W5=SMALL(W$5:W$11,1)</formula>
    </cfRule>
  </conditionalFormatting>
  <conditionalFormatting sqref="X5:X13">
    <cfRule type="expression" dxfId="1863"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21" t="str">
        <f>IF(B12="Alf Henrik Håker","b_ahh",IF(B12="Rune Bjermeland","b_rb",IF(B12="Endre Brekkhus","b_eb",IF(B12="Karl-Arne Frantzen","b_kaf",IF(B12="Øyvind Granberg","b_øg",IF(B12="Jim Holm","b_jh",IF(B12="Tor Olav Håker","b_toh","")))))))</f>
        <v/>
      </c>
      <c r="C2" s="117"/>
      <c r="D2" s="117"/>
      <c r="E2" s="117"/>
      <c r="F2" s="118"/>
      <c r="G2" s="117"/>
      <c r="H2" s="267"/>
      <c r="I2" s="267"/>
      <c r="J2" s="267"/>
      <c r="K2" s="267"/>
      <c r="L2" s="267"/>
      <c r="M2" s="117"/>
      <c r="N2" s="117"/>
    </row>
    <row r="3" spans="2:24" ht="12.75" customHeight="1" x14ac:dyDescent="0.2">
      <c r="B3" s="116"/>
      <c r="C3" s="116"/>
      <c r="D3" s="116"/>
      <c r="E3" s="119"/>
      <c r="F3" s="120"/>
      <c r="G3" s="116"/>
      <c r="H3" s="267"/>
      <c r="I3" s="267"/>
      <c r="J3" s="267"/>
      <c r="K3" s="267"/>
      <c r="L3" s="267"/>
      <c r="M3" s="116"/>
      <c r="N3" s="116"/>
    </row>
    <row r="4" spans="2:24" ht="12.75" customHeight="1" x14ac:dyDescent="0.2">
      <c r="B4" s="116"/>
      <c r="C4" s="116"/>
      <c r="D4" s="116"/>
      <c r="E4" s="119"/>
      <c r="F4" s="120"/>
      <c r="G4" s="266"/>
      <c r="H4" s="266"/>
      <c r="I4" s="266"/>
      <c r="J4" s="266"/>
      <c r="K4" s="266"/>
      <c r="L4" s="266"/>
      <c r="M4" s="266"/>
      <c r="N4" s="116"/>
    </row>
    <row r="5" spans="2:24" ht="12.75" customHeight="1" x14ac:dyDescent="0.2">
      <c r="B5" s="116"/>
      <c r="C5" s="116"/>
      <c r="D5" s="116"/>
      <c r="E5" s="119"/>
      <c r="F5" s="120"/>
      <c r="G5" s="266"/>
      <c r="H5" s="266"/>
      <c r="I5" s="268"/>
      <c r="J5" s="268"/>
      <c r="K5" s="268"/>
      <c r="L5" s="268"/>
      <c r="M5" s="268"/>
      <c r="N5" s="116"/>
    </row>
    <row r="6" spans="2:24" ht="12.75" customHeight="1" x14ac:dyDescent="0.2">
      <c r="B6" s="116"/>
      <c r="C6" s="116"/>
      <c r="D6" s="116"/>
      <c r="E6" s="119"/>
      <c r="F6" s="120"/>
      <c r="G6" s="266"/>
      <c r="H6" s="266"/>
      <c r="I6" s="268"/>
      <c r="J6" s="268"/>
      <c r="K6" s="268"/>
      <c r="L6" s="268"/>
      <c r="M6" s="268"/>
      <c r="N6" s="116"/>
    </row>
    <row r="7" spans="2:24" ht="12.75" customHeight="1" x14ac:dyDescent="0.2">
      <c r="B7" s="116"/>
      <c r="C7" s="116"/>
      <c r="D7" s="116"/>
      <c r="E7" s="119"/>
      <c r="F7" s="120"/>
      <c r="G7" s="266"/>
      <c r="H7" s="266"/>
      <c r="I7" s="268"/>
      <c r="J7" s="268"/>
      <c r="K7" s="268"/>
      <c r="L7" s="268"/>
      <c r="M7" s="268"/>
      <c r="N7" s="116"/>
    </row>
    <row r="8" spans="2:24" ht="12.75" customHeight="1" x14ac:dyDescent="0.2">
      <c r="B8" s="116"/>
      <c r="C8" s="116"/>
      <c r="D8" s="116"/>
      <c r="E8" s="119"/>
      <c r="F8" s="120"/>
      <c r="G8" s="266"/>
      <c r="H8" s="266"/>
      <c r="I8" s="268"/>
      <c r="J8" s="268"/>
      <c r="K8" s="268"/>
      <c r="L8" s="268"/>
      <c r="M8" s="268"/>
      <c r="N8" s="116"/>
    </row>
    <row r="9" spans="2:24" ht="12.75" customHeight="1" x14ac:dyDescent="0.2">
      <c r="B9" s="116"/>
      <c r="C9" s="116"/>
      <c r="D9" s="116"/>
      <c r="E9" s="119"/>
      <c r="F9" s="120"/>
      <c r="G9" s="266"/>
      <c r="H9" s="266"/>
      <c r="I9" s="268"/>
      <c r="J9" s="268"/>
      <c r="K9" s="268"/>
      <c r="L9" s="268"/>
      <c r="M9" s="268"/>
      <c r="N9" s="116"/>
    </row>
    <row r="10" spans="2:24" ht="12.75" customHeight="1" x14ac:dyDescent="0.2">
      <c r="G10" s="266"/>
      <c r="H10" s="266"/>
      <c r="I10" s="266"/>
      <c r="J10" s="266"/>
      <c r="K10" s="266"/>
      <c r="L10" s="266"/>
      <c r="M10" s="266"/>
      <c r="U10" s="148"/>
      <c r="V10" s="147"/>
      <c r="W10" s="147"/>
      <c r="X10" s="147"/>
    </row>
    <row r="11" spans="2:24" ht="12.75" customHeight="1" x14ac:dyDescent="0.2">
      <c r="B11" s="112"/>
      <c r="G11" s="266"/>
      <c r="H11" s="266"/>
      <c r="I11" s="266"/>
      <c r="J11" s="266"/>
      <c r="K11" s="266"/>
      <c r="L11" s="266"/>
      <c r="M11" s="266"/>
      <c r="U11" s="146"/>
      <c r="V11" s="146"/>
      <c r="W11" s="146"/>
      <c r="X11" s="146"/>
    </row>
    <row r="12" spans="2:24" ht="12.75" customHeight="1" x14ac:dyDescent="0.2">
      <c r="B12" s="883" t="str">
        <f>_xlfn.XLOOKUP(Tabeller!R18,Data!E:E,Data!F:F)</f>
        <v>Utgangsrekka</v>
      </c>
      <c r="C12" s="883"/>
      <c r="D12" s="883"/>
      <c r="E12" s="883"/>
      <c r="F12" s="883"/>
      <c r="G12" s="883"/>
      <c r="H12" s="883"/>
      <c r="I12" s="883"/>
      <c r="J12" s="883"/>
      <c r="K12" s="883"/>
      <c r="L12" s="883"/>
      <c r="M12" s="883"/>
      <c r="N12" s="883"/>
      <c r="O12" s="883"/>
      <c r="P12" s="883"/>
      <c r="Q12" s="341"/>
      <c r="R12" s="341"/>
      <c r="S12" s="894" t="s">
        <v>31</v>
      </c>
      <c r="U12" s="146"/>
      <c r="V12" s="146"/>
      <c r="W12" s="146"/>
      <c r="X12" s="146"/>
    </row>
    <row r="13" spans="2:24" ht="12.75" customHeight="1" x14ac:dyDescent="0.2">
      <c r="B13" s="883"/>
      <c r="C13" s="883"/>
      <c r="D13" s="883"/>
      <c r="E13" s="883"/>
      <c r="F13" s="883"/>
      <c r="G13" s="883"/>
      <c r="H13" s="883"/>
      <c r="I13" s="883"/>
      <c r="J13" s="883"/>
      <c r="K13" s="883"/>
      <c r="L13" s="883"/>
      <c r="M13" s="883"/>
      <c r="N13" s="883"/>
      <c r="O13" s="883"/>
      <c r="P13" s="883"/>
      <c r="Q13" s="341"/>
      <c r="R13" s="341"/>
      <c r="S13" s="894"/>
      <c r="U13" s="146"/>
      <c r="V13" s="146"/>
      <c r="W13" s="146"/>
      <c r="X13" s="146"/>
    </row>
    <row r="14" spans="2:24" ht="13.35" customHeight="1" x14ac:dyDescent="0.2">
      <c r="B14" s="883"/>
      <c r="C14" s="883"/>
      <c r="D14" s="883"/>
      <c r="E14" s="883"/>
      <c r="F14" s="883"/>
      <c r="G14" s="883"/>
      <c r="H14" s="883"/>
      <c r="I14" s="883"/>
      <c r="J14" s="883"/>
      <c r="K14" s="883"/>
      <c r="L14" s="883"/>
      <c r="M14" s="883"/>
      <c r="N14" s="883"/>
      <c r="O14" s="883"/>
      <c r="P14" s="883"/>
      <c r="Q14" s="341"/>
      <c r="R14" s="341"/>
      <c r="S14" s="894" t="s">
        <v>32</v>
      </c>
      <c r="T14" s="263"/>
      <c r="U14" s="146"/>
      <c r="V14" s="146"/>
      <c r="W14" s="146"/>
      <c r="X14" s="146"/>
    </row>
    <row r="15" spans="2:24" ht="13.35" customHeight="1" x14ac:dyDescent="0.2">
      <c r="B15" s="883"/>
      <c r="C15" s="883"/>
      <c r="D15" s="883"/>
      <c r="E15" s="883"/>
      <c r="F15" s="883"/>
      <c r="G15" s="883"/>
      <c r="H15" s="883"/>
      <c r="I15" s="883"/>
      <c r="J15" s="883"/>
      <c r="K15" s="883"/>
      <c r="L15" s="883"/>
      <c r="M15" s="883"/>
      <c r="N15" s="883"/>
      <c r="O15" s="883"/>
      <c r="P15" s="883"/>
      <c r="Q15" s="341"/>
      <c r="R15" s="341"/>
      <c r="S15" s="894"/>
      <c r="T15" s="263"/>
      <c r="U15" s="146"/>
      <c r="V15" s="146"/>
      <c r="W15" s="146"/>
      <c r="X15" s="146"/>
    </row>
    <row r="16" spans="2:24" ht="13.35" customHeight="1" x14ac:dyDescent="0.2">
      <c r="B16" s="883"/>
      <c r="C16" s="883"/>
      <c r="D16" s="883"/>
      <c r="E16" s="883"/>
      <c r="F16" s="883"/>
      <c r="G16" s="883"/>
      <c r="H16" s="883"/>
      <c r="I16" s="883"/>
      <c r="J16" s="883"/>
      <c r="K16" s="883"/>
      <c r="L16" s="883"/>
      <c r="M16" s="883"/>
      <c r="N16" s="883"/>
      <c r="O16" s="883"/>
      <c r="P16" s="883"/>
      <c r="Q16" s="341"/>
      <c r="R16" s="341"/>
      <c r="S16" s="894" t="s">
        <v>33</v>
      </c>
      <c r="T16" s="263"/>
      <c r="U16" s="146"/>
      <c r="V16" s="146"/>
      <c r="W16" s="146"/>
      <c r="X16" s="146"/>
    </row>
    <row r="17" spans="2:25" ht="13.35" customHeight="1" x14ac:dyDescent="0.2">
      <c r="B17" s="883"/>
      <c r="C17" s="883"/>
      <c r="D17" s="883"/>
      <c r="E17" s="883"/>
      <c r="F17" s="883"/>
      <c r="G17" s="883"/>
      <c r="H17" s="883"/>
      <c r="I17" s="883"/>
      <c r="J17" s="883"/>
      <c r="K17" s="883"/>
      <c r="L17" s="883"/>
      <c r="M17" s="883"/>
      <c r="N17" s="883"/>
      <c r="O17" s="883"/>
      <c r="P17" s="883"/>
      <c r="S17" s="894"/>
      <c r="T17" s="263"/>
      <c r="U17" s="146"/>
      <c r="V17" s="146"/>
      <c r="W17" s="146"/>
      <c r="X17" s="146"/>
    </row>
    <row r="18" spans="2:25" ht="13.35" customHeight="1" x14ac:dyDescent="0.2">
      <c r="B18" s="883"/>
      <c r="C18" s="883"/>
      <c r="D18" s="883"/>
      <c r="E18" s="883"/>
      <c r="F18" s="883"/>
      <c r="G18" s="883"/>
      <c r="H18" s="883"/>
      <c r="I18" s="883"/>
      <c r="J18" s="883"/>
      <c r="K18" s="883"/>
      <c r="L18" s="883"/>
      <c r="M18" s="883"/>
      <c r="N18" s="883"/>
      <c r="O18" s="883"/>
      <c r="P18" s="883"/>
      <c r="S18" s="263"/>
      <c r="T18" s="263"/>
      <c r="U18" s="146"/>
      <c r="V18" s="146"/>
      <c r="W18" s="146"/>
      <c r="X18" s="146"/>
    </row>
    <row r="19" spans="2:25" ht="13.35" customHeight="1" x14ac:dyDescent="0.35">
      <c r="B19" s="154"/>
      <c r="C19" s="582" t="str">
        <f>_xlfn.XLOOKUP(B12,Data!F11:F19,Data!E11:E19)</f>
        <v>UTG</v>
      </c>
      <c r="D19" s="154"/>
      <c r="E19" s="154"/>
      <c r="L19" s="893">
        <f ca="1">TODAY()</f>
        <v>46222</v>
      </c>
      <c r="M19" s="893"/>
      <c r="U19" s="146"/>
      <c r="V19" s="146"/>
      <c r="W19" s="146"/>
      <c r="X19" s="146"/>
    </row>
    <row r="20" spans="2:25" ht="13.35" customHeight="1" x14ac:dyDescent="0.35">
      <c r="B20" s="154"/>
      <c r="C20" s="154"/>
      <c r="D20" s="154"/>
      <c r="E20" s="154"/>
      <c r="J20" s="26"/>
      <c r="L20" s="893"/>
      <c r="M20" s="893"/>
      <c r="Q20" s="149">
        <f ca="1">Tabeller!S18</f>
        <v>6456</v>
      </c>
      <c r="R20" s="149"/>
      <c r="S20" s="149"/>
      <c r="T20" s="149"/>
      <c r="U20" s="149"/>
      <c r="V20" s="149"/>
      <c r="W20" s="149"/>
      <c r="X20" s="149"/>
    </row>
    <row r="21" spans="2:25" ht="13.35" customHeight="1" x14ac:dyDescent="0.2">
      <c r="J21" s="152" t="s">
        <v>34</v>
      </c>
      <c r="K21" s="153"/>
      <c r="L21" s="153">
        <v>10</v>
      </c>
      <c r="M21" s="384">
        <v>11</v>
      </c>
      <c r="N21" s="385">
        <v>12</v>
      </c>
      <c r="O21" s="385" t="s">
        <v>35</v>
      </c>
      <c r="P21" s="577" t="str">
        <f>Tabeller!K17</f>
        <v>Poengsnitt</v>
      </c>
      <c r="Q21" s="577"/>
      <c r="R21" s="149">
        <f>Tabeller!M17</f>
        <v>0</v>
      </c>
      <c r="S21" s="149">
        <f>Tabeller!N17</f>
        <v>0</v>
      </c>
      <c r="T21" s="149"/>
      <c r="U21" s="149"/>
      <c r="V21" s="149"/>
      <c r="W21" s="149"/>
      <c r="X21" s="149"/>
    </row>
    <row r="22" spans="2:25" ht="13.35" customHeight="1" x14ac:dyDescent="0.2">
      <c r="J22" s="781" t="str">
        <f>Tabeller!O18</f>
        <v>JH</v>
      </c>
      <c r="K22" s="377">
        <f ca="1">Tabeller!P18</f>
        <v>0</v>
      </c>
      <c r="L22" s="375"/>
      <c r="M22" s="271"/>
      <c r="N22" s="271"/>
      <c r="P22" s="581" t="str">
        <f>Tabeller!K18</f>
        <v>UTG</v>
      </c>
      <c r="Q22" s="374">
        <f ca="1">Tabeller!L18</f>
        <v>807</v>
      </c>
      <c r="R22" s="578">
        <f>Tabeller!M18</f>
        <v>0</v>
      </c>
      <c r="S22" s="884">
        <f ca="1">Tabeller!S18</f>
        <v>6456</v>
      </c>
      <c r="T22" s="885"/>
      <c r="U22" s="885"/>
      <c r="V22" s="885"/>
      <c r="W22" s="885"/>
      <c r="X22" s="886"/>
      <c r="Y22" s="573"/>
    </row>
    <row r="23" spans="2:25" ht="13.35" customHeight="1" x14ac:dyDescent="0.2">
      <c r="J23" s="579" t="str">
        <f>Tabeller!O19</f>
        <v>EB</v>
      </c>
      <c r="K23" s="375">
        <f ca="1">Tabeller!P19</f>
        <v>0</v>
      </c>
      <c r="L23" s="375"/>
      <c r="M23" s="271"/>
      <c r="N23" s="271"/>
      <c r="P23" s="581" t="str">
        <f>Tabeller!K19</f>
        <v>KAF</v>
      </c>
      <c r="Q23" s="374">
        <f ca="1">Tabeller!L19</f>
        <v>807</v>
      </c>
      <c r="R23" s="151">
        <f>Tabeller!M19</f>
        <v>0</v>
      </c>
      <c r="S23" s="887"/>
      <c r="T23" s="888"/>
      <c r="U23" s="888"/>
      <c r="V23" s="888"/>
      <c r="W23" s="888"/>
      <c r="X23" s="889"/>
      <c r="Y23" s="573"/>
    </row>
    <row r="24" spans="2:25" ht="13.35" customHeight="1" x14ac:dyDescent="0.2">
      <c r="J24" s="579" t="str">
        <f>Tabeller!O20</f>
        <v>LEV</v>
      </c>
      <c r="K24" s="375">
        <f ca="1">Tabeller!P20</f>
        <v>0</v>
      </c>
      <c r="L24" s="375"/>
      <c r="M24" s="271"/>
      <c r="N24" s="271"/>
      <c r="P24" s="581" t="str">
        <f>Tabeller!K20</f>
        <v>ØG</v>
      </c>
      <c r="Q24" s="374">
        <f ca="1">Tabeller!L20</f>
        <v>807</v>
      </c>
      <c r="R24" s="151">
        <f>Tabeller!M20</f>
        <v>0</v>
      </c>
      <c r="S24" s="887"/>
      <c r="T24" s="888"/>
      <c r="U24" s="888"/>
      <c r="V24" s="888"/>
      <c r="W24" s="888"/>
      <c r="X24" s="889"/>
      <c r="Y24" s="573"/>
    </row>
    <row r="25" spans="2:25" ht="13.35" customHeight="1" x14ac:dyDescent="0.2">
      <c r="J25" s="579" t="str">
        <f>Tabeller!O21</f>
        <v>AHH</v>
      </c>
      <c r="K25" s="376">
        <f ca="1">Tabeller!P21</f>
        <v>0</v>
      </c>
      <c r="L25" s="375"/>
      <c r="M25" s="271"/>
      <c r="N25" s="271"/>
      <c r="P25" s="581" t="str">
        <f>Tabeller!K21</f>
        <v>EB</v>
      </c>
      <c r="Q25" s="374">
        <f ca="1">Tabeller!L21</f>
        <v>807</v>
      </c>
      <c r="R25" s="151">
        <f>Tabeller!M21</f>
        <v>0</v>
      </c>
      <c r="S25" s="887"/>
      <c r="T25" s="888"/>
      <c r="U25" s="888"/>
      <c r="V25" s="888"/>
      <c r="W25" s="888"/>
      <c r="X25" s="889"/>
      <c r="Y25" s="573"/>
    </row>
    <row r="26" spans="2:25" ht="13.35" customHeight="1" x14ac:dyDescent="0.2">
      <c r="B26" s="114"/>
      <c r="C26" s="879"/>
      <c r="D26" s="879"/>
      <c r="J26" s="579" t="str">
        <f>Tabeller!O22</f>
        <v>KAF</v>
      </c>
      <c r="K26" s="375">
        <f ca="1">Tabeller!P22</f>
        <v>0</v>
      </c>
      <c r="L26" s="376"/>
      <c r="M26" s="271"/>
      <c r="N26" s="271"/>
      <c r="P26" s="581" t="str">
        <f>Tabeller!K22</f>
        <v>LEV</v>
      </c>
      <c r="Q26" s="374">
        <f ca="1">Tabeller!L22</f>
        <v>807</v>
      </c>
      <c r="R26" s="151">
        <f>Tabeller!M22</f>
        <v>0</v>
      </c>
      <c r="S26" s="887"/>
      <c r="T26" s="888"/>
      <c r="U26" s="888"/>
      <c r="V26" s="888"/>
      <c r="W26" s="888"/>
      <c r="X26" s="889"/>
      <c r="Y26" s="573"/>
    </row>
    <row r="27" spans="2:25" ht="13.35" customHeight="1" x14ac:dyDescent="0.2">
      <c r="J27" s="579" t="str">
        <f>Tabeller!O23</f>
        <v>TOH</v>
      </c>
      <c r="K27" s="375">
        <f ca="1">Tabeller!P23</f>
        <v>0</v>
      </c>
      <c r="L27" s="375"/>
      <c r="M27" s="271"/>
      <c r="N27" s="271"/>
      <c r="P27" s="581" t="str">
        <f>Tabeller!K23</f>
        <v>RB</v>
      </c>
      <c r="Q27" s="374">
        <f ca="1">Tabeller!L23</f>
        <v>807</v>
      </c>
      <c r="R27" s="151">
        <f>Tabeller!M23</f>
        <v>0</v>
      </c>
      <c r="S27" s="887"/>
      <c r="T27" s="888"/>
      <c r="U27" s="888"/>
      <c r="V27" s="888"/>
      <c r="W27" s="888"/>
      <c r="X27" s="889"/>
      <c r="Y27" s="573"/>
    </row>
    <row r="28" spans="2:25" ht="13.35" customHeight="1" x14ac:dyDescent="0.2">
      <c r="J28" s="579" t="str">
        <f>Tabeller!O24</f>
        <v>UTG</v>
      </c>
      <c r="K28" s="375">
        <f ca="1">Tabeller!P24</f>
        <v>0</v>
      </c>
      <c r="L28" s="375"/>
      <c r="M28" s="271"/>
      <c r="N28" s="271"/>
      <c r="P28" s="581" t="str">
        <f>Tabeller!K24</f>
        <v>TOH</v>
      </c>
      <c r="Q28" s="374">
        <f ca="1">Tabeller!L24</f>
        <v>807</v>
      </c>
      <c r="R28" s="151">
        <f>Tabeller!M24</f>
        <v>0</v>
      </c>
      <c r="S28" s="887"/>
      <c r="T28" s="888"/>
      <c r="U28" s="888"/>
      <c r="V28" s="888"/>
      <c r="W28" s="888"/>
      <c r="X28" s="889"/>
      <c r="Y28" s="573"/>
    </row>
    <row r="29" spans="2:25" ht="13.35" customHeight="1" x14ac:dyDescent="0.2">
      <c r="J29" s="579" t="str">
        <f>Tabeller!O25</f>
        <v>RB</v>
      </c>
      <c r="K29" s="375">
        <f ca="1">Tabeller!P25</f>
        <v>0</v>
      </c>
      <c r="L29" s="377"/>
      <c r="M29" s="270"/>
      <c r="N29" s="270"/>
      <c r="P29" s="581" t="str">
        <f>Tabeller!K25</f>
        <v>AHH</v>
      </c>
      <c r="Q29" s="374">
        <f ca="1">Tabeller!L25</f>
        <v>807</v>
      </c>
      <c r="R29" s="149"/>
      <c r="S29" s="887"/>
      <c r="T29" s="888"/>
      <c r="U29" s="888"/>
      <c r="V29" s="888"/>
      <c r="W29" s="888"/>
      <c r="X29" s="889"/>
      <c r="Y29" s="573"/>
    </row>
    <row r="30" spans="2:25" ht="13.35" customHeight="1" x14ac:dyDescent="0.2">
      <c r="J30" s="580" t="str">
        <f>Tabeller!O26</f>
        <v>ØG</v>
      </c>
      <c r="K30" s="377">
        <f ca="1">Tabeller!P26</f>
        <v>0</v>
      </c>
      <c r="L30" s="377"/>
      <c r="P30" s="581" t="str">
        <f>Tabeller!K26</f>
        <v>JH</v>
      </c>
      <c r="Q30" s="374">
        <f ca="1">Tabeller!L26</f>
        <v>807</v>
      </c>
      <c r="S30" s="887"/>
      <c r="T30" s="888"/>
      <c r="U30" s="888"/>
      <c r="V30" s="888"/>
      <c r="W30" s="888"/>
      <c r="X30" s="889"/>
      <c r="Y30" s="573"/>
    </row>
    <row r="31" spans="2:25" ht="12.75" customHeight="1" x14ac:dyDescent="0.2">
      <c r="J31" s="414"/>
      <c r="S31" s="887"/>
      <c r="T31" s="888"/>
      <c r="U31" s="888"/>
      <c r="V31" s="888"/>
      <c r="W31" s="888"/>
      <c r="X31" s="889"/>
      <c r="Y31" s="573"/>
    </row>
    <row r="32" spans="2:25" ht="18.75" customHeight="1" x14ac:dyDescent="0.25">
      <c r="B32" s="338" t="str">
        <f>Data!E11</f>
        <v>AHH</v>
      </c>
      <c r="C32" s="339"/>
      <c r="D32" s="340" t="str">
        <f>Data!E12</f>
        <v>RB</v>
      </c>
      <c r="E32" s="339"/>
      <c r="F32" s="340" t="str">
        <f>Data!E13</f>
        <v>EB</v>
      </c>
      <c r="G32" s="339"/>
      <c r="H32" s="340" t="str">
        <f>Data!E14</f>
        <v>KAF</v>
      </c>
      <c r="I32" s="339"/>
      <c r="J32" s="340" t="str">
        <f>Data!E15</f>
        <v>ØG</v>
      </c>
      <c r="K32" s="340"/>
      <c r="L32" s="340" t="str">
        <f>Data!E16</f>
        <v>JH</v>
      </c>
      <c r="M32" s="339"/>
      <c r="N32" s="340" t="str">
        <f>Data!E17</f>
        <v>TOH</v>
      </c>
      <c r="O32" s="340"/>
      <c r="P32" s="340" t="s">
        <v>26</v>
      </c>
      <c r="Q32" s="340"/>
      <c r="R32" s="340" t="s">
        <v>27</v>
      </c>
      <c r="S32" s="887"/>
      <c r="T32" s="888"/>
      <c r="U32" s="888"/>
      <c r="V32" s="888"/>
      <c r="W32" s="888"/>
      <c r="X32" s="889"/>
      <c r="Y32" s="573"/>
    </row>
    <row r="33" spans="2:25" ht="19.5" customHeight="1" x14ac:dyDescent="0.3">
      <c r="B33" s="319">
        <f ca="1">SUMIF(INDIRECT(_xlfn.XLOOKUP(B32,Data!E:E,Data!M:M)&amp;"!g:g"),"&lt;&gt;#I/T")</f>
        <v>0</v>
      </c>
      <c r="C33" s="320"/>
      <c r="D33" s="321">
        <f ca="1">SUMIF(INDIRECT(_xlfn.XLOOKUP(D32,Data!E:E,Data!M:M)&amp;"!g:g"),"&lt;&gt;#I/T")</f>
        <v>0</v>
      </c>
      <c r="E33" s="322"/>
      <c r="F33" s="321">
        <f ca="1">SUMIF(INDIRECT(_xlfn.XLOOKUP(F32,Data!E:E,Data!M:M)&amp;"!g:g"),"&lt;&gt;#I/T")</f>
        <v>0</v>
      </c>
      <c r="G33" s="322"/>
      <c r="H33" s="321">
        <f ca="1">SUMIF(INDIRECT(_xlfn.XLOOKUP(H32,Data!E:E,Data!M:M)&amp;"!g:g"),"&lt;&gt;#I/T")</f>
        <v>0</v>
      </c>
      <c r="I33" s="322"/>
      <c r="J33" s="321">
        <f ca="1">SUMIF(INDIRECT(_xlfn.XLOOKUP(J32,Data!E:E,Data!M:M)&amp;"!g:g"),"&lt;&gt;#I/T")</f>
        <v>0</v>
      </c>
      <c r="K33" s="321"/>
      <c r="L33" s="321">
        <f ca="1">SUMIF(INDIRECT(_xlfn.XLOOKUP(L32,Data!E:E,Data!M:M)&amp;"!g:g"),"&lt;&gt;#I/T")</f>
        <v>0</v>
      </c>
      <c r="M33" s="322"/>
      <c r="N33" s="321">
        <f ca="1">SUMIF(INDIRECT(_xlfn.XLOOKUP(N32,Data!E:E,Data!M:M)&amp;"!g:g"),"&lt;&gt;#I/T")</f>
        <v>0</v>
      </c>
      <c r="O33" s="321"/>
      <c r="P33" s="321">
        <f ca="1">SUMIF(INDIRECT(_xlfn.XLOOKUP(P32,Data!E:E,Data!M:M)&amp;"!g:g"),"&lt;&gt;#I/T")</f>
        <v>0</v>
      </c>
      <c r="Q33" s="321"/>
      <c r="R33" s="321">
        <f ca="1">SUMIF(INDIRECT(_xlfn.XLOOKUP(R32,Data!E:E,Data!M:M)&amp;"!g:g"),"&lt;&gt;#I/T")</f>
        <v>0</v>
      </c>
      <c r="S33" s="890"/>
      <c r="T33" s="891"/>
      <c r="U33" s="891"/>
      <c r="V33" s="891"/>
      <c r="W33" s="891"/>
      <c r="X33" s="892"/>
      <c r="Y33" s="573"/>
    </row>
    <row r="34" spans="2:25" ht="13.35" customHeight="1" x14ac:dyDescent="0.2">
      <c r="S34" s="572"/>
      <c r="T34" s="572"/>
      <c r="U34" s="572"/>
      <c r="V34" s="572"/>
      <c r="W34" s="572"/>
      <c r="X34" s="572"/>
      <c r="Y34" s="573"/>
    </row>
    <row r="35" spans="2:25" ht="13.35" customHeight="1" x14ac:dyDescent="0.2">
      <c r="B35" s="264"/>
      <c r="C35" s="264"/>
      <c r="D35" s="264"/>
      <c r="E35" s="264"/>
      <c r="F35" s="264"/>
      <c r="G35" s="264"/>
      <c r="S35" s="573"/>
      <c r="T35" s="573"/>
      <c r="U35" s="573"/>
      <c r="V35" s="573"/>
      <c r="W35" s="573"/>
      <c r="X35" s="573"/>
      <c r="Y35" s="573"/>
    </row>
    <row r="36" spans="2:25" ht="13.35" customHeight="1" x14ac:dyDescent="0.2">
      <c r="B36" s="264"/>
      <c r="C36" s="264"/>
      <c r="D36" s="264"/>
      <c r="E36" s="264"/>
      <c r="F36" s="264"/>
      <c r="G36" s="264"/>
    </row>
    <row r="37" spans="2:25" ht="13.35" customHeight="1" x14ac:dyDescent="0.2">
      <c r="B37" s="264"/>
      <c r="C37" s="264"/>
      <c r="D37" s="264"/>
      <c r="E37" s="264"/>
      <c r="F37" s="264"/>
      <c r="G37" s="264"/>
    </row>
    <row r="38" spans="2:25" ht="25.5" customHeight="1" x14ac:dyDescent="0.2">
      <c r="B38" s="264"/>
      <c r="C38" s="264"/>
      <c r="D38" s="264"/>
      <c r="E38" s="264"/>
      <c r="F38" s="264"/>
      <c r="G38" s="264"/>
    </row>
    <row r="39" spans="2:25" ht="25.5" customHeight="1" x14ac:dyDescent="0.2">
      <c r="B39" s="264"/>
      <c r="C39" s="264"/>
      <c r="D39" s="264"/>
      <c r="E39" s="264"/>
      <c r="F39" s="264"/>
      <c r="G39" s="264"/>
    </row>
    <row r="40" spans="2:25" ht="21" customHeight="1" x14ac:dyDescent="0.3">
      <c r="B40" s="412"/>
      <c r="C40" s="409" t="s">
        <v>36</v>
      </c>
      <c r="D40" s="409"/>
      <c r="E40" s="409"/>
      <c r="F40" s="771">
        <f ca="1">MAX(Tabeller!D5:D13)</f>
        <v>780</v>
      </c>
      <c r="G40" s="386" t="str">
        <f ca="1">_xlfn.XLOOKUP(F40,Tabeller!D5:D13,Tabeller!C5:C13)</f>
        <v>AHH</v>
      </c>
      <c r="H40" s="386"/>
      <c r="I40" s="386"/>
      <c r="J40" s="775" t="s">
        <v>37</v>
      </c>
      <c r="K40" s="574"/>
      <c r="L40" s="387" t="s">
        <v>38</v>
      </c>
      <c r="M40" s="575"/>
      <c r="N40" s="775" t="s">
        <v>39</v>
      </c>
      <c r="O40" s="574"/>
      <c r="P40" s="574" t="s">
        <v>40</v>
      </c>
      <c r="Q40" s="386"/>
      <c r="R40" s="386"/>
      <c r="S40" s="387"/>
      <c r="T40" s="386"/>
      <c r="U40" s="387" t="s">
        <v>41</v>
      </c>
      <c r="V40" s="386"/>
      <c r="W40" s="386" t="str">
        <f ca="1">_xlfn.XLOOKUP(MAX(Tabeller!I18:I24),Tabeller!I18:I24,Tabeller!H18:H24)</f>
        <v>AHH</v>
      </c>
      <c r="X40" s="413"/>
    </row>
    <row r="41" spans="2:25" ht="19.5" customHeight="1" x14ac:dyDescent="0.3">
      <c r="B41" s="414"/>
      <c r="C41" s="410" t="s">
        <v>42</v>
      </c>
      <c r="D41" s="410"/>
      <c r="E41" s="410"/>
      <c r="F41" s="772">
        <f ca="1">MIN(Tabeller!H5:H13)</f>
        <v>710</v>
      </c>
      <c r="G41" s="388" t="str">
        <f ca="1">_xlfn.XLOOKUP(F41,Tabeller!H5:H13,Tabeller!G5:G13)</f>
        <v>LEV</v>
      </c>
      <c r="H41" s="388"/>
      <c r="I41" s="388"/>
      <c r="J41" s="776">
        <f ca="1">MAX(Tabeller!P5:P13)</f>
        <v>2340</v>
      </c>
      <c r="K41" s="388" t="str">
        <f ca="1">_xlfn.XLOOKUP(J41,Tabeller!$P$5:$P$13,Tabeller!O5:O13)</f>
        <v>ØG</v>
      </c>
      <c r="L41" s="774">
        <f ca="1">MAX(Tabeller!S5:S13)</f>
        <v>1702</v>
      </c>
      <c r="M41" s="388" t="str">
        <f ca="1">_xlfn.XLOOKUP(L41,Tabeller!$S$5:$S$13,Tabeller!$R$5:$R$13)</f>
        <v>AHH</v>
      </c>
      <c r="N41" s="774">
        <f ca="1">MAX(Tabeller!W5:W13)</f>
        <v>2414</v>
      </c>
      <c r="O41" s="773" t="str">
        <f ca="1">_xlfn.XLOOKUP(N41,Tabeller!$W$5:$W$13,Tabeller!$V$5:$V$13)</f>
        <v>JH</v>
      </c>
      <c r="P41" s="576">
        <f ca="1">_xlfn.XLOOKUP(C19,Tabeller!K18:K26,Tabeller!L18:L26)</f>
        <v>807</v>
      </c>
      <c r="Q41" s="388"/>
      <c r="R41" s="388"/>
      <c r="S41" s="411"/>
      <c r="T41" s="388"/>
      <c r="U41" s="389" t="s">
        <v>43</v>
      </c>
      <c r="V41" s="388"/>
      <c r="W41" s="388" t="str">
        <f ca="1">IF(MAX(Tabeller!$L$5:$L$13)=0,"ingen",_xlfn.XLOOKUP(MAX(Tabeller!L5:L13),Tabeller!$L$5:$L$13,Tabeller!$K$5:$K$13))</f>
        <v>AHH</v>
      </c>
      <c r="X41" s="415"/>
    </row>
    <row r="42" spans="2:25" x14ac:dyDescent="0.2">
      <c r="C42" s="150"/>
      <c r="D42" s="150"/>
      <c r="E42" s="150"/>
      <c r="F42" s="150"/>
      <c r="G42" s="150"/>
      <c r="H42" s="150"/>
      <c r="I42" s="150"/>
      <c r="J42" s="150"/>
      <c r="K42" s="150"/>
      <c r="L42" s="150"/>
      <c r="M42" s="150"/>
      <c r="N42" s="150"/>
      <c r="O42" s="150"/>
      <c r="P42" s="150"/>
      <c r="Q42" s="150"/>
      <c r="R42" s="150"/>
      <c r="S42" s="150"/>
      <c r="T42" s="150"/>
      <c r="U42" s="150"/>
      <c r="V42" s="150"/>
      <c r="W42" s="150"/>
      <c r="X42" s="150"/>
    </row>
    <row r="43" spans="2:25" x14ac:dyDescent="0.2"/>
    <row r="44" spans="2:25" x14ac:dyDescent="0.2"/>
    <row r="45" spans="2:25" x14ac:dyDescent="0.2">
      <c r="V45" s="880" t="e" cm="1">
        <f t="array" aca="1" ref="V45" ca="1">"Sist endret: "&amp;TEXT(LastInputTimeStamp(),"DD:MMMM.ÅÅÅÅ - tt:mm:ss")</f>
        <v>#NAME?</v>
      </c>
      <c r="W45" s="881"/>
      <c r="X45" s="881"/>
      <c r="Y45" s="882"/>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zoomScale="130" zoomScaleNormal="130" workbookViewId="0">
      <selection activeCell="K6" sqref="K6"/>
    </sheetView>
  </sheetViews>
  <sheetFormatPr baseColWidth="10" defaultColWidth="11.42578125" defaultRowHeight="12.75" outlineLevelRow="2" outlineLevelCol="4" x14ac:dyDescent="0.2"/>
  <cols>
    <col min="1" max="1" width="2.42578125" style="140" customWidth="1"/>
    <col min="2" max="2" width="1.42578125" style="140" customWidth="1"/>
    <col min="3" max="3" width="2.5703125" style="140" customWidth="1" outlineLevel="2"/>
    <col min="4" max="4" width="4" style="140" customWidth="1" outlineLevel="2"/>
    <col min="5" max="5" width="36.5703125" style="4" customWidth="1" outlineLevel="2"/>
    <col min="6" max="6" width="2.5703125" style="812" customWidth="1"/>
    <col min="7" max="7" width="0.5703125" style="4" customWidth="1"/>
    <col min="8" max="8" width="2.5703125" style="4" customWidth="1"/>
    <col min="9" max="9" width="2.5703125" style="4" customWidth="1" outlineLevel="3"/>
    <col min="10" max="10" width="3" style="4" customWidth="1" outlineLevel="3"/>
    <col min="11" max="11" width="2.5703125" style="4" customWidth="1" outlineLevel="3"/>
    <col min="12" max="12" width="2.5703125" style="368" customWidth="1" outlineLevel="3"/>
    <col min="13" max="13" width="1.7109375" style="140" customWidth="1" outlineLevel="3"/>
    <col min="14" max="14" width="0.42578125" style="140" customWidth="1" outlineLevel="3"/>
    <col min="15" max="15" width="1.7109375" style="140" customWidth="1" outlineLevel="3"/>
    <col min="16" max="16" width="2.5703125" style="369" customWidth="1" outlineLevel="3"/>
    <col min="17" max="18" width="3.5703125" style="140" customWidth="1" outlineLevel="4"/>
    <col min="19" max="19" width="3.5703125" style="140" customWidth="1" outlineLevel="3"/>
    <col min="20" max="20" width="2.5703125" style="367" customWidth="1" outlineLevel="4"/>
    <col min="21" max="23" width="5.28515625" style="367" customWidth="1" outlineLevel="4"/>
    <col min="24" max="24" width="3.5703125" style="367" customWidth="1" outlineLevel="4"/>
    <col min="25" max="25" width="2.5703125" style="369" customWidth="1" outlineLevel="2"/>
    <col min="26" max="28" width="3.5703125" style="140" customWidth="1"/>
    <col min="29" max="29" width="2.5703125" style="367" customWidth="1"/>
    <col min="30" max="33" width="5.28515625" style="367" customWidth="1" outlineLevel="4"/>
    <col min="34" max="34" width="2.5703125" style="369" customWidth="1" outlineLevel="2"/>
    <col min="35" max="36" width="3.5703125" style="140" customWidth="1" outlineLevel="3"/>
    <col min="37" max="37" width="3.5703125" style="140" customWidth="1" outlineLevel="2"/>
    <col min="38" max="38" width="2.5703125" style="367" customWidth="1" outlineLevel="2"/>
    <col min="39" max="42" width="5.28515625" style="367" customWidth="1" outlineLevel="4"/>
    <col min="43" max="43" width="2.5703125" style="369" customWidth="1" outlineLevel="2"/>
    <col min="44" max="45" width="3.5703125" style="140" customWidth="1" outlineLevel="3"/>
    <col min="46" max="46" width="3.5703125" style="140" customWidth="1" outlineLevel="2"/>
    <col min="47" max="47" width="2.5703125" style="367" customWidth="1" outlineLevel="2"/>
    <col min="48" max="51" width="5.28515625" style="367" customWidth="1" outlineLevel="4"/>
    <col min="52" max="52" width="2.5703125" style="369" customWidth="1" outlineLevel="2"/>
    <col min="53" max="54" width="3.5703125" style="140" customWidth="1" outlineLevel="3"/>
    <col min="55" max="55" width="3.5703125" style="140" customWidth="1" outlineLevel="2"/>
    <col min="56" max="56" width="2.5703125" style="367" customWidth="1" outlineLevel="2"/>
    <col min="57" max="60" width="5.28515625" style="367" customWidth="1" outlineLevel="4"/>
    <col min="61" max="61" width="2.5703125" style="369" customWidth="1" outlineLevel="2"/>
    <col min="62" max="63" width="3.5703125" style="140" customWidth="1" outlineLevel="3"/>
    <col min="64" max="64" width="3.5703125" style="140" customWidth="1" outlineLevel="2"/>
    <col min="65" max="65" width="2.5703125" style="367" customWidth="1" outlineLevel="2"/>
    <col min="66" max="69" width="5.28515625" style="367" customWidth="1" outlineLevel="4"/>
    <col min="70" max="70" width="2.5703125" style="370" customWidth="1" outlineLevel="2"/>
    <col min="71" max="72" width="3.5703125" style="140" customWidth="1" outlineLevel="3"/>
    <col min="73" max="73" width="3.5703125" style="140" customWidth="1" outlineLevel="2"/>
    <col min="74" max="74" width="2.5703125" style="140" customWidth="1" outlineLevel="2"/>
    <col min="75" max="78" width="5.28515625" style="367" customWidth="1" outlineLevel="4"/>
    <col min="79" max="79" width="2.5703125" style="140" customWidth="1" outlineLevel="2"/>
    <col min="80" max="82" width="3.5703125" style="140" customWidth="1" outlineLevel="2"/>
    <col min="83" max="83" width="2.5703125" style="140" customWidth="1" outlineLevel="2"/>
    <col min="84" max="87" width="5.28515625" style="367" customWidth="1" outlineLevel="4"/>
    <col min="88" max="90" width="3.5703125" style="140" customWidth="1" outlineLevel="2"/>
    <col min="91" max="91" width="3.5703125" style="4" customWidth="1" outlineLevel="2"/>
    <col min="92" max="92" width="3.5703125" style="140" customWidth="1" outlineLevel="2"/>
    <col min="93" max="96" width="5.28515625" style="367" customWidth="1" outlineLevel="4"/>
    <col min="97" max="98" width="3.5703125" style="140" customWidth="1" outlineLevel="2"/>
    <col min="99" max="101" width="3.5703125" style="140" customWidth="1"/>
    <col min="102" max="102" width="6.42578125" style="140" customWidth="1"/>
    <col min="103" max="106" width="11.42578125" style="140" customWidth="1"/>
    <col min="107" max="107" width="6.42578125" style="140" customWidth="1"/>
    <col min="108" max="16384" width="11.42578125" style="140"/>
  </cols>
  <sheetData>
    <row r="1" spans="1:103" s="139" customFormat="1" ht="13.5" thickBot="1" x14ac:dyDescent="0.25">
      <c r="A1" s="218"/>
      <c r="B1" s="218"/>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392"/>
      <c r="CC1" s="392"/>
      <c r="CD1" s="392"/>
      <c r="CE1" s="392"/>
      <c r="CF1" s="218"/>
      <c r="CG1" s="218"/>
      <c r="CH1" s="218"/>
      <c r="CI1" s="218"/>
      <c r="CJ1" s="218"/>
      <c r="CK1" s="218"/>
      <c r="CL1" s="218"/>
      <c r="CM1" s="218"/>
      <c r="CN1" s="218"/>
      <c r="CO1" s="218"/>
      <c r="CP1" s="218"/>
      <c r="CQ1" s="218"/>
      <c r="CR1" s="218"/>
      <c r="CS1" s="218"/>
      <c r="CT1" s="218"/>
      <c r="CU1" s="218"/>
      <c r="CV1" s="218"/>
      <c r="CW1" s="218"/>
      <c r="CX1" s="15"/>
      <c r="CY1" s="15"/>
    </row>
    <row r="2" spans="1:103" ht="21.6" customHeight="1" thickTop="1" x14ac:dyDescent="0.3">
      <c r="A2" s="219"/>
      <c r="B2" s="219"/>
      <c r="C2" s="157"/>
      <c r="D2" s="158"/>
      <c r="E2" s="731" t="s">
        <v>44</v>
      </c>
      <c r="F2" s="229"/>
      <c r="G2" s="229"/>
      <c r="H2" s="229"/>
      <c r="I2" s="877" t="e" vm="1">
        <v>#VALUE!</v>
      </c>
      <c r="J2" s="877"/>
      <c r="K2" s="877"/>
      <c r="L2" s="877"/>
      <c r="M2" s="159"/>
      <c r="N2" s="159"/>
      <c r="O2" s="159"/>
      <c r="P2" s="160"/>
      <c r="Q2" s="159"/>
      <c r="R2" s="159"/>
      <c r="S2" s="159"/>
      <c r="T2" s="161"/>
      <c r="U2" s="162"/>
      <c r="V2" s="162"/>
      <c r="W2" s="162"/>
      <c r="X2" s="162"/>
      <c r="Y2" s="160"/>
      <c r="Z2" s="159"/>
      <c r="AA2" s="159"/>
      <c r="AB2" s="159"/>
      <c r="AC2" s="161"/>
      <c r="AD2" s="162"/>
      <c r="AE2" s="162"/>
      <c r="AF2" s="162"/>
      <c r="AG2" s="162"/>
      <c r="AH2" s="160"/>
      <c r="AI2" s="159"/>
      <c r="AJ2" s="201"/>
      <c r="AK2" s="201"/>
      <c r="AL2" s="164"/>
      <c r="AM2" s="162"/>
      <c r="AN2" s="162"/>
      <c r="AO2" s="162"/>
      <c r="AP2" s="162"/>
      <c r="AQ2" s="202"/>
      <c r="AR2" s="203"/>
      <c r="AS2" s="165"/>
      <c r="AT2" s="166"/>
      <c r="AU2" s="164"/>
      <c r="AV2" s="162"/>
      <c r="AW2" s="162"/>
      <c r="AX2" s="162"/>
      <c r="AY2" s="162"/>
      <c r="AZ2" s="202"/>
      <c r="BA2" s="203"/>
      <c r="BB2" s="166"/>
      <c r="BC2" s="201"/>
      <c r="BD2" s="204"/>
      <c r="BE2" s="162"/>
      <c r="BF2" s="162"/>
      <c r="BG2" s="162"/>
      <c r="BH2" s="162"/>
      <c r="BI2" s="205"/>
      <c r="BJ2" s="201"/>
      <c r="BK2" s="201"/>
      <c r="BL2" s="201"/>
      <c r="BM2" s="204"/>
      <c r="BN2" s="162"/>
      <c r="BO2" s="162"/>
      <c r="BP2" s="162"/>
      <c r="BQ2" s="162"/>
      <c r="BR2" s="167"/>
      <c r="BS2" s="201"/>
      <c r="BT2" s="201"/>
      <c r="BU2" s="201"/>
      <c r="BV2" s="205"/>
      <c r="BW2" s="162"/>
      <c r="BX2" s="162"/>
      <c r="BY2" s="162"/>
      <c r="BZ2" s="162"/>
      <c r="CA2" s="201"/>
      <c r="CB2" s="393"/>
      <c r="CC2" s="393"/>
      <c r="CD2" s="393"/>
      <c r="CE2" s="393"/>
      <c r="CF2" s="162"/>
      <c r="CG2" s="162"/>
      <c r="CH2" s="162"/>
      <c r="CI2" s="162"/>
      <c r="CJ2" s="163"/>
      <c r="CK2" s="163"/>
      <c r="CL2" s="163"/>
      <c r="CM2" s="163"/>
      <c r="CN2" s="163"/>
      <c r="CO2" s="162"/>
      <c r="CP2" s="162"/>
      <c r="CQ2" s="162"/>
      <c r="CR2" s="162"/>
      <c r="CS2" s="163"/>
      <c r="CT2" s="358"/>
      <c r="CU2" s="201"/>
      <c r="CV2" s="206"/>
      <c r="CW2" s="218"/>
      <c r="CX2" s="4"/>
      <c r="CY2" s="4"/>
    </row>
    <row r="3" spans="1:103" ht="21.6" customHeight="1" thickBot="1" x14ac:dyDescent="0.25">
      <c r="A3" s="219"/>
      <c r="B3" s="219"/>
      <c r="C3" s="168"/>
      <c r="D3" s="785"/>
      <c r="E3" s="869" t="s">
        <v>45</v>
      </c>
      <c r="F3" s="363"/>
      <c r="G3" s="363"/>
      <c r="H3" s="363"/>
      <c r="I3" s="878"/>
      <c r="J3" s="878"/>
      <c r="K3" s="878"/>
      <c r="L3" s="878"/>
      <c r="M3" s="363"/>
      <c r="N3" s="363"/>
      <c r="O3" s="363"/>
      <c r="P3" s="363"/>
      <c r="Q3" s="363"/>
      <c r="R3" s="363"/>
      <c r="S3" s="363"/>
      <c r="T3" s="363"/>
      <c r="U3" s="363"/>
      <c r="V3" s="363"/>
      <c r="W3" s="363"/>
      <c r="X3" s="363"/>
      <c r="Y3" s="363"/>
      <c r="Z3" s="363"/>
      <c r="AA3" s="363"/>
      <c r="AB3" s="363"/>
      <c r="AC3" s="363"/>
      <c r="AD3" s="363"/>
      <c r="AE3" s="363"/>
      <c r="AF3" s="363"/>
      <c r="AG3" s="363"/>
      <c r="AH3" s="363"/>
      <c r="AI3" s="363"/>
      <c r="AJ3" s="363"/>
      <c r="AK3" s="363"/>
      <c r="AL3" s="363"/>
      <c r="AM3" s="363"/>
      <c r="AN3" s="363"/>
      <c r="AO3" s="363"/>
      <c r="AP3" s="363"/>
      <c r="AQ3" s="363"/>
      <c r="AR3" s="363"/>
      <c r="AS3" s="363"/>
      <c r="AT3" s="363"/>
      <c r="AU3" s="363"/>
      <c r="AV3" s="363"/>
      <c r="AW3" s="363"/>
      <c r="AX3" s="363"/>
      <c r="AY3" s="363"/>
      <c r="AZ3" s="363"/>
      <c r="BA3" s="363"/>
      <c r="BB3" s="363"/>
      <c r="BC3" s="363"/>
      <c r="BD3" s="363"/>
      <c r="BE3" s="363"/>
      <c r="BF3" s="363"/>
      <c r="BG3" s="363"/>
      <c r="BH3" s="363"/>
      <c r="BI3" s="363"/>
      <c r="BJ3" s="363"/>
      <c r="BK3" s="363"/>
      <c r="BL3" s="363"/>
      <c r="BM3" s="363"/>
      <c r="BN3" s="363"/>
      <c r="BO3" s="363"/>
      <c r="BP3" s="363"/>
      <c r="BQ3" s="363"/>
      <c r="BR3" s="363"/>
      <c r="BS3" s="363"/>
      <c r="BT3" s="363"/>
      <c r="BU3" s="363"/>
      <c r="BV3" s="363"/>
      <c r="BW3" s="363"/>
      <c r="BX3" s="363"/>
      <c r="BY3" s="363"/>
      <c r="BZ3" s="363"/>
      <c r="CA3" s="363"/>
      <c r="CB3" s="394"/>
      <c r="CC3" s="394"/>
      <c r="CD3" s="394"/>
      <c r="CE3" s="394"/>
      <c r="CF3" s="363"/>
      <c r="CG3" s="363"/>
      <c r="CH3" s="363"/>
      <c r="CI3" s="363"/>
      <c r="CJ3" s="363"/>
      <c r="CK3" s="363"/>
      <c r="CL3" s="363"/>
      <c r="CM3" s="363"/>
      <c r="CN3" s="323"/>
      <c r="CO3" s="363"/>
      <c r="CP3" s="363"/>
      <c r="CQ3" s="363"/>
      <c r="CR3" s="363"/>
      <c r="CS3" s="323"/>
      <c r="CT3" s="155"/>
      <c r="CU3" s="269"/>
      <c r="CV3" s="209"/>
      <c r="CW3" s="218"/>
      <c r="CX3" s="4"/>
      <c r="CY3" s="4"/>
    </row>
    <row r="4" spans="1:103" ht="18.75" thickTop="1" x14ac:dyDescent="0.2">
      <c r="A4" s="219"/>
      <c r="B4" s="219"/>
      <c r="C4" s="174"/>
      <c r="D4" s="778"/>
      <c r="E4" s="777"/>
      <c r="F4" s="235"/>
      <c r="G4" s="234"/>
      <c r="H4" s="234"/>
      <c r="I4" s="875">
        <f>WEEKNUM(E5)</f>
        <v>33</v>
      </c>
      <c r="J4" s="875"/>
      <c r="K4" s="875"/>
      <c r="L4" s="250"/>
      <c r="M4" s="261"/>
      <c r="N4" s="205"/>
      <c r="O4" s="236"/>
      <c r="P4" s="236"/>
      <c r="Q4" s="675">
        <f>IF($F8="","",SUM(Q20:S20)-S6)</f>
        <v>0</v>
      </c>
      <c r="R4" s="675"/>
      <c r="S4" s="675"/>
      <c r="T4" s="237"/>
      <c r="U4" s="238"/>
      <c r="V4" s="238"/>
      <c r="W4" s="238"/>
      <c r="X4" s="238"/>
      <c r="Y4" s="236"/>
      <c r="Z4" s="675">
        <f>IF($F8="","",SUM(Z20:AB20)-AB6)</f>
        <v>0</v>
      </c>
      <c r="AA4" s="675"/>
      <c r="AB4" s="675"/>
      <c r="AC4" s="237"/>
      <c r="AD4" s="238"/>
      <c r="AE4" s="238"/>
      <c r="AF4" s="238"/>
      <c r="AG4" s="238"/>
      <c r="AH4" s="236"/>
      <c r="AI4" s="675">
        <f>IF($F8="","",SUM(AI20:AK20)-AK6)</f>
        <v>0</v>
      </c>
      <c r="AJ4" s="675"/>
      <c r="AK4" s="675"/>
      <c r="AL4" s="237"/>
      <c r="AM4" s="238"/>
      <c r="AN4" s="238"/>
      <c r="AO4" s="238"/>
      <c r="AP4" s="238"/>
      <c r="AQ4" s="236"/>
      <c r="AR4" s="675">
        <f>IF($F8="","",SUM(AR20:AT20)-AT6)</f>
        <v>0</v>
      </c>
      <c r="AS4" s="675"/>
      <c r="AT4" s="675"/>
      <c r="AU4" s="239"/>
      <c r="AV4" s="238"/>
      <c r="AW4" s="238"/>
      <c r="AX4" s="238"/>
      <c r="AY4" s="238"/>
      <c r="AZ4" s="240"/>
      <c r="BA4" s="675">
        <f>IF($F8="","",SUM(BA20:BC20)-BC6)</f>
        <v>0</v>
      </c>
      <c r="BB4" s="675"/>
      <c r="BC4" s="675"/>
      <c r="BD4" s="239"/>
      <c r="BE4" s="238"/>
      <c r="BF4" s="238"/>
      <c r="BG4" s="238"/>
      <c r="BH4" s="238"/>
      <c r="BI4" s="240"/>
      <c r="BJ4" s="675">
        <f>IF($F8="","",SUM(BJ20:BL20)-BL6)</f>
        <v>0</v>
      </c>
      <c r="BK4" s="675"/>
      <c r="BL4" s="675"/>
      <c r="BM4" s="239"/>
      <c r="BN4" s="238"/>
      <c r="BO4" s="238"/>
      <c r="BP4" s="238"/>
      <c r="BQ4" s="238"/>
      <c r="BR4" s="241"/>
      <c r="BS4" s="675">
        <f>IF($F8="","",SUM(BS20:BU20)-BU6)</f>
        <v>0</v>
      </c>
      <c r="BT4" s="675"/>
      <c r="BU4" s="675"/>
      <c r="BV4" s="240"/>
      <c r="BW4" s="238"/>
      <c r="BX4" s="238"/>
      <c r="BY4" s="238"/>
      <c r="BZ4" s="238"/>
      <c r="CA4" s="241"/>
      <c r="CB4" s="675">
        <f>IF($F8="","",SUM(CB20:CD20)-CD6)</f>
        <v>0</v>
      </c>
      <c r="CC4" s="675"/>
      <c r="CD4" s="675"/>
      <c r="CE4" s="240"/>
      <c r="CF4" s="238"/>
      <c r="CG4" s="238"/>
      <c r="CH4" s="238"/>
      <c r="CI4" s="238"/>
      <c r="CJ4" s="234"/>
      <c r="CK4" s="675">
        <f>IF($F8="","",SUM(CK20:CM20))</f>
        <v>0</v>
      </c>
      <c r="CL4" s="675"/>
      <c r="CM4" s="675"/>
      <c r="CN4" s="240"/>
      <c r="CO4" s="238"/>
      <c r="CP4" s="238"/>
      <c r="CQ4" s="238"/>
      <c r="CR4" s="238"/>
      <c r="CS4" s="234"/>
      <c r="CT4" s="234"/>
      <c r="CU4" s="251"/>
      <c r="CV4" s="209"/>
      <c r="CW4" s="218"/>
      <c r="CX4" s="4"/>
      <c r="CY4" s="4"/>
    </row>
    <row r="5" spans="1:103" x14ac:dyDescent="0.2">
      <c r="A5" s="219"/>
      <c r="B5" s="219"/>
      <c r="C5" s="174"/>
      <c r="D5" s="779"/>
      <c r="E5" s="543">
        <f>Data!AL1</f>
        <v>46249</v>
      </c>
      <c r="F5" s="178"/>
      <c r="G5" s="179"/>
      <c r="H5" s="179"/>
      <c r="I5" s="876"/>
      <c r="J5" s="876"/>
      <c r="K5" s="876"/>
      <c r="L5" s="254"/>
      <c r="M5" s="329"/>
      <c r="N5" s="208"/>
      <c r="O5" s="180"/>
      <c r="P5" s="180"/>
      <c r="Q5" s="584">
        <f>IF(Q4="","",Q4/Data!$X$1)</f>
        <v>0</v>
      </c>
      <c r="R5" s="584"/>
      <c r="S5" s="585" t="str">
        <f>IF(SUM(X8:X19)=0,"",SUM(X8:X19))</f>
        <v/>
      </c>
      <c r="T5" s="181"/>
      <c r="U5" s="182"/>
      <c r="V5" s="182"/>
      <c r="W5" s="182"/>
      <c r="X5" s="182"/>
      <c r="Y5" s="180"/>
      <c r="Z5" s="584">
        <f>IF(Z4="","",Z4/Data!$X$1)</f>
        <v>0</v>
      </c>
      <c r="AA5" s="584"/>
      <c r="AB5" s="585" t="str">
        <f>IF(SUM(AG8:AG19)=0,"",SUM(AG8:AG19))</f>
        <v/>
      </c>
      <c r="AC5" s="181"/>
      <c r="AD5" s="182"/>
      <c r="AE5" s="182"/>
      <c r="AF5" s="182"/>
      <c r="AG5" s="182"/>
      <c r="AH5" s="180"/>
      <c r="AI5" s="584">
        <f>IF(AI4="","",AI4/Data!$X$1)</f>
        <v>0</v>
      </c>
      <c r="AJ5" s="584"/>
      <c r="AK5" s="585" t="str">
        <f>IF(SUM(AP8:AP19)=0,"",SUM(AP8:AP19))</f>
        <v/>
      </c>
      <c r="AL5" s="181"/>
      <c r="AM5" s="182"/>
      <c r="AN5" s="182"/>
      <c r="AO5" s="182"/>
      <c r="AP5" s="182"/>
      <c r="AQ5" s="180"/>
      <c r="AR5" s="584">
        <f>IF(AR4="","",AR4/Data!$X$1)</f>
        <v>0</v>
      </c>
      <c r="AS5" s="584"/>
      <c r="AT5" s="585" t="str">
        <f>IF(SUM(AY8:AY19)=0,"",SUM(AY8:AY19))</f>
        <v/>
      </c>
      <c r="AU5" s="183"/>
      <c r="AV5" s="182"/>
      <c r="AW5" s="182"/>
      <c r="AX5" s="182"/>
      <c r="AY5" s="182"/>
      <c r="AZ5" s="184"/>
      <c r="BA5" s="584">
        <f>IF(BA4="","",BA4/Data!$X$1)</f>
        <v>0</v>
      </c>
      <c r="BB5" s="584"/>
      <c r="BC5" s="585" t="str">
        <f>IF(SUM(BH8:BH19)=0,"",SUM(BH8:BH19))</f>
        <v/>
      </c>
      <c r="BD5" s="183"/>
      <c r="BE5" s="182"/>
      <c r="BF5" s="182"/>
      <c r="BG5" s="182"/>
      <c r="BH5" s="182"/>
      <c r="BI5" s="184"/>
      <c r="BJ5" s="584">
        <f>IF(BJ4="","",BJ4/Data!$X$1)</f>
        <v>0</v>
      </c>
      <c r="BK5" s="584"/>
      <c r="BL5" s="585" t="str">
        <f>IF(SUM(BQ8:BQ19)=0,"",SUM(BQ8:BQ19))</f>
        <v/>
      </c>
      <c r="BM5" s="183"/>
      <c r="BN5" s="182"/>
      <c r="BO5" s="182"/>
      <c r="BP5" s="182"/>
      <c r="BQ5" s="182"/>
      <c r="BR5" s="185"/>
      <c r="BS5" s="584">
        <f>IF(BS4="","",BS4/Data!$X$1)</f>
        <v>0</v>
      </c>
      <c r="BT5" s="584"/>
      <c r="BU5" s="585" t="str">
        <f>IF(SUM(BZ8:BZ19)=0,"",SUM(BZ8:BZ19))</f>
        <v/>
      </c>
      <c r="BV5" s="184"/>
      <c r="BW5" s="182"/>
      <c r="BX5" s="182"/>
      <c r="BY5" s="182"/>
      <c r="BZ5" s="182"/>
      <c r="CA5" s="185"/>
      <c r="CB5" s="584">
        <f>IF(CB4="","",CB4/Data!$X$1)</f>
        <v>0</v>
      </c>
      <c r="CC5" s="584"/>
      <c r="CD5" s="585" t="str">
        <f>IF(SUM(CI8:CI19)=0,"",SUM(CI8:CI19))</f>
        <v/>
      </c>
      <c r="CE5" s="184"/>
      <c r="CF5" s="182"/>
      <c r="CG5" s="182"/>
      <c r="CH5" s="182"/>
      <c r="CI5" s="182"/>
      <c r="CJ5" s="182"/>
      <c r="CK5" s="584">
        <f>IF(CK4="","",CK4/Data!$X$1)</f>
        <v>0</v>
      </c>
      <c r="CL5" s="584"/>
      <c r="CM5" s="585" t="str">
        <f>IF(SUM(CR8:CR19)=0,"",SUM(CR8:CR19))</f>
        <v/>
      </c>
      <c r="CN5" s="184"/>
      <c r="CO5" s="182"/>
      <c r="CP5" s="182"/>
      <c r="CQ5" s="182"/>
      <c r="CR5" s="182"/>
      <c r="CS5" s="182"/>
      <c r="CT5" s="182"/>
      <c r="CU5" s="255"/>
      <c r="CV5" s="209"/>
      <c r="CW5" s="218"/>
      <c r="CX5" s="4"/>
      <c r="CY5" s="4"/>
    </row>
    <row r="6" spans="1:103" ht="13.35" customHeight="1" thickBot="1" x14ac:dyDescent="0.25">
      <c r="A6" s="219"/>
      <c r="B6" s="219"/>
      <c r="C6" s="174"/>
      <c r="D6" s="230"/>
      <c r="E6" s="359"/>
      <c r="F6" s="186"/>
      <c r="G6" s="187"/>
      <c r="H6" s="187"/>
      <c r="I6" s="673"/>
      <c r="J6" s="674"/>
      <c r="K6" s="674"/>
      <c r="L6" s="256"/>
      <c r="M6" s="330"/>
      <c r="N6" s="334"/>
      <c r="O6" s="187"/>
      <c r="P6" s="187"/>
      <c r="Q6" s="342" t="str">
        <f>Data!$E$11</f>
        <v>AHH</v>
      </c>
      <c r="R6" s="343">
        <f>IF($F19="","",RANK(Q4,$Q4:$CL4))</f>
        <v>1</v>
      </c>
      <c r="S6" s="466"/>
      <c r="T6" s="181"/>
      <c r="U6" s="182"/>
      <c r="V6" s="182"/>
      <c r="W6" s="182"/>
      <c r="X6" s="197">
        <f>COUNTIF(U8:W19,"&gt;0")</f>
        <v>0</v>
      </c>
      <c r="Y6" s="180"/>
      <c r="Z6" s="342" t="str">
        <f>Data!$E$12</f>
        <v>RB</v>
      </c>
      <c r="AA6" s="343">
        <f>IF($F19="","",RANK(Z4,$Q4:$CL4))</f>
        <v>1</v>
      </c>
      <c r="AB6" s="466"/>
      <c r="AC6" s="181"/>
      <c r="AD6" s="182"/>
      <c r="AE6" s="182"/>
      <c r="AF6" s="182"/>
      <c r="AG6" s="197">
        <f>COUNTIF(AD8:AF19,"&gt;0")</f>
        <v>0</v>
      </c>
      <c r="AH6" s="180"/>
      <c r="AI6" s="342" t="str">
        <f>Data!$E$13</f>
        <v>EB</v>
      </c>
      <c r="AJ6" s="343">
        <f>IF($F19="","",RANK(AI4,$Q4:$CL4))</f>
        <v>1</v>
      </c>
      <c r="AK6" s="466"/>
      <c r="AL6" s="181"/>
      <c r="AM6" s="182"/>
      <c r="AN6" s="182"/>
      <c r="AO6" s="182"/>
      <c r="AP6" s="197">
        <f>COUNTIF(AM8:AO19,"&gt;0")</f>
        <v>0</v>
      </c>
      <c r="AQ6" s="180"/>
      <c r="AR6" s="305" t="str">
        <f>Data!$E$14</f>
        <v>KAF</v>
      </c>
      <c r="AS6" s="343">
        <f>IF($F19="","",RANK(AR4,$Q4:$CL4))</f>
        <v>1</v>
      </c>
      <c r="AT6" s="466"/>
      <c r="AU6" s="181"/>
      <c r="AV6" s="182"/>
      <c r="AW6" s="182"/>
      <c r="AX6" s="182"/>
      <c r="AY6" s="197">
        <f>COUNTIF(AV8:AX19,"&gt;0")</f>
        <v>0</v>
      </c>
      <c r="AZ6" s="180"/>
      <c r="BA6" s="305" t="str">
        <f>Data!$E$15</f>
        <v>ØG</v>
      </c>
      <c r="BB6" s="343">
        <f>IF($F19="","",RANK(BA4,$Q4:$CL4))</f>
        <v>1</v>
      </c>
      <c r="BC6" s="466"/>
      <c r="BD6" s="181"/>
      <c r="BE6" s="182"/>
      <c r="BF6" s="182"/>
      <c r="BG6" s="182"/>
      <c r="BH6" s="197">
        <f>COUNTIF(BE8:BG19,"&gt;0")</f>
        <v>0</v>
      </c>
      <c r="BI6" s="180"/>
      <c r="BJ6" s="305" t="str">
        <f>Data!$E$16</f>
        <v>JH</v>
      </c>
      <c r="BK6" s="343">
        <f>IF($F19="","",RANK(BJ4,$Q4:$CL4))</f>
        <v>1</v>
      </c>
      <c r="BL6" s="466"/>
      <c r="BM6" s="181"/>
      <c r="BN6" s="182"/>
      <c r="BO6" s="182"/>
      <c r="BP6" s="182"/>
      <c r="BQ6" s="197">
        <f>COUNTIF(BN8:BP19,"&gt;0")</f>
        <v>0</v>
      </c>
      <c r="BR6" s="188"/>
      <c r="BS6" s="305" t="str">
        <f>Data!$E$17</f>
        <v>TOH</v>
      </c>
      <c r="BT6" s="343">
        <f>IF($F19="","",RANK(BS4,$Q4:$CL4))</f>
        <v>1</v>
      </c>
      <c r="BU6" s="466"/>
      <c r="BV6" s="180"/>
      <c r="BW6" s="182"/>
      <c r="BX6" s="182"/>
      <c r="BY6" s="182"/>
      <c r="BZ6" s="197">
        <f>COUNTIF(BW8:BY19,"&gt;0")</f>
        <v>0</v>
      </c>
      <c r="CA6" s="188"/>
      <c r="CB6" s="305" t="s">
        <v>26</v>
      </c>
      <c r="CC6" s="343">
        <f>IF($F19="","",RANK(CB4,$Q4:$CM4))</f>
        <v>1</v>
      </c>
      <c r="CD6" s="467"/>
      <c r="CE6" s="180"/>
      <c r="CF6" s="182"/>
      <c r="CG6" s="182"/>
      <c r="CH6" s="182"/>
      <c r="CI6" s="197">
        <f>COUNTIF(CF8:CH19,"&gt;0")</f>
        <v>0</v>
      </c>
      <c r="CJ6" s="182"/>
      <c r="CK6" s="305" t="s">
        <v>27</v>
      </c>
      <c r="CL6" s="343">
        <f>IF($F19="","",RANK(CK4,$Q4:$CM4))</f>
        <v>1</v>
      </c>
      <c r="CM6" s="669" t="s">
        <v>46</v>
      </c>
      <c r="CN6" s="180"/>
      <c r="CO6" s="182"/>
      <c r="CP6" s="182"/>
      <c r="CQ6" s="182"/>
      <c r="CR6" s="197">
        <f>COUNTIF(CO8:CQ19,"&gt;0")</f>
        <v>0</v>
      </c>
      <c r="CS6" s="182"/>
      <c r="CT6" s="182"/>
      <c r="CU6" s="255"/>
      <c r="CV6" s="209"/>
      <c r="CW6" s="218"/>
      <c r="CX6" s="4"/>
      <c r="CY6" s="4"/>
    </row>
    <row r="7" spans="1:103" s="142" customFormat="1" ht="13.35" customHeight="1" x14ac:dyDescent="0.2">
      <c r="A7" s="227"/>
      <c r="B7" s="227"/>
      <c r="C7" s="168"/>
      <c r="D7" s="231"/>
      <c r="E7" s="189"/>
      <c r="F7" s="190"/>
      <c r="G7" s="191"/>
      <c r="H7" s="191"/>
      <c r="I7" s="192" t="s">
        <v>47</v>
      </c>
      <c r="J7" s="193" t="s">
        <v>48</v>
      </c>
      <c r="K7" s="194" t="s">
        <v>49</v>
      </c>
      <c r="L7" s="257"/>
      <c r="M7" s="331"/>
      <c r="N7" s="335"/>
      <c r="O7" s="195"/>
      <c r="P7" s="195"/>
      <c r="Q7" s="192" t="s">
        <v>47</v>
      </c>
      <c r="R7" s="193" t="s">
        <v>48</v>
      </c>
      <c r="S7" s="194" t="s">
        <v>49</v>
      </c>
      <c r="T7" s="196"/>
      <c r="U7" s="197"/>
      <c r="V7" s="197"/>
      <c r="W7" s="197"/>
      <c r="X7" s="197"/>
      <c r="Y7" s="195"/>
      <c r="Z7" s="192" t="s">
        <v>47</v>
      </c>
      <c r="AA7" s="193" t="s">
        <v>48</v>
      </c>
      <c r="AB7" s="194" t="s">
        <v>49</v>
      </c>
      <c r="AC7" s="196"/>
      <c r="AD7" s="197"/>
      <c r="AE7" s="197"/>
      <c r="AF7" s="197"/>
      <c r="AG7" s="197"/>
      <c r="AH7" s="195"/>
      <c r="AI7" s="192" t="s">
        <v>47</v>
      </c>
      <c r="AJ7" s="193" t="s">
        <v>48</v>
      </c>
      <c r="AK7" s="194" t="s">
        <v>49</v>
      </c>
      <c r="AL7" s="196"/>
      <c r="AM7" s="197"/>
      <c r="AN7" s="197"/>
      <c r="AO7" s="197"/>
      <c r="AP7" s="197"/>
      <c r="AQ7" s="195"/>
      <c r="AR7" s="192" t="s">
        <v>47</v>
      </c>
      <c r="AS7" s="193" t="s">
        <v>48</v>
      </c>
      <c r="AT7" s="194" t="s">
        <v>49</v>
      </c>
      <c r="AU7" s="196"/>
      <c r="AV7" s="197"/>
      <c r="AW7" s="197"/>
      <c r="AX7" s="197"/>
      <c r="AY7" s="197"/>
      <c r="AZ7" s="195"/>
      <c r="BA7" s="192" t="s">
        <v>47</v>
      </c>
      <c r="BB7" s="193" t="s">
        <v>48</v>
      </c>
      <c r="BC7" s="194" t="s">
        <v>49</v>
      </c>
      <c r="BD7" s="196"/>
      <c r="BE7" s="197"/>
      <c r="BF7" s="197"/>
      <c r="BG7" s="197"/>
      <c r="BH7" s="197"/>
      <c r="BI7" s="195"/>
      <c r="BJ7" s="192" t="s">
        <v>47</v>
      </c>
      <c r="BK7" s="193" t="s">
        <v>48</v>
      </c>
      <c r="BL7" s="194" t="s">
        <v>49</v>
      </c>
      <c r="BM7" s="196"/>
      <c r="BN7" s="197"/>
      <c r="BO7" s="197"/>
      <c r="BP7" s="197"/>
      <c r="BQ7" s="197"/>
      <c r="BR7" s="195"/>
      <c r="BS7" s="192" t="s">
        <v>47</v>
      </c>
      <c r="BT7" s="193" t="s">
        <v>48</v>
      </c>
      <c r="BU7" s="194" t="s">
        <v>49</v>
      </c>
      <c r="BV7" s="196"/>
      <c r="BW7" s="197"/>
      <c r="BX7" s="197"/>
      <c r="BY7" s="197"/>
      <c r="BZ7" s="197"/>
      <c r="CA7" s="195"/>
      <c r="CB7" s="192" t="s">
        <v>47</v>
      </c>
      <c r="CC7" s="193" t="s">
        <v>48</v>
      </c>
      <c r="CD7" s="194" t="s">
        <v>49</v>
      </c>
      <c r="CE7" s="196"/>
      <c r="CF7" s="197"/>
      <c r="CG7" s="197"/>
      <c r="CH7" s="197"/>
      <c r="CI7" s="197"/>
      <c r="CJ7" s="197"/>
      <c r="CK7" s="192" t="s">
        <v>47</v>
      </c>
      <c r="CL7" s="193" t="s">
        <v>48</v>
      </c>
      <c r="CM7" s="194" t="s">
        <v>49</v>
      </c>
      <c r="CN7" s="196"/>
      <c r="CO7" s="197"/>
      <c r="CP7" s="197"/>
      <c r="CQ7" s="197"/>
      <c r="CR7" s="197"/>
      <c r="CS7" s="197"/>
      <c r="CT7" s="198"/>
      <c r="CU7" s="255"/>
      <c r="CV7" s="209"/>
      <c r="CW7" s="228"/>
      <c r="CX7" s="141"/>
      <c r="CY7" s="141"/>
    </row>
    <row r="8" spans="1:103" s="143" customFormat="1" ht="13.35" customHeight="1" outlineLevel="2" x14ac:dyDescent="0.2">
      <c r="A8" s="227"/>
      <c r="B8" s="227"/>
      <c r="C8" s="168"/>
      <c r="D8" s="232"/>
      <c r="E8" s="134" t="s">
        <v>50</v>
      </c>
      <c r="F8" s="424">
        <v>1</v>
      </c>
      <c r="G8" s="428" t="s">
        <v>51</v>
      </c>
      <c r="H8" s="429">
        <v>1</v>
      </c>
      <c r="I8" s="138" t="str">
        <f t="shared" ref="I8:I19" si="0">IF($F8&gt;$H8,"x","")</f>
        <v/>
      </c>
      <c r="J8" s="344" t="str">
        <f t="shared" ref="J8:J19" si="1">IF(F8&lt;&gt;"",IF(H8&lt;&gt;"",IF(F8=H8,"x",""),""),"")</f>
        <v>x</v>
      </c>
      <c r="K8" s="345" t="str">
        <f t="shared" ref="K8:K19" si="2">IF($F8&lt;$H8,"x","")</f>
        <v/>
      </c>
      <c r="L8" s="258"/>
      <c r="M8" s="332"/>
      <c r="N8" s="336"/>
      <c r="O8" s="200"/>
      <c r="P8" s="200"/>
      <c r="Q8" s="436">
        <v>80</v>
      </c>
      <c r="R8" s="437">
        <v>10</v>
      </c>
      <c r="S8" s="438">
        <f t="shared" ref="S8:S19" si="3">IF(Q8="","",100-SUM(Q8:R8))</f>
        <v>10</v>
      </c>
      <c r="T8" s="328"/>
      <c r="U8" s="197" t="str">
        <f>IF(AND($I8="x",AND(MAX(Q8:S8)=Q8,"")),Data!$BI$2,"")</f>
        <v/>
      </c>
      <c r="V8" s="197" t="str">
        <f>IF(AND($J8="x",AND(MAX(Q8:S8)=R8,"")),Data!$BJ$2,"")</f>
        <v/>
      </c>
      <c r="W8" s="197" t="str">
        <f>IF(AND($K8="x",AND(MAX(Q8:S8)=S8,"")),Data!$BK$2,"")</f>
        <v/>
      </c>
      <c r="X8" s="197"/>
      <c r="Y8" s="328"/>
      <c r="Z8" s="451">
        <v>80</v>
      </c>
      <c r="AA8" s="452">
        <v>10</v>
      </c>
      <c r="AB8" s="438">
        <f t="shared" ref="AB8:AB19" si="4">IF(Z8="","",100-SUM(Z8:AA8))</f>
        <v>10</v>
      </c>
      <c r="AC8" s="328"/>
      <c r="AD8" s="197" t="str">
        <f>IF(AND($I8="x",AND(MAX(Z8:AB8)=Z8,"")),Data!$BI$2,"")</f>
        <v/>
      </c>
      <c r="AE8" s="197" t="str">
        <f>IF(AND($J8="x",AND(MAX(Z8:AB8)=AA8,AA8&lt;&gt;"")),Data!$BJ$2,"")</f>
        <v/>
      </c>
      <c r="AF8" s="197" t="str">
        <f>IF(AND($K8="x",AND(MAX(Z8:AB8)=AB8,AB8&lt;&gt;"")),Data!$BK$2,"")</f>
        <v/>
      </c>
      <c r="AG8" s="197"/>
      <c r="AH8" s="328"/>
      <c r="AI8" s="451">
        <v>80</v>
      </c>
      <c r="AJ8" s="452">
        <v>10</v>
      </c>
      <c r="AK8" s="438">
        <f t="shared" ref="AK8:AK19" si="5">IF(AI8="","",100-SUM(AI8:AJ8))</f>
        <v>10</v>
      </c>
      <c r="AL8" s="328"/>
      <c r="AM8" s="197" t="str">
        <f>IF(AND($I8="x",AND(MAX(AI8:AK8)=AI8,AI8&lt;&gt;"")),Data!$BI$2,"")</f>
        <v/>
      </c>
      <c r="AN8" s="197" t="str">
        <f>IF(AND($J8="x",AND(MAX(AI8:AK8)=AJ8,AJ8&lt;&gt;"")),Data!$BJ$2,"")</f>
        <v/>
      </c>
      <c r="AO8" s="197" t="str">
        <f>IF(AND($K8="x",AND(MAX(AI8:AK8)=AK8,AK8&lt;&gt;"")),Data!$BK$2,"")</f>
        <v/>
      </c>
      <c r="AP8" s="197"/>
      <c r="AQ8" s="328"/>
      <c r="AR8" s="451">
        <v>80</v>
      </c>
      <c r="AS8" s="452">
        <v>10</v>
      </c>
      <c r="AT8" s="438">
        <f t="shared" ref="AT8:AT19" si="6">IF(AR8="","",100-SUM(AR8:AS8))</f>
        <v>10</v>
      </c>
      <c r="AU8" s="328"/>
      <c r="AV8" s="197" t="str">
        <f>IF(AND($I8="x",AND(MAX(AR8:AT8)=AR8,AR8&lt;&gt;"")),Data!$BI$2,"")</f>
        <v/>
      </c>
      <c r="AW8" s="197" t="str">
        <f>IF(AND($J8="x",AND(MAX(AR8:AT8)=AS8,AS8&lt;&gt;"")),Data!$BJ$2,"")</f>
        <v/>
      </c>
      <c r="AX8" s="197" t="str">
        <f>IF(AND($K8="x",AND(MAX(AR8:AT8)=AT8,AT8&lt;&gt;"")),Data!$BK$2,"")</f>
        <v/>
      </c>
      <c r="AY8" s="197"/>
      <c r="AZ8" s="328"/>
      <c r="BA8" s="451">
        <v>80</v>
      </c>
      <c r="BB8" s="452">
        <v>10</v>
      </c>
      <c r="BC8" s="438">
        <f>IF(BA8="","",100-SUM(BA8:BB8))</f>
        <v>10</v>
      </c>
      <c r="BD8" s="328"/>
      <c r="BE8" s="197" t="str">
        <f>IF(AND($I8="x",AND(MAX(BA8:BC8)=BA8,BA8&lt;&gt;"")),Data!$BI$2,"")</f>
        <v/>
      </c>
      <c r="BF8" s="197" t="str">
        <f>IF(AND($J8="x",AND(MAX(BA8:BC8)=BB8,BB8&lt;&gt;"")),Data!$BJ$2,"")</f>
        <v/>
      </c>
      <c r="BG8" s="197" t="str">
        <f>IF(AND($K8="x",AND(MAX(BA8:BC8)=BC8,BC8&lt;&gt;"")),Data!$BK$2,"")</f>
        <v/>
      </c>
      <c r="BH8" s="197"/>
      <c r="BI8" s="328"/>
      <c r="BJ8" s="451">
        <v>80</v>
      </c>
      <c r="BK8" s="452">
        <v>10</v>
      </c>
      <c r="BL8" s="438">
        <f t="shared" ref="BL8:BL19" si="7">IF(BJ8="","",100-SUM(BJ8:BK8))</f>
        <v>10</v>
      </c>
      <c r="BM8" s="328"/>
      <c r="BN8" s="197" t="str">
        <f>IF(AND($I8="x",AND(MAX(BJ8:BL8)=BJ8,BJ8&lt;&gt;"")),Data!$BI$2,"")</f>
        <v/>
      </c>
      <c r="BO8" s="197" t="str">
        <f>IF(AND($J8="x",AND(MAX(BJ8:BL8)=BK8,BK8&lt;&gt;"")),Data!$BJ$2,"")</f>
        <v/>
      </c>
      <c r="BP8" s="197" t="str">
        <f>IF(AND($K8="x",AND(MAX(BJ8:BL8)=BL8,BL8&lt;&gt;"")),Data!$BK$2,"")</f>
        <v/>
      </c>
      <c r="BQ8" s="197"/>
      <c r="BR8" s="328"/>
      <c r="BS8" s="451">
        <v>80</v>
      </c>
      <c r="BT8" s="452">
        <v>10</v>
      </c>
      <c r="BU8" s="438">
        <f t="shared" ref="BU8:BU19" si="8">IF(BS8="","",100-SUM(BS8:BT8))</f>
        <v>10</v>
      </c>
      <c r="BV8" s="328"/>
      <c r="BW8" s="197" t="str">
        <f>IF(AND($I8="x",AND(MAX(BS8:BU8)=BS8,BS8&lt;&gt;"")),Data!$BI$2,"")</f>
        <v/>
      </c>
      <c r="BX8" s="197" t="str">
        <f>IF(AND($J8="x",AND(MAX(BS8:BU8)=BT8,BT8&lt;&gt;"")),Data!$BJ$2,"")</f>
        <v/>
      </c>
      <c r="BY8" s="197" t="str">
        <f>IF(AND($K8="x",AND(MAX(BS8:BU8)=BU8,BU8&lt;&gt;"")),Data!$BK$2,"")</f>
        <v/>
      </c>
      <c r="BZ8" s="197"/>
      <c r="CA8" s="328"/>
      <c r="CB8" s="457">
        <f t="shared" ref="CB8:CB19" si="9">IFERROR(ROUNDUP((SUM(Q8,Z8,AI8,AR8,BA8,BJ8,BS8)/SUM($Q8:$S8,$Z8:$AB8,$AI8:$AK8,$AR8:$AT8,$BA8:$BC8,$BJ8:$BL8,$BS8:$BU8))*100,-1),"")</f>
        <v>80</v>
      </c>
      <c r="CC8" s="458">
        <f t="shared" ref="CC8:CC19" si="10">IFERROR(ROUNDDOWN((SUM(R8,AA8,AJ8,AS8,BB8,BK8,BT8)/SUM($Q8:$S8,$Z8:$AB8,$AI8:$AK8,$AR8:$AT8,$BA8:$BC8,$BJ8:$BL8,$BS8:$BU8))*100,-1),"")</f>
        <v>10</v>
      </c>
      <c r="CD8" s="459">
        <f t="shared" ref="CD8:CD19" si="11">IF(CB8="","",100-SUM(CB8:CC8))</f>
        <v>10</v>
      </c>
      <c r="CE8" s="328"/>
      <c r="CF8" s="197" t="str">
        <f>IF(AND($I8="x",AND(MAX(CB8:CD8)=CB8,CB8&lt;&gt;"")),Data!$BI$2,"")</f>
        <v/>
      </c>
      <c r="CG8" s="197" t="str">
        <f>IF(AND($J8="x",AND(MAX(CB8:CD8)=CC8,CC8&lt;&gt;"")),Data!$BJ$2,"")</f>
        <v/>
      </c>
      <c r="CH8" s="197" t="str">
        <f>IF(AND($K8="x",AND(MAX(CB8:CD8)=CD8,CD8&lt;&gt;"")),Data!$BK$2,"")</f>
        <v/>
      </c>
      <c r="CI8" s="197"/>
      <c r="CJ8" s="197"/>
      <c r="CK8" s="451">
        <v>80</v>
      </c>
      <c r="CL8" s="452">
        <v>10</v>
      </c>
      <c r="CM8" s="438">
        <f>IF(CK8="","",100-SUM(CK8:CL8))</f>
        <v>10</v>
      </c>
      <c r="CN8" s="328"/>
      <c r="CO8" s="197" t="str">
        <f>IF(AND($I8="x",AND(MAX(CK8:CM8)=CK8,CK8&lt;&gt;"")),Data!$BI$2,"")</f>
        <v/>
      </c>
      <c r="CP8" s="197" t="str">
        <f>IF(AND($J8="x",AND(MAX(CK8:CM8)=CL8,CL8&lt;&gt;"")),Data!$BJ$2,"")</f>
        <v/>
      </c>
      <c r="CQ8" s="197" t="str">
        <f>IF(AND($K8="x",AND(MAX(CK8:CM8)=CM8,CM8&lt;&gt;"")),Data!$BK$2,"")</f>
        <v/>
      </c>
      <c r="CR8" s="197"/>
      <c r="CS8" s="197"/>
      <c r="CT8" s="328"/>
      <c r="CU8" s="255"/>
      <c r="CV8" s="209"/>
      <c r="CW8" s="227"/>
      <c r="CX8" s="141"/>
      <c r="CY8" s="141"/>
    </row>
    <row r="9" spans="1:103" s="143" customFormat="1" ht="13.35" customHeight="1" outlineLevel="2" x14ac:dyDescent="0.2">
      <c r="A9" s="227"/>
      <c r="B9" s="227"/>
      <c r="C9" s="168"/>
      <c r="D9" s="232"/>
      <c r="E9" s="135" t="s">
        <v>52</v>
      </c>
      <c r="F9" s="425">
        <v>1</v>
      </c>
      <c r="G9" s="430" t="s">
        <v>51</v>
      </c>
      <c r="H9" s="431">
        <v>1</v>
      </c>
      <c r="I9" s="346" t="str">
        <f t="shared" si="0"/>
        <v/>
      </c>
      <c r="J9" s="347" t="str">
        <f t="shared" si="1"/>
        <v>x</v>
      </c>
      <c r="K9" s="348" t="str">
        <f t="shared" si="2"/>
        <v/>
      </c>
      <c r="L9" s="258"/>
      <c r="M9" s="332"/>
      <c r="N9" s="336"/>
      <c r="O9" s="200"/>
      <c r="P9" s="200"/>
      <c r="Q9" s="439">
        <v>80</v>
      </c>
      <c r="R9" s="440">
        <v>10</v>
      </c>
      <c r="S9" s="441">
        <f t="shared" si="3"/>
        <v>10</v>
      </c>
      <c r="T9" s="328"/>
      <c r="U9" s="197" t="str">
        <f>IF(AND($I9="x",AND(MAX(Q9:S9)=Q9,"")),Data!$BI$2,"")</f>
        <v/>
      </c>
      <c r="V9" s="197" t="str">
        <f>IF(AND($J9="x",AND(MAX(Q9:S9)=R9,"")),Data!$BJ$2,"")</f>
        <v/>
      </c>
      <c r="W9" s="197" t="str">
        <f>IF(AND($K9="x",AND(MAX(Q9:S9)=S9,"")),Data!$BK$2,"")</f>
        <v/>
      </c>
      <c r="X9" s="197"/>
      <c r="Y9" s="328"/>
      <c r="Z9" s="453">
        <v>80</v>
      </c>
      <c r="AA9" s="454">
        <v>10</v>
      </c>
      <c r="AB9" s="441">
        <f t="shared" si="4"/>
        <v>10</v>
      </c>
      <c r="AC9" s="328"/>
      <c r="AD9" s="197" t="str">
        <f>IF(AND($I9="x",AND(MAX(Z9:AB9)=Z9,"")),Data!$BI$2,"")</f>
        <v/>
      </c>
      <c r="AE9" s="197" t="str">
        <f>IF(AND($J9="x",AND(MAX(Z9:AB9)=AA9,AA9&lt;&gt;"")),Data!$BJ$2,"")</f>
        <v/>
      </c>
      <c r="AF9" s="197" t="str">
        <f>IF(AND($K9="x",AND(MAX(Z9:AB9)=AB9,AB9&lt;&gt;"")),Data!$BK$2,"")</f>
        <v/>
      </c>
      <c r="AG9" s="197"/>
      <c r="AH9" s="328"/>
      <c r="AI9" s="453">
        <v>80</v>
      </c>
      <c r="AJ9" s="454">
        <v>10</v>
      </c>
      <c r="AK9" s="441">
        <f t="shared" si="5"/>
        <v>10</v>
      </c>
      <c r="AL9" s="328"/>
      <c r="AM9" s="197" t="str">
        <f>IF(AND($I9="x",AND(MAX(AI9:AK9)=AI9,AI9&lt;&gt;"")),Data!$BI$2,"")</f>
        <v/>
      </c>
      <c r="AN9" s="197" t="str">
        <f>IF(AND($J9="x",AND(MAX(AI9:AK9)=AJ9,AJ9&lt;&gt;"")),Data!$BJ$2,"")</f>
        <v/>
      </c>
      <c r="AO9" s="197" t="str">
        <f>IF(AND($K9="x",AND(MAX(AI9:AK9)=AK9,AK9&lt;&gt;"")),Data!$BK$2,"")</f>
        <v/>
      </c>
      <c r="AP9" s="197"/>
      <c r="AQ9" s="328"/>
      <c r="AR9" s="453">
        <v>80</v>
      </c>
      <c r="AS9" s="454">
        <v>10</v>
      </c>
      <c r="AT9" s="441">
        <f t="shared" si="6"/>
        <v>10</v>
      </c>
      <c r="AU9" s="328"/>
      <c r="AV9" s="197" t="str">
        <f>IF(AND($I9="x",AND(MAX(AR9:AT9)=AR9,AR9&lt;&gt;"")),Data!$BI$2,"")</f>
        <v/>
      </c>
      <c r="AW9" s="197" t="str">
        <f>IF(AND($J9="x",AND(MAX(AR9:AT9)=AS9,AS9&lt;&gt;"")),Data!$BJ$2,"")</f>
        <v/>
      </c>
      <c r="AX9" s="197" t="str">
        <f>IF(AND($K9="x",AND(MAX(AR9:AT9)=AT9,AT9&lt;&gt;"")),Data!$BK$2,"")</f>
        <v/>
      </c>
      <c r="AY9" s="197"/>
      <c r="AZ9" s="328"/>
      <c r="BA9" s="453">
        <v>80</v>
      </c>
      <c r="BB9" s="454">
        <v>10</v>
      </c>
      <c r="BC9" s="441">
        <f>IF(BA9="","",100-SUM(BA9:BB9))</f>
        <v>10</v>
      </c>
      <c r="BD9" s="328"/>
      <c r="BE9" s="197" t="str">
        <f>IF(AND($I9="x",AND(MAX(BA9:BC9)=BA9,BA9&lt;&gt;"")),Data!$BI$2,"")</f>
        <v/>
      </c>
      <c r="BF9" s="197" t="str">
        <f>IF(AND($J9="x",AND(MAX(BA9:BC9)=BB9,BB9&lt;&gt;"")),Data!$BJ$2,"")</f>
        <v/>
      </c>
      <c r="BG9" s="197" t="str">
        <f>IF(AND($K9="x",AND(MAX(BA9:BC9)=BC9,BC9&lt;&gt;"")),Data!$BK$2,"")</f>
        <v/>
      </c>
      <c r="BH9" s="197"/>
      <c r="BI9" s="328"/>
      <c r="BJ9" s="453">
        <v>80</v>
      </c>
      <c r="BK9" s="454">
        <v>10</v>
      </c>
      <c r="BL9" s="441">
        <f t="shared" si="7"/>
        <v>10</v>
      </c>
      <c r="BM9" s="328"/>
      <c r="BN9" s="197" t="str">
        <f>IF(AND($I9="x",AND(MAX(BJ9:BL9)=BJ9,BJ9&lt;&gt;"")),Data!$BI$2,"")</f>
        <v/>
      </c>
      <c r="BO9" s="197" t="str">
        <f>IF(AND($J9="x",AND(MAX(BJ9:BL9)=BK9,BK9&lt;&gt;"")),Data!$BJ$2,"")</f>
        <v/>
      </c>
      <c r="BP9" s="197" t="str">
        <f>IF(AND($K9="x",AND(MAX(BJ9:BL9)=BL9,BL9&lt;&gt;"")),Data!$BK$2,"")</f>
        <v/>
      </c>
      <c r="BQ9" s="197"/>
      <c r="BR9" s="328"/>
      <c r="BS9" s="453">
        <v>80</v>
      </c>
      <c r="BT9" s="454">
        <v>10</v>
      </c>
      <c r="BU9" s="441">
        <f t="shared" si="8"/>
        <v>10</v>
      </c>
      <c r="BV9" s="328"/>
      <c r="BW9" s="197" t="str">
        <f>IF(AND($I9="x",AND(MAX(BS9:BU9)=BS9,BS9&lt;&gt;"")),Data!$BI$2,"")</f>
        <v/>
      </c>
      <c r="BX9" s="197" t="str">
        <f>IF(AND($J9="x",AND(MAX(BS9:BU9)=BT9,BT9&lt;&gt;"")),Data!$BJ$2,"")</f>
        <v/>
      </c>
      <c r="BY9" s="197" t="str">
        <f>IF(AND($K9="x",AND(MAX(BS9:BU9)=BU9,BU9&lt;&gt;"")),Data!$BK$2,"")</f>
        <v/>
      </c>
      <c r="BZ9" s="197"/>
      <c r="CA9" s="328"/>
      <c r="CB9" s="460">
        <f t="shared" si="9"/>
        <v>80</v>
      </c>
      <c r="CC9" s="461">
        <f t="shared" si="10"/>
        <v>10</v>
      </c>
      <c r="CD9" s="462">
        <f t="shared" si="11"/>
        <v>10</v>
      </c>
      <c r="CE9" s="328"/>
      <c r="CF9" s="197" t="str">
        <f>IF(AND($I9="x",AND(MAX(CB9:CD9)=CB9,CB9&lt;&gt;"")),Data!$BI$2,"")</f>
        <v/>
      </c>
      <c r="CG9" s="197" t="str">
        <f>IF(AND($J9="x",AND(MAX(CB9:CD9)=CC9,CC9&lt;&gt;"")),Data!$BJ$2,"")</f>
        <v/>
      </c>
      <c r="CH9" s="197" t="str">
        <f>IF(AND($K9="x",AND(MAX(CB9:CD9)=CD9,CD9&lt;&gt;"")),Data!$BK$2,"")</f>
        <v/>
      </c>
      <c r="CI9" s="197"/>
      <c r="CJ9" s="197"/>
      <c r="CK9" s="453">
        <v>80</v>
      </c>
      <c r="CL9" s="454">
        <v>10</v>
      </c>
      <c r="CM9" s="441">
        <f>IF(CK9="","",100-SUM(CK9:CL9))</f>
        <v>10</v>
      </c>
      <c r="CN9" s="328"/>
      <c r="CO9" s="197" t="str">
        <f>IF(AND($I9="x",AND(MAX(CK9:CM9)=CK9,CK9&lt;&gt;"")),Data!$BI$2,"")</f>
        <v/>
      </c>
      <c r="CP9" s="197" t="str">
        <f>IF(AND($J9="x",AND(MAX(CK9:CM9)=CL9,CL9&lt;&gt;"")),Data!$BJ$2,"")</f>
        <v/>
      </c>
      <c r="CQ9" s="197" t="str">
        <f>IF(AND($K9="x",AND(MAX(CK9:CM9)=CM9,CM9&lt;&gt;"")),Data!$BK$2,"")</f>
        <v/>
      </c>
      <c r="CR9" s="197"/>
      <c r="CS9" s="197"/>
      <c r="CT9" s="328"/>
      <c r="CU9" s="255"/>
      <c r="CV9" s="209"/>
      <c r="CW9" s="227"/>
      <c r="CX9" s="141"/>
      <c r="CY9" s="141"/>
    </row>
    <row r="10" spans="1:103" s="143" customFormat="1" ht="13.35" customHeight="1" outlineLevel="2" x14ac:dyDescent="0.2">
      <c r="A10" s="227"/>
      <c r="B10" s="227"/>
      <c r="C10" s="168"/>
      <c r="D10" s="232"/>
      <c r="E10" s="136" t="s">
        <v>53</v>
      </c>
      <c r="F10" s="426">
        <v>1</v>
      </c>
      <c r="G10" s="432" t="s">
        <v>51</v>
      </c>
      <c r="H10" s="433">
        <v>1</v>
      </c>
      <c r="I10" s="349" t="str">
        <f t="shared" si="0"/>
        <v/>
      </c>
      <c r="J10" s="350" t="str">
        <f t="shared" si="1"/>
        <v>x</v>
      </c>
      <c r="K10" s="351" t="str">
        <f t="shared" si="2"/>
        <v/>
      </c>
      <c r="L10" s="258"/>
      <c r="M10" s="332"/>
      <c r="N10" s="336"/>
      <c r="O10" s="200"/>
      <c r="P10" s="200"/>
      <c r="Q10" s="442">
        <v>80</v>
      </c>
      <c r="R10" s="443">
        <v>10</v>
      </c>
      <c r="S10" s="444">
        <f t="shared" si="3"/>
        <v>10</v>
      </c>
      <c r="T10" s="328"/>
      <c r="U10" s="197" t="str">
        <f>IF(AND($I10="x",AND(MAX(Q10:S10)=Q10,"")),Data!$BI$2,"")</f>
        <v/>
      </c>
      <c r="V10" s="197" t="str">
        <f>IF(AND($J10="x",AND(MAX(Q10:S10)=R10,"")),Data!$BJ$2,"")</f>
        <v/>
      </c>
      <c r="W10" s="197" t="str">
        <f>IF(AND($K10="x",AND(MAX(Q10:S10)=S10,"")),Data!$BK$2,"")</f>
        <v/>
      </c>
      <c r="X10" s="197"/>
      <c r="Y10" s="328"/>
      <c r="Z10" s="455">
        <v>80</v>
      </c>
      <c r="AA10" s="456">
        <v>10</v>
      </c>
      <c r="AB10" s="444">
        <f t="shared" si="4"/>
        <v>10</v>
      </c>
      <c r="AC10" s="328"/>
      <c r="AD10" s="197" t="str">
        <f>IF(AND($I10="x",AND(MAX(Z10:AB10)=Z10,Z10&lt;&gt;"")),Data!$BI$2,"")</f>
        <v/>
      </c>
      <c r="AE10" s="197" t="str">
        <f>IF(AND($J10="x",AND(MAX(Z10:AB10)=AA10,AA10&lt;&gt;"")),Data!$BJ$2,"")</f>
        <v/>
      </c>
      <c r="AF10" s="197" t="str">
        <f>IF(AND($K10="x",AND(MAX(Z10:AB10)=AB10,AB10&lt;&gt;"")),Data!$BK$2,"")</f>
        <v/>
      </c>
      <c r="AG10" s="197"/>
      <c r="AH10" s="328"/>
      <c r="AI10" s="455">
        <v>80</v>
      </c>
      <c r="AJ10" s="456">
        <v>10</v>
      </c>
      <c r="AK10" s="444">
        <f t="shared" si="5"/>
        <v>10</v>
      </c>
      <c r="AL10" s="328"/>
      <c r="AM10" s="197" t="str">
        <f>IF(AND($I10="x",AND(MAX(AI10:AK10)=AI10,AI10&lt;&gt;"")),Data!$BI$2,"")</f>
        <v/>
      </c>
      <c r="AN10" s="197" t="str">
        <f>IF(AND($J10="x",AND(MAX(AI10:AK10)=AJ10,AJ10&lt;&gt;"")),Data!$BJ$2,"")</f>
        <v/>
      </c>
      <c r="AO10" s="197" t="str">
        <f>IF(AND($K10="x",AND(MAX(AI10:AK10)=AK10,AK10&lt;&gt;"")),Data!$BK$2,"")</f>
        <v/>
      </c>
      <c r="AP10" s="197"/>
      <c r="AQ10" s="328"/>
      <c r="AR10" s="455">
        <v>80</v>
      </c>
      <c r="AS10" s="456">
        <v>10</v>
      </c>
      <c r="AT10" s="444">
        <f t="shared" si="6"/>
        <v>10</v>
      </c>
      <c r="AU10" s="328"/>
      <c r="AV10" s="197" t="str">
        <f>IF(AND($I10="x",AND(MAX(AR10:AT10)=AR10,AR10&lt;&gt;"")),Data!$BI$2,"")</f>
        <v/>
      </c>
      <c r="AW10" s="197" t="str">
        <f>IF(AND($J10="x",AND(MAX(AR10:AT10)=AS10,AS10&lt;&gt;"")),Data!$BJ$2,"")</f>
        <v/>
      </c>
      <c r="AX10" s="197" t="str">
        <f>IF(AND($K10="x",AND(MAX(AR10:AT10)=AT10,AT10&lt;&gt;"")),Data!$BK$2,"")</f>
        <v/>
      </c>
      <c r="AY10" s="197"/>
      <c r="AZ10" s="328"/>
      <c r="BA10" s="455">
        <v>80</v>
      </c>
      <c r="BB10" s="456">
        <v>10</v>
      </c>
      <c r="BC10" s="444">
        <f>IF(BA10="","",100-SUM(BA10:BB10))</f>
        <v>10</v>
      </c>
      <c r="BD10" s="328"/>
      <c r="BE10" s="197" t="str">
        <f>IF(AND($I10="x",AND(MAX(BA10:BC10)=BA10,BA10&lt;&gt;"")),Data!$BI$2,"")</f>
        <v/>
      </c>
      <c r="BF10" s="197" t="str">
        <f>IF(AND($J10="x",AND(MAX(BA10:BC10)=BB10,BB10&lt;&gt;"")),Data!$BJ$2,"")</f>
        <v/>
      </c>
      <c r="BG10" s="197" t="str">
        <f>IF(AND($K10="x",AND(MAX(BA10:BC10)=BC10,BC10&lt;&gt;"")),Data!$BK$2,"")</f>
        <v/>
      </c>
      <c r="BH10" s="197"/>
      <c r="BI10" s="328"/>
      <c r="BJ10" s="455">
        <v>80</v>
      </c>
      <c r="BK10" s="456">
        <v>10</v>
      </c>
      <c r="BL10" s="444">
        <f t="shared" si="7"/>
        <v>10</v>
      </c>
      <c r="BM10" s="328"/>
      <c r="BN10" s="197" t="str">
        <f>IF(AND($I10="x",AND(MAX(BJ10:BL10)=BJ10,BJ10&lt;&gt;"")),Data!$BI$2,"")</f>
        <v/>
      </c>
      <c r="BO10" s="197" t="str">
        <f>IF(AND($J10="x",AND(MAX(BJ10:BL10)=BK10,BK10&lt;&gt;"")),Data!$BJ$2,"")</f>
        <v/>
      </c>
      <c r="BP10" s="197" t="str">
        <f>IF(AND($K10="x",AND(MAX(BJ10:BL10)=BL10,BL10&lt;&gt;"")),Data!$BK$2,"")</f>
        <v/>
      </c>
      <c r="BQ10" s="197"/>
      <c r="BR10" s="328"/>
      <c r="BS10" s="455">
        <v>80</v>
      </c>
      <c r="BT10" s="456">
        <v>10</v>
      </c>
      <c r="BU10" s="444">
        <f t="shared" si="8"/>
        <v>10</v>
      </c>
      <c r="BV10" s="328"/>
      <c r="BW10" s="197" t="str">
        <f>IF(AND($I10="x",AND(MAX(BS10:BU10)=BS10,BS10&lt;&gt;"")),Data!$BI$2,"")</f>
        <v/>
      </c>
      <c r="BX10" s="197" t="str">
        <f>IF(AND($J10="x",AND(MAX(BS10:BU10)=BT10,BT10&lt;&gt;"")),Data!$BJ$2,"")</f>
        <v/>
      </c>
      <c r="BY10" s="197" t="str">
        <f>IF(AND($K10="x",AND(MAX(BS10:BU10)=BU10,BU10&lt;&gt;"")),Data!$BK$2,"")</f>
        <v/>
      </c>
      <c r="BZ10" s="197"/>
      <c r="CA10" s="328"/>
      <c r="CB10" s="463">
        <f t="shared" si="9"/>
        <v>80</v>
      </c>
      <c r="CC10" s="464">
        <f t="shared" si="10"/>
        <v>10</v>
      </c>
      <c r="CD10" s="465">
        <f t="shared" si="11"/>
        <v>10</v>
      </c>
      <c r="CE10" s="328"/>
      <c r="CF10" s="197" t="str">
        <f>IF(AND($I10="x",AND(MAX(CB10:CD10)=CB10,CB10&lt;&gt;"")),Data!$BI$2,"")</f>
        <v/>
      </c>
      <c r="CG10" s="197" t="str">
        <f>IF(AND($J10="x",AND(MAX(CB10:CD10)=CC10,CC10&lt;&gt;"")),Data!$BJ$2,"")</f>
        <v/>
      </c>
      <c r="CH10" s="197" t="str">
        <f>IF(AND($K10="x",AND(MAX(CB10:CD10)=CD10,CD10&lt;&gt;"")),Data!$BK$2,"")</f>
        <v/>
      </c>
      <c r="CI10" s="197"/>
      <c r="CJ10" s="197"/>
      <c r="CK10" s="455">
        <v>80</v>
      </c>
      <c r="CL10" s="456">
        <v>10</v>
      </c>
      <c r="CM10" s="444">
        <f>IF(CK10="","",100-SUM(CK10:CL10))</f>
        <v>10</v>
      </c>
      <c r="CN10" s="328"/>
      <c r="CO10" s="197" t="str">
        <f>IF(AND($I10="x",AND(MAX(CK10:CM10)=CK10,CK10&lt;&gt;"")),Data!$BI$2,"")</f>
        <v/>
      </c>
      <c r="CP10" s="197" t="str">
        <f>IF(AND($J10="x",AND(MAX(CK10:CM10)=CL10,CL10&lt;&gt;"")),Data!$BJ$2,"")</f>
        <v/>
      </c>
      <c r="CQ10" s="197" t="str">
        <f>IF(AND($K10="x",AND(MAX(CK10:CM10)=CM10,CM10&lt;&gt;"")),Data!$BK$2,"")</f>
        <v/>
      </c>
      <c r="CR10" s="197"/>
      <c r="CS10" s="197"/>
      <c r="CT10" s="328"/>
      <c r="CU10" s="255"/>
      <c r="CV10" s="209"/>
      <c r="CW10" s="227"/>
      <c r="CX10" s="144"/>
      <c r="CY10" s="144"/>
    </row>
    <row r="11" spans="1:103" s="143" customFormat="1" ht="13.35" customHeight="1" outlineLevel="2" x14ac:dyDescent="0.2">
      <c r="A11" s="227"/>
      <c r="B11" s="227"/>
      <c r="C11" s="168"/>
      <c r="D11" s="232"/>
      <c r="E11" s="134" t="s">
        <v>54</v>
      </c>
      <c r="F11" s="424">
        <v>1</v>
      </c>
      <c r="G11" s="428" t="s">
        <v>51</v>
      </c>
      <c r="H11" s="429">
        <v>1</v>
      </c>
      <c r="I11" s="138" t="str">
        <f t="shared" si="0"/>
        <v/>
      </c>
      <c r="J11" s="344" t="str">
        <f t="shared" si="1"/>
        <v>x</v>
      </c>
      <c r="K11" s="345" t="str">
        <f t="shared" si="2"/>
        <v/>
      </c>
      <c r="L11" s="258"/>
      <c r="M11" s="332"/>
      <c r="N11" s="336"/>
      <c r="O11" s="200"/>
      <c r="P11" s="200"/>
      <c r="Q11" s="436">
        <v>80</v>
      </c>
      <c r="R11" s="437">
        <v>10</v>
      </c>
      <c r="S11" s="438">
        <f t="shared" si="3"/>
        <v>10</v>
      </c>
      <c r="T11" s="328"/>
      <c r="U11" s="197" t="str">
        <f>IF(AND($I11="x",AND(MAX(Q11:S11)=Q11,"")),Data!$BI$2,"")</f>
        <v/>
      </c>
      <c r="V11" s="197" t="str">
        <f>IF(AND($J11="x",AND(MAX(Q11:S11)=R11,"")),Data!$BJ$2,"")</f>
        <v/>
      </c>
      <c r="W11" s="197" t="str">
        <f>IF(AND($K11="x",AND(MAX(Q11:S11)=S11,"")),Data!$BK$2,"")</f>
        <v/>
      </c>
      <c r="X11" s="197"/>
      <c r="Y11" s="328"/>
      <c r="Z11" s="451">
        <v>80</v>
      </c>
      <c r="AA11" s="452">
        <v>10</v>
      </c>
      <c r="AB11" s="438">
        <f t="shared" si="4"/>
        <v>10</v>
      </c>
      <c r="AC11" s="328"/>
      <c r="AD11" s="197" t="str">
        <f>IF(AND($I11="x",AND(MAX(Z11:AB11)=Z11,Z11&lt;&gt;"")),Data!$BI$2,"")</f>
        <v/>
      </c>
      <c r="AE11" s="197" t="str">
        <f>IF(AND($J11="x",AND(MAX(Z11:AB11)=AA11,AA11&lt;&gt;"")),Data!$BJ$2,"")</f>
        <v/>
      </c>
      <c r="AF11" s="197" t="str">
        <f>IF(AND($K11="x",AND(MAX(Z11:AB11)=AB11,AB11&lt;&gt;"")),Data!$BK$2,"")</f>
        <v/>
      </c>
      <c r="AG11" s="197"/>
      <c r="AH11" s="328"/>
      <c r="AI11" s="451">
        <v>80</v>
      </c>
      <c r="AJ11" s="452">
        <v>10</v>
      </c>
      <c r="AK11" s="438">
        <f t="shared" si="5"/>
        <v>10</v>
      </c>
      <c r="AL11" s="328"/>
      <c r="AM11" s="197" t="str">
        <f>IF(AND($I11="x",AND(MAX(AI11:AK11)=AI11,AI11&lt;&gt;"")),Data!$BI$2,"")</f>
        <v/>
      </c>
      <c r="AN11" s="197" t="str">
        <f>IF(AND($J11="x",AND(MAX(AI11:AK11)=AJ11,AJ11&lt;&gt;"")),Data!$BJ$2,"")</f>
        <v/>
      </c>
      <c r="AO11" s="197" t="str">
        <f>IF(AND($K11="x",AND(MAX(AI11:AK11)=AK11,AK11&lt;&gt;"")),Data!$BK$2,"")</f>
        <v/>
      </c>
      <c r="AP11" s="197"/>
      <c r="AQ11" s="328"/>
      <c r="AR11" s="451">
        <v>80</v>
      </c>
      <c r="AS11" s="452">
        <v>10</v>
      </c>
      <c r="AT11" s="438">
        <f t="shared" si="6"/>
        <v>10</v>
      </c>
      <c r="AU11" s="328"/>
      <c r="AV11" s="197" t="str">
        <f>IF(AND($I11="x",AND(MAX(AR11:AT11)=AR11,AR11&lt;&gt;"")),Data!$BI$2,"")</f>
        <v/>
      </c>
      <c r="AW11" s="197" t="str">
        <f>IF(AND($J11="x",AND(MAX(AR11:AT11)=AS11,AS11&lt;&gt;"")),Data!$BJ$2,"")</f>
        <v/>
      </c>
      <c r="AX11" s="197" t="str">
        <f>IF(AND($K11="x",AND(MAX(AR11:AT11)=AT11,AT11&lt;&gt;"")),Data!$BK$2,"")</f>
        <v/>
      </c>
      <c r="AY11" s="197"/>
      <c r="AZ11" s="328"/>
      <c r="BA11" s="451">
        <v>80</v>
      </c>
      <c r="BB11" s="452">
        <v>10</v>
      </c>
      <c r="BC11" s="438">
        <f t="shared" ref="BC11:BC19" si="12">IF(BA11="","",100-SUM(BA11:BB11))</f>
        <v>10</v>
      </c>
      <c r="BD11" s="328"/>
      <c r="BE11" s="197" t="str">
        <f>IF(AND($I11="x",AND(MAX(BA11:BC11)=BA11,BA11&lt;&gt;"")),Data!$BI$2,"")</f>
        <v/>
      </c>
      <c r="BF11" s="197" t="str">
        <f>IF(AND($J11="x",AND(MAX(BA11:BC11)=BB11,BB11&lt;&gt;"")),Data!$BJ$2,"")</f>
        <v/>
      </c>
      <c r="BG11" s="197" t="str">
        <f>IF(AND($K11="x",AND(MAX(BA11:BC11)=BC11,BC11&lt;&gt;"")),Data!$BK$2,"")</f>
        <v/>
      </c>
      <c r="BH11" s="197"/>
      <c r="BI11" s="328"/>
      <c r="BJ11" s="451">
        <v>80</v>
      </c>
      <c r="BK11" s="452">
        <v>10</v>
      </c>
      <c r="BL11" s="438">
        <f t="shared" si="7"/>
        <v>10</v>
      </c>
      <c r="BM11" s="328"/>
      <c r="BN11" s="197" t="str">
        <f>IF(AND($I11="x",AND(MAX(BJ11:BL11)=BJ11,BJ11&lt;&gt;"")),Data!$BI$2,"")</f>
        <v/>
      </c>
      <c r="BO11" s="197" t="str">
        <f>IF(AND($J11="x",AND(MAX(BJ11:BL11)=BK11,BK11&lt;&gt;"")),Data!$BJ$2,"")</f>
        <v/>
      </c>
      <c r="BP11" s="197" t="str">
        <f>IF(AND($K11="x",AND(MAX(BJ11:BL11)=BL11,BL11&lt;&gt;"")),Data!$BK$2,"")</f>
        <v/>
      </c>
      <c r="BQ11" s="197"/>
      <c r="BR11" s="328"/>
      <c r="BS11" s="451">
        <v>80</v>
      </c>
      <c r="BT11" s="452">
        <v>10</v>
      </c>
      <c r="BU11" s="438">
        <f t="shared" si="8"/>
        <v>10</v>
      </c>
      <c r="BV11" s="328"/>
      <c r="BW11" s="197" t="str">
        <f>IF(AND($I11="x",AND(MAX(BS11:BU11)=BS11,BS11&lt;&gt;"")),Data!$BI$2,"")</f>
        <v/>
      </c>
      <c r="BX11" s="197" t="str">
        <f>IF(AND($J11="x",AND(MAX(BS11:BU11)=BT11,BT11&lt;&gt;"")),Data!$BJ$2,"")</f>
        <v/>
      </c>
      <c r="BY11" s="197" t="str">
        <f>IF(AND($K11="x",AND(MAX(BS11:BU11)=BU11,BU11&lt;&gt;"")),Data!$BK$2,"")</f>
        <v/>
      </c>
      <c r="BZ11" s="197"/>
      <c r="CA11" s="328"/>
      <c r="CB11" s="457">
        <f t="shared" si="9"/>
        <v>80</v>
      </c>
      <c r="CC11" s="458">
        <f t="shared" si="10"/>
        <v>10</v>
      </c>
      <c r="CD11" s="459">
        <f t="shared" si="11"/>
        <v>10</v>
      </c>
      <c r="CE11" s="328"/>
      <c r="CF11" s="197" t="str">
        <f>IF(AND($I11="x",AND(MAX(CB11:CD11)=CB11,CB11&lt;&gt;"")),Data!$BI$2,"")</f>
        <v/>
      </c>
      <c r="CG11" s="197" t="str">
        <f>IF(AND($J11="x",AND(MAX(CB11:CD11)=CC11,CC11&lt;&gt;"")),Data!$BJ$2,"")</f>
        <v/>
      </c>
      <c r="CH11" s="197" t="str">
        <f>IF(AND($K11="x",AND(MAX(CB11:CD11)=CD11,CD11&lt;&gt;"")),Data!$BK$2,"")</f>
        <v/>
      </c>
      <c r="CI11" s="197"/>
      <c r="CJ11" s="197"/>
      <c r="CK11" s="451">
        <v>80</v>
      </c>
      <c r="CL11" s="452">
        <v>10</v>
      </c>
      <c r="CM11" s="438">
        <f t="shared" ref="CM11:CM19" si="13">IF(CK11="","",100-SUM(CK11:CL11))</f>
        <v>10</v>
      </c>
      <c r="CN11" s="328"/>
      <c r="CO11" s="197" t="str">
        <f>IF(AND($I11="x",AND(MAX(CK11:CM11)=CK11,CK11&lt;&gt;"")),Data!$BI$2,"")</f>
        <v/>
      </c>
      <c r="CP11" s="197" t="str">
        <f>IF(AND($J11="x",AND(MAX(CK11:CM11)=CL11,CL11&lt;&gt;"")),Data!$BJ$2,"")</f>
        <v/>
      </c>
      <c r="CQ11" s="197" t="str">
        <f>IF(AND($K11="x",AND(MAX(CK11:CM11)=CM11,CM11&lt;&gt;"")),Data!$BK$2,"")</f>
        <v/>
      </c>
      <c r="CR11" s="197"/>
      <c r="CS11" s="197"/>
      <c r="CT11" s="328"/>
      <c r="CU11" s="255"/>
      <c r="CV11" s="209"/>
      <c r="CW11" s="227"/>
      <c r="CX11" s="144"/>
      <c r="CY11" s="144"/>
    </row>
    <row r="12" spans="1:103" s="143" customFormat="1" ht="13.35" customHeight="1" outlineLevel="2" x14ac:dyDescent="0.2">
      <c r="A12" s="227"/>
      <c r="B12" s="227"/>
      <c r="C12" s="168"/>
      <c r="D12" s="232"/>
      <c r="E12" s="135" t="s">
        <v>55</v>
      </c>
      <c r="F12" s="425">
        <v>1</v>
      </c>
      <c r="G12" s="430" t="s">
        <v>51</v>
      </c>
      <c r="H12" s="431">
        <v>1</v>
      </c>
      <c r="I12" s="346" t="str">
        <f t="shared" si="0"/>
        <v/>
      </c>
      <c r="J12" s="347" t="str">
        <f t="shared" si="1"/>
        <v>x</v>
      </c>
      <c r="K12" s="348" t="str">
        <f t="shared" si="2"/>
        <v/>
      </c>
      <c r="L12" s="258"/>
      <c r="M12" s="332"/>
      <c r="N12" s="336"/>
      <c r="O12" s="200"/>
      <c r="P12" s="200"/>
      <c r="Q12" s="439">
        <v>80</v>
      </c>
      <c r="R12" s="440">
        <v>10</v>
      </c>
      <c r="S12" s="441">
        <f t="shared" si="3"/>
        <v>10</v>
      </c>
      <c r="T12" s="328"/>
      <c r="U12" s="197" t="str">
        <f>IF(AND($I12="x",AND(MAX(Q12:S12)=Q12,"")),Data!$BI$2,"")</f>
        <v/>
      </c>
      <c r="V12" s="197" t="str">
        <f>IF(AND($J12="x",AND(MAX(Q12:S12)=R12,"")),Data!$BJ$2,"")</f>
        <v/>
      </c>
      <c r="W12" s="197" t="str">
        <f>IF(AND($K12="x",AND(MAX(Q12:S12)=S12,"")),Data!$BK$2,"")</f>
        <v/>
      </c>
      <c r="X12" s="197"/>
      <c r="Y12" s="328"/>
      <c r="Z12" s="453">
        <v>80</v>
      </c>
      <c r="AA12" s="454">
        <v>10</v>
      </c>
      <c r="AB12" s="441">
        <f t="shared" si="4"/>
        <v>10</v>
      </c>
      <c r="AC12" s="328"/>
      <c r="AD12" s="197" t="str">
        <f>IF(AND($I12="x",AND(MAX(Z12:AB12)=Z12,Z12&lt;&gt;"")),Data!$BI$2,"")</f>
        <v/>
      </c>
      <c r="AE12" s="197" t="str">
        <f>IF(AND($J12="x",AND(MAX(Z12:AB12)=AA12,AA12&lt;&gt;"")),Data!$BJ$2,"")</f>
        <v/>
      </c>
      <c r="AF12" s="197" t="str">
        <f>IF(AND($K12="x",AND(MAX(Z12:AB12)=AB12,AB12&lt;&gt;"")),Data!$BK$2,"")</f>
        <v/>
      </c>
      <c r="AG12" s="197"/>
      <c r="AH12" s="328"/>
      <c r="AI12" s="453">
        <v>80</v>
      </c>
      <c r="AJ12" s="454">
        <v>10</v>
      </c>
      <c r="AK12" s="441">
        <f t="shared" si="5"/>
        <v>10</v>
      </c>
      <c r="AL12" s="328"/>
      <c r="AM12" s="197" t="str">
        <f>IF(AND($I12="x",AND(MAX(AI12:AK12)=AI12,AI12&lt;&gt;"")),Data!$BI$2,"")</f>
        <v/>
      </c>
      <c r="AN12" s="197" t="str">
        <f>IF(AND($J12="x",AND(MAX(AI12:AK12)=AJ12,AJ12&lt;&gt;"")),Data!$BJ$2,"")</f>
        <v/>
      </c>
      <c r="AO12" s="197" t="str">
        <f>IF(AND($K12="x",AND(MAX(AI12:AK12)=AK12,AK12&lt;&gt;"")),Data!$BK$2,"")</f>
        <v/>
      </c>
      <c r="AP12" s="197"/>
      <c r="AQ12" s="328"/>
      <c r="AR12" s="453">
        <v>80</v>
      </c>
      <c r="AS12" s="454">
        <v>10</v>
      </c>
      <c r="AT12" s="441">
        <f t="shared" si="6"/>
        <v>10</v>
      </c>
      <c r="AU12" s="328"/>
      <c r="AV12" s="197" t="str">
        <f>IF(AND($I12="x",AND(MAX(AR12:AT12)=AR12,AR12&lt;&gt;"")),Data!$BI$2,"")</f>
        <v/>
      </c>
      <c r="AW12" s="197" t="str">
        <f>IF(AND($J12="x",AND(MAX(AR12:AT12)=AS12,AS12&lt;&gt;"")),Data!$BJ$2,"")</f>
        <v/>
      </c>
      <c r="AX12" s="197" t="str">
        <f>IF(AND($K12="x",AND(MAX(AR12:AT12)=AT12,AT12&lt;&gt;"")),Data!$BK$2,"")</f>
        <v/>
      </c>
      <c r="AY12" s="197"/>
      <c r="AZ12" s="328"/>
      <c r="BA12" s="453">
        <v>80</v>
      </c>
      <c r="BB12" s="454">
        <v>10</v>
      </c>
      <c r="BC12" s="441">
        <f t="shared" si="12"/>
        <v>10</v>
      </c>
      <c r="BD12" s="328"/>
      <c r="BE12" s="197" t="str">
        <f>IF(AND($I12="x",AND(MAX(BA12:BC12)=BA12,BA12&lt;&gt;"")),Data!$BI$2,"")</f>
        <v/>
      </c>
      <c r="BF12" s="197" t="str">
        <f>IF(AND($J12="x",AND(MAX(BA12:BC12)=BB12,BB12&lt;&gt;"")),Data!$BJ$2,"")</f>
        <v/>
      </c>
      <c r="BG12" s="197" t="str">
        <f>IF(AND($K12="x",AND(MAX(BA12:BC12)=BC12,BC12&lt;&gt;"")),Data!$BK$2,"")</f>
        <v/>
      </c>
      <c r="BH12" s="197"/>
      <c r="BI12" s="328"/>
      <c r="BJ12" s="453">
        <v>80</v>
      </c>
      <c r="BK12" s="454">
        <v>10</v>
      </c>
      <c r="BL12" s="441">
        <f t="shared" si="7"/>
        <v>10</v>
      </c>
      <c r="BM12" s="328"/>
      <c r="BN12" s="197" t="str">
        <f>IF(AND($I12="x",AND(MAX(BJ12:BL12)=BJ12,BJ12&lt;&gt;"")),Data!$BI$2,"")</f>
        <v/>
      </c>
      <c r="BO12" s="197" t="str">
        <f>IF(AND($J12="x",AND(MAX(BJ12:BL12)=BK12,BK12&lt;&gt;"")),Data!$BJ$2,"")</f>
        <v/>
      </c>
      <c r="BP12" s="197" t="str">
        <f>IF(AND($K12="x",AND(MAX(BJ12:BL12)=BL12,BL12&lt;&gt;"")),Data!$BK$2,"")</f>
        <v/>
      </c>
      <c r="BQ12" s="197"/>
      <c r="BR12" s="328"/>
      <c r="BS12" s="453">
        <v>80</v>
      </c>
      <c r="BT12" s="454">
        <v>10</v>
      </c>
      <c r="BU12" s="441">
        <f t="shared" si="8"/>
        <v>10</v>
      </c>
      <c r="BV12" s="328"/>
      <c r="BW12" s="197" t="str">
        <f>IF(AND($I12="x",AND(MAX(BS12:BU12)=BS12,BS12&lt;&gt;"")),Data!$BI$2,"")</f>
        <v/>
      </c>
      <c r="BX12" s="197" t="str">
        <f>IF(AND($J12="x",AND(MAX(BS12:BU12)=BT12,BT12&lt;&gt;"")),Data!$BJ$2,"")</f>
        <v/>
      </c>
      <c r="BY12" s="197" t="str">
        <f>IF(AND($K12="x",AND(MAX(BS12:BU12)=BU12,BU12&lt;&gt;"")),Data!$BK$2,"")</f>
        <v/>
      </c>
      <c r="BZ12" s="197"/>
      <c r="CA12" s="328"/>
      <c r="CB12" s="460">
        <f t="shared" si="9"/>
        <v>80</v>
      </c>
      <c r="CC12" s="461">
        <f t="shared" si="10"/>
        <v>10</v>
      </c>
      <c r="CD12" s="462">
        <f t="shared" si="11"/>
        <v>10</v>
      </c>
      <c r="CE12" s="328"/>
      <c r="CF12" s="197" t="str">
        <f>IF(AND($I12="x",AND(MAX(CB12:CD12)=CB12,CB12&lt;&gt;"")),Data!$BI$2,"")</f>
        <v/>
      </c>
      <c r="CG12" s="197" t="str">
        <f>IF(AND($J12="x",AND(MAX(CB12:CD12)=CC12,CC12&lt;&gt;"")),Data!$BJ$2,"")</f>
        <v/>
      </c>
      <c r="CH12" s="197" t="str">
        <f>IF(AND($K12="x",AND(MAX(CB12:CD12)=CD12,CD12&lt;&gt;"")),Data!$BK$2,"")</f>
        <v/>
      </c>
      <c r="CI12" s="197"/>
      <c r="CJ12" s="197"/>
      <c r="CK12" s="453">
        <v>80</v>
      </c>
      <c r="CL12" s="454">
        <v>10</v>
      </c>
      <c r="CM12" s="441">
        <f t="shared" si="13"/>
        <v>10</v>
      </c>
      <c r="CN12" s="328"/>
      <c r="CO12" s="197" t="str">
        <f>IF(AND($I12="x",AND(MAX(CK12:CM12)=CK12,CK12&lt;&gt;"")),Data!$BI$2,"")</f>
        <v/>
      </c>
      <c r="CP12" s="197" t="str">
        <f>IF(AND($J12="x",AND(MAX(CK12:CM12)=CL12,CL12&lt;&gt;"")),Data!$BJ$2,"")</f>
        <v/>
      </c>
      <c r="CQ12" s="197" t="str">
        <f>IF(AND($K12="x",AND(MAX(CK12:CM12)=CM12,CM12&lt;&gt;"")),Data!$BK$2,"")</f>
        <v/>
      </c>
      <c r="CR12" s="197"/>
      <c r="CS12" s="197"/>
      <c r="CT12" s="328"/>
      <c r="CU12" s="255"/>
      <c r="CV12" s="209"/>
      <c r="CW12" s="227"/>
      <c r="CX12" s="144"/>
      <c r="CY12" s="144"/>
    </row>
    <row r="13" spans="1:103" s="143" customFormat="1" ht="13.35" customHeight="1" outlineLevel="2" thickBot="1" x14ac:dyDescent="0.25">
      <c r="A13" s="227"/>
      <c r="B13" s="227"/>
      <c r="C13" s="168"/>
      <c r="D13" s="232"/>
      <c r="E13" s="136" t="s">
        <v>56</v>
      </c>
      <c r="F13" s="426">
        <v>1</v>
      </c>
      <c r="G13" s="432" t="s">
        <v>51</v>
      </c>
      <c r="H13" s="433">
        <v>1</v>
      </c>
      <c r="I13" s="349" t="str">
        <f t="shared" si="0"/>
        <v/>
      </c>
      <c r="J13" s="350" t="str">
        <f t="shared" si="1"/>
        <v>x</v>
      </c>
      <c r="K13" s="351" t="str">
        <f t="shared" si="2"/>
        <v/>
      </c>
      <c r="L13" s="258"/>
      <c r="M13" s="332"/>
      <c r="N13" s="336"/>
      <c r="O13" s="200"/>
      <c r="P13" s="200"/>
      <c r="Q13" s="445">
        <v>80</v>
      </c>
      <c r="R13" s="446">
        <v>10</v>
      </c>
      <c r="S13" s="447">
        <f t="shared" si="3"/>
        <v>10</v>
      </c>
      <c r="T13" s="328"/>
      <c r="U13" s="197" t="str">
        <f>IF(AND($I13="x",AND(MAX(Q13:S13)=Q13,"")),Data!$BI$2,"")</f>
        <v/>
      </c>
      <c r="V13" s="197" t="str">
        <f>IF(AND($J13="x",AND(MAX(Q13:S13)=R13,"")),Data!$BJ$2,"")</f>
        <v/>
      </c>
      <c r="W13" s="197" t="str">
        <f>IF(AND($K13="x",AND(MAX(Q13:S13)=S13,"")),Data!$BK$2,"")</f>
        <v/>
      </c>
      <c r="X13" s="197"/>
      <c r="Y13" s="328"/>
      <c r="Z13" s="455">
        <v>80</v>
      </c>
      <c r="AA13" s="456">
        <v>10</v>
      </c>
      <c r="AB13" s="447">
        <f t="shared" si="4"/>
        <v>10</v>
      </c>
      <c r="AC13" s="328"/>
      <c r="AD13" s="197" t="str">
        <f>IF(AND($I13="x",AND(MAX(Z13:AB13)=Z13,Z13&lt;&gt;"")),Data!$BI$2,"")</f>
        <v/>
      </c>
      <c r="AE13" s="197" t="str">
        <f>IF(AND($J13="x",AND(MAX(Z13:AB13)=AA13,AA13&lt;&gt;"")),Data!$BJ$2,"")</f>
        <v/>
      </c>
      <c r="AF13" s="197" t="str">
        <f>IF(AND($K13="x",AND(MAX(Z13:AB13)=AB13,AB13&lt;&gt;"")),Data!$BK$2,"")</f>
        <v/>
      </c>
      <c r="AG13" s="197"/>
      <c r="AH13" s="328"/>
      <c r="AI13" s="455">
        <v>80</v>
      </c>
      <c r="AJ13" s="456">
        <v>10</v>
      </c>
      <c r="AK13" s="447">
        <f t="shared" si="5"/>
        <v>10</v>
      </c>
      <c r="AL13" s="328"/>
      <c r="AM13" s="197" t="str">
        <f>IF(AND($I13="x",AND(MAX(AI13:AK13)=AI13,AI13&lt;&gt;"")),Data!$BI$2,"")</f>
        <v/>
      </c>
      <c r="AN13" s="197" t="str">
        <f>IF(AND($J13="x",AND(MAX(AI13:AK13)=AJ13,AJ13&lt;&gt;"")),Data!$BJ$2,"")</f>
        <v/>
      </c>
      <c r="AO13" s="197" t="str">
        <f>IF(AND($K13="x",AND(MAX(AI13:AK13)=AK13,AK13&lt;&gt;"")),Data!$BK$2,"")</f>
        <v/>
      </c>
      <c r="AP13" s="197"/>
      <c r="AQ13" s="328"/>
      <c r="AR13" s="455">
        <v>80</v>
      </c>
      <c r="AS13" s="456">
        <v>10</v>
      </c>
      <c r="AT13" s="447">
        <f t="shared" si="6"/>
        <v>10</v>
      </c>
      <c r="AU13" s="328"/>
      <c r="AV13" s="197" t="str">
        <f>IF(AND($I13="x",AND(MAX(AR13:AT13)=AR13,AR13&lt;&gt;"")),Data!$BI$2,"")</f>
        <v/>
      </c>
      <c r="AW13" s="197" t="str">
        <f>IF(AND($J13="x",AND(MAX(AR13:AT13)=AS13,AS13&lt;&gt;"")),Data!$BJ$2,"")</f>
        <v/>
      </c>
      <c r="AX13" s="197" t="str">
        <f>IF(AND($K13="x",AND(MAX(AR13:AT13)=AT13,AT13&lt;&gt;"")),Data!$BK$2,"")</f>
        <v/>
      </c>
      <c r="AY13" s="197"/>
      <c r="AZ13" s="328"/>
      <c r="BA13" s="455">
        <v>80</v>
      </c>
      <c r="BB13" s="456">
        <v>10</v>
      </c>
      <c r="BC13" s="447">
        <f t="shared" si="12"/>
        <v>10</v>
      </c>
      <c r="BD13" s="328"/>
      <c r="BE13" s="197" t="str">
        <f>IF(AND($I13="x",AND(MAX(BA13:BC13)=BA13,BA13&lt;&gt;"")),Data!$BI$2,"")</f>
        <v/>
      </c>
      <c r="BF13" s="197" t="str">
        <f>IF(AND($J13="x",AND(MAX(BA13:BC13)=BB13,BB13&lt;&gt;"")),Data!$BJ$2,"")</f>
        <v/>
      </c>
      <c r="BG13" s="197" t="str">
        <f>IF(AND($K13="x",AND(MAX(BA13:BC13)=BC13,BC13&lt;&gt;"")),Data!$BK$2,"")</f>
        <v/>
      </c>
      <c r="BH13" s="197"/>
      <c r="BI13" s="328"/>
      <c r="BJ13" s="455">
        <v>80</v>
      </c>
      <c r="BK13" s="456">
        <v>10</v>
      </c>
      <c r="BL13" s="447">
        <f t="shared" si="7"/>
        <v>10</v>
      </c>
      <c r="BM13" s="328"/>
      <c r="BN13" s="197" t="str">
        <f>IF(AND($I13="x",AND(MAX(BJ13:BL13)=BJ13,BJ13&lt;&gt;"")),Data!$BI$2,"")</f>
        <v/>
      </c>
      <c r="BO13" s="197" t="str">
        <f>IF(AND($J13="x",AND(MAX(BJ13:BL13)=BK13,BK13&lt;&gt;"")),Data!$BJ$2,"")</f>
        <v/>
      </c>
      <c r="BP13" s="197" t="str">
        <f>IF(AND($K13="x",AND(MAX(BJ13:BL13)=BL13,BL13&lt;&gt;"")),Data!$BK$2,"")</f>
        <v/>
      </c>
      <c r="BQ13" s="197"/>
      <c r="BR13" s="328"/>
      <c r="BS13" s="455">
        <v>80</v>
      </c>
      <c r="BT13" s="456">
        <v>10</v>
      </c>
      <c r="BU13" s="447">
        <f t="shared" si="8"/>
        <v>10</v>
      </c>
      <c r="BV13" s="328"/>
      <c r="BW13" s="197" t="str">
        <f>IF(AND($I13="x",AND(MAX(BS13:BU13)=BS13,BS13&lt;&gt;"")),Data!$BI$2,"")</f>
        <v/>
      </c>
      <c r="BX13" s="197" t="str">
        <f>IF(AND($J13="x",AND(MAX(BS13:BU13)=BT13,BT13&lt;&gt;"")),Data!$BJ$2,"")</f>
        <v/>
      </c>
      <c r="BY13" s="197" t="str">
        <f>IF(AND($K13="x",AND(MAX(BS13:BU13)=BU13,BU13&lt;&gt;"")),Data!$BK$2,"")</f>
        <v/>
      </c>
      <c r="BZ13" s="197"/>
      <c r="CA13" s="328"/>
      <c r="CB13" s="463">
        <f t="shared" si="9"/>
        <v>80</v>
      </c>
      <c r="CC13" s="464">
        <f t="shared" si="10"/>
        <v>10</v>
      </c>
      <c r="CD13" s="465">
        <f t="shared" si="11"/>
        <v>10</v>
      </c>
      <c r="CE13" s="328"/>
      <c r="CF13" s="197" t="str">
        <f>IF(AND($I13="x",AND(MAX(CB13:CD13)=CB13,CB13&lt;&gt;"")),Data!$BI$2,"")</f>
        <v/>
      </c>
      <c r="CG13" s="197" t="str">
        <f>IF(AND($J13="x",AND(MAX(CB13:CD13)=CC13,CC13&lt;&gt;"")),Data!$BJ$2,"")</f>
        <v/>
      </c>
      <c r="CH13" s="197" t="str">
        <f>IF(AND($K13="x",AND(MAX(CB13:CD13)=CD13,CD13&lt;&gt;"")),Data!$BK$2,"")</f>
        <v/>
      </c>
      <c r="CI13" s="197"/>
      <c r="CJ13" s="197"/>
      <c r="CK13" s="455">
        <v>80</v>
      </c>
      <c r="CL13" s="456">
        <v>10</v>
      </c>
      <c r="CM13" s="447">
        <f t="shared" si="13"/>
        <v>10</v>
      </c>
      <c r="CN13" s="328"/>
      <c r="CO13" s="197" t="str">
        <f>IF(AND($I13="x",AND(MAX(CK13:CM13)=CK13,CK13&lt;&gt;"")),Data!$BI$2,"")</f>
        <v/>
      </c>
      <c r="CP13" s="197" t="str">
        <f>IF(AND($J13="x",AND(MAX(CK13:CM13)=CL13,CL13&lt;&gt;"")),Data!$BJ$2,"")</f>
        <v/>
      </c>
      <c r="CQ13" s="197" t="str">
        <f>IF(AND($K13="x",AND(MAX(CK13:CM13)=CM13,CM13&lt;&gt;"")),Data!$BK$2,"")</f>
        <v/>
      </c>
      <c r="CR13" s="197"/>
      <c r="CS13" s="197"/>
      <c r="CT13" s="328"/>
      <c r="CU13" s="255"/>
      <c r="CV13" s="209"/>
      <c r="CW13" s="227"/>
      <c r="CX13" s="144"/>
      <c r="CY13" s="144"/>
    </row>
    <row r="14" spans="1:103" s="143" customFormat="1" ht="13.35" customHeight="1" outlineLevel="2" x14ac:dyDescent="0.2">
      <c r="A14" s="227"/>
      <c r="B14" s="227"/>
      <c r="C14" s="168"/>
      <c r="D14" s="232"/>
      <c r="E14" s="134" t="s">
        <v>57</v>
      </c>
      <c r="F14" s="424">
        <v>1</v>
      </c>
      <c r="G14" s="428" t="s">
        <v>51</v>
      </c>
      <c r="H14" s="429">
        <v>1</v>
      </c>
      <c r="I14" s="138" t="str">
        <f t="shared" si="0"/>
        <v/>
      </c>
      <c r="J14" s="344" t="str">
        <f t="shared" si="1"/>
        <v>x</v>
      </c>
      <c r="K14" s="345" t="str">
        <f t="shared" si="2"/>
        <v/>
      </c>
      <c r="L14" s="258"/>
      <c r="M14" s="332"/>
      <c r="N14" s="336"/>
      <c r="O14" s="200"/>
      <c r="P14" s="200"/>
      <c r="Q14" s="436">
        <v>80</v>
      </c>
      <c r="R14" s="437">
        <v>10</v>
      </c>
      <c r="S14" s="438">
        <f t="shared" si="3"/>
        <v>10</v>
      </c>
      <c r="T14" s="328"/>
      <c r="U14" s="197" t="str">
        <f>IF(AND($I14="x",AND(MAX(Q14:S14)=Q14,"")),Data!$BI$2,"")</f>
        <v/>
      </c>
      <c r="V14" s="197" t="str">
        <f>IF(AND($J14="x",AND(MAX(Q14:S14)=R14,"")),Data!$BJ$2,"")</f>
        <v/>
      </c>
      <c r="W14" s="197" t="str">
        <f>IF(AND($K14="x",AND(MAX(Q14:S14)=S14,"")),Data!$BK$2,"")</f>
        <v/>
      </c>
      <c r="X14" s="197"/>
      <c r="Y14" s="328"/>
      <c r="Z14" s="451">
        <v>80</v>
      </c>
      <c r="AA14" s="452">
        <v>10</v>
      </c>
      <c r="AB14" s="438">
        <f t="shared" si="4"/>
        <v>10</v>
      </c>
      <c r="AC14" s="328"/>
      <c r="AD14" s="197" t="str">
        <f>IF(AND($I14="x",AND(MAX(Z14:AB14)=Z14,Z14&lt;&gt;"")),Data!$BI$2,"")</f>
        <v/>
      </c>
      <c r="AE14" s="197" t="str">
        <f>IF(AND($J14="x",AND(MAX(Z14:AB14)=AA14,AA14&lt;&gt;"")),Data!$BJ$2,"")</f>
        <v/>
      </c>
      <c r="AF14" s="197" t="str">
        <f>IF(AND($K14="x",AND(MAX(Z14:AB14)=AB14,AB14&lt;&gt;"")),Data!$BK$2,"")</f>
        <v/>
      </c>
      <c r="AG14" s="197"/>
      <c r="AH14" s="328"/>
      <c r="AI14" s="451">
        <v>80</v>
      </c>
      <c r="AJ14" s="452">
        <v>10</v>
      </c>
      <c r="AK14" s="438">
        <f t="shared" si="5"/>
        <v>10</v>
      </c>
      <c r="AL14" s="328"/>
      <c r="AM14" s="197" t="str">
        <f>IF(AND($I14="x",AND(MAX(AI14:AK14)=AI14,AI14&lt;&gt;"")),Data!$BI$2,"")</f>
        <v/>
      </c>
      <c r="AN14" s="197" t="str">
        <f>IF(AND($J14="x",AND(MAX(AI14:AK14)=AJ14,AJ14&lt;&gt;"")),Data!$BJ$2,"")</f>
        <v/>
      </c>
      <c r="AO14" s="197" t="str">
        <f>IF(AND($K14="x",AND(MAX(AI14:AK14)=AK14,AK14&lt;&gt;"")),Data!$BK$2,"")</f>
        <v/>
      </c>
      <c r="AP14" s="197"/>
      <c r="AQ14" s="328"/>
      <c r="AR14" s="451">
        <v>80</v>
      </c>
      <c r="AS14" s="452">
        <v>10</v>
      </c>
      <c r="AT14" s="438">
        <f t="shared" si="6"/>
        <v>10</v>
      </c>
      <c r="AU14" s="328"/>
      <c r="AV14" s="197" t="str">
        <f>IF(AND($I14="x",AND(MAX(AR14:AT14)=AR14,AR14&lt;&gt;"")),Data!$BI$2,"")</f>
        <v/>
      </c>
      <c r="AW14" s="197" t="str">
        <f>IF(AND($J14="x",AND(MAX(AR14:AT14)=AS14,AS14&lt;&gt;"")),Data!$BJ$2,"")</f>
        <v/>
      </c>
      <c r="AX14" s="197" t="str">
        <f>IF(AND($K14="x",AND(MAX(AR14:AT14)=AT14,AT14&lt;&gt;"")),Data!$BK$2,"")</f>
        <v/>
      </c>
      <c r="AY14" s="197"/>
      <c r="AZ14" s="328"/>
      <c r="BA14" s="451">
        <v>80</v>
      </c>
      <c r="BB14" s="452">
        <v>10</v>
      </c>
      <c r="BC14" s="438">
        <f t="shared" si="12"/>
        <v>10</v>
      </c>
      <c r="BD14" s="328"/>
      <c r="BE14" s="197" t="str">
        <f>IF(AND($I14="x",AND(MAX(BA14:BC14)=BA14,BA14&lt;&gt;"")),Data!$BI$2,"")</f>
        <v/>
      </c>
      <c r="BF14" s="197" t="str">
        <f>IF(AND($J14="x",AND(MAX(BA14:BC14)=BB14,BB14&lt;&gt;"")),Data!$BJ$2,"")</f>
        <v/>
      </c>
      <c r="BG14" s="197" t="str">
        <f>IF(AND($K14="x",AND(MAX(BA14:BC14)=BC14,BC14&lt;&gt;"")),Data!$BK$2,"")</f>
        <v/>
      </c>
      <c r="BH14" s="197"/>
      <c r="BI14" s="328"/>
      <c r="BJ14" s="451">
        <v>80</v>
      </c>
      <c r="BK14" s="452">
        <v>10</v>
      </c>
      <c r="BL14" s="438">
        <f t="shared" si="7"/>
        <v>10</v>
      </c>
      <c r="BM14" s="328"/>
      <c r="BN14" s="197" t="str">
        <f>IF(AND($I14="x",AND(MAX(BJ14:BL14)=BJ14,BJ14&lt;&gt;"")),Data!$BI$2,"")</f>
        <v/>
      </c>
      <c r="BO14" s="197" t="str">
        <f>IF(AND($J14="x",AND(MAX(BJ14:BL14)=BK14,BK14&lt;&gt;"")),Data!$BJ$2,"")</f>
        <v/>
      </c>
      <c r="BP14" s="197" t="str">
        <f>IF(AND($K14="x",AND(MAX(BJ14:BL14)=BL14,BL14&lt;&gt;"")),Data!$BK$2,"")</f>
        <v/>
      </c>
      <c r="BQ14" s="197"/>
      <c r="BR14" s="328"/>
      <c r="BS14" s="451">
        <v>80</v>
      </c>
      <c r="BT14" s="452">
        <v>10</v>
      </c>
      <c r="BU14" s="438">
        <f t="shared" si="8"/>
        <v>10</v>
      </c>
      <c r="BV14" s="328"/>
      <c r="BW14" s="197" t="str">
        <f>IF(AND($I14="x",AND(MAX(BS14:BU14)=BS14,BS14&lt;&gt;"")),Data!$BI$2,"")</f>
        <v/>
      </c>
      <c r="BX14" s="197" t="str">
        <f>IF(AND($J14="x",AND(MAX(BS14:BU14)=BT14,BT14&lt;&gt;"")),Data!$BJ$2,"")</f>
        <v/>
      </c>
      <c r="BY14" s="197" t="str">
        <f>IF(AND($K14="x",AND(MAX(BS14:BU14)=BU14,BU14&lt;&gt;"")),Data!$BK$2,"")</f>
        <v/>
      </c>
      <c r="BZ14" s="197"/>
      <c r="CA14" s="328"/>
      <c r="CB14" s="457">
        <f t="shared" si="9"/>
        <v>80</v>
      </c>
      <c r="CC14" s="458">
        <f t="shared" si="10"/>
        <v>10</v>
      </c>
      <c r="CD14" s="459">
        <f t="shared" si="11"/>
        <v>10</v>
      </c>
      <c r="CE14" s="328"/>
      <c r="CF14" s="197" t="str">
        <f>IF(AND($I14="x",AND(MAX(CB14:CD14)=CB14,CB14&lt;&gt;"")),Data!$BI$2,"")</f>
        <v/>
      </c>
      <c r="CG14" s="197" t="str">
        <f>IF(AND($J14="x",AND(MAX(CB14:CD14)=CC14,CC14&lt;&gt;"")),Data!$BJ$2,"")</f>
        <v/>
      </c>
      <c r="CH14" s="197" t="str">
        <f>IF(AND($K14="x",AND(MAX(CB14:CD14)=CD14,CD14&lt;&gt;"")),Data!$BK$2,"")</f>
        <v/>
      </c>
      <c r="CI14" s="197"/>
      <c r="CJ14" s="197"/>
      <c r="CK14" s="451">
        <v>80</v>
      </c>
      <c r="CL14" s="452">
        <v>10</v>
      </c>
      <c r="CM14" s="438">
        <f t="shared" si="13"/>
        <v>10</v>
      </c>
      <c r="CN14" s="328"/>
      <c r="CO14" s="197" t="str">
        <f>IF(AND($I14="x",AND(MAX(CK14:CM14)=CK14,CK14&lt;&gt;"")),Data!$BI$2,"")</f>
        <v/>
      </c>
      <c r="CP14" s="197" t="str">
        <f>IF(AND($J14="x",AND(MAX(CK14:CM14)=CL14,CL14&lt;&gt;"")),Data!$BJ$2,"")</f>
        <v/>
      </c>
      <c r="CQ14" s="197" t="str">
        <f>IF(AND($K14="x",AND(MAX(CK14:CM14)=CM14,CM14&lt;&gt;"")),Data!$BK$2,"")</f>
        <v/>
      </c>
      <c r="CR14" s="197"/>
      <c r="CS14" s="197"/>
      <c r="CT14" s="328"/>
      <c r="CU14" s="259"/>
      <c r="CV14" s="209"/>
      <c r="CW14" s="227"/>
      <c r="CX14" s="144"/>
      <c r="CY14" s="144"/>
    </row>
    <row r="15" spans="1:103" s="143" customFormat="1" ht="13.35" customHeight="1" outlineLevel="2" x14ac:dyDescent="0.2">
      <c r="A15" s="227"/>
      <c r="B15" s="227"/>
      <c r="C15" s="168"/>
      <c r="D15" s="232"/>
      <c r="E15" s="135" t="s">
        <v>58</v>
      </c>
      <c r="F15" s="425">
        <v>1</v>
      </c>
      <c r="G15" s="430" t="s">
        <v>51</v>
      </c>
      <c r="H15" s="431">
        <v>1</v>
      </c>
      <c r="I15" s="346" t="str">
        <f t="shared" si="0"/>
        <v/>
      </c>
      <c r="J15" s="347" t="str">
        <f t="shared" si="1"/>
        <v>x</v>
      </c>
      <c r="K15" s="348" t="str">
        <f t="shared" si="2"/>
        <v/>
      </c>
      <c r="L15" s="258"/>
      <c r="M15" s="332"/>
      <c r="N15" s="336"/>
      <c r="O15" s="200"/>
      <c r="P15" s="200"/>
      <c r="Q15" s="439">
        <v>80</v>
      </c>
      <c r="R15" s="440">
        <v>10</v>
      </c>
      <c r="S15" s="441">
        <f t="shared" si="3"/>
        <v>10</v>
      </c>
      <c r="T15" s="328"/>
      <c r="U15" s="197" t="str">
        <f>IF(AND($I15="x",AND(MAX(Q15:S15)=Q15,"")),Data!$BI$2,"")</f>
        <v/>
      </c>
      <c r="V15" s="197" t="str">
        <f>IF(AND($J15="x",AND(MAX(Q15:S15)=R15,"")),Data!$BJ$2,"")</f>
        <v/>
      </c>
      <c r="W15" s="197" t="str">
        <f>IF(AND($K15="x",AND(MAX(Q15:S15)=S15,"")),Data!$BK$2,"")</f>
        <v/>
      </c>
      <c r="X15" s="197"/>
      <c r="Y15" s="328"/>
      <c r="Z15" s="453">
        <v>80</v>
      </c>
      <c r="AA15" s="454">
        <v>10</v>
      </c>
      <c r="AB15" s="441">
        <f t="shared" si="4"/>
        <v>10</v>
      </c>
      <c r="AC15" s="328"/>
      <c r="AD15" s="197" t="str">
        <f>IF(AND($I15="x",AND(MAX(Z15:AB15)=Z15,Z15&lt;&gt;"")),Data!$BI$2,"")</f>
        <v/>
      </c>
      <c r="AE15" s="197" t="str">
        <f>IF(AND($J15="x",AND(MAX(Z15:AB15)=AA15,AA15&lt;&gt;"")),Data!$BJ$2,"")</f>
        <v/>
      </c>
      <c r="AF15" s="197" t="str">
        <f>IF(AND($K15="x",AND(MAX(Z15:AB15)=AB15,AB15&lt;&gt;"")),Data!$BK$2,"")</f>
        <v/>
      </c>
      <c r="AG15" s="197"/>
      <c r="AH15" s="328"/>
      <c r="AI15" s="453">
        <v>80</v>
      </c>
      <c r="AJ15" s="454">
        <v>10</v>
      </c>
      <c r="AK15" s="441">
        <f t="shared" si="5"/>
        <v>10</v>
      </c>
      <c r="AL15" s="328"/>
      <c r="AM15" s="197" t="str">
        <f>IF(AND($I15="x",AND(MAX(AI15:AK15)=AI15,AI15&lt;&gt;"")),Data!$BI$2,"")</f>
        <v/>
      </c>
      <c r="AN15" s="197" t="str">
        <f>IF(AND($J15="x",AND(MAX(AI15:AK15)=AJ15,AJ15&lt;&gt;"")),Data!$BJ$2,"")</f>
        <v/>
      </c>
      <c r="AO15" s="197" t="str">
        <f>IF(AND($K15="x",AND(MAX(AI15:AK15)=AK15,AK15&lt;&gt;"")),Data!$BK$2,"")</f>
        <v/>
      </c>
      <c r="AP15" s="197"/>
      <c r="AQ15" s="328"/>
      <c r="AR15" s="453">
        <v>80</v>
      </c>
      <c r="AS15" s="454">
        <v>10</v>
      </c>
      <c r="AT15" s="441">
        <f t="shared" si="6"/>
        <v>10</v>
      </c>
      <c r="AU15" s="328"/>
      <c r="AV15" s="197" t="str">
        <f>IF(AND($I15="x",AND(MAX(AR15:AT15)=AR15,AR15&lt;&gt;"")),Data!$BI$2,"")</f>
        <v/>
      </c>
      <c r="AW15" s="197" t="str">
        <f>IF(AND($J15="x",AND(MAX(AR15:AT15)=AS15,AS15&lt;&gt;"")),Data!$BJ$2,"")</f>
        <v/>
      </c>
      <c r="AX15" s="197" t="str">
        <f>IF(AND($K15="x",AND(MAX(AR15:AT15)=AT15,AT15&lt;&gt;"")),Data!$BK$2,"")</f>
        <v/>
      </c>
      <c r="AY15" s="197"/>
      <c r="AZ15" s="328"/>
      <c r="BA15" s="453">
        <v>80</v>
      </c>
      <c r="BB15" s="454">
        <v>10</v>
      </c>
      <c r="BC15" s="441">
        <f t="shared" si="12"/>
        <v>10</v>
      </c>
      <c r="BD15" s="328"/>
      <c r="BE15" s="197" t="str">
        <f>IF(AND($I15="x",AND(MAX(BA15:BC15)=BA15,BA15&lt;&gt;"")),Data!$BI$2,"")</f>
        <v/>
      </c>
      <c r="BF15" s="197" t="str">
        <f>IF(AND($J15="x",AND(MAX(BA15:BC15)=BB15,BB15&lt;&gt;"")),Data!$BJ$2,"")</f>
        <v/>
      </c>
      <c r="BG15" s="197" t="str">
        <f>IF(AND($K15="x",AND(MAX(BA15:BC15)=BC15,BC15&lt;&gt;"")),Data!$BK$2,"")</f>
        <v/>
      </c>
      <c r="BH15" s="197"/>
      <c r="BI15" s="328"/>
      <c r="BJ15" s="453">
        <v>80</v>
      </c>
      <c r="BK15" s="454">
        <v>10</v>
      </c>
      <c r="BL15" s="441">
        <f t="shared" si="7"/>
        <v>10</v>
      </c>
      <c r="BM15" s="328"/>
      <c r="BN15" s="197" t="str">
        <f>IF(AND($I15="x",AND(MAX(BJ15:BL15)=BJ15,BJ15&lt;&gt;"")),Data!$BI$2,"")</f>
        <v/>
      </c>
      <c r="BO15" s="197" t="str">
        <f>IF(AND($J15="x",AND(MAX(BJ15:BL15)=BK15,BK15&lt;&gt;"")),Data!$BJ$2,"")</f>
        <v/>
      </c>
      <c r="BP15" s="197" t="str">
        <f>IF(AND($K15="x",AND(MAX(BJ15:BL15)=BL15,BL15&lt;&gt;"")),Data!$BK$2,"")</f>
        <v/>
      </c>
      <c r="BQ15" s="197"/>
      <c r="BR15" s="328"/>
      <c r="BS15" s="453">
        <v>80</v>
      </c>
      <c r="BT15" s="454">
        <v>10</v>
      </c>
      <c r="BU15" s="441">
        <f t="shared" si="8"/>
        <v>10</v>
      </c>
      <c r="BV15" s="328"/>
      <c r="BW15" s="197" t="str">
        <f>IF(AND($I15="x",AND(MAX(BS15:BU15)=BS15,BS15&lt;&gt;"")),Data!$BI$2,"")</f>
        <v/>
      </c>
      <c r="BX15" s="197" t="str">
        <f>IF(AND($J15="x",AND(MAX(BS15:BU15)=BT15,BT15&lt;&gt;"")),Data!$BJ$2,"")</f>
        <v/>
      </c>
      <c r="BY15" s="197" t="str">
        <f>IF(AND($K15="x",AND(MAX(BS15:BU15)=BU15,BU15&lt;&gt;"")),Data!$BK$2,"")</f>
        <v/>
      </c>
      <c r="BZ15" s="197"/>
      <c r="CA15" s="328"/>
      <c r="CB15" s="460">
        <f t="shared" si="9"/>
        <v>80</v>
      </c>
      <c r="CC15" s="461">
        <f t="shared" si="10"/>
        <v>10</v>
      </c>
      <c r="CD15" s="462">
        <f t="shared" si="11"/>
        <v>10</v>
      </c>
      <c r="CE15" s="328"/>
      <c r="CF15" s="197" t="str">
        <f>IF(AND($I15="x",AND(MAX(CB15:CD15)=CB15,CB15&lt;&gt;"")),Data!$BI$2,"")</f>
        <v/>
      </c>
      <c r="CG15" s="197" t="str">
        <f>IF(AND($J15="x",AND(MAX(CB15:CD15)=CC15,CC15&lt;&gt;"")),Data!$BJ$2,"")</f>
        <v/>
      </c>
      <c r="CH15" s="197" t="str">
        <f>IF(AND($K15="x",AND(MAX(CB15:CD15)=CD15,CD15&lt;&gt;"")),Data!$BK$2,"")</f>
        <v/>
      </c>
      <c r="CI15" s="197"/>
      <c r="CJ15" s="197"/>
      <c r="CK15" s="453">
        <v>80</v>
      </c>
      <c r="CL15" s="454">
        <v>10</v>
      </c>
      <c r="CM15" s="441">
        <f t="shared" si="13"/>
        <v>10</v>
      </c>
      <c r="CN15" s="328"/>
      <c r="CO15" s="197" t="str">
        <f>IF(AND($I15="x",AND(MAX(CK15:CM15)=CK15,CK15&lt;&gt;"")),Data!$BI$2,"")</f>
        <v/>
      </c>
      <c r="CP15" s="197" t="str">
        <f>IF(AND($J15="x",AND(MAX(CK15:CM15)=CL15,CL15&lt;&gt;"")),Data!$BJ$2,"")</f>
        <v/>
      </c>
      <c r="CQ15" s="197" t="str">
        <f>IF(AND($K15="x",AND(MAX(CK15:CM15)=CM15,CM15&lt;&gt;"")),Data!$BK$2,"")</f>
        <v/>
      </c>
      <c r="CR15" s="197"/>
      <c r="CS15" s="197"/>
      <c r="CT15" s="328"/>
      <c r="CU15" s="259"/>
      <c r="CV15" s="209"/>
      <c r="CW15" s="227"/>
      <c r="CX15" s="144"/>
      <c r="CY15" s="144"/>
    </row>
    <row r="16" spans="1:103" s="143" customFormat="1" ht="13.35" customHeight="1" outlineLevel="2" thickBot="1" x14ac:dyDescent="0.25">
      <c r="A16" s="227"/>
      <c r="B16" s="227"/>
      <c r="C16" s="168"/>
      <c r="D16" s="232"/>
      <c r="E16" s="136" t="s">
        <v>59</v>
      </c>
      <c r="F16" s="426">
        <v>1</v>
      </c>
      <c r="G16" s="432" t="s">
        <v>51</v>
      </c>
      <c r="H16" s="433">
        <v>1</v>
      </c>
      <c r="I16" s="349" t="str">
        <f t="shared" si="0"/>
        <v/>
      </c>
      <c r="J16" s="350" t="str">
        <f t="shared" si="1"/>
        <v>x</v>
      </c>
      <c r="K16" s="351" t="str">
        <f t="shared" si="2"/>
        <v/>
      </c>
      <c r="L16" s="258"/>
      <c r="M16" s="332"/>
      <c r="N16" s="336"/>
      <c r="O16" s="200"/>
      <c r="P16" s="200"/>
      <c r="Q16" s="445">
        <v>80</v>
      </c>
      <c r="R16" s="446">
        <v>10</v>
      </c>
      <c r="S16" s="447">
        <f t="shared" si="3"/>
        <v>10</v>
      </c>
      <c r="T16" s="328"/>
      <c r="U16" s="197" t="str">
        <f>IF(AND($I16="x",AND(MAX(Q16:S16)=Q16,"")),Data!$BI$2,"")</f>
        <v/>
      </c>
      <c r="V16" s="197" t="str">
        <f>IF(AND($J16="x",AND(MAX(Q16:S16)=R16,"")),Data!$BJ$2,"")</f>
        <v/>
      </c>
      <c r="W16" s="197" t="str">
        <f>IF(AND($K16="x",AND(MAX(Q16:S16)=S16,"")),Data!$BK$2,"")</f>
        <v/>
      </c>
      <c r="X16" s="197"/>
      <c r="Y16" s="328"/>
      <c r="Z16" s="455">
        <v>80</v>
      </c>
      <c r="AA16" s="456">
        <v>10</v>
      </c>
      <c r="AB16" s="447">
        <f t="shared" si="4"/>
        <v>10</v>
      </c>
      <c r="AC16" s="328"/>
      <c r="AD16" s="197" t="str">
        <f>IF(AND($I16="x",AND(MAX(Z16:AB16)=Z16,Z16&lt;&gt;"")),Data!$BI$2,"")</f>
        <v/>
      </c>
      <c r="AE16" s="197" t="str">
        <f>IF(AND($J16="x",AND(MAX(Z16:AB16)=AA16,AA16&lt;&gt;"")),Data!$BJ$2,"")</f>
        <v/>
      </c>
      <c r="AF16" s="197" t="str">
        <f>IF(AND($K16="x",AND(MAX(Z16:AB16)=AB16,AB16&lt;&gt;"")),Data!$BK$2,"")</f>
        <v/>
      </c>
      <c r="AG16" s="197"/>
      <c r="AH16" s="328"/>
      <c r="AI16" s="455">
        <v>80</v>
      </c>
      <c r="AJ16" s="456">
        <v>10</v>
      </c>
      <c r="AK16" s="447">
        <f t="shared" si="5"/>
        <v>10</v>
      </c>
      <c r="AL16" s="328"/>
      <c r="AM16" s="197" t="str">
        <f>IF(AND($I16="x",AND(MAX(AI16:AK16)=AI16,AI16&lt;&gt;"")),Data!$BI$2,"")</f>
        <v/>
      </c>
      <c r="AN16" s="197" t="str">
        <f>IF(AND($J16="x",AND(MAX(AI16:AK16)=AJ16,AJ16&lt;&gt;"")),Data!$BJ$2,"")</f>
        <v/>
      </c>
      <c r="AO16" s="197" t="str">
        <f>IF(AND($K16="x",AND(MAX(AI16:AK16)=AK16,AK16&lt;&gt;"")),Data!$BK$2,"")</f>
        <v/>
      </c>
      <c r="AP16" s="197"/>
      <c r="AQ16" s="328"/>
      <c r="AR16" s="455">
        <v>80</v>
      </c>
      <c r="AS16" s="456">
        <v>10</v>
      </c>
      <c r="AT16" s="447">
        <f t="shared" si="6"/>
        <v>10</v>
      </c>
      <c r="AU16" s="328"/>
      <c r="AV16" s="197" t="str">
        <f>IF(AND($I16="x",AND(MAX(AR16:AT16)=AR16,AR16&lt;&gt;"")),Data!$BI$2,"")</f>
        <v/>
      </c>
      <c r="AW16" s="197" t="str">
        <f>IF(AND($J16="x",AND(MAX(AR16:AT16)=AS16,AS16&lt;&gt;"")),Data!$BJ$2,"")</f>
        <v/>
      </c>
      <c r="AX16" s="197" t="str">
        <f>IF(AND($K16="x",AND(MAX(AR16:AT16)=AT16,AT16&lt;&gt;"")),Data!$BK$2,"")</f>
        <v/>
      </c>
      <c r="AY16" s="197"/>
      <c r="AZ16" s="328"/>
      <c r="BA16" s="455">
        <v>80</v>
      </c>
      <c r="BB16" s="456">
        <v>10</v>
      </c>
      <c r="BC16" s="447">
        <f t="shared" si="12"/>
        <v>10</v>
      </c>
      <c r="BD16" s="328"/>
      <c r="BE16" s="197" t="str">
        <f>IF(AND($I16="x",AND(MAX(BA16:BC16)=BA16,BA16&lt;&gt;"")),Data!$BI$2,"")</f>
        <v/>
      </c>
      <c r="BF16" s="197" t="str">
        <f>IF(AND($J16="x",AND(MAX(BA16:BC16)=BB16,BB16&lt;&gt;"")),Data!$BJ$2,"")</f>
        <v/>
      </c>
      <c r="BG16" s="197" t="str">
        <f>IF(AND($K16="x",AND(MAX(BA16:BC16)=BC16,BC16&lt;&gt;"")),Data!$BK$2,"")</f>
        <v/>
      </c>
      <c r="BH16" s="197"/>
      <c r="BI16" s="328"/>
      <c r="BJ16" s="455">
        <v>80</v>
      </c>
      <c r="BK16" s="456">
        <v>10</v>
      </c>
      <c r="BL16" s="447">
        <f t="shared" si="7"/>
        <v>10</v>
      </c>
      <c r="BM16" s="328"/>
      <c r="BN16" s="197" t="str">
        <f>IF(AND($I16="x",AND(MAX(BJ16:BL16)=BJ16,BJ16&lt;&gt;"")),Data!$BI$2,"")</f>
        <v/>
      </c>
      <c r="BO16" s="197" t="str">
        <f>IF(AND($J16="x",AND(MAX(BJ16:BL16)=BK16,BK16&lt;&gt;"")),Data!$BJ$2,"")</f>
        <v/>
      </c>
      <c r="BP16" s="197" t="str">
        <f>IF(AND($K16="x",AND(MAX(BJ16:BL16)=BL16,BL16&lt;&gt;"")),Data!$BK$2,"")</f>
        <v/>
      </c>
      <c r="BQ16" s="197"/>
      <c r="BR16" s="328"/>
      <c r="BS16" s="455">
        <v>80</v>
      </c>
      <c r="BT16" s="456">
        <v>10</v>
      </c>
      <c r="BU16" s="447">
        <f t="shared" si="8"/>
        <v>10</v>
      </c>
      <c r="BV16" s="328"/>
      <c r="BW16" s="197" t="str">
        <f>IF(AND($I16="x",AND(MAX(BS16:BU16)=BS16,BS16&lt;&gt;"")),Data!$BI$2,"")</f>
        <v/>
      </c>
      <c r="BX16" s="197" t="str">
        <f>IF(AND($J16="x",AND(MAX(BS16:BU16)=BT16,BT16&lt;&gt;"")),Data!$BJ$2,"")</f>
        <v/>
      </c>
      <c r="BY16" s="197" t="str">
        <f>IF(AND($K16="x",AND(MAX(BS16:BU16)=BU16,BU16&lt;&gt;"")),Data!$BK$2,"")</f>
        <v/>
      </c>
      <c r="BZ16" s="197"/>
      <c r="CA16" s="328"/>
      <c r="CB16" s="463">
        <f t="shared" si="9"/>
        <v>80</v>
      </c>
      <c r="CC16" s="464">
        <f t="shared" si="10"/>
        <v>10</v>
      </c>
      <c r="CD16" s="465">
        <f t="shared" si="11"/>
        <v>10</v>
      </c>
      <c r="CE16" s="328"/>
      <c r="CF16" s="197" t="str">
        <f>IF(AND($I16="x",AND(MAX(CB16:CD16)=CB16,CB16&lt;&gt;"")),Data!$BI$2,"")</f>
        <v/>
      </c>
      <c r="CG16" s="197" t="str">
        <f>IF(AND($J16="x",AND(MAX(CB16:CD16)=CC16,CC16&lt;&gt;"")),Data!$BJ$2,"")</f>
        <v/>
      </c>
      <c r="CH16" s="197" t="str">
        <f>IF(AND($K16="x",AND(MAX(CB16:CD16)=CD16,CD16&lt;&gt;"")),Data!$BK$2,"")</f>
        <v/>
      </c>
      <c r="CI16" s="197"/>
      <c r="CJ16" s="197"/>
      <c r="CK16" s="455">
        <v>80</v>
      </c>
      <c r="CL16" s="456">
        <v>10</v>
      </c>
      <c r="CM16" s="447">
        <f t="shared" si="13"/>
        <v>10</v>
      </c>
      <c r="CN16" s="328"/>
      <c r="CO16" s="197" t="str">
        <f>IF(AND($I16="x",AND(MAX(CK16:CM16)=CK16,CK16&lt;&gt;"")),Data!$BI$2,"")</f>
        <v/>
      </c>
      <c r="CP16" s="197" t="str">
        <f>IF(AND($J16="x",AND(MAX(CK16:CM16)=CL16,CL16&lt;&gt;"")),Data!$BJ$2,"")</f>
        <v/>
      </c>
      <c r="CQ16" s="197" t="str">
        <f>IF(AND($K16="x",AND(MAX(CK16:CM16)=CM16,CM16&lt;&gt;"")),Data!$BK$2,"")</f>
        <v/>
      </c>
      <c r="CR16" s="197"/>
      <c r="CS16" s="197"/>
      <c r="CT16" s="328"/>
      <c r="CU16" s="259"/>
      <c r="CV16" s="209"/>
      <c r="CW16" s="227"/>
      <c r="CX16" s="144"/>
      <c r="CY16" s="144"/>
    </row>
    <row r="17" spans="1:103" s="143" customFormat="1" ht="13.35" customHeight="1" outlineLevel="2" x14ac:dyDescent="0.2">
      <c r="A17" s="227"/>
      <c r="B17" s="227"/>
      <c r="C17" s="168"/>
      <c r="D17" s="232"/>
      <c r="E17" s="137" t="s">
        <v>60</v>
      </c>
      <c r="F17" s="424">
        <v>1</v>
      </c>
      <c r="G17" s="428" t="s">
        <v>51</v>
      </c>
      <c r="H17" s="429">
        <v>1</v>
      </c>
      <c r="I17" s="138" t="str">
        <f t="shared" si="0"/>
        <v/>
      </c>
      <c r="J17" s="344" t="str">
        <f t="shared" si="1"/>
        <v>x</v>
      </c>
      <c r="K17" s="345" t="str">
        <f t="shared" si="2"/>
        <v/>
      </c>
      <c r="L17" s="258"/>
      <c r="M17" s="332"/>
      <c r="N17" s="336"/>
      <c r="O17" s="200"/>
      <c r="P17" s="200"/>
      <c r="Q17" s="448">
        <v>80</v>
      </c>
      <c r="R17" s="449">
        <v>10</v>
      </c>
      <c r="S17" s="450">
        <f t="shared" si="3"/>
        <v>10</v>
      </c>
      <c r="T17" s="328"/>
      <c r="U17" s="197" t="str">
        <f>IF(AND($I17="x",AND(MAX(Q17:S17)=Q17,"")),Data!$BI$2,"")</f>
        <v/>
      </c>
      <c r="V17" s="197" t="str">
        <f>IF(AND($J17="x",AND(MAX(Q17:S17)=R17,"")),Data!$BJ$2,"")</f>
        <v/>
      </c>
      <c r="W17" s="197" t="str">
        <f>IF(AND($K17="x",AND(MAX(Q17:S17)=S17,"")),Data!$BK$2,"")</f>
        <v/>
      </c>
      <c r="X17" s="197"/>
      <c r="Y17" s="328"/>
      <c r="Z17" s="451">
        <v>80</v>
      </c>
      <c r="AA17" s="452">
        <v>10</v>
      </c>
      <c r="AB17" s="450">
        <f t="shared" si="4"/>
        <v>10</v>
      </c>
      <c r="AC17" s="328"/>
      <c r="AD17" s="197" t="str">
        <f>IF(AND($I17="x",AND(MAX(Z17:AB17)=Z17,Z17&lt;&gt;"")),Data!$BI$2,"")</f>
        <v/>
      </c>
      <c r="AE17" s="197" t="str">
        <f>IF(AND($J17="x",AND(MAX(Z17:AB17)=AA17,AA17&lt;&gt;"")),Data!$BJ$2,"")</f>
        <v/>
      </c>
      <c r="AF17" s="197" t="str">
        <f>IF(AND($K17="x",AND(MAX(Z17:AB17)=AB17,AB17&lt;&gt;"")),Data!$BK$2,"")</f>
        <v/>
      </c>
      <c r="AG17" s="197"/>
      <c r="AH17" s="328"/>
      <c r="AI17" s="451">
        <v>80</v>
      </c>
      <c r="AJ17" s="452">
        <v>10</v>
      </c>
      <c r="AK17" s="450">
        <f t="shared" si="5"/>
        <v>10</v>
      </c>
      <c r="AL17" s="328"/>
      <c r="AM17" s="197" t="str">
        <f>IF(AND($I17="x",AND(MAX(AI17:AK17)=AI17,AI17&lt;&gt;"")),Data!$BI$2,"")</f>
        <v/>
      </c>
      <c r="AN17" s="197" t="str">
        <f>IF(AND($J17="x",AND(MAX(AI17:AK17)=AJ17,AJ17&lt;&gt;"")),Data!$BJ$2,"")</f>
        <v/>
      </c>
      <c r="AO17" s="197" t="str">
        <f>IF(AND($K17="x",AND(MAX(AI17:AK17)=AK17,AK17&lt;&gt;"")),Data!$BK$2,"")</f>
        <v/>
      </c>
      <c r="AP17" s="197"/>
      <c r="AQ17" s="328"/>
      <c r="AR17" s="451">
        <v>80</v>
      </c>
      <c r="AS17" s="452">
        <v>10</v>
      </c>
      <c r="AT17" s="450">
        <f t="shared" si="6"/>
        <v>10</v>
      </c>
      <c r="AU17" s="328"/>
      <c r="AV17" s="197" t="str">
        <f>IF(AND($I17="x",AND(MAX(AR17:AT17)=AR17,AR17&lt;&gt;"")),Data!$BI$2,"")</f>
        <v/>
      </c>
      <c r="AW17" s="197" t="str">
        <f>IF(AND($J17="x",AND(MAX(AR17:AT17)=AS17,AS17&lt;&gt;"")),Data!$BJ$2,"")</f>
        <v/>
      </c>
      <c r="AX17" s="197" t="str">
        <f>IF(AND($K17="x",AND(MAX(AR17:AT17)=AT17,AT17&lt;&gt;"")),Data!$BK$2,"")</f>
        <v/>
      </c>
      <c r="AY17" s="197"/>
      <c r="AZ17" s="328"/>
      <c r="BA17" s="451">
        <v>80</v>
      </c>
      <c r="BB17" s="452">
        <v>10</v>
      </c>
      <c r="BC17" s="450">
        <f t="shared" si="12"/>
        <v>10</v>
      </c>
      <c r="BD17" s="328"/>
      <c r="BE17" s="197" t="str">
        <f>IF(AND($I17="x",AND(MAX(BA17:BC17)=BA17,BA17&lt;&gt;"")),Data!$BI$2,"")</f>
        <v/>
      </c>
      <c r="BF17" s="197" t="str">
        <f>IF(AND($J17="x",AND(MAX(BA17:BC17)=BB17,BB17&lt;&gt;"")),Data!$BJ$2,"")</f>
        <v/>
      </c>
      <c r="BG17" s="197" t="str">
        <f>IF(AND($K17="x",AND(MAX(BA17:BC17)=BC17,BC17&lt;&gt;"")),Data!$BK$2,"")</f>
        <v/>
      </c>
      <c r="BH17" s="197"/>
      <c r="BI17" s="328"/>
      <c r="BJ17" s="451">
        <v>80</v>
      </c>
      <c r="BK17" s="452">
        <v>10</v>
      </c>
      <c r="BL17" s="450">
        <f t="shared" si="7"/>
        <v>10</v>
      </c>
      <c r="BM17" s="328"/>
      <c r="BN17" s="197" t="str">
        <f>IF(AND($I17="x",AND(MAX(BJ17:BL17)=BJ17,BJ17&lt;&gt;"")),Data!$BI$2,"")</f>
        <v/>
      </c>
      <c r="BO17" s="197" t="str">
        <f>IF(AND($J17="x",AND(MAX(BJ17:BL17)=BK17,BK17&lt;&gt;"")),Data!$BJ$2,"")</f>
        <v/>
      </c>
      <c r="BP17" s="197" t="str">
        <f>IF(AND($K17="x",AND(MAX(BJ17:BL17)=BL17,BL17&lt;&gt;"")),Data!$BK$2,"")</f>
        <v/>
      </c>
      <c r="BQ17" s="197"/>
      <c r="BR17" s="328"/>
      <c r="BS17" s="451">
        <v>80</v>
      </c>
      <c r="BT17" s="452">
        <v>10</v>
      </c>
      <c r="BU17" s="450">
        <f t="shared" si="8"/>
        <v>10</v>
      </c>
      <c r="BV17" s="328"/>
      <c r="BW17" s="197" t="str">
        <f>IF(AND($I17="x",AND(MAX(BS17:BU17)=BS17,BS17&lt;&gt;"")),Data!$BI$2,"")</f>
        <v/>
      </c>
      <c r="BX17" s="197" t="str">
        <f>IF(AND($J17="x",AND(MAX(BS17:BU17)=BT17,BT17&lt;&gt;"")),Data!$BJ$2,"")</f>
        <v/>
      </c>
      <c r="BY17" s="197" t="str">
        <f>IF(AND($K17="x",AND(MAX(BS17:BU17)=BU17,BU17&lt;&gt;"")),Data!$BK$2,"")</f>
        <v/>
      </c>
      <c r="BZ17" s="197"/>
      <c r="CA17" s="328"/>
      <c r="CB17" s="457">
        <f t="shared" si="9"/>
        <v>80</v>
      </c>
      <c r="CC17" s="458">
        <f t="shared" si="10"/>
        <v>10</v>
      </c>
      <c r="CD17" s="459">
        <f t="shared" si="11"/>
        <v>10</v>
      </c>
      <c r="CE17" s="328"/>
      <c r="CF17" s="197" t="str">
        <f>IF(AND($I17="x",AND(MAX(CB17:CD17)=CB17,CB17&lt;&gt;"")),Data!$BI$2,"")</f>
        <v/>
      </c>
      <c r="CG17" s="197" t="str">
        <f>IF(AND($J17="x",AND(MAX(CB17:CD17)=CC17,CC17&lt;&gt;"")),Data!$BJ$2,"")</f>
        <v/>
      </c>
      <c r="CH17" s="197" t="str">
        <f>IF(AND($K17="x",AND(MAX(CB17:CD17)=CD17,CD17&lt;&gt;"")),Data!$BK$2,"")</f>
        <v/>
      </c>
      <c r="CI17" s="197"/>
      <c r="CJ17" s="197"/>
      <c r="CK17" s="451">
        <v>80</v>
      </c>
      <c r="CL17" s="452">
        <v>10</v>
      </c>
      <c r="CM17" s="450">
        <f t="shared" si="13"/>
        <v>10</v>
      </c>
      <c r="CN17" s="328"/>
      <c r="CO17" s="197" t="str">
        <f>IF(AND($I17="x",AND(MAX(CK17:CM17)=CK17,CK17&lt;&gt;"")),Data!$BI$2,"")</f>
        <v/>
      </c>
      <c r="CP17" s="197" t="str">
        <f>IF(AND($J17="x",AND(MAX(CK17:CM17)=CL17,CL17&lt;&gt;"")),Data!$BJ$2,"")</f>
        <v/>
      </c>
      <c r="CQ17" s="197" t="str">
        <f>IF(AND($K17="x",AND(MAX(CK17:CM17)=CM17,CM17&lt;&gt;"")),Data!$BK$2,"")</f>
        <v/>
      </c>
      <c r="CR17" s="197"/>
      <c r="CS17" s="197"/>
      <c r="CT17" s="328"/>
      <c r="CU17" s="259"/>
      <c r="CV17" s="209"/>
      <c r="CW17" s="227"/>
      <c r="CX17" s="144"/>
      <c r="CY17" s="144"/>
    </row>
    <row r="18" spans="1:103" s="143" customFormat="1" ht="13.35" customHeight="1" outlineLevel="2" x14ac:dyDescent="0.2">
      <c r="A18" s="227"/>
      <c r="B18" s="227"/>
      <c r="C18" s="168"/>
      <c r="D18" s="232"/>
      <c r="E18" s="135" t="s">
        <v>61</v>
      </c>
      <c r="F18" s="425">
        <v>1</v>
      </c>
      <c r="G18" s="430" t="s">
        <v>51</v>
      </c>
      <c r="H18" s="431">
        <v>1</v>
      </c>
      <c r="I18" s="346" t="str">
        <f t="shared" si="0"/>
        <v/>
      </c>
      <c r="J18" s="347" t="str">
        <f t="shared" si="1"/>
        <v>x</v>
      </c>
      <c r="K18" s="348" t="str">
        <f t="shared" si="2"/>
        <v/>
      </c>
      <c r="L18" s="258"/>
      <c r="M18" s="332"/>
      <c r="N18" s="336"/>
      <c r="O18" s="200"/>
      <c r="P18" s="200"/>
      <c r="Q18" s="439">
        <v>80</v>
      </c>
      <c r="R18" s="440">
        <v>10</v>
      </c>
      <c r="S18" s="441">
        <f t="shared" si="3"/>
        <v>10</v>
      </c>
      <c r="T18" s="328"/>
      <c r="U18" s="197" t="str">
        <f>IF(AND($I18="x",AND(MAX(Q18:S18)=Q18,"")),Data!$BI$2,"")</f>
        <v/>
      </c>
      <c r="V18" s="197" t="str">
        <f>IF(AND($J18="x",AND(MAX(Q18:S18)=R18,"")),Data!$BJ$2,"")</f>
        <v/>
      </c>
      <c r="W18" s="197" t="str">
        <f>IF(AND($K18="x",AND(MAX(Q18:S18)=S18,"")),Data!$BK$2,"")</f>
        <v/>
      </c>
      <c r="X18" s="197"/>
      <c r="Y18" s="328"/>
      <c r="Z18" s="453">
        <v>80</v>
      </c>
      <c r="AA18" s="454">
        <v>10</v>
      </c>
      <c r="AB18" s="441">
        <f t="shared" si="4"/>
        <v>10</v>
      </c>
      <c r="AC18" s="328"/>
      <c r="AD18" s="197" t="str">
        <f>IF(AND($I18="x",AND(MAX(Z18:AB18)=Z18,Z18&lt;&gt;"")),Data!$BI$2,"")</f>
        <v/>
      </c>
      <c r="AE18" s="197" t="str">
        <f>IF(AND($J18="x",AND(MAX(Z18:AB18)=AA18,AA18&lt;&gt;"")),Data!$BJ$2,"")</f>
        <v/>
      </c>
      <c r="AF18" s="197" t="str">
        <f>IF(AND($K18="x",AND(MAX(Z18:AB18)=AB18,AB18&lt;&gt;"")),Data!$BK$2,"")</f>
        <v/>
      </c>
      <c r="AG18" s="197"/>
      <c r="AH18" s="328"/>
      <c r="AI18" s="453">
        <v>80</v>
      </c>
      <c r="AJ18" s="454">
        <v>10</v>
      </c>
      <c r="AK18" s="441">
        <f t="shared" si="5"/>
        <v>10</v>
      </c>
      <c r="AL18" s="328"/>
      <c r="AM18" s="197" t="str">
        <f>IF(AND($I18="x",AND(MAX(AI18:AK18)=AI18,AI18&lt;&gt;"")),Data!$BI$2,"")</f>
        <v/>
      </c>
      <c r="AN18" s="197" t="str">
        <f>IF(AND($J18="x",AND(MAX(AI18:AK18)=AJ18,AJ18&lt;&gt;"")),Data!$BJ$2,"")</f>
        <v/>
      </c>
      <c r="AO18" s="197" t="str">
        <f>IF(AND($K18="x",AND(MAX(AI18:AK18)=AK18,AK18&lt;&gt;"")),Data!$BK$2,"")</f>
        <v/>
      </c>
      <c r="AP18" s="197"/>
      <c r="AQ18" s="328"/>
      <c r="AR18" s="453">
        <v>80</v>
      </c>
      <c r="AS18" s="454">
        <v>10</v>
      </c>
      <c r="AT18" s="441">
        <f t="shared" si="6"/>
        <v>10</v>
      </c>
      <c r="AU18" s="328"/>
      <c r="AV18" s="197" t="str">
        <f>IF(AND($I18="x",AND(MAX(AR18:AT18)=AR18,AR18&lt;&gt;"")),Data!$BI$2,"")</f>
        <v/>
      </c>
      <c r="AW18" s="197" t="str">
        <f>IF(AND($J18="x",AND(MAX(AR18:AT18)=AS18,AS18&lt;&gt;"")),Data!$BJ$2,"")</f>
        <v/>
      </c>
      <c r="AX18" s="197" t="str">
        <f>IF(AND($K18="x",AND(MAX(AR18:AT18)=AT18,AT18&lt;&gt;"")),Data!$BK$2,"")</f>
        <v/>
      </c>
      <c r="AY18" s="197"/>
      <c r="AZ18" s="328"/>
      <c r="BA18" s="453">
        <v>80</v>
      </c>
      <c r="BB18" s="454">
        <v>10</v>
      </c>
      <c r="BC18" s="441">
        <f t="shared" si="12"/>
        <v>10</v>
      </c>
      <c r="BD18" s="328"/>
      <c r="BE18" s="197" t="str">
        <f>IF(AND($I18="x",AND(MAX(BA18:BC18)=BA18,BA18&lt;&gt;"")),Data!$BI$2,"")</f>
        <v/>
      </c>
      <c r="BF18" s="197" t="str">
        <f>IF(AND($J18="x",AND(MAX(BA18:BC18)=BB18,BB18&lt;&gt;"")),Data!$BJ$2,"")</f>
        <v/>
      </c>
      <c r="BG18" s="197" t="str">
        <f>IF(AND($K18="x",AND(MAX(BA18:BC18)=BC18,BC18&lt;&gt;"")),Data!$BK$2,"")</f>
        <v/>
      </c>
      <c r="BH18" s="197"/>
      <c r="BI18" s="328"/>
      <c r="BJ18" s="453">
        <v>80</v>
      </c>
      <c r="BK18" s="454">
        <v>10</v>
      </c>
      <c r="BL18" s="441">
        <f t="shared" si="7"/>
        <v>10</v>
      </c>
      <c r="BM18" s="328"/>
      <c r="BN18" s="197" t="str">
        <f>IF(AND($I18="x",AND(MAX(BJ18:BL18)=BJ18,BJ18&lt;&gt;"")),Data!$BI$2,"")</f>
        <v/>
      </c>
      <c r="BO18" s="197" t="str">
        <f>IF(AND($J18="x",AND(MAX(BJ18:BL18)=BK18,BK18&lt;&gt;"")),Data!$BJ$2,"")</f>
        <v/>
      </c>
      <c r="BP18" s="197" t="str">
        <f>IF(AND($K18="x",AND(MAX(BJ18:BL18)=BL18,BL18&lt;&gt;"")),Data!$BK$2,"")</f>
        <v/>
      </c>
      <c r="BQ18" s="197"/>
      <c r="BR18" s="328"/>
      <c r="BS18" s="453">
        <v>80</v>
      </c>
      <c r="BT18" s="454">
        <v>10</v>
      </c>
      <c r="BU18" s="441">
        <f t="shared" si="8"/>
        <v>10</v>
      </c>
      <c r="BV18" s="328"/>
      <c r="BW18" s="197" t="str">
        <f>IF(AND($I18="x",AND(MAX(BS18:BU18)=BS18,BS18&lt;&gt;"")),Data!$BI$2,"")</f>
        <v/>
      </c>
      <c r="BX18" s="197" t="str">
        <f>IF(AND($J18="x",AND(MAX(BS18:BU18)=BT18,BT18&lt;&gt;"")),Data!$BJ$2,"")</f>
        <v/>
      </c>
      <c r="BY18" s="197" t="str">
        <f>IF(AND($K18="x",AND(MAX(BS18:BU18)=BU18,BU18&lt;&gt;"")),Data!$BK$2,"")</f>
        <v/>
      </c>
      <c r="BZ18" s="197"/>
      <c r="CA18" s="328"/>
      <c r="CB18" s="460">
        <f t="shared" si="9"/>
        <v>80</v>
      </c>
      <c r="CC18" s="461">
        <f t="shared" si="10"/>
        <v>10</v>
      </c>
      <c r="CD18" s="462">
        <f t="shared" si="11"/>
        <v>10</v>
      </c>
      <c r="CE18" s="328"/>
      <c r="CF18" s="197" t="str">
        <f>IF(AND($I18="x",AND(MAX(CB18:CD18)=CB18,CB18&lt;&gt;"")),Data!$BI$2,"")</f>
        <v/>
      </c>
      <c r="CG18" s="197" t="str">
        <f>IF(AND($J18="x",AND(MAX(CB18:CD18)=CC18,CC18&lt;&gt;"")),Data!$BJ$2,"")</f>
        <v/>
      </c>
      <c r="CH18" s="197" t="str">
        <f>IF(AND($K18="x",AND(MAX(CB18:CD18)=CD18,CD18&lt;&gt;"")),Data!$BK$2,"")</f>
        <v/>
      </c>
      <c r="CI18" s="197"/>
      <c r="CJ18" s="197"/>
      <c r="CK18" s="453">
        <v>80</v>
      </c>
      <c r="CL18" s="454">
        <v>10</v>
      </c>
      <c r="CM18" s="441">
        <f t="shared" si="13"/>
        <v>10</v>
      </c>
      <c r="CN18" s="328"/>
      <c r="CO18" s="197" t="str">
        <f>IF(AND($I18="x",AND(MAX(CK18:CM18)=CK18,CK18&lt;&gt;"")),Data!$BI$2,"")</f>
        <v/>
      </c>
      <c r="CP18" s="197" t="str">
        <f>IF(AND($J18="x",AND(MAX(CK18:CM18)=CL18,CL18&lt;&gt;"")),Data!$BJ$2,"")</f>
        <v/>
      </c>
      <c r="CQ18" s="197" t="str">
        <f>IF(AND($K18="x",AND(MAX(CK18:CM18)=CM18,CM18&lt;&gt;"")),Data!$BK$2,"")</f>
        <v/>
      </c>
      <c r="CR18" s="197"/>
      <c r="CS18" s="197"/>
      <c r="CT18" s="328"/>
      <c r="CU18" s="259"/>
      <c r="CV18" s="209"/>
      <c r="CW18" s="227"/>
      <c r="CX18" s="144"/>
      <c r="CY18" s="144"/>
    </row>
    <row r="19" spans="1:103" s="143" customFormat="1" ht="13.35" customHeight="1" outlineLevel="2" thickBot="1" x14ac:dyDescent="0.25">
      <c r="A19" s="227"/>
      <c r="B19" s="227"/>
      <c r="C19" s="168"/>
      <c r="D19" s="232"/>
      <c r="E19" s="136" t="s">
        <v>62</v>
      </c>
      <c r="F19" s="426">
        <v>1</v>
      </c>
      <c r="G19" s="432" t="s">
        <v>51</v>
      </c>
      <c r="H19" s="433">
        <v>1</v>
      </c>
      <c r="I19" s="349" t="str">
        <f t="shared" si="0"/>
        <v/>
      </c>
      <c r="J19" s="350" t="str">
        <f t="shared" si="1"/>
        <v>x</v>
      </c>
      <c r="K19" s="351" t="str">
        <f t="shared" si="2"/>
        <v/>
      </c>
      <c r="L19" s="258"/>
      <c r="M19" s="332"/>
      <c r="N19" s="336"/>
      <c r="O19" s="200"/>
      <c r="P19" s="200"/>
      <c r="Q19" s="445">
        <v>80</v>
      </c>
      <c r="R19" s="446">
        <v>10</v>
      </c>
      <c r="S19" s="447">
        <f t="shared" si="3"/>
        <v>10</v>
      </c>
      <c r="T19" s="328"/>
      <c r="U19" s="197" t="str">
        <f>IF(AND($I19="x",AND(MAX(Q19:S19)=Q19,"")),Data!$BI$2,"")</f>
        <v/>
      </c>
      <c r="V19" s="197" t="str">
        <f>IF(AND($J19="x",AND(MAX(Q19:S19)=R19,"")),Data!$BJ$2,"")</f>
        <v/>
      </c>
      <c r="W19" s="197" t="str">
        <f>IF(AND($K19="x",AND(MAX(Q19:S19)=S19,"")),Data!$BK$2,"")</f>
        <v/>
      </c>
      <c r="X19" s="197"/>
      <c r="Y19" s="328"/>
      <c r="Z19" s="455">
        <v>80</v>
      </c>
      <c r="AA19" s="456">
        <v>10</v>
      </c>
      <c r="AB19" s="447">
        <f t="shared" si="4"/>
        <v>10</v>
      </c>
      <c r="AC19" s="328"/>
      <c r="AD19" s="197" t="str">
        <f>IF(AND($I19="x",AND(MAX(Z19:AB19)=Z19,Z19&lt;&gt;"")),Data!$BI$2,"")</f>
        <v/>
      </c>
      <c r="AE19" s="197" t="str">
        <f>IF(AND($J19="x",AND(MAX(Z19:AB19)=AA19,AA19&lt;&gt;"")),Data!$BJ$2,"")</f>
        <v/>
      </c>
      <c r="AF19" s="197" t="str">
        <f>IF(AND($K19="x",AND(MAX(Z19:AB19)=AB19,AB19&lt;&gt;"")),Data!$BK$2,"")</f>
        <v/>
      </c>
      <c r="AG19" s="197"/>
      <c r="AH19" s="328"/>
      <c r="AI19" s="455">
        <v>80</v>
      </c>
      <c r="AJ19" s="456">
        <v>10</v>
      </c>
      <c r="AK19" s="447">
        <f t="shared" si="5"/>
        <v>10</v>
      </c>
      <c r="AL19" s="328"/>
      <c r="AM19" s="197" t="str">
        <f>IF(AND($I19="x",AND(MAX(AI19:AK19)=AI19,AI19&lt;&gt;"")),Data!$BI$2,"")</f>
        <v/>
      </c>
      <c r="AN19" s="197" t="str">
        <f>IF(AND($J19="x",AND(MAX(AI19:AK19)=AJ19,AJ19&lt;&gt;"")),Data!$BJ$2,"")</f>
        <v/>
      </c>
      <c r="AO19" s="197" t="str">
        <f>IF(AND($K19="x",AND(MAX(AI19:AK19)=AK19,AK19&lt;&gt;"")),Data!$BK$2,"")</f>
        <v/>
      </c>
      <c r="AP19" s="197"/>
      <c r="AQ19" s="328"/>
      <c r="AR19" s="455">
        <v>80</v>
      </c>
      <c r="AS19" s="456">
        <v>10</v>
      </c>
      <c r="AT19" s="447">
        <f t="shared" si="6"/>
        <v>10</v>
      </c>
      <c r="AU19" s="328"/>
      <c r="AV19" s="197" t="str">
        <f>IF(AND($I19="x",AND(MAX(AR19:AT19)=AR19,AR19&lt;&gt;"")),Data!$BI$2,"")</f>
        <v/>
      </c>
      <c r="AW19" s="197" t="str">
        <f>IF(AND($J19="x",AND(MAX(AR19:AT19)=AS19,AS19&lt;&gt;"")),Data!$BJ$2,"")</f>
        <v/>
      </c>
      <c r="AX19" s="197" t="str">
        <f>IF(AND($K19="x",AND(MAX(AR19:AT19)=AT19,AT19&lt;&gt;"")),Data!$BK$2,"")</f>
        <v/>
      </c>
      <c r="AY19" s="197"/>
      <c r="AZ19" s="328"/>
      <c r="BA19" s="455">
        <v>80</v>
      </c>
      <c r="BB19" s="456">
        <v>10</v>
      </c>
      <c r="BC19" s="447">
        <f t="shared" si="12"/>
        <v>10</v>
      </c>
      <c r="BD19" s="328"/>
      <c r="BE19" s="197" t="str">
        <f>IF(AND($I19="x",AND(MAX(BA19:BC19)=BA19,BA19&lt;&gt;"")),Data!$BI$2,"")</f>
        <v/>
      </c>
      <c r="BF19" s="197" t="str">
        <f>IF(AND($J19="x",AND(MAX(BA19:BC19)=BB19,BB19&lt;&gt;"")),Data!$BJ$2,"")</f>
        <v/>
      </c>
      <c r="BG19" s="197" t="str">
        <f>IF(AND($K19="x",AND(MAX(BA19:BC19)=BC19,BC19&lt;&gt;"")),Data!$BK$2,"")</f>
        <v/>
      </c>
      <c r="BH19" s="197"/>
      <c r="BI19" s="328"/>
      <c r="BJ19" s="455">
        <v>80</v>
      </c>
      <c r="BK19" s="456">
        <v>10</v>
      </c>
      <c r="BL19" s="447">
        <f t="shared" si="7"/>
        <v>10</v>
      </c>
      <c r="BM19" s="328"/>
      <c r="BN19" s="197" t="str">
        <f>IF(AND($I19="x",AND(MAX(BJ19:BL19)=BJ19,BJ19&lt;&gt;"")),Data!$BI$2,"")</f>
        <v/>
      </c>
      <c r="BO19" s="197" t="str">
        <f>IF(AND($J19="x",AND(MAX(BJ19:BL19)=BK19,BK19&lt;&gt;"")),Data!$BJ$2,"")</f>
        <v/>
      </c>
      <c r="BP19" s="197" t="str">
        <f>IF(AND($K19="x",AND(MAX(BJ19:BL19)=BL19,BL19&lt;&gt;"")),Data!$BK$2,"")</f>
        <v/>
      </c>
      <c r="BQ19" s="197"/>
      <c r="BR19" s="328"/>
      <c r="BS19" s="455">
        <v>80</v>
      </c>
      <c r="BT19" s="456">
        <v>10</v>
      </c>
      <c r="BU19" s="447">
        <f t="shared" si="8"/>
        <v>10</v>
      </c>
      <c r="BV19" s="328"/>
      <c r="BW19" s="197" t="str">
        <f>IF(AND($I19="x",AND(MAX(BS19:BU19)=BS19,BS19&lt;&gt;"")),Data!$BI$2,"")</f>
        <v/>
      </c>
      <c r="BX19" s="197" t="str">
        <f>IF(AND($J19="x",AND(MAX(BS19:BU19)=BT19,BT19&lt;&gt;"")),Data!$BJ$2,"")</f>
        <v/>
      </c>
      <c r="BY19" s="197" t="str">
        <f>IF(AND($K19="x",AND(MAX(BS19:BU19)=BU19,BU19&lt;&gt;"")),Data!$BK$2,"")</f>
        <v/>
      </c>
      <c r="BZ19" s="197"/>
      <c r="CA19" s="328"/>
      <c r="CB19" s="463">
        <f t="shared" si="9"/>
        <v>80</v>
      </c>
      <c r="CC19" s="464">
        <f t="shared" si="10"/>
        <v>10</v>
      </c>
      <c r="CD19" s="465">
        <f t="shared" si="11"/>
        <v>10</v>
      </c>
      <c r="CE19" s="328"/>
      <c r="CF19" s="197" t="str">
        <f>IF(AND($I19="x",AND(MAX(CB19:CD19)=CB19,CB19&lt;&gt;"")),Data!$BI$2,"")</f>
        <v/>
      </c>
      <c r="CG19" s="197" t="str">
        <f>IF(AND($J19="x",AND(MAX(CB19:CD19)=CC19,CC19&lt;&gt;"")),Data!$BJ$2,"")</f>
        <v/>
      </c>
      <c r="CH19" s="197" t="str">
        <f>IF(AND($K19="x",AND(MAX(CB19:CD19)=CD19,CD19&lt;&gt;"")),Data!$BK$2,"")</f>
        <v/>
      </c>
      <c r="CI19" s="197"/>
      <c r="CJ19" s="197"/>
      <c r="CK19" s="455">
        <v>80</v>
      </c>
      <c r="CL19" s="456">
        <v>10</v>
      </c>
      <c r="CM19" s="447">
        <f t="shared" si="13"/>
        <v>10</v>
      </c>
      <c r="CN19" s="328"/>
      <c r="CO19" s="197" t="str">
        <f>IF(AND($I19="x",AND(MAX(CK19:CM19)=CK19,CK19&lt;&gt;"")),Data!$BI$2,"")</f>
        <v/>
      </c>
      <c r="CP19" s="197" t="str">
        <f>IF(AND($J19="x",AND(MAX(CK19:CM19)=CL19,CL19&lt;&gt;"")),Data!$BJ$2,"")</f>
        <v/>
      </c>
      <c r="CQ19" s="197" t="str">
        <f>IF(AND($K19="x",AND(MAX(CK19:CM19)=CM19,CM19&lt;&gt;"")),Data!$BK$2,"")</f>
        <v/>
      </c>
      <c r="CR19" s="197"/>
      <c r="CS19" s="197"/>
      <c r="CT19" s="328"/>
      <c r="CU19" s="259"/>
      <c r="CV19" s="209"/>
      <c r="CW19" s="227"/>
      <c r="CX19" s="145"/>
      <c r="CY19" s="144"/>
    </row>
    <row r="20" spans="1:103" s="142" customFormat="1" ht="13.35" customHeight="1" outlineLevel="1" x14ac:dyDescent="0.2">
      <c r="A20" s="227"/>
      <c r="B20" s="227"/>
      <c r="C20" s="168"/>
      <c r="D20" s="233"/>
      <c r="E20" s="199"/>
      <c r="F20" s="352">
        <f>IF(SUM(F8:F19)=0,"",SUM(F8:F19))</f>
        <v>12</v>
      </c>
      <c r="G20" s="327" t="s">
        <v>51</v>
      </c>
      <c r="H20" s="353">
        <f>IF(SUM(H8:H19)=0,"",SUM(H8:H19))</f>
        <v>12</v>
      </c>
      <c r="I20" s="354" t="str">
        <f>IF(COUNTIF(I8:I19,"=x")=0,"",COUNTIF(I8:I19,"=x"))</f>
        <v/>
      </c>
      <c r="J20" s="355">
        <f>IF(COUNTIF(J8:J19,"=x")=0,"",COUNTIF(J8:J19,"=x"))</f>
        <v>12</v>
      </c>
      <c r="K20" s="356" t="str">
        <f>IF(COUNTIF(K8:K19,"=x")=0,"",COUNTIF(K8:K19,"=x"))</f>
        <v/>
      </c>
      <c r="L20" s="258"/>
      <c r="M20" s="332"/>
      <c r="N20" s="336"/>
      <c r="O20" s="200"/>
      <c r="P20" s="326"/>
      <c r="Q20" s="422">
        <f>SUM(U8:U19)</f>
        <v>0</v>
      </c>
      <c r="R20" s="422">
        <f>SUM(V8:V19)</f>
        <v>0</v>
      </c>
      <c r="S20" s="422">
        <f>SUM(W8:W19)</f>
        <v>0</v>
      </c>
      <c r="T20" s="325"/>
      <c r="U20" s="197">
        <f>SUM(U8:U19)</f>
        <v>0</v>
      </c>
      <c r="V20" s="197">
        <f t="shared" ref="V20:W20" si="14">SUM(V8:V19)</f>
        <v>0</v>
      </c>
      <c r="W20" s="197">
        <f t="shared" si="14"/>
        <v>0</v>
      </c>
      <c r="X20" s="197"/>
      <c r="Y20" s="324"/>
      <c r="Z20" s="422">
        <f>SUM(AD8:AD19)</f>
        <v>0</v>
      </c>
      <c r="AA20" s="422">
        <f>SUM(AE8:AE19)</f>
        <v>0</v>
      </c>
      <c r="AB20" s="422">
        <f>SUM(AF8:AF19)</f>
        <v>0</v>
      </c>
      <c r="AC20" s="325"/>
      <c r="AD20" s="197">
        <f>SUM(AD8:AD19)</f>
        <v>0</v>
      </c>
      <c r="AE20" s="197">
        <f t="shared" ref="AE20:AF20" si="15">SUM(AE8:AE19)</f>
        <v>0</v>
      </c>
      <c r="AF20" s="197">
        <f t="shared" si="15"/>
        <v>0</v>
      </c>
      <c r="AG20" s="197"/>
      <c r="AH20" s="324"/>
      <c r="AI20" s="422">
        <f>SUM(AM8:AM19)</f>
        <v>0</v>
      </c>
      <c r="AJ20" s="422">
        <f>SUM(AN8:AN19)</f>
        <v>0</v>
      </c>
      <c r="AK20" s="422">
        <f>SUM(AO8:AO19)</f>
        <v>0</v>
      </c>
      <c r="AL20" s="325"/>
      <c r="AM20" s="197">
        <f>SUM(AM8:AM19)</f>
        <v>0</v>
      </c>
      <c r="AN20" s="197">
        <f t="shared" ref="AN20:AO20" si="16">SUM(AN8:AN19)</f>
        <v>0</v>
      </c>
      <c r="AO20" s="197">
        <f t="shared" si="16"/>
        <v>0</v>
      </c>
      <c r="AP20" s="197"/>
      <c r="AQ20" s="324"/>
      <c r="AR20" s="422">
        <f>SUM(AV8:AV19)</f>
        <v>0</v>
      </c>
      <c r="AS20" s="422">
        <f>SUM(AW8:AW19)</f>
        <v>0</v>
      </c>
      <c r="AT20" s="422">
        <f>SUM(AX8:AX19)</f>
        <v>0</v>
      </c>
      <c r="AU20" s="325"/>
      <c r="AV20" s="197">
        <f>SUM(AV8:AV19)</f>
        <v>0</v>
      </c>
      <c r="AW20" s="197">
        <f t="shared" ref="AW20:AX20" si="17">SUM(AW8:AW19)</f>
        <v>0</v>
      </c>
      <c r="AX20" s="197">
        <f t="shared" si="17"/>
        <v>0</v>
      </c>
      <c r="AY20" s="197"/>
      <c r="AZ20" s="324"/>
      <c r="BA20" s="422">
        <f>SUM(BE8:BE19)</f>
        <v>0</v>
      </c>
      <c r="BB20" s="422">
        <f t="shared" ref="BB20:BC20" si="18">SUM(BF8:BF19)</f>
        <v>0</v>
      </c>
      <c r="BC20" s="422">
        <f t="shared" si="18"/>
        <v>0</v>
      </c>
      <c r="BD20" s="325"/>
      <c r="BE20" s="197">
        <f>SUM(BE8:BE19)</f>
        <v>0</v>
      </c>
      <c r="BF20" s="197">
        <f t="shared" ref="BF20:BG20" si="19">SUM(BF8:BF19)</f>
        <v>0</v>
      </c>
      <c r="BG20" s="197">
        <f t="shared" si="19"/>
        <v>0</v>
      </c>
      <c r="BH20" s="197"/>
      <c r="BI20" s="324"/>
      <c r="BJ20" s="422">
        <f>SUM(BN8:BN19)</f>
        <v>0</v>
      </c>
      <c r="BK20" s="422">
        <f t="shared" ref="BK20" si="20">SUM(BO8:BO19)</f>
        <v>0</v>
      </c>
      <c r="BL20" s="422">
        <f t="shared" ref="BL20" si="21">SUM(BP8:BP19)</f>
        <v>0</v>
      </c>
      <c r="BM20" s="325"/>
      <c r="BN20" s="197">
        <f>SUM(BN8:BN19)</f>
        <v>0</v>
      </c>
      <c r="BO20" s="197">
        <f t="shared" ref="BO20:BP20" si="22">SUM(BO8:BO19)</f>
        <v>0</v>
      </c>
      <c r="BP20" s="197">
        <f t="shared" si="22"/>
        <v>0</v>
      </c>
      <c r="BQ20" s="197"/>
      <c r="BR20" s="324"/>
      <c r="BS20" s="422">
        <f>SUM(BW8:BW19)</f>
        <v>0</v>
      </c>
      <c r="BT20" s="422">
        <f t="shared" ref="BT20:BU20" si="23">SUM(BX8:BX19)</f>
        <v>0</v>
      </c>
      <c r="BU20" s="422">
        <f t="shared" si="23"/>
        <v>0</v>
      </c>
      <c r="BV20" s="325"/>
      <c r="BW20" s="197">
        <f>SUM(BW8:BW19)</f>
        <v>0</v>
      </c>
      <c r="BX20" s="197">
        <f t="shared" ref="BX20:BY20" si="24">SUM(BX8:BX19)</f>
        <v>0</v>
      </c>
      <c r="BY20" s="197">
        <f t="shared" si="24"/>
        <v>0</v>
      </c>
      <c r="BZ20" s="197"/>
      <c r="CA20" s="326"/>
      <c r="CB20" s="422">
        <f>SUM(CF8:CF19)</f>
        <v>0</v>
      </c>
      <c r="CC20" s="422">
        <f t="shared" ref="CC20:CD20" si="25">SUM(CG8:CG19)</f>
        <v>0</v>
      </c>
      <c r="CD20" s="422">
        <f t="shared" si="25"/>
        <v>0</v>
      </c>
      <c r="CE20" s="325"/>
      <c r="CF20" s="197">
        <f>SUM(CF8:CF19)</f>
        <v>0</v>
      </c>
      <c r="CG20" s="197">
        <f t="shared" ref="CG20:CH20" si="26">SUM(CG8:CG19)</f>
        <v>0</v>
      </c>
      <c r="CH20" s="197">
        <f t="shared" si="26"/>
        <v>0</v>
      </c>
      <c r="CI20" s="197"/>
      <c r="CJ20" s="197"/>
      <c r="CK20" s="422">
        <f>SUM(CO8:CO19)</f>
        <v>0</v>
      </c>
      <c r="CL20" s="422">
        <f t="shared" ref="CL20:CM20" si="27">SUM(CP8:CP19)</f>
        <v>0</v>
      </c>
      <c r="CM20" s="422">
        <f t="shared" si="27"/>
        <v>0</v>
      </c>
      <c r="CN20" s="325"/>
      <c r="CO20" s="197">
        <f>SUM(CO8:CO19)</f>
        <v>0</v>
      </c>
      <c r="CP20" s="197">
        <f t="shared" ref="CP20:CQ20" si="28">SUM(CP8:CP19)</f>
        <v>0</v>
      </c>
      <c r="CQ20" s="197">
        <f t="shared" si="28"/>
        <v>0</v>
      </c>
      <c r="CR20" s="197"/>
      <c r="CS20" s="197"/>
      <c r="CT20" s="197"/>
      <c r="CU20" s="259"/>
      <c r="CV20" s="209"/>
      <c r="CW20" s="228"/>
      <c r="CX20" s="5"/>
      <c r="CY20" s="141"/>
    </row>
    <row r="21" spans="1:103" s="142" customFormat="1" ht="13.35" customHeight="1" x14ac:dyDescent="0.2">
      <c r="A21" s="227"/>
      <c r="B21" s="227"/>
      <c r="C21" s="168"/>
      <c r="D21" s="249"/>
      <c r="E21" s="242"/>
      <c r="F21" s="243"/>
      <c r="G21" s="242"/>
      <c r="H21" s="242"/>
      <c r="I21" s="242"/>
      <c r="J21" s="242"/>
      <c r="K21" s="242"/>
      <c r="L21" s="252"/>
      <c r="M21" s="260"/>
      <c r="N21" s="337"/>
      <c r="O21" s="333"/>
      <c r="P21" s="244"/>
      <c r="Q21" s="245"/>
      <c r="R21" s="245"/>
      <c r="S21" s="245"/>
      <c r="T21" s="246"/>
      <c r="U21" s="247"/>
      <c r="V21" s="247"/>
      <c r="W21" s="247"/>
      <c r="X21" s="247"/>
      <c r="Y21" s="244"/>
      <c r="Z21" s="245"/>
      <c r="AA21" s="245"/>
      <c r="AB21" s="245"/>
      <c r="AC21" s="246"/>
      <c r="AD21" s="247"/>
      <c r="AE21" s="247"/>
      <c r="AF21" s="247"/>
      <c r="AG21" s="247"/>
      <c r="AH21" s="244"/>
      <c r="AI21" s="245"/>
      <c r="AJ21" s="245"/>
      <c r="AK21" s="245"/>
      <c r="AL21" s="246"/>
      <c r="AM21" s="247"/>
      <c r="AN21" s="247"/>
      <c r="AO21" s="247"/>
      <c r="AP21" s="247"/>
      <c r="AQ21" s="244"/>
      <c r="AR21" s="245"/>
      <c r="AS21" s="245"/>
      <c r="AT21" s="245"/>
      <c r="AU21" s="246"/>
      <c r="AV21" s="247"/>
      <c r="AW21" s="247"/>
      <c r="AX21" s="247"/>
      <c r="AY21" s="247"/>
      <c r="AZ21" s="244"/>
      <c r="BA21" s="245"/>
      <c r="BB21" s="245"/>
      <c r="BC21" s="245"/>
      <c r="BD21" s="246"/>
      <c r="BE21" s="247"/>
      <c r="BF21" s="247"/>
      <c r="BG21" s="247"/>
      <c r="BH21" s="247"/>
      <c r="BI21" s="244"/>
      <c r="BJ21" s="244"/>
      <c r="BK21" s="244"/>
      <c r="BL21" s="244"/>
      <c r="BM21" s="244"/>
      <c r="BN21" s="247"/>
      <c r="BO21" s="247"/>
      <c r="BP21" s="247"/>
      <c r="BQ21" s="247"/>
      <c r="BR21" s="244"/>
      <c r="BS21" s="244"/>
      <c r="BT21" s="244"/>
      <c r="BU21" s="244"/>
      <c r="BV21" s="244"/>
      <c r="BW21" s="247"/>
      <c r="BX21" s="247"/>
      <c r="BY21" s="247"/>
      <c r="BZ21" s="247"/>
      <c r="CA21" s="244"/>
      <c r="CB21" s="244"/>
      <c r="CC21" s="244"/>
      <c r="CD21" s="244"/>
      <c r="CE21" s="244"/>
      <c r="CF21" s="247"/>
      <c r="CG21" s="247"/>
      <c r="CH21" s="247"/>
      <c r="CI21" s="247"/>
      <c r="CJ21" s="248"/>
      <c r="CK21" s="248"/>
      <c r="CL21" s="248"/>
      <c r="CM21" s="248"/>
      <c r="CN21" s="248"/>
      <c r="CO21" s="247"/>
      <c r="CP21" s="247"/>
      <c r="CQ21" s="247"/>
      <c r="CR21" s="247"/>
      <c r="CS21" s="248"/>
      <c r="CT21" s="242"/>
      <c r="CU21" s="253"/>
      <c r="CV21" s="209"/>
      <c r="CW21" s="228"/>
      <c r="CX21" s="141"/>
      <c r="CY21" s="141"/>
    </row>
    <row r="22" spans="1:103" x14ac:dyDescent="0.2">
      <c r="A22" s="219"/>
      <c r="B22" s="219"/>
      <c r="C22" s="175"/>
      <c r="D22" s="176"/>
      <c r="E22" s="210"/>
      <c r="F22" s="211"/>
      <c r="G22" s="210"/>
      <c r="H22" s="210"/>
      <c r="I22" s="210"/>
      <c r="J22" s="210"/>
      <c r="K22" s="210"/>
      <c r="L22" s="212"/>
      <c r="M22" s="213"/>
      <c r="N22" s="213"/>
      <c r="O22" s="213"/>
      <c r="P22" s="213"/>
      <c r="Q22" s="210"/>
      <c r="R22" s="210"/>
      <c r="S22" s="210"/>
      <c r="T22" s="214"/>
      <c r="U22" s="215"/>
      <c r="V22" s="215"/>
      <c r="W22" s="215"/>
      <c r="X22" s="215"/>
      <c r="Y22" s="213"/>
      <c r="Z22" s="210"/>
      <c r="AA22" s="210"/>
      <c r="AB22" s="210"/>
      <c r="AC22" s="214"/>
      <c r="AD22" s="215"/>
      <c r="AE22" s="215"/>
      <c r="AF22" s="215"/>
      <c r="AG22" s="215"/>
      <c r="AH22" s="213"/>
      <c r="AI22" s="210"/>
      <c r="AJ22" s="210"/>
      <c r="AK22" s="210"/>
      <c r="AL22" s="214"/>
      <c r="AM22" s="215"/>
      <c r="AN22" s="215"/>
      <c r="AO22" s="215"/>
      <c r="AP22" s="215"/>
      <c r="AQ22" s="213"/>
      <c r="AR22" s="210"/>
      <c r="AS22" s="210"/>
      <c r="AT22" s="210"/>
      <c r="AU22" s="214"/>
      <c r="AV22" s="215"/>
      <c r="AW22" s="215"/>
      <c r="AX22" s="215"/>
      <c r="AY22" s="215"/>
      <c r="AZ22" s="213"/>
      <c r="BA22" s="210"/>
      <c r="BB22" s="210"/>
      <c r="BC22" s="210"/>
      <c r="BD22" s="214"/>
      <c r="BE22" s="215"/>
      <c r="BF22" s="215"/>
      <c r="BG22" s="215"/>
      <c r="BH22" s="215"/>
      <c r="BI22" s="213"/>
      <c r="BJ22" s="210"/>
      <c r="BK22" s="210"/>
      <c r="BL22" s="210"/>
      <c r="BM22" s="214"/>
      <c r="BN22" s="215"/>
      <c r="BO22" s="215"/>
      <c r="BP22" s="215"/>
      <c r="BQ22" s="215"/>
      <c r="BR22" s="177"/>
      <c r="BS22" s="210"/>
      <c r="BT22" s="210"/>
      <c r="BU22" s="210"/>
      <c r="BV22" s="213"/>
      <c r="BW22" s="215"/>
      <c r="BX22" s="215"/>
      <c r="BY22" s="215"/>
      <c r="BZ22" s="215"/>
      <c r="CA22" s="210"/>
      <c r="CB22" s="216"/>
      <c r="CC22" s="216"/>
      <c r="CD22" s="216"/>
      <c r="CE22" s="216"/>
      <c r="CF22" s="215"/>
      <c r="CG22" s="215"/>
      <c r="CH22" s="215"/>
      <c r="CI22" s="215"/>
      <c r="CJ22" s="210"/>
      <c r="CK22" s="210"/>
      <c r="CL22" s="210"/>
      <c r="CM22" s="210"/>
      <c r="CN22" s="210"/>
      <c r="CO22" s="215"/>
      <c r="CP22" s="215"/>
      <c r="CQ22" s="215"/>
      <c r="CR22" s="215"/>
      <c r="CS22" s="210"/>
      <c r="CT22" s="210"/>
      <c r="CU22" s="210"/>
      <c r="CV22" s="217"/>
      <c r="CW22" s="218"/>
      <c r="CX22" s="4"/>
      <c r="CY22" s="4"/>
    </row>
    <row r="23" spans="1:103" ht="13.35" customHeight="1" thickTop="1" thickBot="1" x14ac:dyDescent="0.25">
      <c r="A23" s="219"/>
      <c r="B23" s="219"/>
      <c r="C23" s="220"/>
      <c r="D23" s="221"/>
      <c r="E23" s="221"/>
      <c r="F23" s="222"/>
      <c r="G23" s="221"/>
      <c r="H23" s="221"/>
      <c r="I23" s="221"/>
      <c r="J23" s="221"/>
      <c r="K23" s="221"/>
      <c r="L23" s="223"/>
      <c r="M23" s="221"/>
      <c r="N23" s="221"/>
      <c r="O23" s="221"/>
      <c r="P23" s="221"/>
      <c r="Q23" s="224"/>
      <c r="R23" s="224"/>
      <c r="S23" s="224"/>
      <c r="T23" s="224"/>
      <c r="U23" s="225"/>
      <c r="V23" s="225"/>
      <c r="W23" s="225"/>
      <c r="X23" s="225"/>
      <c r="Y23" s="221"/>
      <c r="Z23" s="224"/>
      <c r="AA23" s="224"/>
      <c r="AB23" s="224"/>
      <c r="AC23" s="224"/>
      <c r="AD23" s="225"/>
      <c r="AE23" s="225"/>
      <c r="AF23" s="225"/>
      <c r="AG23" s="225"/>
      <c r="AH23" s="221"/>
      <c r="AI23" s="224"/>
      <c r="AJ23" s="224"/>
      <c r="AK23" s="224"/>
      <c r="AL23" s="224"/>
      <c r="AM23" s="225"/>
      <c r="AN23" s="225"/>
      <c r="AO23" s="225"/>
      <c r="AP23" s="225"/>
      <c r="AQ23" s="221"/>
      <c r="AR23" s="224"/>
      <c r="AS23" s="224"/>
      <c r="AT23" s="224"/>
      <c r="AU23" s="224"/>
      <c r="AV23" s="225"/>
      <c r="AW23" s="225"/>
      <c r="AX23" s="225"/>
      <c r="AY23" s="225"/>
      <c r="AZ23" s="221"/>
      <c r="BA23" s="224"/>
      <c r="BB23" s="224"/>
      <c r="BC23" s="226"/>
      <c r="BD23" s="226"/>
      <c r="BE23" s="225"/>
      <c r="BF23" s="225"/>
      <c r="BG23" s="225"/>
      <c r="BH23" s="225"/>
      <c r="BI23" s="221"/>
      <c r="BJ23" s="226"/>
      <c r="BK23" s="226"/>
      <c r="BL23" s="226"/>
      <c r="BM23" s="226"/>
      <c r="BN23" s="225"/>
      <c r="BO23" s="225"/>
      <c r="BP23" s="225"/>
      <c r="BQ23" s="225"/>
      <c r="BR23" s="221"/>
      <c r="BS23" s="226"/>
      <c r="BT23" s="226"/>
      <c r="BU23" s="226"/>
      <c r="BV23" s="226"/>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25"/>
      <c r="CT23" s="227"/>
      <c r="CU23" s="219"/>
      <c r="CV23" s="219"/>
      <c r="CW23" s="219"/>
      <c r="CX23" s="4"/>
      <c r="CY23" s="4"/>
    </row>
    <row r="24" spans="1:103" ht="21.6" customHeight="1" thickTop="1" x14ac:dyDescent="0.2">
      <c r="A24" s="219"/>
      <c r="B24" s="219"/>
      <c r="C24" s="157"/>
      <c r="D24" s="158"/>
      <c r="E24" s="731" t="s">
        <v>44</v>
      </c>
      <c r="F24" s="229"/>
      <c r="G24" s="229"/>
      <c r="H24" s="229"/>
      <c r="I24" s="877" t="e" vm="1">
        <v>#VALUE!</v>
      </c>
      <c r="J24" s="877"/>
      <c r="K24" s="877"/>
      <c r="L24" s="877"/>
      <c r="M24" s="159"/>
      <c r="N24" s="159"/>
      <c r="O24" s="159"/>
      <c r="P24" s="160"/>
      <c r="Q24" s="159"/>
      <c r="R24" s="159"/>
      <c r="S24" s="159"/>
      <c r="T24" s="161"/>
      <c r="U24" s="162"/>
      <c r="V24" s="162"/>
      <c r="W24" s="162"/>
      <c r="X24" s="162"/>
      <c r="Y24" s="160"/>
      <c r="Z24" s="159"/>
      <c r="AA24" s="159"/>
      <c r="AB24" s="159"/>
      <c r="AC24" s="161"/>
      <c r="AD24" s="162"/>
      <c r="AE24" s="162"/>
      <c r="AF24" s="162"/>
      <c r="AG24" s="162"/>
      <c r="AH24" s="160"/>
      <c r="AI24" s="159"/>
      <c r="AJ24" s="201"/>
      <c r="AK24" s="201"/>
      <c r="AL24" s="164"/>
      <c r="AM24" s="162"/>
      <c r="AN24" s="162"/>
      <c r="AO24" s="162"/>
      <c r="AP24" s="162"/>
      <c r="AQ24" s="202"/>
      <c r="AR24" s="203"/>
      <c r="AS24" s="165"/>
      <c r="AT24" s="166"/>
      <c r="AU24" s="164"/>
      <c r="AV24" s="162"/>
      <c r="AW24" s="162"/>
      <c r="AX24" s="162"/>
      <c r="AY24" s="162"/>
      <c r="AZ24" s="202"/>
      <c r="BA24" s="203"/>
      <c r="BB24" s="166"/>
      <c r="BC24" s="201"/>
      <c r="BD24" s="204"/>
      <c r="BE24" s="162"/>
      <c r="BF24" s="162"/>
      <c r="BG24" s="162"/>
      <c r="BH24" s="162"/>
      <c r="BI24" s="205"/>
      <c r="BJ24" s="201"/>
      <c r="BK24" s="201"/>
      <c r="BL24" s="201"/>
      <c r="BM24" s="204"/>
      <c r="BN24" s="162"/>
      <c r="BO24" s="162"/>
      <c r="BP24" s="162"/>
      <c r="BQ24" s="162"/>
      <c r="BR24" s="167"/>
      <c r="BS24" s="201"/>
      <c r="BT24" s="201"/>
      <c r="BU24" s="201"/>
      <c r="BV24" s="205"/>
      <c r="BW24" s="162"/>
      <c r="BX24" s="162"/>
      <c r="BY24" s="162"/>
      <c r="BZ24" s="162"/>
      <c r="CA24" s="163"/>
      <c r="CB24" s="163"/>
      <c r="CC24" s="163"/>
      <c r="CD24" s="163"/>
      <c r="CE24" s="163"/>
      <c r="CF24" s="162"/>
      <c r="CG24" s="162"/>
      <c r="CH24" s="162"/>
      <c r="CI24" s="162"/>
      <c r="CJ24" s="163"/>
      <c r="CK24" s="163"/>
      <c r="CL24" s="163"/>
      <c r="CM24" s="163"/>
      <c r="CN24" s="163"/>
      <c r="CO24" s="162"/>
      <c r="CP24" s="162"/>
      <c r="CQ24" s="162"/>
      <c r="CR24" s="162"/>
      <c r="CS24" s="163"/>
      <c r="CT24" s="201"/>
      <c r="CU24" s="201"/>
      <c r="CV24" s="206"/>
      <c r="CW24" s="218"/>
      <c r="CX24" s="4"/>
      <c r="CY24" s="4"/>
    </row>
    <row r="25" spans="1:103" ht="21.6" customHeight="1" thickBot="1" x14ac:dyDescent="0.25">
      <c r="A25" s="219"/>
      <c r="B25" s="219"/>
      <c r="C25" s="168"/>
      <c r="D25" s="785"/>
      <c r="E25" s="869" t="s">
        <v>45</v>
      </c>
      <c r="F25" s="363"/>
      <c r="G25" s="363"/>
      <c r="H25" s="363"/>
      <c r="I25" s="878"/>
      <c r="J25" s="878"/>
      <c r="K25" s="878"/>
      <c r="L25" s="878"/>
      <c r="M25" s="169"/>
      <c r="N25" s="169"/>
      <c r="O25" s="169"/>
      <c r="P25" s="170"/>
      <c r="Q25" s="169"/>
      <c r="R25" s="169"/>
      <c r="S25" s="169"/>
      <c r="T25" s="171"/>
      <c r="U25" s="172"/>
      <c r="V25" s="172"/>
      <c r="W25" s="172"/>
      <c r="X25" s="172"/>
      <c r="Y25" s="170"/>
      <c r="Z25" s="169"/>
      <c r="AA25" s="169"/>
      <c r="AB25" s="169"/>
      <c r="AC25" s="171"/>
      <c r="AD25" s="172"/>
      <c r="AE25" s="172"/>
      <c r="AF25" s="172"/>
      <c r="AG25" s="172"/>
      <c r="AH25" s="170"/>
      <c r="AI25" s="169"/>
      <c r="AJ25" s="155"/>
      <c r="AK25" s="155"/>
      <c r="AL25" s="207"/>
      <c r="AM25" s="172"/>
      <c r="AN25" s="172"/>
      <c r="AO25" s="172"/>
      <c r="AP25" s="172"/>
      <c r="AQ25" s="208"/>
      <c r="AR25" s="155"/>
      <c r="AS25" s="155"/>
      <c r="AT25" s="155"/>
      <c r="AU25" s="207"/>
      <c r="AV25" s="172"/>
      <c r="AW25" s="172"/>
      <c r="AX25" s="172"/>
      <c r="AY25" s="172"/>
      <c r="AZ25" s="208"/>
      <c r="BA25" s="155"/>
      <c r="BB25" s="155"/>
      <c r="BC25" s="155"/>
      <c r="BD25" s="207"/>
      <c r="BE25" s="172"/>
      <c r="BF25" s="172"/>
      <c r="BG25" s="172"/>
      <c r="BH25" s="172"/>
      <c r="BI25" s="208"/>
      <c r="BJ25" s="155"/>
      <c r="BK25" s="155"/>
      <c r="BL25" s="155"/>
      <c r="BM25" s="207"/>
      <c r="BN25" s="172"/>
      <c r="BO25" s="172"/>
      <c r="BP25" s="172"/>
      <c r="BQ25" s="172"/>
      <c r="BR25" s="156"/>
      <c r="BS25" s="155"/>
      <c r="BT25" s="155"/>
      <c r="BU25" s="155"/>
      <c r="BV25" s="208"/>
      <c r="BW25" s="172"/>
      <c r="BX25" s="172"/>
      <c r="BY25" s="172"/>
      <c r="BZ25" s="172"/>
      <c r="CA25" s="173"/>
      <c r="CB25" s="173"/>
      <c r="CC25" s="173"/>
      <c r="CD25" s="173"/>
      <c r="CE25" s="173"/>
      <c r="CF25" s="172"/>
      <c r="CG25" s="172"/>
      <c r="CH25" s="172"/>
      <c r="CI25" s="172"/>
      <c r="CJ25" s="173"/>
      <c r="CK25" s="173"/>
      <c r="CL25" s="173"/>
      <c r="CM25" s="173"/>
      <c r="CN25" s="173"/>
      <c r="CO25" s="172"/>
      <c r="CP25" s="172"/>
      <c r="CQ25" s="172"/>
      <c r="CR25" s="172"/>
      <c r="CS25" s="173"/>
      <c r="CT25" s="155"/>
      <c r="CU25" s="155"/>
      <c r="CV25" s="209"/>
      <c r="CW25" s="218"/>
      <c r="CX25" s="4"/>
      <c r="CY25" s="4"/>
    </row>
    <row r="26" spans="1:103" ht="18" customHeight="1" thickTop="1" x14ac:dyDescent="0.2">
      <c r="A26" s="219"/>
      <c r="B26" s="219"/>
      <c r="C26" s="174"/>
      <c r="D26" s="778"/>
      <c r="E26" s="777"/>
      <c r="F26" s="235"/>
      <c r="G26" s="234"/>
      <c r="H26" s="234"/>
      <c r="I26" s="875">
        <f>WEEKNUM(E27)</f>
        <v>34</v>
      </c>
      <c r="J26" s="875"/>
      <c r="K26" s="875"/>
      <c r="L26" s="250"/>
      <c r="M26" s="261"/>
      <c r="N26" s="205"/>
      <c r="O26" s="236"/>
      <c r="P26" s="236"/>
      <c r="Q26" s="675">
        <f>IF($F30="","",SUM(Q42:S42)-S28)</f>
        <v>780</v>
      </c>
      <c r="R26" s="675"/>
      <c r="S26" s="675"/>
      <c r="T26" s="237"/>
      <c r="U26" s="238"/>
      <c r="V26" s="238"/>
      <c r="W26" s="238"/>
      <c r="X26" s="238"/>
      <c r="Y26" s="236"/>
      <c r="Z26" s="675">
        <f>IF($F30="","",SUM(Z42:AB42)-AB28)</f>
        <v>780</v>
      </c>
      <c r="AA26" s="675"/>
      <c r="AB26" s="675"/>
      <c r="AC26" s="237"/>
      <c r="AD26" s="238"/>
      <c r="AE26" s="238"/>
      <c r="AF26" s="238"/>
      <c r="AG26" s="238"/>
      <c r="AH26" s="236"/>
      <c r="AI26" s="675">
        <f>IF($F30="","",SUM(AI42:AK42)-AK28)</f>
        <v>780</v>
      </c>
      <c r="AJ26" s="675"/>
      <c r="AK26" s="675"/>
      <c r="AL26" s="237"/>
      <c r="AM26" s="238"/>
      <c r="AN26" s="238"/>
      <c r="AO26" s="238"/>
      <c r="AP26" s="238"/>
      <c r="AQ26" s="236"/>
      <c r="AR26" s="675">
        <f>IF($F30="","",SUM(AR42:AT42)-AT28)</f>
        <v>780</v>
      </c>
      <c r="AS26" s="675"/>
      <c r="AT26" s="675"/>
      <c r="AU26" s="239"/>
      <c r="AV26" s="238"/>
      <c r="AW26" s="238"/>
      <c r="AX26" s="238"/>
      <c r="AY26" s="238"/>
      <c r="AZ26" s="240"/>
      <c r="BA26" s="675">
        <f>IF($F30="","",SUM(BA42:BC42)-BC28)</f>
        <v>780</v>
      </c>
      <c r="BB26" s="675"/>
      <c r="BC26" s="675"/>
      <c r="BD26" s="239"/>
      <c r="BE26" s="238"/>
      <c r="BF26" s="238"/>
      <c r="BG26" s="238"/>
      <c r="BH26" s="238"/>
      <c r="BI26" s="240"/>
      <c r="BJ26" s="675">
        <f>IF($F30="","",SUM(BJ42:BL42)-BL28)</f>
        <v>780</v>
      </c>
      <c r="BK26" s="675"/>
      <c r="BL26" s="675"/>
      <c r="BM26" s="239"/>
      <c r="BN26" s="238"/>
      <c r="BO26" s="238"/>
      <c r="BP26" s="238"/>
      <c r="BQ26" s="238"/>
      <c r="BR26" s="241"/>
      <c r="BS26" s="675">
        <f>IF($F30="","",SUM(BS42:BU42)-BU28)</f>
        <v>780</v>
      </c>
      <c r="BT26" s="675"/>
      <c r="BU26" s="675"/>
      <c r="BV26" s="240"/>
      <c r="BW26" s="238"/>
      <c r="BX26" s="238"/>
      <c r="BY26" s="238"/>
      <c r="BZ26" s="238"/>
      <c r="CA26" s="241"/>
      <c r="CB26" s="675">
        <f>IF($F30="","",SUM(CB42:CD42)-CD28)</f>
        <v>780</v>
      </c>
      <c r="CC26" s="675"/>
      <c r="CD26" s="675"/>
      <c r="CE26" s="240"/>
      <c r="CF26" s="238"/>
      <c r="CG26" s="238"/>
      <c r="CH26" s="238"/>
      <c r="CI26" s="238"/>
      <c r="CJ26" s="234"/>
      <c r="CK26" s="675">
        <f>IF($F30="","",SUM(CK42:CM42))</f>
        <v>780</v>
      </c>
      <c r="CL26" s="675"/>
      <c r="CM26" s="675"/>
      <c r="CN26" s="240"/>
      <c r="CO26" s="238"/>
      <c r="CP26" s="238"/>
      <c r="CQ26" s="238"/>
      <c r="CR26" s="238"/>
      <c r="CS26" s="234"/>
      <c r="CT26" s="234"/>
      <c r="CU26" s="251"/>
      <c r="CV26" s="209"/>
      <c r="CW26" s="218"/>
      <c r="CX26" s="4"/>
      <c r="CY26" s="4"/>
    </row>
    <row r="27" spans="1:103" ht="12.75" customHeight="1" x14ac:dyDescent="0.2">
      <c r="A27" s="219"/>
      <c r="B27" s="219"/>
      <c r="C27" s="174"/>
      <c r="D27" s="779"/>
      <c r="E27" s="543">
        <f>E5+7</f>
        <v>46256</v>
      </c>
      <c r="F27" s="178"/>
      <c r="G27" s="179"/>
      <c r="H27" s="179"/>
      <c r="I27" s="876"/>
      <c r="J27" s="876"/>
      <c r="K27" s="876"/>
      <c r="L27" s="254"/>
      <c r="M27" s="329"/>
      <c r="N27" s="208"/>
      <c r="O27" s="180"/>
      <c r="P27" s="180"/>
      <c r="Q27" s="584">
        <f>IF(Q26="","",Q26/Data!$X$1)</f>
        <v>0.65</v>
      </c>
      <c r="R27" s="584"/>
      <c r="S27" s="585" t="str">
        <f>IF(SUM(X30:X41)=0,"",SUM(X30:X41))</f>
        <v/>
      </c>
      <c r="T27" s="181"/>
      <c r="U27" s="182"/>
      <c r="V27" s="182"/>
      <c r="W27" s="182"/>
      <c r="X27" s="182"/>
      <c r="Y27" s="180"/>
      <c r="Z27" s="584">
        <f>IF(Z26="","",Z26/Data!$X$1)</f>
        <v>0.65</v>
      </c>
      <c r="AA27" s="584"/>
      <c r="AB27" s="585" t="str">
        <f>IF(SUM(AG30:AG41)=0,"",SUM(AG30:AG41))</f>
        <v/>
      </c>
      <c r="AC27" s="181"/>
      <c r="AD27" s="182"/>
      <c r="AE27" s="182"/>
      <c r="AF27" s="182"/>
      <c r="AG27" s="182"/>
      <c r="AH27" s="180"/>
      <c r="AI27" s="584">
        <f>IF(AI26="","",AI26/Data!$X$1)</f>
        <v>0.65</v>
      </c>
      <c r="AJ27" s="584"/>
      <c r="AK27" s="585" t="str">
        <f>IF(SUM(AP30:AP41)=0,"",SUM(AP30:AP41))</f>
        <v/>
      </c>
      <c r="AL27" s="181"/>
      <c r="AM27" s="182"/>
      <c r="AN27" s="182"/>
      <c r="AO27" s="182"/>
      <c r="AP27" s="182"/>
      <c r="AQ27" s="180"/>
      <c r="AR27" s="584">
        <f>IF(AR26="","",AR26/Data!$X$1)</f>
        <v>0.65</v>
      </c>
      <c r="AS27" s="584"/>
      <c r="AT27" s="585" t="str">
        <f>IF(SUM(AY30:AY41)=0,"",SUM(AY30:AY41))</f>
        <v/>
      </c>
      <c r="AU27" s="183"/>
      <c r="AV27" s="182"/>
      <c r="AW27" s="182"/>
      <c r="AX27" s="182"/>
      <c r="AY27" s="182"/>
      <c r="AZ27" s="184"/>
      <c r="BA27" s="584">
        <f>IF(BA26="","",BA26/Data!$X$1)</f>
        <v>0.65</v>
      </c>
      <c r="BB27" s="584"/>
      <c r="BC27" s="585" t="str">
        <f>IF(SUM(BH30:BH41)=0,"",SUM(BH30:BH41))</f>
        <v/>
      </c>
      <c r="BD27" s="183"/>
      <c r="BE27" s="182"/>
      <c r="BF27" s="182"/>
      <c r="BG27" s="182"/>
      <c r="BH27" s="182"/>
      <c r="BI27" s="184"/>
      <c r="BJ27" s="584">
        <f>IF(BJ26="","",BJ26/Data!$X$1)</f>
        <v>0.65</v>
      </c>
      <c r="BK27" s="584"/>
      <c r="BL27" s="585" t="str">
        <f>IF(SUM(BQ30:BQ41)=0,"",SUM(BQ30:BQ41))</f>
        <v/>
      </c>
      <c r="BM27" s="183"/>
      <c r="BN27" s="182"/>
      <c r="BO27" s="182"/>
      <c r="BP27" s="182"/>
      <c r="BQ27" s="182"/>
      <c r="BR27" s="185"/>
      <c r="BS27" s="584">
        <f>IF(BS26="","",BS26/Data!$X$1)</f>
        <v>0.65</v>
      </c>
      <c r="BT27" s="584"/>
      <c r="BU27" s="585" t="str">
        <f>IF(SUM(BZ30:BZ41)=0,"",SUM(BZ30:BZ41))</f>
        <v/>
      </c>
      <c r="BV27" s="184"/>
      <c r="BW27" s="182"/>
      <c r="BX27" s="182"/>
      <c r="BY27" s="182"/>
      <c r="BZ27" s="182"/>
      <c r="CA27" s="185"/>
      <c r="CB27" s="584">
        <f>IF(CB26="","",CB26/Data!$X$1)</f>
        <v>0.65</v>
      </c>
      <c r="CC27" s="584"/>
      <c r="CD27" s="585" t="str">
        <f>IF(SUM(CI30:CI41)=0,"",SUM(CI30:CI41))</f>
        <v/>
      </c>
      <c r="CE27" s="184"/>
      <c r="CF27" s="182"/>
      <c r="CG27" s="182"/>
      <c r="CH27" s="182"/>
      <c r="CI27" s="182"/>
      <c r="CJ27" s="182"/>
      <c r="CK27" s="584">
        <f>IF(CK26="","",CK26/Data!$X$1)</f>
        <v>0.65</v>
      </c>
      <c r="CL27" s="584"/>
      <c r="CM27" s="585" t="str">
        <f>IF(SUM(CR30:CR41)=0,"",SUM(CR30:CR41))</f>
        <v/>
      </c>
      <c r="CN27" s="184"/>
      <c r="CO27" s="182"/>
      <c r="CP27" s="182"/>
      <c r="CQ27" s="182"/>
      <c r="CR27" s="182"/>
      <c r="CS27" s="182"/>
      <c r="CT27" s="182"/>
      <c r="CU27" s="255"/>
      <c r="CV27" s="209"/>
      <c r="CW27" s="218"/>
      <c r="CX27" s="4"/>
      <c r="CY27" s="4"/>
    </row>
    <row r="28" spans="1:103" ht="13.35" customHeight="1" thickBot="1" x14ac:dyDescent="0.25">
      <c r="A28" s="219"/>
      <c r="B28" s="219"/>
      <c r="C28" s="174"/>
      <c r="D28" s="230"/>
      <c r="E28" s="359"/>
      <c r="F28" s="186"/>
      <c r="G28" s="187"/>
      <c r="H28" s="187"/>
      <c r="I28" s="673"/>
      <c r="J28" s="674"/>
      <c r="K28" s="674"/>
      <c r="L28" s="256"/>
      <c r="M28" s="330"/>
      <c r="N28" s="334"/>
      <c r="O28" s="187"/>
      <c r="P28" s="187"/>
      <c r="Q28" s="342" t="str">
        <f>Data!$E$11</f>
        <v>AHH</v>
      </c>
      <c r="R28" s="343">
        <f>IF($F41="","",RANK(Q26,$Q26:$CL26))</f>
        <v>1</v>
      </c>
      <c r="S28" s="466"/>
      <c r="T28" s="181"/>
      <c r="U28" s="182"/>
      <c r="V28" s="182"/>
      <c r="W28" s="182"/>
      <c r="X28" s="197">
        <f>COUNTIF(U30:W41,"&gt;0")</f>
        <v>12</v>
      </c>
      <c r="Y28" s="180"/>
      <c r="Z28" s="342" t="str">
        <f>Data!$E$12</f>
        <v>RB</v>
      </c>
      <c r="AA28" s="343">
        <f>IF($F41="","",RANK(Z26,$Q26:$CL26))</f>
        <v>1</v>
      </c>
      <c r="AB28" s="466"/>
      <c r="AC28" s="181"/>
      <c r="AD28" s="182"/>
      <c r="AE28" s="182"/>
      <c r="AF28" s="182"/>
      <c r="AG28" s="197">
        <f>COUNTIF(AD30:AF41,"&gt;0")</f>
        <v>12</v>
      </c>
      <c r="AH28" s="180"/>
      <c r="AI28" s="342" t="str">
        <f>Data!$E$13</f>
        <v>EB</v>
      </c>
      <c r="AJ28" s="343">
        <f>IF($F41="","",RANK(AI26,$Q26:$CL26))</f>
        <v>1</v>
      </c>
      <c r="AK28" s="466"/>
      <c r="AL28" s="181"/>
      <c r="AM28" s="182"/>
      <c r="AN28" s="182"/>
      <c r="AO28" s="182"/>
      <c r="AP28" s="197">
        <f>COUNTIF(AM30:AO41,"&gt;0")</f>
        <v>12</v>
      </c>
      <c r="AQ28" s="180"/>
      <c r="AR28" s="305" t="str">
        <f>Data!$E$14</f>
        <v>KAF</v>
      </c>
      <c r="AS28" s="343">
        <f>IF($F41="","",RANK(AR26,$Q26:$CL26))</f>
        <v>1</v>
      </c>
      <c r="AT28" s="466"/>
      <c r="AU28" s="181"/>
      <c r="AV28" s="182"/>
      <c r="AW28" s="182"/>
      <c r="AX28" s="182"/>
      <c r="AY28" s="197">
        <f>COUNTIF(AV30:AX41,"&gt;0")</f>
        <v>12</v>
      </c>
      <c r="AZ28" s="180"/>
      <c r="BA28" s="305" t="str">
        <f>Data!$E$15</f>
        <v>ØG</v>
      </c>
      <c r="BB28" s="343">
        <f>IF($F41="","",RANK(BA26,$Q26:$CL26))</f>
        <v>1</v>
      </c>
      <c r="BC28" s="466"/>
      <c r="BD28" s="181"/>
      <c r="BE28" s="182"/>
      <c r="BF28" s="182"/>
      <c r="BG28" s="182"/>
      <c r="BH28" s="197">
        <f>COUNTIF(BE30:BG41,"&gt;0")</f>
        <v>12</v>
      </c>
      <c r="BI28" s="180"/>
      <c r="BJ28" s="305" t="str">
        <f>Data!$E$16</f>
        <v>JH</v>
      </c>
      <c r="BK28" s="343">
        <f>IF($F41="","",RANK(BJ26,$Q26:$CL26))</f>
        <v>1</v>
      </c>
      <c r="BL28" s="466"/>
      <c r="BM28" s="181"/>
      <c r="BN28" s="182"/>
      <c r="BO28" s="182"/>
      <c r="BP28" s="182"/>
      <c r="BQ28" s="197">
        <f>COUNTIF(BN30:BP41,"&gt;0")</f>
        <v>12</v>
      </c>
      <c r="BR28" s="188"/>
      <c r="BS28" s="305" t="str">
        <f>Data!$E$17</f>
        <v>TOH</v>
      </c>
      <c r="BT28" s="343">
        <f>IF($F41="","",RANK(BS26,$Q26:$CL26))</f>
        <v>1</v>
      </c>
      <c r="BU28" s="466"/>
      <c r="BV28" s="180"/>
      <c r="BW28" s="182"/>
      <c r="BX28" s="182"/>
      <c r="BY28" s="182"/>
      <c r="BZ28" s="197">
        <f>COUNTIF(BW30:BY41,"&gt;0")</f>
        <v>12</v>
      </c>
      <c r="CA28" s="188"/>
      <c r="CB28" s="305" t="s">
        <v>26</v>
      </c>
      <c r="CC28" s="343">
        <f>IF($F41="","",RANK(CB26,$Q26:$CM26))</f>
        <v>1</v>
      </c>
      <c r="CD28" s="467"/>
      <c r="CE28" s="180"/>
      <c r="CF28" s="182"/>
      <c r="CG28" s="182"/>
      <c r="CH28" s="182"/>
      <c r="CI28" s="197">
        <f>COUNTIF(CF30:CH41,"&gt;0")</f>
        <v>12</v>
      </c>
      <c r="CJ28" s="182"/>
      <c r="CK28" s="305" t="s">
        <v>27</v>
      </c>
      <c r="CL28" s="343">
        <f>IF($F41="","",RANK(CK26,$Q26:$CM26))</f>
        <v>1</v>
      </c>
      <c r="CM28" s="669"/>
      <c r="CN28" s="180"/>
      <c r="CO28" s="182"/>
      <c r="CP28" s="182"/>
      <c r="CQ28" s="182"/>
      <c r="CR28" s="197">
        <f>COUNTIF(CO30:CQ41,"&gt;0")</f>
        <v>12</v>
      </c>
      <c r="CS28" s="182"/>
      <c r="CT28" s="182"/>
      <c r="CU28" s="255"/>
      <c r="CV28" s="209"/>
      <c r="CW28" s="218"/>
      <c r="CX28" s="4"/>
      <c r="CY28" s="4"/>
    </row>
    <row r="29" spans="1:103" s="142" customFormat="1" ht="13.35" customHeight="1" thickBot="1" x14ac:dyDescent="0.25">
      <c r="A29" s="227"/>
      <c r="B29" s="227"/>
      <c r="C29" s="168"/>
      <c r="D29" s="231"/>
      <c r="E29" s="189"/>
      <c r="F29" s="190"/>
      <c r="G29" s="191"/>
      <c r="H29" s="191"/>
      <c r="I29" s="192" t="s">
        <v>47</v>
      </c>
      <c r="J29" s="193" t="s">
        <v>48</v>
      </c>
      <c r="K29" s="194" t="s">
        <v>49</v>
      </c>
      <c r="L29" s="257"/>
      <c r="M29" s="331"/>
      <c r="N29" s="335"/>
      <c r="O29" s="195"/>
      <c r="P29" s="195"/>
      <c r="Q29" s="192" t="s">
        <v>47</v>
      </c>
      <c r="R29" s="193" t="s">
        <v>48</v>
      </c>
      <c r="S29" s="194" t="s">
        <v>49</v>
      </c>
      <c r="T29" s="196"/>
      <c r="U29" s="197"/>
      <c r="V29" s="197"/>
      <c r="W29" s="197"/>
      <c r="X29" s="197"/>
      <c r="Y29" s="195"/>
      <c r="Z29" s="192" t="s">
        <v>47</v>
      </c>
      <c r="AA29" s="193" t="s">
        <v>48</v>
      </c>
      <c r="AB29" s="194" t="s">
        <v>49</v>
      </c>
      <c r="AC29" s="196"/>
      <c r="AD29" s="197"/>
      <c r="AE29" s="197"/>
      <c r="AF29" s="197"/>
      <c r="AG29" s="197"/>
      <c r="AH29" s="195"/>
      <c r="AI29" s="192" t="s">
        <v>47</v>
      </c>
      <c r="AJ29" s="193" t="s">
        <v>48</v>
      </c>
      <c r="AK29" s="194" t="s">
        <v>49</v>
      </c>
      <c r="AL29" s="196"/>
      <c r="AM29" s="197"/>
      <c r="AN29" s="197"/>
      <c r="AO29" s="197"/>
      <c r="AP29" s="197"/>
      <c r="AQ29" s="195"/>
      <c r="AR29" s="192" t="s">
        <v>47</v>
      </c>
      <c r="AS29" s="193" t="s">
        <v>48</v>
      </c>
      <c r="AT29" s="194" t="s">
        <v>49</v>
      </c>
      <c r="AU29" s="196"/>
      <c r="AV29" s="197"/>
      <c r="AW29" s="197"/>
      <c r="AX29" s="197"/>
      <c r="AY29" s="197"/>
      <c r="AZ29" s="195"/>
      <c r="BA29" s="192" t="s">
        <v>47</v>
      </c>
      <c r="BB29" s="193" t="s">
        <v>48</v>
      </c>
      <c r="BC29" s="194" t="s">
        <v>49</v>
      </c>
      <c r="BD29" s="196"/>
      <c r="BE29" s="197"/>
      <c r="BF29" s="197"/>
      <c r="BG29" s="197"/>
      <c r="BH29" s="197"/>
      <c r="BI29" s="195"/>
      <c r="BJ29" s="192" t="s">
        <v>47</v>
      </c>
      <c r="BK29" s="193" t="s">
        <v>48</v>
      </c>
      <c r="BL29" s="194" t="s">
        <v>49</v>
      </c>
      <c r="BM29" s="196"/>
      <c r="BN29" s="197"/>
      <c r="BO29" s="197"/>
      <c r="BP29" s="197"/>
      <c r="BQ29" s="197"/>
      <c r="BR29" s="195"/>
      <c r="BS29" s="192" t="s">
        <v>47</v>
      </c>
      <c r="BT29" s="193" t="s">
        <v>48</v>
      </c>
      <c r="BU29" s="194" t="s">
        <v>49</v>
      </c>
      <c r="BV29" s="196"/>
      <c r="BW29" s="197"/>
      <c r="BX29" s="197"/>
      <c r="BY29" s="197"/>
      <c r="BZ29" s="197"/>
      <c r="CA29" s="195"/>
      <c r="CB29" s="192" t="s">
        <v>47</v>
      </c>
      <c r="CC29" s="193" t="s">
        <v>48</v>
      </c>
      <c r="CD29" s="194" t="s">
        <v>49</v>
      </c>
      <c r="CE29" s="196"/>
      <c r="CF29" s="197"/>
      <c r="CG29" s="197"/>
      <c r="CH29" s="197"/>
      <c r="CI29" s="197"/>
      <c r="CJ29" s="197"/>
      <c r="CK29" s="192" t="s">
        <v>47</v>
      </c>
      <c r="CL29" s="193" t="s">
        <v>48</v>
      </c>
      <c r="CM29" s="194" t="s">
        <v>49</v>
      </c>
      <c r="CN29" s="196"/>
      <c r="CO29" s="197"/>
      <c r="CP29" s="197"/>
      <c r="CQ29" s="197"/>
      <c r="CR29" s="197"/>
      <c r="CS29" s="197"/>
      <c r="CT29" s="198"/>
      <c r="CU29" s="255"/>
      <c r="CV29" s="209"/>
      <c r="CW29" s="228"/>
      <c r="CX29" s="141"/>
      <c r="CY29" s="141"/>
    </row>
    <row r="30" spans="1:103" s="143" customFormat="1" ht="13.35" customHeight="1" outlineLevel="2" x14ac:dyDescent="0.2">
      <c r="A30" s="227"/>
      <c r="B30" s="227"/>
      <c r="C30" s="168"/>
      <c r="D30" s="232"/>
      <c r="E30" s="134" t="s">
        <v>63</v>
      </c>
      <c r="F30" s="424">
        <v>1</v>
      </c>
      <c r="G30" s="428" t="s">
        <v>51</v>
      </c>
      <c r="H30" s="429"/>
      <c r="I30" s="138" t="str">
        <f t="shared" ref="I30:I41" si="29">IF($F30&gt;$H30,"x","")</f>
        <v>x</v>
      </c>
      <c r="J30" s="344" t="str">
        <f t="shared" ref="J30:J41" si="30">IF(F30&lt;&gt;"",IF(H30&lt;&gt;"",IF(F30=H30,"x",""),""),"")</f>
        <v/>
      </c>
      <c r="K30" s="345" t="str">
        <f t="shared" ref="K30:K41" si="31">IF($F30&lt;$H30,"x","")</f>
        <v/>
      </c>
      <c r="L30" s="258"/>
      <c r="M30" s="332"/>
      <c r="N30" s="336"/>
      <c r="O30" s="200"/>
      <c r="P30" s="200"/>
      <c r="Q30" s="436">
        <v>70</v>
      </c>
      <c r="R30" s="437">
        <v>20</v>
      </c>
      <c r="S30" s="438">
        <f t="shared" ref="S30:S41" si="32">IF(Q30="","",100-SUM(Q30:R30))</f>
        <v>10</v>
      </c>
      <c r="T30" s="328"/>
      <c r="U30" s="197">
        <f>IF(AND($I30="x",AND(MAX(Q30:S30)=Q30,Q30&gt;=0)),Data!$BI$2,"")</f>
        <v>65</v>
      </c>
      <c r="V30" s="197" t="str">
        <f>IF(AND($J30="x",AND(MAX(Q30:S30)=R30,R30&gt;=0)),Data!$BJ$2,"")</f>
        <v/>
      </c>
      <c r="W30" s="197" t="str">
        <f>IF(AND($K30="x",AND(MAX(Q30:S30)=S30,S30&gt;=0)),Data!$BK$2,"")</f>
        <v/>
      </c>
      <c r="X30" s="197"/>
      <c r="Y30" s="328"/>
      <c r="Z30" s="451">
        <v>70</v>
      </c>
      <c r="AA30" s="452">
        <v>20</v>
      </c>
      <c r="AB30" s="438">
        <f t="shared" ref="AB30:AB41" si="33">IF(Z30="","",100-SUM(Z30:AA30))</f>
        <v>10</v>
      </c>
      <c r="AC30" s="328"/>
      <c r="AD30" s="197">
        <f>IF(AND($I30="x",AND(MAX(Z30:AB30)=Z30,Z30&lt;&gt;"")),Data!$BI$2,"")</f>
        <v>65</v>
      </c>
      <c r="AE30" s="197" t="str">
        <f>IF(AND($J30="x",AND(MAX(Z30:AB30)=AA30,AA30&lt;&gt;"")),Data!$BJ$2,"")</f>
        <v/>
      </c>
      <c r="AF30" s="197" t="str">
        <f>IF(AND($K30="x",AND(MAX(Z30:AB30)=AB30,AB30&lt;&gt;"")),Data!$BK$2,"")</f>
        <v/>
      </c>
      <c r="AG30" s="197"/>
      <c r="AH30" s="328"/>
      <c r="AI30" s="451">
        <v>70</v>
      </c>
      <c r="AJ30" s="452">
        <v>20</v>
      </c>
      <c r="AK30" s="438">
        <f t="shared" ref="AK30:AK41" si="34">IF(AI30="","",100-SUM(AI30:AJ30))</f>
        <v>10</v>
      </c>
      <c r="AL30" s="328"/>
      <c r="AM30" s="197">
        <f>IF(AND($I30="x",AND(MAX(AI30:AK30)=AI30,AI30&lt;&gt;"")),Data!$BI$2,"")</f>
        <v>65</v>
      </c>
      <c r="AN30" s="197" t="str">
        <f>IF(AND($J30="x",AND(MAX(AI30:AK30)=AJ30,AJ30&lt;&gt;"")),Data!$BJ$2,"")</f>
        <v/>
      </c>
      <c r="AO30" s="197" t="str">
        <f>IF(AND($K30="x",AND(MAX(AI30:AK30)=AK30,AK30&lt;&gt;"")),Data!$BK$2,"")</f>
        <v/>
      </c>
      <c r="AP30" s="197"/>
      <c r="AQ30" s="328"/>
      <c r="AR30" s="451">
        <v>70</v>
      </c>
      <c r="AS30" s="452">
        <v>20</v>
      </c>
      <c r="AT30" s="438">
        <f t="shared" ref="AT30:AT41" si="35">IF(AR30="","",100-SUM(AR30:AS30))</f>
        <v>10</v>
      </c>
      <c r="AU30" s="328"/>
      <c r="AV30" s="197">
        <f>IF(AND($I30="x",AND(MAX(AR30:AT30)=AR30,AR30&lt;&gt;"")),Data!$BI$2,"")</f>
        <v>65</v>
      </c>
      <c r="AW30" s="197" t="str">
        <f>IF(AND($J30="x",AND(MAX(AR30:AT30)=AS30,AS30&lt;&gt;"")),Data!$BJ$2,"")</f>
        <v/>
      </c>
      <c r="AX30" s="197" t="str">
        <f>IF(AND($K30="x",AND(MAX(AR30:AT30)=AT30,AT30&lt;&gt;"")),Data!$BK$2,"")</f>
        <v/>
      </c>
      <c r="AY30" s="197"/>
      <c r="AZ30" s="328"/>
      <c r="BA30" s="451">
        <v>70</v>
      </c>
      <c r="BB30" s="452">
        <v>20</v>
      </c>
      <c r="BC30" s="438">
        <f t="shared" ref="BC30:BC41" si="36">IF(BA30="","",100-SUM(BA30:BB30))</f>
        <v>10</v>
      </c>
      <c r="BD30" s="328"/>
      <c r="BE30" s="197">
        <f>IF(AND($I30="x",AND(MAX(BA30:BC30)=BA30,BA30&lt;&gt;"")),Data!$BI$2,"")</f>
        <v>65</v>
      </c>
      <c r="BF30" s="197" t="str">
        <f>IF(AND($J30="x",AND(MAX(BA30:BC30)=BB30,BB30&lt;&gt;"")),Data!$BJ$2,"")</f>
        <v/>
      </c>
      <c r="BG30" s="197" t="str">
        <f>IF(AND($K30="x",AND(MAX(BA30:BC30)=BC30,BC30&lt;&gt;"")),Data!$BK$2,"")</f>
        <v/>
      </c>
      <c r="BH30" s="197"/>
      <c r="BI30" s="328"/>
      <c r="BJ30" s="451">
        <v>70</v>
      </c>
      <c r="BK30" s="452">
        <v>20</v>
      </c>
      <c r="BL30" s="438">
        <f t="shared" ref="BL30:BL41" si="37">IF(BJ30="","",100-SUM(BJ30:BK30))</f>
        <v>10</v>
      </c>
      <c r="BM30" s="328"/>
      <c r="BN30" s="197">
        <f>IF(AND($I30="x",AND(MAX(BJ30:BL30)=BJ30,BJ30&lt;&gt;"")),Data!$BI$2,"")</f>
        <v>65</v>
      </c>
      <c r="BO30" s="197" t="str">
        <f>IF(AND($J30="x",AND(MAX(BJ30:BL30)=BK30,BK30&lt;&gt;"")),Data!$BJ$2,"")</f>
        <v/>
      </c>
      <c r="BP30" s="197" t="str">
        <f>IF(AND($K30="x",AND(MAX(BJ30:BL30)=BL30,BL30&lt;&gt;"")),Data!$BK$2,"")</f>
        <v/>
      </c>
      <c r="BQ30" s="197"/>
      <c r="BR30" s="328"/>
      <c r="BS30" s="451">
        <v>70</v>
      </c>
      <c r="BT30" s="452">
        <v>20</v>
      </c>
      <c r="BU30" s="438">
        <f t="shared" ref="BU30:BU41" si="38">IF(BS30="","",100-SUM(BS30:BT30))</f>
        <v>10</v>
      </c>
      <c r="BV30" s="328"/>
      <c r="BW30" s="197">
        <f>IF(AND($I30="x",AND(MAX(BS30:BU30)=BS30,BS30&lt;&gt;"")),Data!$BI$2,"")</f>
        <v>65</v>
      </c>
      <c r="BX30" s="197" t="str">
        <f>IF(AND($J30="x",AND(MAX(BS30:BU30)=BT30,BT30&lt;&gt;"")),Data!$BJ$2,"")</f>
        <v/>
      </c>
      <c r="BY30" s="197" t="str">
        <f>IF(AND($K30="x",AND(MAX(BS30:BU30)=BU30,BU30&lt;&gt;"")),Data!$BK$2,"")</f>
        <v/>
      </c>
      <c r="BZ30" s="197"/>
      <c r="CA30" s="328"/>
      <c r="CB30" s="457">
        <f t="shared" ref="CB30:CB41" si="39">IFERROR(ROUNDUP((SUM(Q30,Z30,AI30,AR30,BA30,BJ30,BS30)/SUM($Q30:$S30,$Z30:$AB30,$AI30:$AK30,$AR30:$AT30,$BA30:$BC30,$BJ30:$BL30,$BS30:$BU30))*100,-1),"")</f>
        <v>70</v>
      </c>
      <c r="CC30" s="458">
        <f t="shared" ref="CC30:CC41" si="40">IFERROR(ROUNDDOWN((SUM(R30,AA30,AJ30,AS30,BB30,BK30,BT30)/SUM($Q30:$S30,$Z30:$AB30,$AI30:$AK30,$AR30:$AT30,$BA30:$BC30,$BJ30:$BL30,$BS30:$BU30))*100,-1),"")</f>
        <v>20</v>
      </c>
      <c r="CD30" s="459">
        <f t="shared" ref="CD30:CD41" si="41">IF(CB30="","",100-SUM(CB30:CC30))</f>
        <v>10</v>
      </c>
      <c r="CE30" s="328"/>
      <c r="CF30" s="197">
        <f>IF(AND($I30="x",AND(MAX(CB30:CD30)=CB30,CB30&lt;&gt;"")),Data!$BI$2,"")</f>
        <v>65</v>
      </c>
      <c r="CG30" s="197" t="str">
        <f>IF(AND($J30="x",AND(MAX(CB30:CD30)=CC30,CC30&lt;&gt;"")),Data!$BJ$2,"")</f>
        <v/>
      </c>
      <c r="CH30" s="197" t="str">
        <f>IF(AND($K30="x",AND(MAX(CB30:CD30)=CD30,CD30&lt;&gt;"")),Data!$BK$2,"")</f>
        <v/>
      </c>
      <c r="CI30" s="197"/>
      <c r="CJ30" s="197"/>
      <c r="CK30" s="451">
        <v>70</v>
      </c>
      <c r="CL30" s="452">
        <v>20</v>
      </c>
      <c r="CM30" s="438">
        <f t="shared" ref="CM30:CM41" si="42">IF(CK30="","",100-SUM(CK30:CL30))</f>
        <v>10</v>
      </c>
      <c r="CN30" s="328"/>
      <c r="CO30" s="197">
        <f>IF(AND($I30="x",AND(MAX(CK30:CM30)=CK30,CK30&lt;&gt;"")),Data!$BI$2,"")</f>
        <v>65</v>
      </c>
      <c r="CP30" s="197" t="str">
        <f>IF(AND($J30="x",AND(MAX(CK30:CM30)=CL30,CL30&lt;&gt;"")),Data!$BJ$2,"")</f>
        <v/>
      </c>
      <c r="CQ30" s="197" t="str">
        <f>IF(AND($K30="x",AND(MAX(CK30:CM30)=CM30,CM30&lt;&gt;"")),Data!$BK$2,"")</f>
        <v/>
      </c>
      <c r="CR30" s="197"/>
      <c r="CS30" s="197"/>
      <c r="CT30" s="328"/>
      <c r="CU30" s="255"/>
      <c r="CV30" s="209"/>
      <c r="CW30" s="227"/>
      <c r="CX30" s="141"/>
      <c r="CY30" s="141"/>
    </row>
    <row r="31" spans="1:103" s="143" customFormat="1" ht="13.35" customHeight="1" outlineLevel="2" x14ac:dyDescent="0.2">
      <c r="A31" s="227"/>
      <c r="B31" s="227"/>
      <c r="C31" s="168"/>
      <c r="D31" s="232"/>
      <c r="E31" s="135" t="s">
        <v>64</v>
      </c>
      <c r="F31" s="425">
        <v>1</v>
      </c>
      <c r="G31" s="430" t="s">
        <v>51</v>
      </c>
      <c r="H31" s="431"/>
      <c r="I31" s="346" t="str">
        <f t="shared" si="29"/>
        <v>x</v>
      </c>
      <c r="J31" s="347" t="str">
        <f t="shared" si="30"/>
        <v/>
      </c>
      <c r="K31" s="348" t="str">
        <f t="shared" si="31"/>
        <v/>
      </c>
      <c r="L31" s="258"/>
      <c r="M31" s="332"/>
      <c r="N31" s="336"/>
      <c r="O31" s="200"/>
      <c r="P31" s="200"/>
      <c r="Q31" s="439">
        <v>70</v>
      </c>
      <c r="R31" s="440">
        <v>20</v>
      </c>
      <c r="S31" s="441">
        <f t="shared" si="32"/>
        <v>10</v>
      </c>
      <c r="T31" s="328"/>
      <c r="U31" s="197">
        <f>IF(AND($I31="x",AND(MAX(Q31:S31)=Q31,Q31&gt;=0)),Data!$BI$2,"")</f>
        <v>65</v>
      </c>
      <c r="V31" s="197" t="str">
        <f>IF(AND($J31="x",AND(MAX(Q31:S31)=R31,R31&gt;=0)),Data!$BJ$2,"")</f>
        <v/>
      </c>
      <c r="W31" s="197" t="str">
        <f>IF(AND($K31="x",AND(MAX(Q31:S31)=S31,S31&gt;=0)),Data!$BK$2,"")</f>
        <v/>
      </c>
      <c r="X31" s="197"/>
      <c r="Y31" s="328"/>
      <c r="Z31" s="453">
        <v>70</v>
      </c>
      <c r="AA31" s="454">
        <v>20</v>
      </c>
      <c r="AB31" s="441">
        <f t="shared" si="33"/>
        <v>10</v>
      </c>
      <c r="AC31" s="328"/>
      <c r="AD31" s="197">
        <f>IF(AND($I31="x",AND(MAX(Z31:AB31)=Z31,Z31&lt;&gt;"")),Data!$BI$2,"")</f>
        <v>65</v>
      </c>
      <c r="AE31" s="197" t="str">
        <f>IF(AND($J31="x",AND(MAX(Z31:AB31)=AA31,AA31&lt;&gt;"")),Data!$BJ$2,"")</f>
        <v/>
      </c>
      <c r="AF31" s="197" t="str">
        <f>IF(AND($K31="x",AND(MAX(Z31:AB31)=AB31,AB31&lt;&gt;"")),Data!$BK$2,"")</f>
        <v/>
      </c>
      <c r="AG31" s="197"/>
      <c r="AH31" s="328"/>
      <c r="AI31" s="453">
        <v>70</v>
      </c>
      <c r="AJ31" s="454">
        <v>20</v>
      </c>
      <c r="AK31" s="441">
        <f t="shared" si="34"/>
        <v>10</v>
      </c>
      <c r="AL31" s="328"/>
      <c r="AM31" s="197">
        <f>IF(AND($I31="x",AND(MAX(AI31:AK31)=AI31,AI31&lt;&gt;"")),Data!$BI$2,"")</f>
        <v>65</v>
      </c>
      <c r="AN31" s="197" t="str">
        <f>IF(AND($J31="x",AND(MAX(AI31:AK31)=AJ31,AJ31&lt;&gt;"")),Data!$BJ$2,"")</f>
        <v/>
      </c>
      <c r="AO31" s="197" t="str">
        <f>IF(AND($K31="x",AND(MAX(AI31:AK31)=AK31,AK31&lt;&gt;"")),Data!$BK$2,"")</f>
        <v/>
      </c>
      <c r="AP31" s="197"/>
      <c r="AQ31" s="328"/>
      <c r="AR31" s="453">
        <v>70</v>
      </c>
      <c r="AS31" s="454">
        <v>20</v>
      </c>
      <c r="AT31" s="441">
        <f t="shared" si="35"/>
        <v>10</v>
      </c>
      <c r="AU31" s="328"/>
      <c r="AV31" s="197">
        <f>IF(AND($I31="x",AND(MAX(AR31:AT31)=AR31,AR31&lt;&gt;"")),Data!$BI$2,"")</f>
        <v>65</v>
      </c>
      <c r="AW31" s="197" t="str">
        <f>IF(AND($J31="x",AND(MAX(AR31:AT31)=AS31,AS31&lt;&gt;"")),Data!$BJ$2,"")</f>
        <v/>
      </c>
      <c r="AX31" s="197" t="str">
        <f>IF(AND($K31="x",AND(MAX(AR31:AT31)=AT31,AT31&lt;&gt;"")),Data!$BK$2,"")</f>
        <v/>
      </c>
      <c r="AY31" s="197"/>
      <c r="AZ31" s="328"/>
      <c r="BA31" s="453">
        <v>70</v>
      </c>
      <c r="BB31" s="454">
        <v>20</v>
      </c>
      <c r="BC31" s="441">
        <f t="shared" si="36"/>
        <v>10</v>
      </c>
      <c r="BD31" s="328"/>
      <c r="BE31" s="197">
        <f>IF(AND($I31="x",AND(MAX(BA31:BC31)=BA31,BA31&lt;&gt;"")),Data!$BI$2,"")</f>
        <v>65</v>
      </c>
      <c r="BF31" s="197" t="str">
        <f>IF(AND($J31="x",AND(MAX(BA31:BC31)=BB31,BB31&lt;&gt;"")),Data!$BJ$2,"")</f>
        <v/>
      </c>
      <c r="BG31" s="197" t="str">
        <f>IF(AND($K31="x",AND(MAX(BA31:BC31)=BC31,BC31&lt;&gt;"")),Data!$BK$2,"")</f>
        <v/>
      </c>
      <c r="BH31" s="197"/>
      <c r="BI31" s="328"/>
      <c r="BJ31" s="453">
        <v>70</v>
      </c>
      <c r="BK31" s="454">
        <v>20</v>
      </c>
      <c r="BL31" s="441">
        <f t="shared" si="37"/>
        <v>10</v>
      </c>
      <c r="BM31" s="328"/>
      <c r="BN31" s="197">
        <f>IF(AND($I31="x",AND(MAX(BJ31:BL31)=BJ31,BJ31&lt;&gt;"")),Data!$BI$2,"")</f>
        <v>65</v>
      </c>
      <c r="BO31" s="197" t="str">
        <f>IF(AND($J31="x",AND(MAX(BJ31:BL31)=BK31,BK31&lt;&gt;"")),Data!$BJ$2,"")</f>
        <v/>
      </c>
      <c r="BP31" s="197" t="str">
        <f>IF(AND($K31="x",AND(MAX(BJ31:BL31)=BL31,BL31&lt;&gt;"")),Data!$BK$2,"")</f>
        <v/>
      </c>
      <c r="BQ31" s="197"/>
      <c r="BR31" s="328"/>
      <c r="BS31" s="453">
        <v>70</v>
      </c>
      <c r="BT31" s="454">
        <v>20</v>
      </c>
      <c r="BU31" s="441">
        <f t="shared" si="38"/>
        <v>10</v>
      </c>
      <c r="BV31" s="328"/>
      <c r="BW31" s="197">
        <f>IF(AND($I31="x",AND(MAX(BS31:BU31)=BS31,BS31&lt;&gt;"")),Data!$BI$2,"")</f>
        <v>65</v>
      </c>
      <c r="BX31" s="197" t="str">
        <f>IF(AND($J31="x",AND(MAX(BS31:BU31)=BT31,BT31&lt;&gt;"")),Data!$BJ$2,"")</f>
        <v/>
      </c>
      <c r="BY31" s="197" t="str">
        <f>IF(AND($K31="x",AND(MAX(BS31:BU31)=BU31,BU31&lt;&gt;"")),Data!$BK$2,"")</f>
        <v/>
      </c>
      <c r="BZ31" s="197"/>
      <c r="CA31" s="328"/>
      <c r="CB31" s="460">
        <f t="shared" si="39"/>
        <v>70</v>
      </c>
      <c r="CC31" s="461">
        <f t="shared" si="40"/>
        <v>20</v>
      </c>
      <c r="CD31" s="462">
        <f t="shared" si="41"/>
        <v>10</v>
      </c>
      <c r="CE31" s="328"/>
      <c r="CF31" s="197">
        <f>IF(AND($I31="x",AND(MAX(CB31:CD31)=CB31,CB31&lt;&gt;"")),Data!$BI$2,"")</f>
        <v>65</v>
      </c>
      <c r="CG31" s="197" t="str">
        <f>IF(AND($J31="x",AND(MAX(CB31:CD31)=CC31,CC31&lt;&gt;"")),Data!$BJ$2,"")</f>
        <v/>
      </c>
      <c r="CH31" s="197" t="str">
        <f>IF(AND($K31="x",AND(MAX(CB31:CD31)=CD31,CD31&lt;&gt;"")),Data!$BK$2,"")</f>
        <v/>
      </c>
      <c r="CI31" s="197"/>
      <c r="CJ31" s="197"/>
      <c r="CK31" s="453">
        <v>70</v>
      </c>
      <c r="CL31" s="454">
        <v>20</v>
      </c>
      <c r="CM31" s="441">
        <f t="shared" si="42"/>
        <v>10</v>
      </c>
      <c r="CN31" s="328"/>
      <c r="CO31" s="197">
        <f>IF(AND($I31="x",AND(MAX(CK31:CM31)=CK31,CK31&lt;&gt;"")),Data!$BI$2,"")</f>
        <v>65</v>
      </c>
      <c r="CP31" s="197" t="str">
        <f>IF(AND($J31="x",AND(MAX(CK31:CM31)=CL31,CL31&lt;&gt;"")),Data!$BJ$2,"")</f>
        <v/>
      </c>
      <c r="CQ31" s="197" t="str">
        <f>IF(AND($K31="x",AND(MAX(CK31:CM31)=CM31,CM31&lt;&gt;"")),Data!$BK$2,"")</f>
        <v/>
      </c>
      <c r="CR31" s="197"/>
      <c r="CS31" s="197"/>
      <c r="CT31" s="328"/>
      <c r="CU31" s="255"/>
      <c r="CV31" s="209"/>
      <c r="CW31" s="227"/>
      <c r="CX31" s="141"/>
      <c r="CY31" s="141"/>
    </row>
    <row r="32" spans="1:103" s="143" customFormat="1" ht="13.35" customHeight="1" outlineLevel="2" x14ac:dyDescent="0.2">
      <c r="A32" s="227"/>
      <c r="B32" s="227"/>
      <c r="C32" s="168"/>
      <c r="D32" s="232"/>
      <c r="E32" s="136" t="s">
        <v>65</v>
      </c>
      <c r="F32" s="426">
        <v>1</v>
      </c>
      <c r="G32" s="432" t="s">
        <v>51</v>
      </c>
      <c r="H32" s="433"/>
      <c r="I32" s="349" t="str">
        <f t="shared" si="29"/>
        <v>x</v>
      </c>
      <c r="J32" s="350" t="str">
        <f t="shared" si="30"/>
        <v/>
      </c>
      <c r="K32" s="351" t="str">
        <f t="shared" si="31"/>
        <v/>
      </c>
      <c r="L32" s="258"/>
      <c r="M32" s="332"/>
      <c r="N32" s="336"/>
      <c r="O32" s="200"/>
      <c r="P32" s="200"/>
      <c r="Q32" s="442">
        <v>70</v>
      </c>
      <c r="R32" s="443">
        <v>20</v>
      </c>
      <c r="S32" s="444">
        <f t="shared" si="32"/>
        <v>10</v>
      </c>
      <c r="T32" s="328"/>
      <c r="U32" s="197">
        <f>IF(AND($I32="x",AND(MAX(Q32:S32)=Q32,Q32&gt;=0)),Data!$BI$2,"")</f>
        <v>65</v>
      </c>
      <c r="V32" s="197" t="str">
        <f>IF(AND($J32="x",AND(MAX(Q32:S32)=R32,R32&gt;=0)),Data!$BJ$2,"")</f>
        <v/>
      </c>
      <c r="W32" s="197" t="str">
        <f>IF(AND($K32="x",AND(MAX(Q32:S32)=S32,S32&gt;=0)),Data!$BK$2,"")</f>
        <v/>
      </c>
      <c r="X32" s="197"/>
      <c r="Y32" s="328"/>
      <c r="Z32" s="455">
        <v>70</v>
      </c>
      <c r="AA32" s="456">
        <v>20</v>
      </c>
      <c r="AB32" s="444">
        <f t="shared" si="33"/>
        <v>10</v>
      </c>
      <c r="AC32" s="328"/>
      <c r="AD32" s="197">
        <f>IF(AND($I32="x",AND(MAX(Z32:AB32)=Z32,Z32&lt;&gt;"")),Data!$BI$2,"")</f>
        <v>65</v>
      </c>
      <c r="AE32" s="197" t="str">
        <f>IF(AND($J32="x",AND(MAX(Z32:AB32)=AA32,AA32&lt;&gt;"")),Data!$BJ$2,"")</f>
        <v/>
      </c>
      <c r="AF32" s="197" t="str">
        <f>IF(AND($K32="x",AND(MAX(Z32:AB32)=AB32,AB32&lt;&gt;"")),Data!$BK$2,"")</f>
        <v/>
      </c>
      <c r="AG32" s="197"/>
      <c r="AH32" s="328"/>
      <c r="AI32" s="455">
        <v>70</v>
      </c>
      <c r="AJ32" s="456">
        <v>20</v>
      </c>
      <c r="AK32" s="444">
        <f t="shared" si="34"/>
        <v>10</v>
      </c>
      <c r="AL32" s="328"/>
      <c r="AM32" s="197">
        <f>IF(AND($I32="x",AND(MAX(AI32:AK32)=AI32,AI32&lt;&gt;"")),Data!$BI$2,"")</f>
        <v>65</v>
      </c>
      <c r="AN32" s="197" t="str">
        <f>IF(AND($J32="x",AND(MAX(AI32:AK32)=AJ32,AJ32&lt;&gt;"")),Data!$BJ$2,"")</f>
        <v/>
      </c>
      <c r="AO32" s="197" t="str">
        <f>IF(AND($K32="x",AND(MAX(AI32:AK32)=AK32,AK32&lt;&gt;"")),Data!$BK$2,"")</f>
        <v/>
      </c>
      <c r="AP32" s="197"/>
      <c r="AQ32" s="328"/>
      <c r="AR32" s="455">
        <v>70</v>
      </c>
      <c r="AS32" s="456">
        <v>20</v>
      </c>
      <c r="AT32" s="444">
        <f t="shared" si="35"/>
        <v>10</v>
      </c>
      <c r="AU32" s="328"/>
      <c r="AV32" s="197">
        <f>IF(AND($I32="x",AND(MAX(AR32:AT32)=AR32,AR32&lt;&gt;"")),Data!$BI$2,"")</f>
        <v>65</v>
      </c>
      <c r="AW32" s="197" t="str">
        <f>IF(AND($J32="x",AND(MAX(AR32:AT32)=AS32,AS32&lt;&gt;"")),Data!$BJ$2,"")</f>
        <v/>
      </c>
      <c r="AX32" s="197" t="str">
        <f>IF(AND($K32="x",AND(MAX(AR32:AT32)=AT32,AT32&lt;&gt;"")),Data!$BK$2,"")</f>
        <v/>
      </c>
      <c r="AY32" s="197"/>
      <c r="AZ32" s="328"/>
      <c r="BA32" s="455">
        <v>70</v>
      </c>
      <c r="BB32" s="456">
        <v>20</v>
      </c>
      <c r="BC32" s="444">
        <f t="shared" si="36"/>
        <v>10</v>
      </c>
      <c r="BD32" s="328"/>
      <c r="BE32" s="197">
        <f>IF(AND($I32="x",AND(MAX(BA32:BC32)=BA32,BA32&lt;&gt;"")),Data!$BI$2,"")</f>
        <v>65</v>
      </c>
      <c r="BF32" s="197" t="str">
        <f>IF(AND($J32="x",AND(MAX(BA32:BC32)=BB32,BB32&lt;&gt;"")),Data!$BJ$2,"")</f>
        <v/>
      </c>
      <c r="BG32" s="197" t="str">
        <f>IF(AND($K32="x",AND(MAX(BA32:BC32)=BC32,BC32&lt;&gt;"")),Data!$BK$2,"")</f>
        <v/>
      </c>
      <c r="BH32" s="197"/>
      <c r="BI32" s="328"/>
      <c r="BJ32" s="455">
        <v>70</v>
      </c>
      <c r="BK32" s="456">
        <v>20</v>
      </c>
      <c r="BL32" s="444">
        <f t="shared" si="37"/>
        <v>10</v>
      </c>
      <c r="BM32" s="328"/>
      <c r="BN32" s="197">
        <f>IF(AND($I32="x",AND(MAX(BJ32:BL32)=BJ32,BJ32&lt;&gt;"")),Data!$BI$2,"")</f>
        <v>65</v>
      </c>
      <c r="BO32" s="197" t="str">
        <f>IF(AND($J32="x",AND(MAX(BJ32:BL32)=BK32,BK32&lt;&gt;"")),Data!$BJ$2,"")</f>
        <v/>
      </c>
      <c r="BP32" s="197" t="str">
        <f>IF(AND($K32="x",AND(MAX(BJ32:BL32)=BL32,BL32&lt;&gt;"")),Data!$BK$2,"")</f>
        <v/>
      </c>
      <c r="BQ32" s="197"/>
      <c r="BR32" s="328"/>
      <c r="BS32" s="455">
        <v>70</v>
      </c>
      <c r="BT32" s="456">
        <v>20</v>
      </c>
      <c r="BU32" s="444">
        <f t="shared" si="38"/>
        <v>10</v>
      </c>
      <c r="BV32" s="328"/>
      <c r="BW32" s="197">
        <f>IF(AND($I32="x",AND(MAX(BS32:BU32)=BS32,BS32&lt;&gt;"")),Data!$BI$2,"")</f>
        <v>65</v>
      </c>
      <c r="BX32" s="197" t="str">
        <f>IF(AND($J32="x",AND(MAX(BS32:BU32)=BT32,BT32&lt;&gt;"")),Data!$BJ$2,"")</f>
        <v/>
      </c>
      <c r="BY32" s="197" t="str">
        <f>IF(AND($K32="x",AND(MAX(BS32:BU32)=BU32,BU32&lt;&gt;"")),Data!$BK$2,"")</f>
        <v/>
      </c>
      <c r="BZ32" s="197"/>
      <c r="CA32" s="328"/>
      <c r="CB32" s="463">
        <f t="shared" si="39"/>
        <v>70</v>
      </c>
      <c r="CC32" s="464">
        <f t="shared" si="40"/>
        <v>20</v>
      </c>
      <c r="CD32" s="465">
        <f t="shared" si="41"/>
        <v>10</v>
      </c>
      <c r="CE32" s="328"/>
      <c r="CF32" s="197">
        <f>IF(AND($I32="x",AND(MAX(CB32:CD32)=CB32,CB32&lt;&gt;"")),Data!$BI$2,"")</f>
        <v>65</v>
      </c>
      <c r="CG32" s="197" t="str">
        <f>IF(AND($J32="x",AND(MAX(CB32:CD32)=CC32,CC32&lt;&gt;"")),Data!$BJ$2,"")</f>
        <v/>
      </c>
      <c r="CH32" s="197" t="str">
        <f>IF(AND($K32="x",AND(MAX(CB32:CD32)=CD32,CD32&lt;&gt;"")),Data!$BK$2,"")</f>
        <v/>
      </c>
      <c r="CI32" s="197"/>
      <c r="CJ32" s="197"/>
      <c r="CK32" s="455">
        <v>70</v>
      </c>
      <c r="CL32" s="456">
        <v>20</v>
      </c>
      <c r="CM32" s="444">
        <f t="shared" si="42"/>
        <v>10</v>
      </c>
      <c r="CN32" s="328"/>
      <c r="CO32" s="197">
        <f>IF(AND($I32="x",AND(MAX(CK32:CM32)=CK32,CK32&lt;&gt;"")),Data!$BI$2,"")</f>
        <v>65</v>
      </c>
      <c r="CP32" s="197" t="str">
        <f>IF(AND($J32="x",AND(MAX(CK32:CM32)=CL32,CL32&lt;&gt;"")),Data!$BJ$2,"")</f>
        <v/>
      </c>
      <c r="CQ32" s="197" t="str">
        <f>IF(AND($K32="x",AND(MAX(CK32:CM32)=CM32,CM32&lt;&gt;"")),Data!$BK$2,"")</f>
        <v/>
      </c>
      <c r="CR32" s="197"/>
      <c r="CS32" s="197"/>
      <c r="CT32" s="328"/>
      <c r="CU32" s="255"/>
      <c r="CV32" s="209"/>
      <c r="CW32" s="227"/>
      <c r="CX32" s="144"/>
      <c r="CY32" s="144"/>
    </row>
    <row r="33" spans="1:103" s="143" customFormat="1" ht="13.35" customHeight="1" outlineLevel="2" x14ac:dyDescent="0.2">
      <c r="A33" s="227"/>
      <c r="B33" s="227"/>
      <c r="C33" s="168"/>
      <c r="D33" s="232"/>
      <c r="E33" s="134" t="s">
        <v>66</v>
      </c>
      <c r="F33" s="424">
        <v>1</v>
      </c>
      <c r="G33" s="428" t="s">
        <v>51</v>
      </c>
      <c r="H33" s="429"/>
      <c r="I33" s="138" t="str">
        <f t="shared" si="29"/>
        <v>x</v>
      </c>
      <c r="J33" s="344" t="str">
        <f t="shared" si="30"/>
        <v/>
      </c>
      <c r="K33" s="345" t="str">
        <f t="shared" si="31"/>
        <v/>
      </c>
      <c r="L33" s="258"/>
      <c r="M33" s="332"/>
      <c r="N33" s="336"/>
      <c r="O33" s="200"/>
      <c r="P33" s="200"/>
      <c r="Q33" s="436">
        <v>70</v>
      </c>
      <c r="R33" s="437">
        <v>20</v>
      </c>
      <c r="S33" s="438">
        <f t="shared" si="32"/>
        <v>10</v>
      </c>
      <c r="T33" s="328"/>
      <c r="U33" s="197">
        <f>IF(AND($I33="x",AND(MAX(Q33:S33)=Q33,Q33&gt;=0)),Data!$BI$2,"")</f>
        <v>65</v>
      </c>
      <c r="V33" s="197" t="str">
        <f>IF(AND($J33="x",AND(MAX(Q33:S33)=R33,R33&gt;=0)),Data!$BJ$2,"")</f>
        <v/>
      </c>
      <c r="W33" s="197" t="str">
        <f>IF(AND($K33="x",AND(MAX(Q33:S33)=S33,S33&gt;=0)),Data!$BK$2,"")</f>
        <v/>
      </c>
      <c r="X33" s="197"/>
      <c r="Y33" s="328"/>
      <c r="Z33" s="451">
        <v>70</v>
      </c>
      <c r="AA33" s="452">
        <v>20</v>
      </c>
      <c r="AB33" s="438">
        <f t="shared" si="33"/>
        <v>10</v>
      </c>
      <c r="AC33" s="328"/>
      <c r="AD33" s="197">
        <f>IF(AND($I33="x",AND(MAX(Z33:AB33)=Z33,Z33&lt;&gt;"")),Data!$BI$2,"")</f>
        <v>65</v>
      </c>
      <c r="AE33" s="197" t="str">
        <f>IF(AND($J33="x",AND(MAX(Z33:AB33)=AA33,AA33&lt;&gt;"")),Data!$BJ$2,"")</f>
        <v/>
      </c>
      <c r="AF33" s="197" t="str">
        <f>IF(AND($K33="x",AND(MAX(Z33:AB33)=AB33,AB33&lt;&gt;"")),Data!$BK$2,"")</f>
        <v/>
      </c>
      <c r="AG33" s="197"/>
      <c r="AH33" s="328"/>
      <c r="AI33" s="451">
        <v>70</v>
      </c>
      <c r="AJ33" s="452">
        <v>20</v>
      </c>
      <c r="AK33" s="438">
        <f t="shared" si="34"/>
        <v>10</v>
      </c>
      <c r="AL33" s="328"/>
      <c r="AM33" s="197">
        <f>IF(AND($I33="x",AND(MAX(AI33:AK33)=AI33,AI33&lt;&gt;"")),Data!$BI$2,"")</f>
        <v>65</v>
      </c>
      <c r="AN33" s="197" t="str">
        <f>IF(AND($J33="x",AND(MAX(AI33:AK33)=AJ33,AJ33&lt;&gt;"")),Data!$BJ$2,"")</f>
        <v/>
      </c>
      <c r="AO33" s="197" t="str">
        <f>IF(AND($K33="x",AND(MAX(AI33:AK33)=AK33,AK33&lt;&gt;"")),Data!$BK$2,"")</f>
        <v/>
      </c>
      <c r="AP33" s="197"/>
      <c r="AQ33" s="328"/>
      <c r="AR33" s="451">
        <v>70</v>
      </c>
      <c r="AS33" s="452">
        <v>20</v>
      </c>
      <c r="AT33" s="438">
        <f t="shared" si="35"/>
        <v>10</v>
      </c>
      <c r="AU33" s="328"/>
      <c r="AV33" s="197">
        <f>IF(AND($I33="x",AND(MAX(AR33:AT33)=AR33,AR33&lt;&gt;"")),Data!$BI$2,"")</f>
        <v>65</v>
      </c>
      <c r="AW33" s="197" t="str">
        <f>IF(AND($J33="x",AND(MAX(AR33:AT33)=AS33,AS33&lt;&gt;"")),Data!$BJ$2,"")</f>
        <v/>
      </c>
      <c r="AX33" s="197" t="str">
        <f>IF(AND($K33="x",AND(MAX(AR33:AT33)=AT33,AT33&lt;&gt;"")),Data!$BK$2,"")</f>
        <v/>
      </c>
      <c r="AY33" s="197"/>
      <c r="AZ33" s="328"/>
      <c r="BA33" s="451">
        <v>70</v>
      </c>
      <c r="BB33" s="452">
        <v>20</v>
      </c>
      <c r="BC33" s="438">
        <f t="shared" si="36"/>
        <v>10</v>
      </c>
      <c r="BD33" s="328"/>
      <c r="BE33" s="197">
        <f>IF(AND($I33="x",AND(MAX(BA33:BC33)=BA33,BA33&lt;&gt;"")),Data!$BI$2,"")</f>
        <v>65</v>
      </c>
      <c r="BF33" s="197" t="str">
        <f>IF(AND($J33="x",AND(MAX(BA33:BC33)=BB33,BB33&lt;&gt;"")),Data!$BJ$2,"")</f>
        <v/>
      </c>
      <c r="BG33" s="197" t="str">
        <f>IF(AND($K33="x",AND(MAX(BA33:BC33)=BC33,BC33&lt;&gt;"")),Data!$BK$2,"")</f>
        <v/>
      </c>
      <c r="BH33" s="197"/>
      <c r="BI33" s="328"/>
      <c r="BJ33" s="451">
        <v>70</v>
      </c>
      <c r="BK33" s="452">
        <v>20</v>
      </c>
      <c r="BL33" s="438">
        <f t="shared" si="37"/>
        <v>10</v>
      </c>
      <c r="BM33" s="328"/>
      <c r="BN33" s="197">
        <f>IF(AND($I33="x",AND(MAX(BJ33:BL33)=BJ33,BJ33&lt;&gt;"")),Data!$BI$2,"")</f>
        <v>65</v>
      </c>
      <c r="BO33" s="197" t="str">
        <f>IF(AND($J33="x",AND(MAX(BJ33:BL33)=BK33,BK33&lt;&gt;"")),Data!$BJ$2,"")</f>
        <v/>
      </c>
      <c r="BP33" s="197" t="str">
        <f>IF(AND($K33="x",AND(MAX(BJ33:BL33)=BL33,BL33&lt;&gt;"")),Data!$BK$2,"")</f>
        <v/>
      </c>
      <c r="BQ33" s="197"/>
      <c r="BR33" s="328"/>
      <c r="BS33" s="451">
        <v>70</v>
      </c>
      <c r="BT33" s="452">
        <v>20</v>
      </c>
      <c r="BU33" s="438">
        <f t="shared" si="38"/>
        <v>10</v>
      </c>
      <c r="BV33" s="328"/>
      <c r="BW33" s="197">
        <f>IF(AND($I33="x",AND(MAX(BS33:BU33)=BS33,BS33&lt;&gt;"")),Data!$BI$2,"")</f>
        <v>65</v>
      </c>
      <c r="BX33" s="197" t="str">
        <f>IF(AND($J33="x",AND(MAX(BS33:BU33)=BT33,BT33&lt;&gt;"")),Data!$BJ$2,"")</f>
        <v/>
      </c>
      <c r="BY33" s="197" t="str">
        <f>IF(AND($K33="x",AND(MAX(BS33:BU33)=BU33,BU33&lt;&gt;"")),Data!$BK$2,"")</f>
        <v/>
      </c>
      <c r="BZ33" s="197"/>
      <c r="CA33" s="328"/>
      <c r="CB33" s="457">
        <f t="shared" si="39"/>
        <v>70</v>
      </c>
      <c r="CC33" s="458">
        <f t="shared" si="40"/>
        <v>20</v>
      </c>
      <c r="CD33" s="459">
        <f t="shared" si="41"/>
        <v>10</v>
      </c>
      <c r="CE33" s="328"/>
      <c r="CF33" s="197">
        <f>IF(AND($I33="x",AND(MAX(CB33:CD33)=CB33,CB33&lt;&gt;"")),Data!$BI$2,"")</f>
        <v>65</v>
      </c>
      <c r="CG33" s="197" t="str">
        <f>IF(AND($J33="x",AND(MAX(CB33:CD33)=CC33,CC33&lt;&gt;"")),Data!$BJ$2,"")</f>
        <v/>
      </c>
      <c r="CH33" s="197" t="str">
        <f>IF(AND($K33="x",AND(MAX(CB33:CD33)=CD33,CD33&lt;&gt;"")),Data!$BK$2,"")</f>
        <v/>
      </c>
      <c r="CI33" s="197"/>
      <c r="CJ33" s="197"/>
      <c r="CK33" s="451">
        <v>70</v>
      </c>
      <c r="CL33" s="452">
        <v>20</v>
      </c>
      <c r="CM33" s="438">
        <f t="shared" si="42"/>
        <v>10</v>
      </c>
      <c r="CN33" s="328"/>
      <c r="CO33" s="197">
        <f>IF(AND($I33="x",AND(MAX(CK33:CM33)=CK33,CK33&lt;&gt;"")),Data!$BI$2,"")</f>
        <v>65</v>
      </c>
      <c r="CP33" s="197" t="str">
        <f>IF(AND($J33="x",AND(MAX(CK33:CM33)=CL33,CL33&lt;&gt;"")),Data!$BJ$2,"")</f>
        <v/>
      </c>
      <c r="CQ33" s="197" t="str">
        <f>IF(AND($K33="x",AND(MAX(CK33:CM33)=CM33,CM33&lt;&gt;"")),Data!$BK$2,"")</f>
        <v/>
      </c>
      <c r="CR33" s="197"/>
      <c r="CS33" s="197"/>
      <c r="CT33" s="328"/>
      <c r="CU33" s="255"/>
      <c r="CV33" s="209"/>
      <c r="CW33" s="227"/>
      <c r="CX33" s="144"/>
      <c r="CY33" s="144"/>
    </row>
    <row r="34" spans="1:103" s="143" customFormat="1" ht="13.35" customHeight="1" outlineLevel="2" x14ac:dyDescent="0.2">
      <c r="A34" s="227"/>
      <c r="B34" s="227"/>
      <c r="C34" s="168"/>
      <c r="D34" s="232"/>
      <c r="E34" s="135" t="s">
        <v>67</v>
      </c>
      <c r="F34" s="425">
        <v>1</v>
      </c>
      <c r="G34" s="430" t="s">
        <v>51</v>
      </c>
      <c r="H34" s="431"/>
      <c r="I34" s="346" t="str">
        <f t="shared" si="29"/>
        <v>x</v>
      </c>
      <c r="J34" s="347" t="str">
        <f t="shared" si="30"/>
        <v/>
      </c>
      <c r="K34" s="348" t="str">
        <f t="shared" si="31"/>
        <v/>
      </c>
      <c r="L34" s="258"/>
      <c r="M34" s="332"/>
      <c r="N34" s="336"/>
      <c r="O34" s="200"/>
      <c r="P34" s="200"/>
      <c r="Q34" s="439">
        <v>70</v>
      </c>
      <c r="R34" s="440">
        <v>20</v>
      </c>
      <c r="S34" s="441">
        <f t="shared" si="32"/>
        <v>10</v>
      </c>
      <c r="T34" s="328"/>
      <c r="U34" s="197">
        <f>IF(AND($I34="x",AND(MAX(Q34:S34)=Q34,Q34&gt;=0)),Data!$BI$2,"")</f>
        <v>65</v>
      </c>
      <c r="V34" s="197" t="str">
        <f>IF(AND($J34="x",AND(MAX(Q34:S34)=R34,R34&gt;=0)),Data!$BJ$2,"")</f>
        <v/>
      </c>
      <c r="W34" s="197" t="str">
        <f>IF(AND($K34="x",AND(MAX(Q34:S34)=S34,S34&gt;=0)),Data!$BK$2,"")</f>
        <v/>
      </c>
      <c r="X34" s="197"/>
      <c r="Y34" s="328"/>
      <c r="Z34" s="453">
        <v>70</v>
      </c>
      <c r="AA34" s="454">
        <v>20</v>
      </c>
      <c r="AB34" s="441">
        <f t="shared" si="33"/>
        <v>10</v>
      </c>
      <c r="AC34" s="328"/>
      <c r="AD34" s="197">
        <f>IF(AND($I34="x",AND(MAX(Z34:AB34)=Z34,Z34&lt;&gt;"")),Data!$BI$2,"")</f>
        <v>65</v>
      </c>
      <c r="AE34" s="197" t="str">
        <f>IF(AND($J34="x",AND(MAX(Z34:AB34)=AA34,AA34&lt;&gt;"")),Data!$BJ$2,"")</f>
        <v/>
      </c>
      <c r="AF34" s="197" t="str">
        <f>IF(AND($K34="x",AND(MAX(Z34:AB34)=AB34,AB34&lt;&gt;"")),Data!$BK$2,"")</f>
        <v/>
      </c>
      <c r="AG34" s="197"/>
      <c r="AH34" s="328"/>
      <c r="AI34" s="453">
        <v>70</v>
      </c>
      <c r="AJ34" s="454">
        <v>20</v>
      </c>
      <c r="AK34" s="441">
        <f t="shared" si="34"/>
        <v>10</v>
      </c>
      <c r="AL34" s="328"/>
      <c r="AM34" s="197">
        <f>IF(AND($I34="x",AND(MAX(AI34:AK34)=AI34,AI34&lt;&gt;"")),Data!$BI$2,"")</f>
        <v>65</v>
      </c>
      <c r="AN34" s="197" t="str">
        <f>IF(AND($J34="x",AND(MAX(AI34:AK34)=AJ34,AJ34&lt;&gt;"")),Data!$BJ$2,"")</f>
        <v/>
      </c>
      <c r="AO34" s="197" t="str">
        <f>IF(AND($K34="x",AND(MAX(AI34:AK34)=AK34,AK34&lt;&gt;"")),Data!$BK$2,"")</f>
        <v/>
      </c>
      <c r="AP34" s="197"/>
      <c r="AQ34" s="328"/>
      <c r="AR34" s="453">
        <v>70</v>
      </c>
      <c r="AS34" s="454">
        <v>20</v>
      </c>
      <c r="AT34" s="441">
        <f t="shared" si="35"/>
        <v>10</v>
      </c>
      <c r="AU34" s="328"/>
      <c r="AV34" s="197">
        <f>IF(AND($I34="x",AND(MAX(AR34:AT34)=AR34,AR34&lt;&gt;"")),Data!$BI$2,"")</f>
        <v>65</v>
      </c>
      <c r="AW34" s="197" t="str">
        <f>IF(AND($J34="x",AND(MAX(AR34:AT34)=AS34,AS34&lt;&gt;"")),Data!$BJ$2,"")</f>
        <v/>
      </c>
      <c r="AX34" s="197" t="str">
        <f>IF(AND($K34="x",AND(MAX(AR34:AT34)=AT34,AT34&lt;&gt;"")),Data!$BK$2,"")</f>
        <v/>
      </c>
      <c r="AY34" s="197"/>
      <c r="AZ34" s="328"/>
      <c r="BA34" s="453">
        <v>70</v>
      </c>
      <c r="BB34" s="454">
        <v>20</v>
      </c>
      <c r="BC34" s="441">
        <f t="shared" si="36"/>
        <v>10</v>
      </c>
      <c r="BD34" s="328"/>
      <c r="BE34" s="197">
        <f>IF(AND($I34="x",AND(MAX(BA34:BC34)=BA34,BA34&lt;&gt;"")),Data!$BI$2,"")</f>
        <v>65</v>
      </c>
      <c r="BF34" s="197" t="str">
        <f>IF(AND($J34="x",AND(MAX(BA34:BC34)=BB34,BB34&lt;&gt;"")),Data!$BJ$2,"")</f>
        <v/>
      </c>
      <c r="BG34" s="197" t="str">
        <f>IF(AND($K34="x",AND(MAX(BA34:BC34)=BC34,BC34&lt;&gt;"")),Data!$BK$2,"")</f>
        <v/>
      </c>
      <c r="BH34" s="197"/>
      <c r="BI34" s="328"/>
      <c r="BJ34" s="453">
        <v>70</v>
      </c>
      <c r="BK34" s="454">
        <v>20</v>
      </c>
      <c r="BL34" s="441">
        <f t="shared" si="37"/>
        <v>10</v>
      </c>
      <c r="BM34" s="328"/>
      <c r="BN34" s="197">
        <f>IF(AND($I34="x",AND(MAX(BJ34:BL34)=BJ34,BJ34&lt;&gt;"")),Data!$BI$2,"")</f>
        <v>65</v>
      </c>
      <c r="BO34" s="197" t="str">
        <f>IF(AND($J34="x",AND(MAX(BJ34:BL34)=BK34,BK34&lt;&gt;"")),Data!$BJ$2,"")</f>
        <v/>
      </c>
      <c r="BP34" s="197" t="str">
        <f>IF(AND($K34="x",AND(MAX(BJ34:BL34)=BL34,BL34&lt;&gt;"")),Data!$BK$2,"")</f>
        <v/>
      </c>
      <c r="BQ34" s="197"/>
      <c r="BR34" s="328"/>
      <c r="BS34" s="453">
        <v>70</v>
      </c>
      <c r="BT34" s="454">
        <v>20</v>
      </c>
      <c r="BU34" s="441">
        <f t="shared" si="38"/>
        <v>10</v>
      </c>
      <c r="BV34" s="328"/>
      <c r="BW34" s="197">
        <f>IF(AND($I34="x",AND(MAX(BS34:BU34)=BS34,BS34&lt;&gt;"")),Data!$BI$2,"")</f>
        <v>65</v>
      </c>
      <c r="BX34" s="197" t="str">
        <f>IF(AND($J34="x",AND(MAX(BS34:BU34)=BT34,BT34&lt;&gt;"")),Data!$BJ$2,"")</f>
        <v/>
      </c>
      <c r="BY34" s="197" t="str">
        <f>IF(AND($K34="x",AND(MAX(BS34:BU34)=BU34,BU34&lt;&gt;"")),Data!$BK$2,"")</f>
        <v/>
      </c>
      <c r="BZ34" s="197"/>
      <c r="CA34" s="328"/>
      <c r="CB34" s="460">
        <f t="shared" si="39"/>
        <v>70</v>
      </c>
      <c r="CC34" s="461">
        <f t="shared" si="40"/>
        <v>20</v>
      </c>
      <c r="CD34" s="462">
        <f t="shared" si="41"/>
        <v>10</v>
      </c>
      <c r="CE34" s="328"/>
      <c r="CF34" s="197">
        <f>IF(AND($I34="x",AND(MAX(CB34:CD34)=CB34,CB34&lt;&gt;"")),Data!$BI$2,"")</f>
        <v>65</v>
      </c>
      <c r="CG34" s="197" t="str">
        <f>IF(AND($J34="x",AND(MAX(CB34:CD34)=CC34,CC34&lt;&gt;"")),Data!$BJ$2,"")</f>
        <v/>
      </c>
      <c r="CH34" s="197" t="str">
        <f>IF(AND($K34="x",AND(MAX(CB34:CD34)=CD34,CD34&lt;&gt;"")),Data!$BK$2,"")</f>
        <v/>
      </c>
      <c r="CI34" s="197"/>
      <c r="CJ34" s="197"/>
      <c r="CK34" s="453">
        <v>70</v>
      </c>
      <c r="CL34" s="454">
        <v>20</v>
      </c>
      <c r="CM34" s="441">
        <f t="shared" si="42"/>
        <v>10</v>
      </c>
      <c r="CN34" s="328"/>
      <c r="CO34" s="197">
        <f>IF(AND($I34="x",AND(MAX(CK34:CM34)=CK34,CK34&lt;&gt;"")),Data!$BI$2,"")</f>
        <v>65</v>
      </c>
      <c r="CP34" s="197" t="str">
        <f>IF(AND($J34="x",AND(MAX(CK34:CM34)=CL34,CL34&lt;&gt;"")),Data!$BJ$2,"")</f>
        <v/>
      </c>
      <c r="CQ34" s="197" t="str">
        <f>IF(AND($K34="x",AND(MAX(CK34:CM34)=CM34,CM34&lt;&gt;"")),Data!$BK$2,"")</f>
        <v/>
      </c>
      <c r="CR34" s="197"/>
      <c r="CS34" s="197"/>
      <c r="CT34" s="328"/>
      <c r="CU34" s="255"/>
      <c r="CV34" s="209"/>
      <c r="CW34" s="227"/>
      <c r="CX34" s="144"/>
      <c r="CY34" s="144"/>
    </row>
    <row r="35" spans="1:103" s="143" customFormat="1" ht="13.35" customHeight="1" outlineLevel="2" x14ac:dyDescent="0.2">
      <c r="A35" s="227"/>
      <c r="B35" s="227"/>
      <c r="C35" s="168"/>
      <c r="D35" s="232"/>
      <c r="E35" s="136" t="s">
        <v>68</v>
      </c>
      <c r="F35" s="426">
        <v>1</v>
      </c>
      <c r="G35" s="432" t="s">
        <v>51</v>
      </c>
      <c r="H35" s="433"/>
      <c r="I35" s="349" t="str">
        <f t="shared" si="29"/>
        <v>x</v>
      </c>
      <c r="J35" s="350" t="str">
        <f t="shared" si="30"/>
        <v/>
      </c>
      <c r="K35" s="351" t="str">
        <f t="shared" si="31"/>
        <v/>
      </c>
      <c r="L35" s="258"/>
      <c r="M35" s="332"/>
      <c r="N35" s="336"/>
      <c r="O35" s="200"/>
      <c r="P35" s="200"/>
      <c r="Q35" s="445">
        <v>70</v>
      </c>
      <c r="R35" s="446">
        <v>20</v>
      </c>
      <c r="S35" s="447">
        <f t="shared" si="32"/>
        <v>10</v>
      </c>
      <c r="T35" s="328"/>
      <c r="U35" s="197">
        <f>IF(AND($I35="x",AND(MAX(Q35:S35)=Q35,Q35&gt;=0)),Data!$BI$2,"")</f>
        <v>65</v>
      </c>
      <c r="V35" s="197" t="str">
        <f>IF(AND($J35="x",AND(MAX(Q35:S35)=R35,R35&gt;=0)),Data!$BJ$2,"")</f>
        <v/>
      </c>
      <c r="W35" s="197" t="str">
        <f>IF(AND($K35="x",AND(MAX(Q35:S35)=S35,S35&gt;=0)),Data!$BK$2,"")</f>
        <v/>
      </c>
      <c r="X35" s="197"/>
      <c r="Y35" s="328"/>
      <c r="Z35" s="455">
        <v>70</v>
      </c>
      <c r="AA35" s="456">
        <v>20</v>
      </c>
      <c r="AB35" s="447">
        <f t="shared" si="33"/>
        <v>10</v>
      </c>
      <c r="AC35" s="328"/>
      <c r="AD35" s="197">
        <f>IF(AND($I35="x",AND(MAX(Z35:AB35)=Z35,Z35&lt;&gt;"")),Data!$BI$2,"")</f>
        <v>65</v>
      </c>
      <c r="AE35" s="197" t="str">
        <f>IF(AND($J35="x",AND(MAX(Z35:AB35)=AA35,AA35&lt;&gt;"")),Data!$BJ$2,"")</f>
        <v/>
      </c>
      <c r="AF35" s="197" t="str">
        <f>IF(AND($K35="x",AND(MAX(Z35:AB35)=AB35,AB35&lt;&gt;"")),Data!$BK$2,"")</f>
        <v/>
      </c>
      <c r="AG35" s="197"/>
      <c r="AH35" s="328"/>
      <c r="AI35" s="455">
        <v>70</v>
      </c>
      <c r="AJ35" s="456">
        <v>20</v>
      </c>
      <c r="AK35" s="447">
        <f t="shared" si="34"/>
        <v>10</v>
      </c>
      <c r="AL35" s="328"/>
      <c r="AM35" s="197">
        <f>IF(AND($I35="x",AND(MAX(AI35:AK35)=AI35,AI35&lt;&gt;"")),Data!$BI$2,"")</f>
        <v>65</v>
      </c>
      <c r="AN35" s="197" t="str">
        <f>IF(AND($J35="x",AND(MAX(AI35:AK35)=AJ35,AJ35&lt;&gt;"")),Data!$BJ$2,"")</f>
        <v/>
      </c>
      <c r="AO35" s="197" t="str">
        <f>IF(AND($K35="x",AND(MAX(AI35:AK35)=AK35,AK35&lt;&gt;"")),Data!$BK$2,"")</f>
        <v/>
      </c>
      <c r="AP35" s="197"/>
      <c r="AQ35" s="328"/>
      <c r="AR35" s="455">
        <v>70</v>
      </c>
      <c r="AS35" s="456">
        <v>20</v>
      </c>
      <c r="AT35" s="447">
        <f t="shared" si="35"/>
        <v>10</v>
      </c>
      <c r="AU35" s="328"/>
      <c r="AV35" s="197">
        <f>IF(AND($I35="x",AND(MAX(AR35:AT35)=AR35,AR35&lt;&gt;"")),Data!$BI$2,"")</f>
        <v>65</v>
      </c>
      <c r="AW35" s="197" t="str">
        <f>IF(AND($J35="x",AND(MAX(AR35:AT35)=AS35,AS35&lt;&gt;"")),Data!$BJ$2,"")</f>
        <v/>
      </c>
      <c r="AX35" s="197" t="str">
        <f>IF(AND($K35="x",AND(MAX(AR35:AT35)=AT35,AT35&lt;&gt;"")),Data!$BK$2,"")</f>
        <v/>
      </c>
      <c r="AY35" s="197"/>
      <c r="AZ35" s="328"/>
      <c r="BA35" s="455">
        <v>70</v>
      </c>
      <c r="BB35" s="456">
        <v>20</v>
      </c>
      <c r="BC35" s="447">
        <f t="shared" si="36"/>
        <v>10</v>
      </c>
      <c r="BD35" s="328"/>
      <c r="BE35" s="197">
        <f>IF(AND($I35="x",AND(MAX(BA35:BC35)=BA35,BA35&lt;&gt;"")),Data!$BI$2,"")</f>
        <v>65</v>
      </c>
      <c r="BF35" s="197" t="str">
        <f>IF(AND($J35="x",AND(MAX(BA35:BC35)=BB35,BB35&lt;&gt;"")),Data!$BJ$2,"")</f>
        <v/>
      </c>
      <c r="BG35" s="197" t="str">
        <f>IF(AND($K35="x",AND(MAX(BA35:BC35)=BC35,BC35&lt;&gt;"")),Data!$BK$2,"")</f>
        <v/>
      </c>
      <c r="BH35" s="197"/>
      <c r="BI35" s="328"/>
      <c r="BJ35" s="455">
        <v>70</v>
      </c>
      <c r="BK35" s="456">
        <v>20</v>
      </c>
      <c r="BL35" s="447">
        <f t="shared" si="37"/>
        <v>10</v>
      </c>
      <c r="BM35" s="328"/>
      <c r="BN35" s="197">
        <f>IF(AND($I35="x",AND(MAX(BJ35:BL35)=BJ35,BJ35&lt;&gt;"")),Data!$BI$2,"")</f>
        <v>65</v>
      </c>
      <c r="BO35" s="197" t="str">
        <f>IF(AND($J35="x",AND(MAX(BJ35:BL35)=BK35,BK35&lt;&gt;"")),Data!$BJ$2,"")</f>
        <v/>
      </c>
      <c r="BP35" s="197" t="str">
        <f>IF(AND($K35="x",AND(MAX(BJ35:BL35)=BL35,BL35&lt;&gt;"")),Data!$BK$2,"")</f>
        <v/>
      </c>
      <c r="BQ35" s="197"/>
      <c r="BR35" s="328"/>
      <c r="BS35" s="455">
        <v>70</v>
      </c>
      <c r="BT35" s="456">
        <v>20</v>
      </c>
      <c r="BU35" s="447">
        <f t="shared" si="38"/>
        <v>10</v>
      </c>
      <c r="BV35" s="328"/>
      <c r="BW35" s="197">
        <f>IF(AND($I35="x",AND(MAX(BS35:BU35)=BS35,BS35&lt;&gt;"")),Data!$BI$2,"")</f>
        <v>65</v>
      </c>
      <c r="BX35" s="197" t="str">
        <f>IF(AND($J35="x",AND(MAX(BS35:BU35)=BT35,BT35&lt;&gt;"")),Data!$BJ$2,"")</f>
        <v/>
      </c>
      <c r="BY35" s="197" t="str">
        <f>IF(AND($K35="x",AND(MAX(BS35:BU35)=BU35,BU35&lt;&gt;"")),Data!$BK$2,"")</f>
        <v/>
      </c>
      <c r="BZ35" s="197"/>
      <c r="CA35" s="328"/>
      <c r="CB35" s="463">
        <f t="shared" si="39"/>
        <v>70</v>
      </c>
      <c r="CC35" s="464">
        <f t="shared" si="40"/>
        <v>20</v>
      </c>
      <c r="CD35" s="465">
        <f t="shared" si="41"/>
        <v>10</v>
      </c>
      <c r="CE35" s="328"/>
      <c r="CF35" s="197">
        <f>IF(AND($I35="x",AND(MAX(CB35:CD35)=CB35,CB35&lt;&gt;"")),Data!$BI$2,"")</f>
        <v>65</v>
      </c>
      <c r="CG35" s="197" t="str">
        <f>IF(AND($J35="x",AND(MAX(CB35:CD35)=CC35,CC35&lt;&gt;"")),Data!$BJ$2,"")</f>
        <v/>
      </c>
      <c r="CH35" s="197" t="str">
        <f>IF(AND($K35="x",AND(MAX(CB35:CD35)=CD35,CD35&lt;&gt;"")),Data!$BK$2,"")</f>
        <v/>
      </c>
      <c r="CI35" s="197"/>
      <c r="CJ35" s="197"/>
      <c r="CK35" s="455">
        <v>70</v>
      </c>
      <c r="CL35" s="456">
        <v>20</v>
      </c>
      <c r="CM35" s="447">
        <f t="shared" si="42"/>
        <v>10</v>
      </c>
      <c r="CN35" s="328"/>
      <c r="CO35" s="197">
        <f>IF(AND($I35="x",AND(MAX(CK35:CM35)=CK35,CK35&lt;&gt;"")),Data!$BI$2,"")</f>
        <v>65</v>
      </c>
      <c r="CP35" s="197" t="str">
        <f>IF(AND($J35="x",AND(MAX(CK35:CM35)=CL35,CL35&lt;&gt;"")),Data!$BJ$2,"")</f>
        <v/>
      </c>
      <c r="CQ35" s="197" t="str">
        <f>IF(AND($K35="x",AND(MAX(CK35:CM35)=CM35,CM35&lt;&gt;"")),Data!$BK$2,"")</f>
        <v/>
      </c>
      <c r="CR35" s="197"/>
      <c r="CS35" s="197"/>
      <c r="CT35" s="328"/>
      <c r="CU35" s="255"/>
      <c r="CV35" s="209"/>
      <c r="CW35" s="227"/>
      <c r="CX35" s="144"/>
      <c r="CY35" s="144"/>
    </row>
    <row r="36" spans="1:103" s="143" customFormat="1" ht="13.35" customHeight="1" outlineLevel="2" x14ac:dyDescent="0.2">
      <c r="A36" s="227"/>
      <c r="B36" s="227"/>
      <c r="C36" s="168"/>
      <c r="D36" s="232"/>
      <c r="E36" s="134" t="s">
        <v>69</v>
      </c>
      <c r="F36" s="424">
        <v>1</v>
      </c>
      <c r="G36" s="428" t="s">
        <v>51</v>
      </c>
      <c r="H36" s="429"/>
      <c r="I36" s="138" t="str">
        <f t="shared" si="29"/>
        <v>x</v>
      </c>
      <c r="J36" s="344" t="str">
        <f t="shared" si="30"/>
        <v/>
      </c>
      <c r="K36" s="345" t="str">
        <f t="shared" si="31"/>
        <v/>
      </c>
      <c r="L36" s="258"/>
      <c r="M36" s="332"/>
      <c r="N36" s="336"/>
      <c r="O36" s="200"/>
      <c r="P36" s="200"/>
      <c r="Q36" s="436">
        <v>70</v>
      </c>
      <c r="R36" s="437">
        <v>20</v>
      </c>
      <c r="S36" s="438">
        <f t="shared" si="32"/>
        <v>10</v>
      </c>
      <c r="T36" s="328"/>
      <c r="U36" s="197">
        <f>IF(AND($I36="x",AND(MAX(Q36:S36)=Q36,Q36&gt;=0)),Data!$BI$2,"")</f>
        <v>65</v>
      </c>
      <c r="V36" s="197" t="str">
        <f>IF(AND($J36="x",AND(MAX(Q36:S36)=R36,R36&gt;=0)),Data!$BJ$2,"")</f>
        <v/>
      </c>
      <c r="W36" s="197" t="str">
        <f>IF(AND($K36="x",AND(MAX(Q36:S36)=S36,S36&gt;=0)),Data!$BK$2,"")</f>
        <v/>
      </c>
      <c r="X36" s="197"/>
      <c r="Y36" s="328"/>
      <c r="Z36" s="451">
        <v>70</v>
      </c>
      <c r="AA36" s="452">
        <v>20</v>
      </c>
      <c r="AB36" s="438">
        <f t="shared" si="33"/>
        <v>10</v>
      </c>
      <c r="AC36" s="328"/>
      <c r="AD36" s="197">
        <f>IF(AND($I36="x",AND(MAX(Z36:AB36)=Z36,Z36&lt;&gt;"")),Data!$BI$2,"")</f>
        <v>65</v>
      </c>
      <c r="AE36" s="197" t="str">
        <f>IF(AND($J36="x",AND(MAX(Z36:AB36)=AA36,AA36&lt;&gt;"")),Data!$BJ$2,"")</f>
        <v/>
      </c>
      <c r="AF36" s="197" t="str">
        <f>IF(AND($K36="x",AND(MAX(Z36:AB36)=AB36,AB36&lt;&gt;"")),Data!$BK$2,"")</f>
        <v/>
      </c>
      <c r="AG36" s="197"/>
      <c r="AH36" s="328"/>
      <c r="AI36" s="451">
        <v>70</v>
      </c>
      <c r="AJ36" s="452">
        <v>20</v>
      </c>
      <c r="AK36" s="438">
        <f t="shared" si="34"/>
        <v>10</v>
      </c>
      <c r="AL36" s="328"/>
      <c r="AM36" s="197">
        <f>IF(AND($I36="x",AND(MAX(AI36:AK36)=AI36,AI36&lt;&gt;"")),Data!$BI$2,"")</f>
        <v>65</v>
      </c>
      <c r="AN36" s="197" t="str">
        <f>IF(AND($J36="x",AND(MAX(AI36:AK36)=AJ36,AJ36&lt;&gt;"")),Data!$BJ$2,"")</f>
        <v/>
      </c>
      <c r="AO36" s="197" t="str">
        <f>IF(AND($K36="x",AND(MAX(AI36:AK36)=AK36,AK36&lt;&gt;"")),Data!$BK$2,"")</f>
        <v/>
      </c>
      <c r="AP36" s="197"/>
      <c r="AQ36" s="328"/>
      <c r="AR36" s="451">
        <v>70</v>
      </c>
      <c r="AS36" s="452">
        <v>20</v>
      </c>
      <c r="AT36" s="438">
        <f t="shared" si="35"/>
        <v>10</v>
      </c>
      <c r="AU36" s="328"/>
      <c r="AV36" s="197">
        <f>IF(AND($I36="x",AND(MAX(AR36:AT36)=AR36,AR36&lt;&gt;"")),Data!$BI$2,"")</f>
        <v>65</v>
      </c>
      <c r="AW36" s="197" t="str">
        <f>IF(AND($J36="x",AND(MAX(AR36:AT36)=AS36,AS36&lt;&gt;"")),Data!$BJ$2,"")</f>
        <v/>
      </c>
      <c r="AX36" s="197" t="str">
        <f>IF(AND($K36="x",AND(MAX(AR36:AT36)=AT36,AT36&lt;&gt;"")),Data!$BK$2,"")</f>
        <v/>
      </c>
      <c r="AY36" s="197"/>
      <c r="AZ36" s="328"/>
      <c r="BA36" s="451">
        <v>70</v>
      </c>
      <c r="BB36" s="452">
        <v>20</v>
      </c>
      <c r="BC36" s="438">
        <f t="shared" si="36"/>
        <v>10</v>
      </c>
      <c r="BD36" s="328"/>
      <c r="BE36" s="197">
        <f>IF(AND($I36="x",AND(MAX(BA36:BC36)=BA36,BA36&lt;&gt;"")),Data!$BI$2,"")</f>
        <v>65</v>
      </c>
      <c r="BF36" s="197" t="str">
        <f>IF(AND($J36="x",AND(MAX(BA36:BC36)=BB36,BB36&lt;&gt;"")),Data!$BJ$2,"")</f>
        <v/>
      </c>
      <c r="BG36" s="197" t="str">
        <f>IF(AND($K36="x",AND(MAX(BA36:BC36)=BC36,BC36&lt;&gt;"")),Data!$BK$2,"")</f>
        <v/>
      </c>
      <c r="BH36" s="197"/>
      <c r="BI36" s="328"/>
      <c r="BJ36" s="451">
        <v>70</v>
      </c>
      <c r="BK36" s="452">
        <v>20</v>
      </c>
      <c r="BL36" s="438">
        <f t="shared" si="37"/>
        <v>10</v>
      </c>
      <c r="BM36" s="328"/>
      <c r="BN36" s="197">
        <f>IF(AND($I36="x",AND(MAX(BJ36:BL36)=BJ36,BJ36&lt;&gt;"")),Data!$BI$2,"")</f>
        <v>65</v>
      </c>
      <c r="BO36" s="197" t="str">
        <f>IF(AND($J36="x",AND(MAX(BJ36:BL36)=BK36,BK36&lt;&gt;"")),Data!$BJ$2,"")</f>
        <v/>
      </c>
      <c r="BP36" s="197" t="str">
        <f>IF(AND($K36="x",AND(MAX(BJ36:BL36)=BL36,BL36&lt;&gt;"")),Data!$BK$2,"")</f>
        <v/>
      </c>
      <c r="BQ36" s="197"/>
      <c r="BR36" s="328"/>
      <c r="BS36" s="451">
        <v>70</v>
      </c>
      <c r="BT36" s="452">
        <v>20</v>
      </c>
      <c r="BU36" s="438">
        <f t="shared" si="38"/>
        <v>10</v>
      </c>
      <c r="BV36" s="328"/>
      <c r="BW36" s="197">
        <f>IF(AND($I36="x",AND(MAX(BS36:BU36)=BS36,BS36&lt;&gt;"")),Data!$BI$2,"")</f>
        <v>65</v>
      </c>
      <c r="BX36" s="197" t="str">
        <f>IF(AND($J36="x",AND(MAX(BS36:BU36)=BT36,BT36&lt;&gt;"")),Data!$BJ$2,"")</f>
        <v/>
      </c>
      <c r="BY36" s="197" t="str">
        <f>IF(AND($K36="x",AND(MAX(BS36:BU36)=BU36,BU36&lt;&gt;"")),Data!$BK$2,"")</f>
        <v/>
      </c>
      <c r="BZ36" s="197"/>
      <c r="CA36" s="328"/>
      <c r="CB36" s="457">
        <f t="shared" si="39"/>
        <v>70</v>
      </c>
      <c r="CC36" s="458">
        <f t="shared" si="40"/>
        <v>20</v>
      </c>
      <c r="CD36" s="459">
        <f t="shared" si="41"/>
        <v>10</v>
      </c>
      <c r="CE36" s="328"/>
      <c r="CF36" s="197">
        <f>IF(AND($I36="x",AND(MAX(CB36:CD36)=CB36,CB36&lt;&gt;"")),Data!$BI$2,"")</f>
        <v>65</v>
      </c>
      <c r="CG36" s="197" t="str">
        <f>IF(AND($J36="x",AND(MAX(CB36:CD36)=CC36,CC36&lt;&gt;"")),Data!$BJ$2,"")</f>
        <v/>
      </c>
      <c r="CH36" s="197" t="str">
        <f>IF(AND($K36="x",AND(MAX(CB36:CD36)=CD36,CD36&lt;&gt;"")),Data!$BK$2,"")</f>
        <v/>
      </c>
      <c r="CI36" s="197"/>
      <c r="CJ36" s="197"/>
      <c r="CK36" s="451">
        <v>70</v>
      </c>
      <c r="CL36" s="452">
        <v>20</v>
      </c>
      <c r="CM36" s="438">
        <f t="shared" si="42"/>
        <v>10</v>
      </c>
      <c r="CN36" s="328"/>
      <c r="CO36" s="197">
        <f>IF(AND($I36="x",AND(MAX(CK36:CM36)=CK36,CK36&lt;&gt;"")),Data!$BI$2,"")</f>
        <v>65</v>
      </c>
      <c r="CP36" s="197" t="str">
        <f>IF(AND($J36="x",AND(MAX(CK36:CM36)=CL36,CL36&lt;&gt;"")),Data!$BJ$2,"")</f>
        <v/>
      </c>
      <c r="CQ36" s="197" t="str">
        <f>IF(AND($K36="x",AND(MAX(CK36:CM36)=CM36,CM36&lt;&gt;"")),Data!$BK$2,"")</f>
        <v/>
      </c>
      <c r="CR36" s="197"/>
      <c r="CS36" s="197"/>
      <c r="CT36" s="328"/>
      <c r="CU36" s="259"/>
      <c r="CV36" s="209"/>
      <c r="CW36" s="227"/>
      <c r="CX36" s="144"/>
      <c r="CY36" s="144"/>
    </row>
    <row r="37" spans="1:103" s="143" customFormat="1" ht="13.35" customHeight="1" outlineLevel="2" x14ac:dyDescent="0.2">
      <c r="A37" s="227"/>
      <c r="B37" s="227"/>
      <c r="C37" s="168"/>
      <c r="D37" s="232"/>
      <c r="E37" s="135" t="s">
        <v>70</v>
      </c>
      <c r="F37" s="425">
        <v>1</v>
      </c>
      <c r="G37" s="430" t="s">
        <v>51</v>
      </c>
      <c r="H37" s="431"/>
      <c r="I37" s="346" t="str">
        <f t="shared" si="29"/>
        <v>x</v>
      </c>
      <c r="J37" s="347" t="str">
        <f t="shared" si="30"/>
        <v/>
      </c>
      <c r="K37" s="348" t="str">
        <f t="shared" si="31"/>
        <v/>
      </c>
      <c r="L37" s="258"/>
      <c r="M37" s="332"/>
      <c r="N37" s="336"/>
      <c r="O37" s="200"/>
      <c r="P37" s="200"/>
      <c r="Q37" s="439">
        <v>70</v>
      </c>
      <c r="R37" s="440">
        <v>20</v>
      </c>
      <c r="S37" s="441">
        <f t="shared" si="32"/>
        <v>10</v>
      </c>
      <c r="T37" s="328"/>
      <c r="U37" s="197">
        <f>IF(AND($I37="x",AND(MAX(Q37:S37)=Q37,Q37&gt;=0)),Data!$BI$2,"")</f>
        <v>65</v>
      </c>
      <c r="V37" s="197" t="str">
        <f>IF(AND($J37="x",AND(MAX(Q37:S37)=R37,R37&gt;=0)),Data!$BJ$2,"")</f>
        <v/>
      </c>
      <c r="W37" s="197" t="str">
        <f>IF(AND($K37="x",AND(MAX(Q37:S37)=S37,S37&gt;=0)),Data!$BK$2,"")</f>
        <v/>
      </c>
      <c r="X37" s="197"/>
      <c r="Y37" s="328"/>
      <c r="Z37" s="453">
        <v>70</v>
      </c>
      <c r="AA37" s="454">
        <v>20</v>
      </c>
      <c r="AB37" s="441">
        <f t="shared" si="33"/>
        <v>10</v>
      </c>
      <c r="AC37" s="328"/>
      <c r="AD37" s="197">
        <f>IF(AND($I37="x",AND(MAX(Z37:AB37)=Z37,Z37&lt;&gt;"")),Data!$BI$2,"")</f>
        <v>65</v>
      </c>
      <c r="AE37" s="197" t="str">
        <f>IF(AND($J37="x",AND(MAX(Z37:AB37)=AA37,AA37&lt;&gt;"")),Data!$BJ$2,"")</f>
        <v/>
      </c>
      <c r="AF37" s="197" t="str">
        <f>IF(AND($K37="x",AND(MAX(Z37:AB37)=AB37,AB37&lt;&gt;"")),Data!$BK$2,"")</f>
        <v/>
      </c>
      <c r="AG37" s="197"/>
      <c r="AH37" s="328"/>
      <c r="AI37" s="453">
        <v>70</v>
      </c>
      <c r="AJ37" s="454">
        <v>20</v>
      </c>
      <c r="AK37" s="441">
        <f t="shared" si="34"/>
        <v>10</v>
      </c>
      <c r="AL37" s="328"/>
      <c r="AM37" s="197">
        <f>IF(AND($I37="x",AND(MAX(AI37:AK37)=AI37,AI37&lt;&gt;"")),Data!$BI$2,"")</f>
        <v>65</v>
      </c>
      <c r="AN37" s="197" t="str">
        <f>IF(AND($J37="x",AND(MAX(AI37:AK37)=AJ37,AJ37&lt;&gt;"")),Data!$BJ$2,"")</f>
        <v/>
      </c>
      <c r="AO37" s="197" t="str">
        <f>IF(AND($K37="x",AND(MAX(AI37:AK37)=AK37,AK37&lt;&gt;"")),Data!$BK$2,"")</f>
        <v/>
      </c>
      <c r="AP37" s="197"/>
      <c r="AQ37" s="328"/>
      <c r="AR37" s="453">
        <v>70</v>
      </c>
      <c r="AS37" s="454">
        <v>20</v>
      </c>
      <c r="AT37" s="441">
        <f t="shared" si="35"/>
        <v>10</v>
      </c>
      <c r="AU37" s="328"/>
      <c r="AV37" s="197">
        <f>IF(AND($I37="x",AND(MAX(AR37:AT37)=AR37,AR37&lt;&gt;"")),Data!$BI$2,"")</f>
        <v>65</v>
      </c>
      <c r="AW37" s="197" t="str">
        <f>IF(AND($J37="x",AND(MAX(AR37:AT37)=AS37,AS37&lt;&gt;"")),Data!$BJ$2,"")</f>
        <v/>
      </c>
      <c r="AX37" s="197" t="str">
        <f>IF(AND($K37="x",AND(MAX(AR37:AT37)=AT37,AT37&lt;&gt;"")),Data!$BK$2,"")</f>
        <v/>
      </c>
      <c r="AY37" s="197"/>
      <c r="AZ37" s="328"/>
      <c r="BA37" s="453">
        <v>70</v>
      </c>
      <c r="BB37" s="454">
        <v>20</v>
      </c>
      <c r="BC37" s="441">
        <f t="shared" si="36"/>
        <v>10</v>
      </c>
      <c r="BD37" s="328"/>
      <c r="BE37" s="197">
        <f>IF(AND($I37="x",AND(MAX(BA37:BC37)=BA37,BA37&lt;&gt;"")),Data!$BI$2,"")</f>
        <v>65</v>
      </c>
      <c r="BF37" s="197" t="str">
        <f>IF(AND($J37="x",AND(MAX(BA37:BC37)=BB37,BB37&lt;&gt;"")),Data!$BJ$2,"")</f>
        <v/>
      </c>
      <c r="BG37" s="197" t="str">
        <f>IF(AND($K37="x",AND(MAX(BA37:BC37)=BC37,BC37&lt;&gt;"")),Data!$BK$2,"")</f>
        <v/>
      </c>
      <c r="BH37" s="197"/>
      <c r="BI37" s="328"/>
      <c r="BJ37" s="453">
        <v>70</v>
      </c>
      <c r="BK37" s="454">
        <v>20</v>
      </c>
      <c r="BL37" s="441">
        <f t="shared" si="37"/>
        <v>10</v>
      </c>
      <c r="BM37" s="328"/>
      <c r="BN37" s="197">
        <f>IF(AND($I37="x",AND(MAX(BJ37:BL37)=BJ37,BJ37&lt;&gt;"")),Data!$BI$2,"")</f>
        <v>65</v>
      </c>
      <c r="BO37" s="197" t="str">
        <f>IF(AND($J37="x",AND(MAX(BJ37:BL37)=BK37,BK37&lt;&gt;"")),Data!$BJ$2,"")</f>
        <v/>
      </c>
      <c r="BP37" s="197" t="str">
        <f>IF(AND($K37="x",AND(MAX(BJ37:BL37)=BL37,BL37&lt;&gt;"")),Data!$BK$2,"")</f>
        <v/>
      </c>
      <c r="BQ37" s="197"/>
      <c r="BR37" s="328"/>
      <c r="BS37" s="453">
        <v>70</v>
      </c>
      <c r="BT37" s="454">
        <v>20</v>
      </c>
      <c r="BU37" s="441">
        <f t="shared" si="38"/>
        <v>10</v>
      </c>
      <c r="BV37" s="328"/>
      <c r="BW37" s="197">
        <f>IF(AND($I37="x",AND(MAX(BS37:BU37)=BS37,BS37&lt;&gt;"")),Data!$BI$2,"")</f>
        <v>65</v>
      </c>
      <c r="BX37" s="197" t="str">
        <f>IF(AND($J37="x",AND(MAX(BS37:BU37)=BT37,BT37&lt;&gt;"")),Data!$BJ$2,"")</f>
        <v/>
      </c>
      <c r="BY37" s="197" t="str">
        <f>IF(AND($K37="x",AND(MAX(BS37:BU37)=BU37,BU37&lt;&gt;"")),Data!$BK$2,"")</f>
        <v/>
      </c>
      <c r="BZ37" s="197"/>
      <c r="CA37" s="328"/>
      <c r="CB37" s="460">
        <f t="shared" si="39"/>
        <v>70</v>
      </c>
      <c r="CC37" s="461">
        <f t="shared" si="40"/>
        <v>20</v>
      </c>
      <c r="CD37" s="462">
        <f t="shared" si="41"/>
        <v>10</v>
      </c>
      <c r="CE37" s="328"/>
      <c r="CF37" s="197">
        <f>IF(AND($I37="x",AND(MAX(CB37:CD37)=CB37,CB37&lt;&gt;"")),Data!$BI$2,"")</f>
        <v>65</v>
      </c>
      <c r="CG37" s="197" t="str">
        <f>IF(AND($J37="x",AND(MAX(CB37:CD37)=CC37,CC37&lt;&gt;"")),Data!$BJ$2,"")</f>
        <v/>
      </c>
      <c r="CH37" s="197" t="str">
        <f>IF(AND($K37="x",AND(MAX(CB37:CD37)=CD37,CD37&lt;&gt;"")),Data!$BK$2,"")</f>
        <v/>
      </c>
      <c r="CI37" s="197"/>
      <c r="CJ37" s="197"/>
      <c r="CK37" s="453">
        <v>70</v>
      </c>
      <c r="CL37" s="454">
        <v>20</v>
      </c>
      <c r="CM37" s="441">
        <f t="shared" si="42"/>
        <v>10</v>
      </c>
      <c r="CN37" s="328"/>
      <c r="CO37" s="197">
        <f>IF(AND($I37="x",AND(MAX(CK37:CM37)=CK37,CK37&lt;&gt;"")),Data!$BI$2,"")</f>
        <v>65</v>
      </c>
      <c r="CP37" s="197" t="str">
        <f>IF(AND($J37="x",AND(MAX(CK37:CM37)=CL37,CL37&lt;&gt;"")),Data!$BJ$2,"")</f>
        <v/>
      </c>
      <c r="CQ37" s="197" t="str">
        <f>IF(AND($K37="x",AND(MAX(CK37:CM37)=CM37,CM37&lt;&gt;"")),Data!$BK$2,"")</f>
        <v/>
      </c>
      <c r="CR37" s="197"/>
      <c r="CS37" s="197"/>
      <c r="CT37" s="328"/>
      <c r="CU37" s="259"/>
      <c r="CV37" s="209"/>
      <c r="CW37" s="227"/>
      <c r="CX37" s="144"/>
      <c r="CY37" s="144"/>
    </row>
    <row r="38" spans="1:103" s="143" customFormat="1" ht="13.35" customHeight="1" outlineLevel="2" x14ac:dyDescent="0.2">
      <c r="A38" s="227"/>
      <c r="B38" s="227"/>
      <c r="C38" s="168"/>
      <c r="D38" s="232"/>
      <c r="E38" s="136" t="s">
        <v>71</v>
      </c>
      <c r="F38" s="426">
        <v>1</v>
      </c>
      <c r="G38" s="432" t="s">
        <v>51</v>
      </c>
      <c r="H38" s="433"/>
      <c r="I38" s="349" t="str">
        <f t="shared" si="29"/>
        <v>x</v>
      </c>
      <c r="J38" s="350" t="str">
        <f t="shared" si="30"/>
        <v/>
      </c>
      <c r="K38" s="351" t="str">
        <f t="shared" si="31"/>
        <v/>
      </c>
      <c r="L38" s="258"/>
      <c r="M38" s="332"/>
      <c r="N38" s="336"/>
      <c r="O38" s="200"/>
      <c r="P38" s="200"/>
      <c r="Q38" s="445">
        <v>70</v>
      </c>
      <c r="R38" s="446">
        <v>20</v>
      </c>
      <c r="S38" s="447">
        <f t="shared" si="32"/>
        <v>10</v>
      </c>
      <c r="T38" s="328"/>
      <c r="U38" s="197">
        <f>IF(AND($I38="x",AND(MAX(Q38:S38)=Q38,Q38&gt;=0)),Data!$BI$2,"")</f>
        <v>65</v>
      </c>
      <c r="V38" s="197" t="str">
        <f>IF(AND($J38="x",AND(MAX(Q38:S38)=R38,R38&gt;=0)),Data!$BJ$2,"")</f>
        <v/>
      </c>
      <c r="W38" s="197" t="str">
        <f>IF(AND($K38="x",AND(MAX(Q38:S38)=S38,S38&gt;=0)),Data!$BK$2,"")</f>
        <v/>
      </c>
      <c r="X38" s="197"/>
      <c r="Y38" s="328"/>
      <c r="Z38" s="455">
        <v>70</v>
      </c>
      <c r="AA38" s="456">
        <v>20</v>
      </c>
      <c r="AB38" s="447">
        <f t="shared" si="33"/>
        <v>10</v>
      </c>
      <c r="AC38" s="328"/>
      <c r="AD38" s="197">
        <f>IF(AND($I38="x",AND(MAX(Z38:AB38)=Z38,Z38&lt;&gt;"")),Data!$BI$2,"")</f>
        <v>65</v>
      </c>
      <c r="AE38" s="197" t="str">
        <f>IF(AND($J38="x",AND(MAX(Z38:AB38)=AA38,AA38&lt;&gt;"")),Data!$BJ$2,"")</f>
        <v/>
      </c>
      <c r="AF38" s="197" t="str">
        <f>IF(AND($K38="x",AND(MAX(Z38:AB38)=AB38,AB38&lt;&gt;"")),Data!$BK$2,"")</f>
        <v/>
      </c>
      <c r="AG38" s="197"/>
      <c r="AH38" s="328"/>
      <c r="AI38" s="455">
        <v>70</v>
      </c>
      <c r="AJ38" s="456">
        <v>20</v>
      </c>
      <c r="AK38" s="447">
        <f t="shared" si="34"/>
        <v>10</v>
      </c>
      <c r="AL38" s="328"/>
      <c r="AM38" s="197">
        <f>IF(AND($I38="x",AND(MAX(AI38:AK38)=AI38,AI38&lt;&gt;"")),Data!$BI$2,"")</f>
        <v>65</v>
      </c>
      <c r="AN38" s="197" t="str">
        <f>IF(AND($J38="x",AND(MAX(AI38:AK38)=AJ38,AJ38&lt;&gt;"")),Data!$BJ$2,"")</f>
        <v/>
      </c>
      <c r="AO38" s="197" t="str">
        <f>IF(AND($K38="x",AND(MAX(AI38:AK38)=AK38,AK38&lt;&gt;"")),Data!$BK$2,"")</f>
        <v/>
      </c>
      <c r="AP38" s="197"/>
      <c r="AQ38" s="328"/>
      <c r="AR38" s="455">
        <v>70</v>
      </c>
      <c r="AS38" s="456">
        <v>20</v>
      </c>
      <c r="AT38" s="447">
        <f t="shared" si="35"/>
        <v>10</v>
      </c>
      <c r="AU38" s="328"/>
      <c r="AV38" s="197">
        <f>IF(AND($I38="x",AND(MAX(AR38:AT38)=AR38,AR38&lt;&gt;"")),Data!$BI$2,"")</f>
        <v>65</v>
      </c>
      <c r="AW38" s="197" t="str">
        <f>IF(AND($J38="x",AND(MAX(AR38:AT38)=AS38,AS38&lt;&gt;"")),Data!$BJ$2,"")</f>
        <v/>
      </c>
      <c r="AX38" s="197" t="str">
        <f>IF(AND($K38="x",AND(MAX(AR38:AT38)=AT38,AT38&lt;&gt;"")),Data!$BK$2,"")</f>
        <v/>
      </c>
      <c r="AY38" s="197"/>
      <c r="AZ38" s="328"/>
      <c r="BA38" s="455">
        <v>70</v>
      </c>
      <c r="BB38" s="456">
        <v>20</v>
      </c>
      <c r="BC38" s="447">
        <f t="shared" si="36"/>
        <v>10</v>
      </c>
      <c r="BD38" s="328"/>
      <c r="BE38" s="197">
        <f>IF(AND($I38="x",AND(MAX(BA38:BC38)=BA38,BA38&lt;&gt;"")),Data!$BI$2,"")</f>
        <v>65</v>
      </c>
      <c r="BF38" s="197" t="str">
        <f>IF(AND($J38="x",AND(MAX(BA38:BC38)=BB38,BB38&lt;&gt;"")),Data!$BJ$2,"")</f>
        <v/>
      </c>
      <c r="BG38" s="197" t="str">
        <f>IF(AND($K38="x",AND(MAX(BA38:BC38)=BC38,BC38&lt;&gt;"")),Data!$BK$2,"")</f>
        <v/>
      </c>
      <c r="BH38" s="197"/>
      <c r="BI38" s="328"/>
      <c r="BJ38" s="455">
        <v>70</v>
      </c>
      <c r="BK38" s="456">
        <v>20</v>
      </c>
      <c r="BL38" s="447">
        <f t="shared" si="37"/>
        <v>10</v>
      </c>
      <c r="BM38" s="328"/>
      <c r="BN38" s="197">
        <f>IF(AND($I38="x",AND(MAX(BJ38:BL38)=BJ38,BJ38&lt;&gt;"")),Data!$BI$2,"")</f>
        <v>65</v>
      </c>
      <c r="BO38" s="197" t="str">
        <f>IF(AND($J38="x",AND(MAX(BJ38:BL38)=BK38,BK38&lt;&gt;"")),Data!$BJ$2,"")</f>
        <v/>
      </c>
      <c r="BP38" s="197" t="str">
        <f>IF(AND($K38="x",AND(MAX(BJ38:BL38)=BL38,BL38&lt;&gt;"")),Data!$BK$2,"")</f>
        <v/>
      </c>
      <c r="BQ38" s="197"/>
      <c r="BR38" s="328"/>
      <c r="BS38" s="455">
        <v>70</v>
      </c>
      <c r="BT38" s="456">
        <v>20</v>
      </c>
      <c r="BU38" s="447">
        <f t="shared" si="38"/>
        <v>10</v>
      </c>
      <c r="BV38" s="328"/>
      <c r="BW38" s="197">
        <f>IF(AND($I38="x",AND(MAX(BS38:BU38)=BS38,BS38&lt;&gt;"")),Data!$BI$2,"")</f>
        <v>65</v>
      </c>
      <c r="BX38" s="197" t="str">
        <f>IF(AND($J38="x",AND(MAX(BS38:BU38)=BT38,BT38&lt;&gt;"")),Data!$BJ$2,"")</f>
        <v/>
      </c>
      <c r="BY38" s="197" t="str">
        <f>IF(AND($K38="x",AND(MAX(BS38:BU38)=BU38,BU38&lt;&gt;"")),Data!$BK$2,"")</f>
        <v/>
      </c>
      <c r="BZ38" s="197"/>
      <c r="CA38" s="328"/>
      <c r="CB38" s="463">
        <f t="shared" si="39"/>
        <v>70</v>
      </c>
      <c r="CC38" s="464">
        <f t="shared" si="40"/>
        <v>20</v>
      </c>
      <c r="CD38" s="465">
        <f t="shared" si="41"/>
        <v>10</v>
      </c>
      <c r="CE38" s="328"/>
      <c r="CF38" s="197">
        <f>IF(AND($I38="x",AND(MAX(CB38:CD38)=CB38,CB38&lt;&gt;"")),Data!$BI$2,"")</f>
        <v>65</v>
      </c>
      <c r="CG38" s="197" t="str">
        <f>IF(AND($J38="x",AND(MAX(CB38:CD38)=CC38,CC38&lt;&gt;"")),Data!$BJ$2,"")</f>
        <v/>
      </c>
      <c r="CH38" s="197" t="str">
        <f>IF(AND($K38="x",AND(MAX(CB38:CD38)=CD38,CD38&lt;&gt;"")),Data!$BK$2,"")</f>
        <v/>
      </c>
      <c r="CI38" s="197"/>
      <c r="CJ38" s="197"/>
      <c r="CK38" s="455">
        <v>70</v>
      </c>
      <c r="CL38" s="456">
        <v>20</v>
      </c>
      <c r="CM38" s="447">
        <f t="shared" si="42"/>
        <v>10</v>
      </c>
      <c r="CN38" s="328"/>
      <c r="CO38" s="197">
        <f>IF(AND($I38="x",AND(MAX(CK38:CM38)=CK38,CK38&lt;&gt;"")),Data!$BI$2,"")</f>
        <v>65</v>
      </c>
      <c r="CP38" s="197" t="str">
        <f>IF(AND($J38="x",AND(MAX(CK38:CM38)=CL38,CL38&lt;&gt;"")),Data!$BJ$2,"")</f>
        <v/>
      </c>
      <c r="CQ38" s="197" t="str">
        <f>IF(AND($K38="x",AND(MAX(CK38:CM38)=CM38,CM38&lt;&gt;"")),Data!$BK$2,"")</f>
        <v/>
      </c>
      <c r="CR38" s="197"/>
      <c r="CS38" s="197"/>
      <c r="CT38" s="328"/>
      <c r="CU38" s="259"/>
      <c r="CV38" s="209"/>
      <c r="CW38" s="227"/>
      <c r="CX38" s="144"/>
      <c r="CY38" s="144"/>
    </row>
    <row r="39" spans="1:103" s="143" customFormat="1" ht="13.35" customHeight="1" outlineLevel="2" x14ac:dyDescent="0.2">
      <c r="A39" s="227"/>
      <c r="B39" s="227"/>
      <c r="C39" s="168"/>
      <c r="D39" s="232"/>
      <c r="E39" s="137" t="s">
        <v>72</v>
      </c>
      <c r="F39" s="427">
        <v>1</v>
      </c>
      <c r="G39" s="434" t="s">
        <v>51</v>
      </c>
      <c r="H39" s="435"/>
      <c r="I39" s="138" t="str">
        <f t="shared" si="29"/>
        <v>x</v>
      </c>
      <c r="J39" s="344" t="str">
        <f t="shared" si="30"/>
        <v/>
      </c>
      <c r="K39" s="345" t="str">
        <f t="shared" si="31"/>
        <v/>
      </c>
      <c r="L39" s="258"/>
      <c r="M39" s="332"/>
      <c r="N39" s="336"/>
      <c r="O39" s="200"/>
      <c r="P39" s="200"/>
      <c r="Q39" s="448">
        <v>70</v>
      </c>
      <c r="R39" s="449">
        <v>20</v>
      </c>
      <c r="S39" s="450">
        <f t="shared" si="32"/>
        <v>10</v>
      </c>
      <c r="T39" s="328"/>
      <c r="U39" s="197">
        <f>IF(AND($I39="x",AND(MAX(Q39:S39)=Q39,Q39&gt;=0)),Data!$BI$2,"")</f>
        <v>65</v>
      </c>
      <c r="V39" s="197" t="str">
        <f>IF(AND($J39="x",AND(MAX(Q39:S39)=R39,R39&gt;=0)),Data!$BJ$2,"")</f>
        <v/>
      </c>
      <c r="W39" s="197" t="str">
        <f>IF(AND($K39="x",AND(MAX(Q39:S39)=S39,S39&gt;=0)),Data!$BK$2,"")</f>
        <v/>
      </c>
      <c r="X39" s="197"/>
      <c r="Y39" s="328"/>
      <c r="Z39" s="451">
        <v>70</v>
      </c>
      <c r="AA39" s="452">
        <v>20</v>
      </c>
      <c r="AB39" s="450">
        <f t="shared" si="33"/>
        <v>10</v>
      </c>
      <c r="AC39" s="328"/>
      <c r="AD39" s="197">
        <f>IF(AND($I39="x",AND(MAX(Z39:AB39)=Z39,Z39&lt;&gt;"")),Data!$BI$2,"")</f>
        <v>65</v>
      </c>
      <c r="AE39" s="197" t="str">
        <f>IF(AND($J39="x",AND(MAX(Z39:AB39)=AA39,AA39&lt;&gt;"")),Data!$BJ$2,"")</f>
        <v/>
      </c>
      <c r="AF39" s="197" t="str">
        <f>IF(AND($K39="x",AND(MAX(Z39:AB39)=AB39,AB39&lt;&gt;"")),Data!$BK$2,"")</f>
        <v/>
      </c>
      <c r="AG39" s="197"/>
      <c r="AH39" s="328"/>
      <c r="AI39" s="451">
        <v>70</v>
      </c>
      <c r="AJ39" s="452">
        <v>20</v>
      </c>
      <c r="AK39" s="450">
        <f t="shared" si="34"/>
        <v>10</v>
      </c>
      <c r="AL39" s="328"/>
      <c r="AM39" s="197">
        <f>IF(AND($I39="x",AND(MAX(AI39:AK39)=AI39,AI39&lt;&gt;"")),Data!$BI$2,"")</f>
        <v>65</v>
      </c>
      <c r="AN39" s="197" t="str">
        <f>IF(AND($J39="x",AND(MAX(AI39:AK39)=AJ39,AJ39&lt;&gt;"")),Data!$BJ$2,"")</f>
        <v/>
      </c>
      <c r="AO39" s="197" t="str">
        <f>IF(AND($K39="x",AND(MAX(AI39:AK39)=AK39,AK39&lt;&gt;"")),Data!$BK$2,"")</f>
        <v/>
      </c>
      <c r="AP39" s="197"/>
      <c r="AQ39" s="328"/>
      <c r="AR39" s="451">
        <v>70</v>
      </c>
      <c r="AS39" s="452">
        <v>20</v>
      </c>
      <c r="AT39" s="450">
        <f t="shared" si="35"/>
        <v>10</v>
      </c>
      <c r="AU39" s="328"/>
      <c r="AV39" s="197">
        <f>IF(AND($I39="x",AND(MAX(AR39:AT39)=AR39,AR39&lt;&gt;"")),Data!$BI$2,"")</f>
        <v>65</v>
      </c>
      <c r="AW39" s="197" t="str">
        <f>IF(AND($J39="x",AND(MAX(AR39:AT39)=AS39,AS39&lt;&gt;"")),Data!$BJ$2,"")</f>
        <v/>
      </c>
      <c r="AX39" s="197" t="str">
        <f>IF(AND($K39="x",AND(MAX(AR39:AT39)=AT39,AT39&lt;&gt;"")),Data!$BK$2,"")</f>
        <v/>
      </c>
      <c r="AY39" s="197"/>
      <c r="AZ39" s="328"/>
      <c r="BA39" s="451">
        <v>70</v>
      </c>
      <c r="BB39" s="452">
        <v>20</v>
      </c>
      <c r="BC39" s="450">
        <f t="shared" si="36"/>
        <v>10</v>
      </c>
      <c r="BD39" s="328"/>
      <c r="BE39" s="197">
        <f>IF(AND($I39="x",AND(MAX(BA39:BC39)=BA39,BA39&lt;&gt;"")),Data!$BI$2,"")</f>
        <v>65</v>
      </c>
      <c r="BF39" s="197" t="str">
        <f>IF(AND($J39="x",AND(MAX(BA39:BC39)=BB39,BB39&lt;&gt;"")),Data!$BJ$2,"")</f>
        <v/>
      </c>
      <c r="BG39" s="197" t="str">
        <f>IF(AND($K39="x",AND(MAX(BA39:BC39)=BC39,BC39&lt;&gt;"")),Data!$BK$2,"")</f>
        <v/>
      </c>
      <c r="BH39" s="197"/>
      <c r="BI39" s="328"/>
      <c r="BJ39" s="451">
        <v>70</v>
      </c>
      <c r="BK39" s="452">
        <v>20</v>
      </c>
      <c r="BL39" s="450">
        <f t="shared" si="37"/>
        <v>10</v>
      </c>
      <c r="BM39" s="328"/>
      <c r="BN39" s="197">
        <f>IF(AND($I39="x",AND(MAX(BJ39:BL39)=BJ39,BJ39&lt;&gt;"")),Data!$BI$2,"")</f>
        <v>65</v>
      </c>
      <c r="BO39" s="197" t="str">
        <f>IF(AND($J39="x",AND(MAX(BJ39:BL39)=BK39,BK39&lt;&gt;"")),Data!$BJ$2,"")</f>
        <v/>
      </c>
      <c r="BP39" s="197" t="str">
        <f>IF(AND($K39="x",AND(MAX(BJ39:BL39)=BL39,BL39&lt;&gt;"")),Data!$BK$2,"")</f>
        <v/>
      </c>
      <c r="BQ39" s="197"/>
      <c r="BR39" s="328"/>
      <c r="BS39" s="451">
        <v>70</v>
      </c>
      <c r="BT39" s="452">
        <v>20</v>
      </c>
      <c r="BU39" s="450">
        <f t="shared" si="38"/>
        <v>10</v>
      </c>
      <c r="BV39" s="328"/>
      <c r="BW39" s="197">
        <f>IF(AND($I39="x",AND(MAX(BS39:BU39)=BS39,BS39&lt;&gt;"")),Data!$BI$2,"")</f>
        <v>65</v>
      </c>
      <c r="BX39" s="197" t="str">
        <f>IF(AND($J39="x",AND(MAX(BS39:BU39)=BT39,BT39&lt;&gt;"")),Data!$BJ$2,"")</f>
        <v/>
      </c>
      <c r="BY39" s="197" t="str">
        <f>IF(AND($K39="x",AND(MAX(BS39:BU39)=BU39,BU39&lt;&gt;"")),Data!$BK$2,"")</f>
        <v/>
      </c>
      <c r="BZ39" s="197"/>
      <c r="CA39" s="328"/>
      <c r="CB39" s="457">
        <f t="shared" si="39"/>
        <v>70</v>
      </c>
      <c r="CC39" s="458">
        <f t="shared" si="40"/>
        <v>20</v>
      </c>
      <c r="CD39" s="459">
        <f t="shared" si="41"/>
        <v>10</v>
      </c>
      <c r="CE39" s="328"/>
      <c r="CF39" s="197">
        <f>IF(AND($I39="x",AND(MAX(CB39:CD39)=CB39,CB39&lt;&gt;"")),Data!$BI$2,"")</f>
        <v>65</v>
      </c>
      <c r="CG39" s="197" t="str">
        <f>IF(AND($J39="x",AND(MAX(CB39:CD39)=CC39,CC39&lt;&gt;"")),Data!$BJ$2,"")</f>
        <v/>
      </c>
      <c r="CH39" s="197" t="str">
        <f>IF(AND($K39="x",AND(MAX(CB39:CD39)=CD39,CD39&lt;&gt;"")),Data!$BK$2,"")</f>
        <v/>
      </c>
      <c r="CI39" s="197"/>
      <c r="CJ39" s="197"/>
      <c r="CK39" s="451">
        <v>70</v>
      </c>
      <c r="CL39" s="452">
        <v>20</v>
      </c>
      <c r="CM39" s="450">
        <f t="shared" si="42"/>
        <v>10</v>
      </c>
      <c r="CN39" s="328"/>
      <c r="CO39" s="197">
        <f>IF(AND($I39="x",AND(MAX(CK39:CM39)=CK39,CK39&lt;&gt;"")),Data!$BI$2,"")</f>
        <v>65</v>
      </c>
      <c r="CP39" s="197" t="str">
        <f>IF(AND($J39="x",AND(MAX(CK39:CM39)=CL39,CL39&lt;&gt;"")),Data!$BJ$2,"")</f>
        <v/>
      </c>
      <c r="CQ39" s="197" t="str">
        <f>IF(AND($K39="x",AND(MAX(CK39:CM39)=CM39,CM39&lt;&gt;"")),Data!$BK$2,"")</f>
        <v/>
      </c>
      <c r="CR39" s="197"/>
      <c r="CS39" s="197"/>
      <c r="CT39" s="328"/>
      <c r="CU39" s="259"/>
      <c r="CV39" s="209"/>
      <c r="CW39" s="227"/>
      <c r="CX39" s="144"/>
      <c r="CY39" s="144"/>
    </row>
    <row r="40" spans="1:103" s="143" customFormat="1" ht="13.35" customHeight="1" outlineLevel="2" x14ac:dyDescent="0.2">
      <c r="A40" s="227"/>
      <c r="B40" s="227"/>
      <c r="C40" s="168"/>
      <c r="D40" s="232"/>
      <c r="E40" s="135" t="s">
        <v>73</v>
      </c>
      <c r="F40" s="425">
        <v>1</v>
      </c>
      <c r="G40" s="430" t="s">
        <v>51</v>
      </c>
      <c r="H40" s="431"/>
      <c r="I40" s="346" t="str">
        <f t="shared" si="29"/>
        <v>x</v>
      </c>
      <c r="J40" s="347" t="str">
        <f t="shared" si="30"/>
        <v/>
      </c>
      <c r="K40" s="348" t="str">
        <f t="shared" si="31"/>
        <v/>
      </c>
      <c r="L40" s="258"/>
      <c r="M40" s="332"/>
      <c r="N40" s="336"/>
      <c r="O40" s="200"/>
      <c r="P40" s="200"/>
      <c r="Q40" s="439">
        <v>70</v>
      </c>
      <c r="R40" s="440">
        <v>20</v>
      </c>
      <c r="S40" s="441">
        <f t="shared" si="32"/>
        <v>10</v>
      </c>
      <c r="T40" s="328"/>
      <c r="U40" s="197">
        <f>IF(AND($I40="x",AND(MAX(Q40:S40)=Q40,Q40&gt;=0)),Data!$BI$2,"")</f>
        <v>65</v>
      </c>
      <c r="V40" s="197" t="str">
        <f>IF(AND($J40="x",AND(MAX(Q40:S40)=R40,R40&gt;=0)),Data!$BJ$2,"")</f>
        <v/>
      </c>
      <c r="W40" s="197" t="str">
        <f>IF(AND($K40="x",AND(MAX(Q40:S40)=S40,S40&gt;=0)),Data!$BK$2,"")</f>
        <v/>
      </c>
      <c r="X40" s="197"/>
      <c r="Y40" s="328"/>
      <c r="Z40" s="453">
        <v>70</v>
      </c>
      <c r="AA40" s="454">
        <v>20</v>
      </c>
      <c r="AB40" s="441">
        <f t="shared" si="33"/>
        <v>10</v>
      </c>
      <c r="AC40" s="328"/>
      <c r="AD40" s="197">
        <f>IF(AND($I40="x",AND(MAX(Z40:AB40)=Z40,Z40&lt;&gt;"")),Data!$BI$2,"")</f>
        <v>65</v>
      </c>
      <c r="AE40" s="197" t="str">
        <f>IF(AND($J40="x",AND(MAX(Z40:AB40)=AA40,AA40&lt;&gt;"")),Data!$BJ$2,"")</f>
        <v/>
      </c>
      <c r="AF40" s="197" t="str">
        <f>IF(AND($K40="x",AND(MAX(Z40:AB40)=AB40,AB40&lt;&gt;"")),Data!$BK$2,"")</f>
        <v/>
      </c>
      <c r="AG40" s="197"/>
      <c r="AH40" s="328"/>
      <c r="AI40" s="453">
        <v>70</v>
      </c>
      <c r="AJ40" s="454">
        <v>20</v>
      </c>
      <c r="AK40" s="441">
        <f t="shared" si="34"/>
        <v>10</v>
      </c>
      <c r="AL40" s="328"/>
      <c r="AM40" s="197">
        <f>IF(AND($I40="x",AND(MAX(AI40:AK40)=AI40,AI40&lt;&gt;"")),Data!$BI$2,"")</f>
        <v>65</v>
      </c>
      <c r="AN40" s="197" t="str">
        <f>IF(AND($J40="x",AND(MAX(AI40:AK40)=AJ40,AJ40&lt;&gt;"")),Data!$BJ$2,"")</f>
        <v/>
      </c>
      <c r="AO40" s="197" t="str">
        <f>IF(AND($K40="x",AND(MAX(AI40:AK40)=AK40,AK40&lt;&gt;"")),Data!$BK$2,"")</f>
        <v/>
      </c>
      <c r="AP40" s="197"/>
      <c r="AQ40" s="328"/>
      <c r="AR40" s="453">
        <v>70</v>
      </c>
      <c r="AS40" s="454">
        <v>20</v>
      </c>
      <c r="AT40" s="441">
        <f t="shared" si="35"/>
        <v>10</v>
      </c>
      <c r="AU40" s="328"/>
      <c r="AV40" s="197">
        <f>IF(AND($I40="x",AND(MAX(AR40:AT40)=AR40,AR40&lt;&gt;"")),Data!$BI$2,"")</f>
        <v>65</v>
      </c>
      <c r="AW40" s="197" t="str">
        <f>IF(AND($J40="x",AND(MAX(AR40:AT40)=AS40,AS40&lt;&gt;"")),Data!$BJ$2,"")</f>
        <v/>
      </c>
      <c r="AX40" s="197" t="str">
        <f>IF(AND($K40="x",AND(MAX(AR40:AT40)=AT40,AT40&lt;&gt;"")),Data!$BK$2,"")</f>
        <v/>
      </c>
      <c r="AY40" s="197"/>
      <c r="AZ40" s="328"/>
      <c r="BA40" s="453">
        <v>70</v>
      </c>
      <c r="BB40" s="454">
        <v>20</v>
      </c>
      <c r="BC40" s="441">
        <f t="shared" si="36"/>
        <v>10</v>
      </c>
      <c r="BD40" s="328"/>
      <c r="BE40" s="197">
        <f>IF(AND($I40="x",AND(MAX(BA40:BC40)=BA40,BA40&lt;&gt;"")),Data!$BI$2,"")</f>
        <v>65</v>
      </c>
      <c r="BF40" s="197" t="str">
        <f>IF(AND($J40="x",AND(MAX(BA40:BC40)=BB40,BB40&lt;&gt;"")),Data!$BJ$2,"")</f>
        <v/>
      </c>
      <c r="BG40" s="197" t="str">
        <f>IF(AND($K40="x",AND(MAX(BA40:BC40)=BC40,BC40&lt;&gt;"")),Data!$BK$2,"")</f>
        <v/>
      </c>
      <c r="BH40" s="197"/>
      <c r="BI40" s="328"/>
      <c r="BJ40" s="453">
        <v>70</v>
      </c>
      <c r="BK40" s="454">
        <v>20</v>
      </c>
      <c r="BL40" s="441">
        <f t="shared" si="37"/>
        <v>10</v>
      </c>
      <c r="BM40" s="328"/>
      <c r="BN40" s="197">
        <f>IF(AND($I40="x",AND(MAX(BJ40:BL40)=BJ40,BJ40&lt;&gt;"")),Data!$BI$2,"")</f>
        <v>65</v>
      </c>
      <c r="BO40" s="197" t="str">
        <f>IF(AND($J40="x",AND(MAX(BJ40:BL40)=BK40,BK40&lt;&gt;"")),Data!$BJ$2,"")</f>
        <v/>
      </c>
      <c r="BP40" s="197" t="str">
        <f>IF(AND($K40="x",AND(MAX(BJ40:BL40)=BL40,BL40&lt;&gt;"")),Data!$BK$2,"")</f>
        <v/>
      </c>
      <c r="BQ40" s="197"/>
      <c r="BR40" s="328"/>
      <c r="BS40" s="453">
        <v>70</v>
      </c>
      <c r="BT40" s="454">
        <v>20</v>
      </c>
      <c r="BU40" s="441">
        <f t="shared" si="38"/>
        <v>10</v>
      </c>
      <c r="BV40" s="328"/>
      <c r="BW40" s="197">
        <f>IF(AND($I40="x",AND(MAX(BS40:BU40)=BS40,BS40&lt;&gt;"")),Data!$BI$2,"")</f>
        <v>65</v>
      </c>
      <c r="BX40" s="197" t="str">
        <f>IF(AND($J40="x",AND(MAX(BS40:BU40)=BT40,BT40&lt;&gt;"")),Data!$BJ$2,"")</f>
        <v/>
      </c>
      <c r="BY40" s="197" t="str">
        <f>IF(AND($K40="x",AND(MAX(BS40:BU40)=BU40,BU40&lt;&gt;"")),Data!$BK$2,"")</f>
        <v/>
      </c>
      <c r="BZ40" s="197"/>
      <c r="CA40" s="328"/>
      <c r="CB40" s="460">
        <f t="shared" si="39"/>
        <v>70</v>
      </c>
      <c r="CC40" s="461">
        <f t="shared" si="40"/>
        <v>20</v>
      </c>
      <c r="CD40" s="462">
        <f t="shared" si="41"/>
        <v>10</v>
      </c>
      <c r="CE40" s="328"/>
      <c r="CF40" s="197">
        <f>IF(AND($I40="x",AND(MAX(CB40:CD40)=CB40,CB40&lt;&gt;"")),Data!$BI$2,"")</f>
        <v>65</v>
      </c>
      <c r="CG40" s="197" t="str">
        <f>IF(AND($J40="x",AND(MAX(CB40:CD40)=CC40,CC40&lt;&gt;"")),Data!$BJ$2,"")</f>
        <v/>
      </c>
      <c r="CH40" s="197" t="str">
        <f>IF(AND($K40="x",AND(MAX(CB40:CD40)=CD40,CD40&lt;&gt;"")),Data!$BK$2,"")</f>
        <v/>
      </c>
      <c r="CI40" s="197"/>
      <c r="CJ40" s="197"/>
      <c r="CK40" s="453">
        <v>70</v>
      </c>
      <c r="CL40" s="454">
        <v>20</v>
      </c>
      <c r="CM40" s="441">
        <f t="shared" si="42"/>
        <v>10</v>
      </c>
      <c r="CN40" s="328"/>
      <c r="CO40" s="197">
        <f>IF(AND($I40="x",AND(MAX(CK40:CM40)=CK40,CK40&lt;&gt;"")),Data!$BI$2,"")</f>
        <v>65</v>
      </c>
      <c r="CP40" s="197" t="str">
        <f>IF(AND($J40="x",AND(MAX(CK40:CM40)=CL40,CL40&lt;&gt;"")),Data!$BJ$2,"")</f>
        <v/>
      </c>
      <c r="CQ40" s="197" t="str">
        <f>IF(AND($K40="x",AND(MAX(CK40:CM40)=CM40,CM40&lt;&gt;"")),Data!$BK$2,"")</f>
        <v/>
      </c>
      <c r="CR40" s="197"/>
      <c r="CS40" s="197"/>
      <c r="CT40" s="328"/>
      <c r="CU40" s="259"/>
      <c r="CV40" s="209"/>
      <c r="CW40" s="227"/>
      <c r="CX40" s="144"/>
      <c r="CY40" s="144"/>
    </row>
    <row r="41" spans="1:103" s="143" customFormat="1" ht="13.35" customHeight="1" outlineLevel="2" x14ac:dyDescent="0.2">
      <c r="A41" s="227"/>
      <c r="B41" s="227"/>
      <c r="C41" s="168"/>
      <c r="D41" s="232"/>
      <c r="E41" s="136" t="s">
        <v>74</v>
      </c>
      <c r="F41" s="426">
        <v>1</v>
      </c>
      <c r="G41" s="432" t="s">
        <v>51</v>
      </c>
      <c r="H41" s="433"/>
      <c r="I41" s="349" t="str">
        <f t="shared" si="29"/>
        <v>x</v>
      </c>
      <c r="J41" s="350" t="str">
        <f t="shared" si="30"/>
        <v/>
      </c>
      <c r="K41" s="351" t="str">
        <f t="shared" si="31"/>
        <v/>
      </c>
      <c r="L41" s="258"/>
      <c r="M41" s="332"/>
      <c r="N41" s="336"/>
      <c r="O41" s="200"/>
      <c r="P41" s="200"/>
      <c r="Q41" s="445">
        <v>70</v>
      </c>
      <c r="R41" s="446">
        <v>20</v>
      </c>
      <c r="S41" s="447">
        <f t="shared" si="32"/>
        <v>10</v>
      </c>
      <c r="T41" s="328"/>
      <c r="U41" s="197">
        <f>IF(AND($I41="x",AND(MAX(Q41:S41)=Q41,Q41&gt;=0)),Data!$BI$2,"")</f>
        <v>65</v>
      </c>
      <c r="V41" s="197" t="str">
        <f>IF(AND($J41="x",AND(MAX(Q41:S41)=R41,R41&gt;=0)),Data!$BJ$2,"")</f>
        <v/>
      </c>
      <c r="W41" s="197" t="str">
        <f>IF(AND($K41="x",AND(MAX(Q41:S41)=S41,S41&gt;=0)),Data!$BK$2,"")</f>
        <v/>
      </c>
      <c r="X41" s="197"/>
      <c r="Y41" s="328"/>
      <c r="Z41" s="455">
        <v>70</v>
      </c>
      <c r="AA41" s="456">
        <v>20</v>
      </c>
      <c r="AB41" s="447">
        <f t="shared" si="33"/>
        <v>10</v>
      </c>
      <c r="AC41" s="328"/>
      <c r="AD41" s="197">
        <f>IF(AND($I41="x",AND(MAX(Z41:AB41)=Z41,Z41&lt;&gt;"")),Data!$BI$2,"")</f>
        <v>65</v>
      </c>
      <c r="AE41" s="197" t="str">
        <f>IF(AND($J41="x",AND(MAX(Z41:AB41)=AA41,AA41&lt;&gt;"")),Data!$BJ$2,"")</f>
        <v/>
      </c>
      <c r="AF41" s="197" t="str">
        <f>IF(AND($K41="x",AND(MAX(Z41:AB41)=AB41,AB41&lt;&gt;"")),Data!$BK$2,"")</f>
        <v/>
      </c>
      <c r="AG41" s="197"/>
      <c r="AH41" s="328"/>
      <c r="AI41" s="455">
        <v>70</v>
      </c>
      <c r="AJ41" s="456">
        <v>20</v>
      </c>
      <c r="AK41" s="447">
        <f t="shared" si="34"/>
        <v>10</v>
      </c>
      <c r="AL41" s="328"/>
      <c r="AM41" s="197">
        <f>IF(AND($I41="x",AND(MAX(AI41:AK41)=AI41,AI41&lt;&gt;"")),Data!$BI$2,"")</f>
        <v>65</v>
      </c>
      <c r="AN41" s="197" t="str">
        <f>IF(AND($J41="x",AND(MAX(AI41:AK41)=AJ41,AJ41&lt;&gt;"")),Data!$BJ$2,"")</f>
        <v/>
      </c>
      <c r="AO41" s="197" t="str">
        <f>IF(AND($K41="x",AND(MAX(AI41:AK41)=AK41,AK41&lt;&gt;"")),Data!$BK$2,"")</f>
        <v/>
      </c>
      <c r="AP41" s="197"/>
      <c r="AQ41" s="328"/>
      <c r="AR41" s="455">
        <v>70</v>
      </c>
      <c r="AS41" s="456">
        <v>20</v>
      </c>
      <c r="AT41" s="447">
        <f t="shared" si="35"/>
        <v>10</v>
      </c>
      <c r="AU41" s="328"/>
      <c r="AV41" s="197">
        <f>IF(AND($I41="x",AND(MAX(AR41:AT41)=AR41,AR41&lt;&gt;"")),Data!$BI$2,"")</f>
        <v>65</v>
      </c>
      <c r="AW41" s="197" t="str">
        <f>IF(AND($J41="x",AND(MAX(AR41:AT41)=AS41,AS41&lt;&gt;"")),Data!$BJ$2,"")</f>
        <v/>
      </c>
      <c r="AX41" s="197" t="str">
        <f>IF(AND($K41="x",AND(MAX(AR41:AT41)=AT41,AT41&lt;&gt;"")),Data!$BK$2,"")</f>
        <v/>
      </c>
      <c r="AY41" s="197"/>
      <c r="AZ41" s="328"/>
      <c r="BA41" s="455">
        <v>70</v>
      </c>
      <c r="BB41" s="456">
        <v>20</v>
      </c>
      <c r="BC41" s="447">
        <f t="shared" si="36"/>
        <v>10</v>
      </c>
      <c r="BD41" s="328"/>
      <c r="BE41" s="197">
        <f>IF(AND($I41="x",AND(MAX(BA41:BC41)=BA41,BA41&lt;&gt;"")),Data!$BI$2,"")</f>
        <v>65</v>
      </c>
      <c r="BF41" s="197" t="str">
        <f>IF(AND($J41="x",AND(MAX(BA41:BC41)=BB41,BB41&lt;&gt;"")),Data!$BJ$2,"")</f>
        <v/>
      </c>
      <c r="BG41" s="197" t="str">
        <f>IF(AND($K41="x",AND(MAX(BA41:BC41)=BC41,BC41&lt;&gt;"")),Data!$BK$2,"")</f>
        <v/>
      </c>
      <c r="BH41" s="197"/>
      <c r="BI41" s="328"/>
      <c r="BJ41" s="455">
        <v>70</v>
      </c>
      <c r="BK41" s="456">
        <v>20</v>
      </c>
      <c r="BL41" s="447">
        <f t="shared" si="37"/>
        <v>10</v>
      </c>
      <c r="BM41" s="328"/>
      <c r="BN41" s="197">
        <f>IF(AND($I41="x",AND(MAX(BJ41:BL41)=BJ41,BJ41&lt;&gt;"")),Data!$BI$2,"")</f>
        <v>65</v>
      </c>
      <c r="BO41" s="197" t="str">
        <f>IF(AND($J41="x",AND(MAX(BJ41:BL41)=BK41,BK41&lt;&gt;"")),Data!$BJ$2,"")</f>
        <v/>
      </c>
      <c r="BP41" s="197" t="str">
        <f>IF(AND($K41="x",AND(MAX(BJ41:BL41)=BL41,BL41&lt;&gt;"")),Data!$BK$2,"")</f>
        <v/>
      </c>
      <c r="BQ41" s="197"/>
      <c r="BR41" s="328"/>
      <c r="BS41" s="455">
        <v>70</v>
      </c>
      <c r="BT41" s="456">
        <v>20</v>
      </c>
      <c r="BU41" s="447">
        <f t="shared" si="38"/>
        <v>10</v>
      </c>
      <c r="BV41" s="328"/>
      <c r="BW41" s="197">
        <f>IF(AND($I41="x",AND(MAX(BS41:BU41)=BS41,BS41&lt;&gt;"")),Data!$BI$2,"")</f>
        <v>65</v>
      </c>
      <c r="BX41" s="197" t="str">
        <f>IF(AND($J41="x",AND(MAX(BS41:BU41)=BT41,BT41&lt;&gt;"")),Data!$BJ$2,"")</f>
        <v/>
      </c>
      <c r="BY41" s="197" t="str">
        <f>IF(AND($K41="x",AND(MAX(BS41:BU41)=BU41,BU41&lt;&gt;"")),Data!$BK$2,"")</f>
        <v/>
      </c>
      <c r="BZ41" s="197"/>
      <c r="CA41" s="328"/>
      <c r="CB41" s="463">
        <f t="shared" si="39"/>
        <v>70</v>
      </c>
      <c r="CC41" s="464">
        <f t="shared" si="40"/>
        <v>20</v>
      </c>
      <c r="CD41" s="465">
        <f t="shared" si="41"/>
        <v>10</v>
      </c>
      <c r="CE41" s="328"/>
      <c r="CF41" s="197">
        <f>IF(AND($I41="x",AND(MAX(CB41:CD41)=CB41,CB41&lt;&gt;"")),Data!$BI$2,"")</f>
        <v>65</v>
      </c>
      <c r="CG41" s="197" t="str">
        <f>IF(AND($J41="x",AND(MAX(CB41:CD41)=CC41,CC41&lt;&gt;"")),Data!$BJ$2,"")</f>
        <v/>
      </c>
      <c r="CH41" s="197" t="str">
        <f>IF(AND($K41="x",AND(MAX(CB41:CD41)=CD41,CD41&lt;&gt;"")),Data!$BK$2,"")</f>
        <v/>
      </c>
      <c r="CI41" s="197"/>
      <c r="CJ41" s="197"/>
      <c r="CK41" s="455">
        <v>70</v>
      </c>
      <c r="CL41" s="456">
        <v>20</v>
      </c>
      <c r="CM41" s="447">
        <f t="shared" si="42"/>
        <v>10</v>
      </c>
      <c r="CN41" s="328"/>
      <c r="CO41" s="197">
        <f>IF(AND($I41="x",AND(MAX(CK41:CM41)=CK41,CK41&lt;&gt;"")),Data!$BI$2,"")</f>
        <v>65</v>
      </c>
      <c r="CP41" s="197" t="str">
        <f>IF(AND($J41="x",AND(MAX(CK41:CM41)=CL41,CL41&lt;&gt;"")),Data!$BJ$2,"")</f>
        <v/>
      </c>
      <c r="CQ41" s="197" t="str">
        <f>IF(AND($K41="x",AND(MAX(CK41:CM41)=CM41,CM41&lt;&gt;"")),Data!$BK$2,"")</f>
        <v/>
      </c>
      <c r="CR41" s="197"/>
      <c r="CS41" s="197"/>
      <c r="CT41" s="328"/>
      <c r="CU41" s="259"/>
      <c r="CV41" s="209"/>
      <c r="CW41" s="227"/>
      <c r="CX41" s="145"/>
      <c r="CY41" s="144"/>
    </row>
    <row r="42" spans="1:103" s="142" customFormat="1" ht="13.35" customHeight="1" outlineLevel="1" x14ac:dyDescent="0.2">
      <c r="A42" s="227"/>
      <c r="B42" s="227"/>
      <c r="C42" s="168"/>
      <c r="D42" s="233"/>
      <c r="E42" s="199"/>
      <c r="F42" s="352">
        <f>IF(SUM(F30:F41)=0,"",SUM(F30:F41))</f>
        <v>12</v>
      </c>
      <c r="G42" s="327" t="s">
        <v>51</v>
      </c>
      <c r="H42" s="353" t="str">
        <f>IF(SUM(H30:H41)=0,"",SUM(H30:H41))</f>
        <v/>
      </c>
      <c r="I42" s="354">
        <f>IF(COUNTIF(I30:I41,"=x")=0,"",COUNTIF(I30:I41,"=x"))</f>
        <v>12</v>
      </c>
      <c r="J42" s="355" t="str">
        <f>IF(COUNTIF(J30:J41,"=x")=0,"",COUNTIF(J30:J41,"=x"))</f>
        <v/>
      </c>
      <c r="K42" s="356" t="str">
        <f>IF(COUNTIF(K30:K41,"=x")=0,"",COUNTIF(K30:K41,"=x"))</f>
        <v/>
      </c>
      <c r="L42" s="258"/>
      <c r="M42" s="332"/>
      <c r="N42" s="336"/>
      <c r="O42" s="200"/>
      <c r="P42" s="326"/>
      <c r="Q42" s="422">
        <f>SUM(U30:U41)</f>
        <v>780</v>
      </c>
      <c r="R42" s="422">
        <f t="shared" ref="R42:S42" si="43">SUM(V30:V41)</f>
        <v>0</v>
      </c>
      <c r="S42" s="422">
        <f t="shared" si="43"/>
        <v>0</v>
      </c>
      <c r="T42" s="325"/>
      <c r="U42" s="197">
        <f>SUM(U30:U41)</f>
        <v>780</v>
      </c>
      <c r="V42" s="197">
        <f t="shared" ref="V42:W42" si="44">SUM(V30:V41)</f>
        <v>0</v>
      </c>
      <c r="W42" s="197">
        <f t="shared" si="44"/>
        <v>0</v>
      </c>
      <c r="X42" s="197"/>
      <c r="Y42" s="324"/>
      <c r="Z42" s="422">
        <f>SUM(AD30:AD41)</f>
        <v>780</v>
      </c>
      <c r="AA42" s="422">
        <f t="shared" ref="AA42:AB42" si="45">SUM(AE30:AE41)</f>
        <v>0</v>
      </c>
      <c r="AB42" s="422">
        <f t="shared" si="45"/>
        <v>0</v>
      </c>
      <c r="AC42" s="325"/>
      <c r="AD42" s="197">
        <f>SUM(AD30:AD41)</f>
        <v>780</v>
      </c>
      <c r="AE42" s="197">
        <f t="shared" ref="AE42:AF42" si="46">SUM(AE30:AE41)</f>
        <v>0</v>
      </c>
      <c r="AF42" s="197">
        <f t="shared" si="46"/>
        <v>0</v>
      </c>
      <c r="AG42" s="197"/>
      <c r="AH42" s="324"/>
      <c r="AI42" s="422">
        <f>SUM(AM30:AM41)</f>
        <v>780</v>
      </c>
      <c r="AJ42" s="422">
        <f t="shared" ref="AJ42:AK42" si="47">SUM(AN30:AN41)</f>
        <v>0</v>
      </c>
      <c r="AK42" s="422">
        <f t="shared" si="47"/>
        <v>0</v>
      </c>
      <c r="AL42" s="325"/>
      <c r="AM42" s="197">
        <f>SUM(AM30:AM41)</f>
        <v>780</v>
      </c>
      <c r="AN42" s="197">
        <f t="shared" ref="AN42:AO42" si="48">SUM(AN30:AN41)</f>
        <v>0</v>
      </c>
      <c r="AO42" s="197">
        <f t="shared" si="48"/>
        <v>0</v>
      </c>
      <c r="AP42" s="197"/>
      <c r="AQ42" s="324"/>
      <c r="AR42" s="422">
        <f>SUM(AV30:AV41)</f>
        <v>780</v>
      </c>
      <c r="AS42" s="422">
        <f t="shared" ref="AS42:AT42" si="49">SUM(AW30:AW41)</f>
        <v>0</v>
      </c>
      <c r="AT42" s="422">
        <f t="shared" si="49"/>
        <v>0</v>
      </c>
      <c r="AU42" s="325"/>
      <c r="AV42" s="197">
        <f>SUM(AV30:AV41)</f>
        <v>780</v>
      </c>
      <c r="AW42" s="197">
        <f t="shared" ref="AW42:AX42" si="50">SUM(AW30:AW41)</f>
        <v>0</v>
      </c>
      <c r="AX42" s="197">
        <f t="shared" si="50"/>
        <v>0</v>
      </c>
      <c r="AY42" s="197"/>
      <c r="AZ42" s="324"/>
      <c r="BA42" s="422">
        <f>SUM(BE30:BE41)</f>
        <v>780</v>
      </c>
      <c r="BB42" s="422">
        <f t="shared" ref="BB42:BC42" si="51">SUM(BF30:BF41)</f>
        <v>0</v>
      </c>
      <c r="BC42" s="422">
        <f t="shared" si="51"/>
        <v>0</v>
      </c>
      <c r="BD42" s="325"/>
      <c r="BE42" s="197">
        <f>SUM(BE30:BE41)</f>
        <v>780</v>
      </c>
      <c r="BF42" s="197">
        <f t="shared" ref="BF42:BG42" si="52">SUM(BF30:BF41)</f>
        <v>0</v>
      </c>
      <c r="BG42" s="197">
        <f t="shared" si="52"/>
        <v>0</v>
      </c>
      <c r="BH42" s="197"/>
      <c r="BI42" s="324"/>
      <c r="BJ42" s="422">
        <f>SUM(BN30:BN41)</f>
        <v>780</v>
      </c>
      <c r="BK42" s="422">
        <f t="shared" ref="BK42" si="53">SUM(BO30:BO41)</f>
        <v>0</v>
      </c>
      <c r="BL42" s="422">
        <f t="shared" ref="BL42" si="54">SUM(BP30:BP41)</f>
        <v>0</v>
      </c>
      <c r="BM42" s="325"/>
      <c r="BN42" s="197">
        <f>SUM(BN30:BN41)</f>
        <v>780</v>
      </c>
      <c r="BO42" s="197">
        <f t="shared" ref="BO42:BP42" si="55">SUM(BO30:BO41)</f>
        <v>0</v>
      </c>
      <c r="BP42" s="197">
        <f t="shared" si="55"/>
        <v>0</v>
      </c>
      <c r="BQ42" s="197"/>
      <c r="BR42" s="324"/>
      <c r="BS42" s="422">
        <f>SUM(BW30:BW41)</f>
        <v>780</v>
      </c>
      <c r="BT42" s="422">
        <f t="shared" ref="BT42:BU42" si="56">SUM(BX30:BX41)</f>
        <v>0</v>
      </c>
      <c r="BU42" s="422">
        <f t="shared" si="56"/>
        <v>0</v>
      </c>
      <c r="BV42" s="325"/>
      <c r="BW42" s="197">
        <f>SUM(BW30:BW41)</f>
        <v>780</v>
      </c>
      <c r="BX42" s="197">
        <f t="shared" ref="BX42:BY42" si="57">SUM(BX30:BX41)</f>
        <v>0</v>
      </c>
      <c r="BY42" s="197">
        <f t="shared" si="57"/>
        <v>0</v>
      </c>
      <c r="BZ42" s="197"/>
      <c r="CA42" s="326"/>
      <c r="CB42" s="422">
        <f>SUM(CF30:CF41)</f>
        <v>780</v>
      </c>
      <c r="CC42" s="422">
        <f t="shared" ref="CC42:CD42" si="58">SUM(CG30:CG41)</f>
        <v>0</v>
      </c>
      <c r="CD42" s="422">
        <f t="shared" si="58"/>
        <v>0</v>
      </c>
      <c r="CE42" s="325"/>
      <c r="CF42" s="197">
        <f>SUM(CF30:CF41)</f>
        <v>780</v>
      </c>
      <c r="CG42" s="197">
        <f t="shared" ref="CG42:CH42" si="59">SUM(CG30:CG41)</f>
        <v>0</v>
      </c>
      <c r="CH42" s="197">
        <f t="shared" si="59"/>
        <v>0</v>
      </c>
      <c r="CI42" s="197"/>
      <c r="CJ42" s="197"/>
      <c r="CK42" s="422">
        <f>SUM(CO30:CO41)</f>
        <v>780</v>
      </c>
      <c r="CL42" s="422">
        <f t="shared" ref="CL42:CM42" si="60">SUM(CP30:CP41)</f>
        <v>0</v>
      </c>
      <c r="CM42" s="422">
        <f t="shared" si="60"/>
        <v>0</v>
      </c>
      <c r="CN42" s="325"/>
      <c r="CO42" s="197">
        <f>SUM(CO30:CO41)</f>
        <v>780</v>
      </c>
      <c r="CP42" s="197">
        <f t="shared" ref="CP42:CQ42" si="61">SUM(CP30:CP41)</f>
        <v>0</v>
      </c>
      <c r="CQ42" s="197">
        <f t="shared" si="61"/>
        <v>0</v>
      </c>
      <c r="CR42" s="197"/>
      <c r="CS42" s="197"/>
      <c r="CT42" s="197"/>
      <c r="CU42" s="259"/>
      <c r="CV42" s="209"/>
      <c r="CW42" s="228"/>
      <c r="CX42" s="5"/>
      <c r="CY42" s="141"/>
    </row>
    <row r="43" spans="1:103" s="142" customFormat="1" ht="13.35" customHeight="1" outlineLevel="1" x14ac:dyDescent="0.2">
      <c r="A43" s="227"/>
      <c r="B43" s="227"/>
      <c r="C43" s="168"/>
      <c r="D43" s="249"/>
      <c r="E43" s="242"/>
      <c r="F43" s="243"/>
      <c r="G43" s="242"/>
      <c r="H43" s="242"/>
      <c r="I43" s="242"/>
      <c r="J43" s="242"/>
      <c r="K43" s="242"/>
      <c r="L43" s="252"/>
      <c r="M43" s="260"/>
      <c r="N43" s="337"/>
      <c r="O43" s="333"/>
      <c r="P43" s="244"/>
      <c r="Q43" s="245"/>
      <c r="R43" s="245"/>
      <c r="S43" s="245"/>
      <c r="T43" s="246"/>
      <c r="U43" s="247"/>
      <c r="V43" s="247"/>
      <c r="W43" s="247"/>
      <c r="X43" s="247"/>
      <c r="Y43" s="244"/>
      <c r="Z43" s="245"/>
      <c r="AA43" s="245"/>
      <c r="AB43" s="245"/>
      <c r="AC43" s="246"/>
      <c r="AD43" s="247"/>
      <c r="AE43" s="247"/>
      <c r="AF43" s="247"/>
      <c r="AG43" s="247"/>
      <c r="AH43" s="244"/>
      <c r="AI43" s="245"/>
      <c r="AJ43" s="245"/>
      <c r="AK43" s="245"/>
      <c r="AL43" s="246"/>
      <c r="AM43" s="247"/>
      <c r="AN43" s="247"/>
      <c r="AO43" s="247"/>
      <c r="AP43" s="247"/>
      <c r="AQ43" s="244"/>
      <c r="AR43" s="245"/>
      <c r="AS43" s="245"/>
      <c r="AT43" s="245"/>
      <c r="AU43" s="246"/>
      <c r="AV43" s="247"/>
      <c r="AW43" s="247"/>
      <c r="AX43" s="247"/>
      <c r="AY43" s="247"/>
      <c r="AZ43" s="244"/>
      <c r="BA43" s="245"/>
      <c r="BB43" s="245"/>
      <c r="BC43" s="245"/>
      <c r="BD43" s="246"/>
      <c r="BE43" s="247"/>
      <c r="BF43" s="247"/>
      <c r="BG43" s="247"/>
      <c r="BH43" s="247"/>
      <c r="BI43" s="244"/>
      <c r="BJ43" s="244"/>
      <c r="BK43" s="244"/>
      <c r="BL43" s="244"/>
      <c r="BM43" s="244"/>
      <c r="BN43" s="247"/>
      <c r="BO43" s="247"/>
      <c r="BP43" s="247"/>
      <c r="BQ43" s="247"/>
      <c r="BR43" s="244"/>
      <c r="BS43" s="244"/>
      <c r="BT43" s="244"/>
      <c r="BU43" s="244"/>
      <c r="BV43" s="244"/>
      <c r="BW43" s="247"/>
      <c r="BX43" s="247"/>
      <c r="BY43" s="247"/>
      <c r="BZ43" s="247"/>
      <c r="CA43" s="244"/>
      <c r="CB43" s="244"/>
      <c r="CC43" s="244"/>
      <c r="CD43" s="244"/>
      <c r="CE43" s="244"/>
      <c r="CF43" s="247"/>
      <c r="CG43" s="247"/>
      <c r="CH43" s="247"/>
      <c r="CI43" s="247"/>
      <c r="CJ43" s="248"/>
      <c r="CK43" s="248"/>
      <c r="CL43" s="248"/>
      <c r="CM43" s="248"/>
      <c r="CN43" s="248"/>
      <c r="CO43" s="247"/>
      <c r="CP43" s="247"/>
      <c r="CQ43" s="247"/>
      <c r="CR43" s="247"/>
      <c r="CS43" s="248"/>
      <c r="CT43" s="242"/>
      <c r="CU43" s="253"/>
      <c r="CV43" s="209"/>
      <c r="CW43" s="228"/>
      <c r="CX43" s="5"/>
      <c r="CY43" s="141"/>
    </row>
    <row r="44" spans="1:103" x14ac:dyDescent="0.2">
      <c r="A44" s="219"/>
      <c r="B44" s="219"/>
      <c r="C44" s="175"/>
      <c r="D44" s="176"/>
      <c r="E44" s="210"/>
      <c r="F44" s="211"/>
      <c r="G44" s="210"/>
      <c r="H44" s="210"/>
      <c r="I44" s="210"/>
      <c r="J44" s="210"/>
      <c r="K44" s="210"/>
      <c r="L44" s="212"/>
      <c r="M44" s="213"/>
      <c r="N44" s="213"/>
      <c r="O44" s="213"/>
      <c r="P44" s="213"/>
      <c r="Q44" s="210"/>
      <c r="R44" s="210"/>
      <c r="S44" s="210"/>
      <c r="T44" s="214"/>
      <c r="U44" s="215"/>
      <c r="V44" s="215"/>
      <c r="W44" s="215"/>
      <c r="X44" s="215"/>
      <c r="Y44" s="213"/>
      <c r="Z44" s="210"/>
      <c r="AA44" s="210"/>
      <c r="AB44" s="210"/>
      <c r="AC44" s="214"/>
      <c r="AD44" s="215"/>
      <c r="AE44" s="215"/>
      <c r="AF44" s="215"/>
      <c r="AG44" s="215"/>
      <c r="AH44" s="213"/>
      <c r="AI44" s="210"/>
      <c r="AJ44" s="210"/>
      <c r="AK44" s="210"/>
      <c r="AL44" s="214"/>
      <c r="AM44" s="215"/>
      <c r="AN44" s="215"/>
      <c r="AO44" s="215"/>
      <c r="AP44" s="215"/>
      <c r="AQ44" s="213"/>
      <c r="AR44" s="210"/>
      <c r="AS44" s="210"/>
      <c r="AT44" s="210"/>
      <c r="AU44" s="214"/>
      <c r="AV44" s="215"/>
      <c r="AW44" s="215"/>
      <c r="AX44" s="215"/>
      <c r="AY44" s="215"/>
      <c r="AZ44" s="213"/>
      <c r="BA44" s="210"/>
      <c r="BB44" s="210"/>
      <c r="BC44" s="210"/>
      <c r="BD44" s="214"/>
      <c r="BE44" s="215"/>
      <c r="BF44" s="215"/>
      <c r="BG44" s="215"/>
      <c r="BH44" s="215"/>
      <c r="BI44" s="213"/>
      <c r="BJ44" s="210"/>
      <c r="BK44" s="210"/>
      <c r="BL44" s="210"/>
      <c r="BM44" s="214"/>
      <c r="BN44" s="215"/>
      <c r="BO44" s="215"/>
      <c r="BP44" s="215"/>
      <c r="BQ44" s="215"/>
      <c r="BR44" s="177"/>
      <c r="BS44" s="210"/>
      <c r="BT44" s="210"/>
      <c r="BU44" s="210"/>
      <c r="BV44" s="213"/>
      <c r="BW44" s="215"/>
      <c r="BX44" s="215"/>
      <c r="BY44" s="215"/>
      <c r="BZ44" s="215"/>
      <c r="CA44" s="210"/>
      <c r="CB44" s="216"/>
      <c r="CC44" s="216"/>
      <c r="CD44" s="216"/>
      <c r="CE44" s="216"/>
      <c r="CF44" s="215"/>
      <c r="CG44" s="215"/>
      <c r="CH44" s="215"/>
      <c r="CI44" s="215"/>
      <c r="CJ44" s="210"/>
      <c r="CK44" s="210"/>
      <c r="CL44" s="210"/>
      <c r="CM44" s="210"/>
      <c r="CN44" s="210"/>
      <c r="CO44" s="215"/>
      <c r="CP44" s="215"/>
      <c r="CQ44" s="215"/>
      <c r="CR44" s="215"/>
      <c r="CS44" s="210"/>
      <c r="CT44" s="210"/>
      <c r="CU44" s="210"/>
      <c r="CV44" s="217"/>
      <c r="CW44" s="218"/>
      <c r="CX44" s="4"/>
      <c r="CY44" s="4"/>
    </row>
    <row r="45" spans="1:103" s="139" customFormat="1" ht="14.25" thickTop="1" thickBot="1" x14ac:dyDescent="0.25">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392"/>
      <c r="CC45" s="392"/>
      <c r="CD45" s="392"/>
      <c r="CE45" s="392"/>
      <c r="CF45" s="218"/>
      <c r="CG45" s="218"/>
      <c r="CH45" s="218"/>
      <c r="CI45" s="218"/>
      <c r="CJ45" s="218"/>
      <c r="CK45" s="218"/>
      <c r="CL45" s="218"/>
      <c r="CM45" s="218"/>
      <c r="CN45" s="218"/>
      <c r="CO45" s="218"/>
      <c r="CP45" s="218"/>
      <c r="CQ45" s="218"/>
      <c r="CR45" s="218"/>
      <c r="CS45" s="218"/>
      <c r="CT45" s="218"/>
      <c r="CU45" s="218"/>
      <c r="CV45" s="218"/>
      <c r="CW45" s="218"/>
      <c r="CX45" s="15"/>
      <c r="CY45" s="15"/>
    </row>
    <row r="46" spans="1:103" ht="21.6" customHeight="1" thickTop="1" x14ac:dyDescent="0.3">
      <c r="A46" s="219"/>
      <c r="B46" s="219"/>
      <c r="C46" s="157"/>
      <c r="D46" s="158"/>
      <c r="E46" s="731" t="s">
        <v>44</v>
      </c>
      <c r="F46" s="229"/>
      <c r="G46" s="229"/>
      <c r="H46" s="229"/>
      <c r="I46" s="877" t="e" vm="1">
        <v>#VALUE!</v>
      </c>
      <c r="J46" s="877"/>
      <c r="K46" s="877"/>
      <c r="L46" s="877"/>
      <c r="M46" s="159"/>
      <c r="N46" s="159"/>
      <c r="O46" s="159"/>
      <c r="P46" s="160"/>
      <c r="Q46" s="159"/>
      <c r="R46" s="159"/>
      <c r="S46" s="159"/>
      <c r="T46" s="161"/>
      <c r="U46" s="162"/>
      <c r="V46" s="162"/>
      <c r="W46" s="162"/>
      <c r="X46" s="162"/>
      <c r="Y46" s="160"/>
      <c r="Z46" s="159"/>
      <c r="AA46" s="159"/>
      <c r="AB46" s="159"/>
      <c r="AC46" s="161"/>
      <c r="AD46" s="162"/>
      <c r="AE46" s="162"/>
      <c r="AF46" s="162"/>
      <c r="AG46" s="162"/>
      <c r="AH46" s="160"/>
      <c r="AI46" s="159"/>
      <c r="AJ46" s="201"/>
      <c r="AK46" s="201"/>
      <c r="AL46" s="164"/>
      <c r="AM46" s="162"/>
      <c r="AN46" s="162"/>
      <c r="AO46" s="162"/>
      <c r="AP46" s="162"/>
      <c r="AQ46" s="202"/>
      <c r="AR46" s="203"/>
      <c r="AS46" s="165"/>
      <c r="AT46" s="166"/>
      <c r="AU46" s="164"/>
      <c r="AV46" s="162"/>
      <c r="AW46" s="162"/>
      <c r="AX46" s="162"/>
      <c r="AY46" s="162"/>
      <c r="AZ46" s="202"/>
      <c r="BA46" s="203"/>
      <c r="BB46" s="166"/>
      <c r="BC46" s="201"/>
      <c r="BD46" s="204"/>
      <c r="BE46" s="162"/>
      <c r="BF46" s="162"/>
      <c r="BG46" s="162"/>
      <c r="BH46" s="162"/>
      <c r="BI46" s="205"/>
      <c r="BJ46" s="201"/>
      <c r="BK46" s="201"/>
      <c r="BL46" s="201"/>
      <c r="BM46" s="204"/>
      <c r="BN46" s="162"/>
      <c r="BO46" s="162"/>
      <c r="BP46" s="162"/>
      <c r="BQ46" s="162"/>
      <c r="BR46" s="167"/>
      <c r="BS46" s="201"/>
      <c r="BT46" s="201"/>
      <c r="BU46" s="201"/>
      <c r="BV46" s="205"/>
      <c r="BW46" s="162"/>
      <c r="BX46" s="162"/>
      <c r="BY46" s="162"/>
      <c r="BZ46" s="162"/>
      <c r="CA46" s="201"/>
      <c r="CB46" s="393"/>
      <c r="CC46" s="393"/>
      <c r="CD46" s="393"/>
      <c r="CE46" s="393"/>
      <c r="CF46" s="162"/>
      <c r="CG46" s="162"/>
      <c r="CH46" s="162"/>
      <c r="CI46" s="162"/>
      <c r="CJ46" s="163"/>
      <c r="CK46" s="163"/>
      <c r="CL46" s="163"/>
      <c r="CM46" s="163"/>
      <c r="CN46" s="163"/>
      <c r="CO46" s="162"/>
      <c r="CP46" s="162"/>
      <c r="CQ46" s="162"/>
      <c r="CR46" s="162"/>
      <c r="CS46" s="163"/>
      <c r="CT46" s="358"/>
      <c r="CU46" s="201"/>
      <c r="CV46" s="206"/>
      <c r="CW46" s="218"/>
      <c r="CX46" s="4"/>
      <c r="CY46" s="4"/>
    </row>
    <row r="47" spans="1:103" ht="21.6" customHeight="1" thickBot="1" x14ac:dyDescent="0.25">
      <c r="A47" s="219"/>
      <c r="B47" s="219"/>
      <c r="C47" s="168"/>
      <c r="D47" s="785"/>
      <c r="E47" s="869" t="s">
        <v>45</v>
      </c>
      <c r="F47" s="363"/>
      <c r="G47" s="363"/>
      <c r="H47" s="363"/>
      <c r="I47" s="878"/>
      <c r="J47" s="878"/>
      <c r="K47" s="878"/>
      <c r="L47" s="878"/>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3"/>
      <c r="BW47" s="363"/>
      <c r="BX47" s="363"/>
      <c r="BY47" s="363"/>
      <c r="BZ47" s="363"/>
      <c r="CA47" s="363"/>
      <c r="CB47" s="394"/>
      <c r="CC47" s="394"/>
      <c r="CD47" s="394"/>
      <c r="CE47" s="394"/>
      <c r="CF47" s="363"/>
      <c r="CG47" s="363"/>
      <c r="CH47" s="363"/>
      <c r="CI47" s="363"/>
      <c r="CJ47" s="363"/>
      <c r="CK47" s="363"/>
      <c r="CL47" s="363"/>
      <c r="CM47" s="363"/>
      <c r="CN47" s="323"/>
      <c r="CO47" s="363"/>
      <c r="CP47" s="363"/>
      <c r="CQ47" s="363"/>
      <c r="CR47" s="363"/>
      <c r="CS47" s="323"/>
      <c r="CT47" s="155"/>
      <c r="CU47" s="269"/>
      <c r="CV47" s="209"/>
      <c r="CW47" s="218"/>
      <c r="CX47" s="4"/>
      <c r="CY47" s="4"/>
    </row>
    <row r="48" spans="1:103" ht="18.75" customHeight="1" thickTop="1" x14ac:dyDescent="0.2">
      <c r="A48" s="219"/>
      <c r="B48" s="219"/>
      <c r="C48" s="174"/>
      <c r="D48" s="778"/>
      <c r="E48" s="777"/>
      <c r="F48" s="235"/>
      <c r="G48" s="234"/>
      <c r="H48" s="234"/>
      <c r="I48" s="875">
        <f>WEEKNUM(E49)</f>
        <v>35</v>
      </c>
      <c r="J48" s="875"/>
      <c r="K48" s="875"/>
      <c r="L48" s="250"/>
      <c r="M48" s="261"/>
      <c r="N48" s="205"/>
      <c r="O48" s="236"/>
      <c r="P48" s="236"/>
      <c r="Q48" s="675">
        <f>IF($F52="","",SUM(Q64:S64)-S50)</f>
        <v>780</v>
      </c>
      <c r="R48" s="675"/>
      <c r="S48" s="675"/>
      <c r="T48" s="237"/>
      <c r="U48" s="238"/>
      <c r="V48" s="238"/>
      <c r="W48" s="238"/>
      <c r="X48" s="238"/>
      <c r="Y48" s="236"/>
      <c r="Z48" s="675">
        <f>IF($F52="","",SUM(Z64:AB64)-AB50)</f>
        <v>780</v>
      </c>
      <c r="AA48" s="675"/>
      <c r="AB48" s="675"/>
      <c r="AC48" s="237"/>
      <c r="AD48" s="238"/>
      <c r="AE48" s="238"/>
      <c r="AF48" s="238"/>
      <c r="AG48" s="238"/>
      <c r="AH48" s="236"/>
      <c r="AI48" s="675">
        <f>IF($F52="","",SUM(AI64:AK64)-AK50)</f>
        <v>780</v>
      </c>
      <c r="AJ48" s="675"/>
      <c r="AK48" s="675"/>
      <c r="AL48" s="237"/>
      <c r="AM48" s="238"/>
      <c r="AN48" s="238"/>
      <c r="AO48" s="238"/>
      <c r="AP48" s="238"/>
      <c r="AQ48" s="236"/>
      <c r="AR48" s="675">
        <f>IF($F52="","",SUM(AR64:AT64)-AT50)</f>
        <v>780</v>
      </c>
      <c r="AS48" s="675"/>
      <c r="AT48" s="675"/>
      <c r="AU48" s="239"/>
      <c r="AV48" s="238"/>
      <c r="AW48" s="238"/>
      <c r="AX48" s="238"/>
      <c r="AY48" s="238"/>
      <c r="AZ48" s="240"/>
      <c r="BA48" s="675">
        <f>IF($F52="","",SUM(BA64:BC64)-BC50)</f>
        <v>780</v>
      </c>
      <c r="BB48" s="675"/>
      <c r="BC48" s="675"/>
      <c r="BD48" s="239"/>
      <c r="BE48" s="238"/>
      <c r="BF48" s="238"/>
      <c r="BG48" s="238"/>
      <c r="BH48" s="238"/>
      <c r="BI48" s="240"/>
      <c r="BJ48" s="675">
        <f>IF($F52="","",SUM(BJ64:BL64)-BL50)</f>
        <v>780</v>
      </c>
      <c r="BK48" s="675"/>
      <c r="BL48" s="675"/>
      <c r="BM48" s="239"/>
      <c r="BN48" s="238"/>
      <c r="BO48" s="238"/>
      <c r="BP48" s="238"/>
      <c r="BQ48" s="238"/>
      <c r="BR48" s="241"/>
      <c r="BS48" s="675">
        <f>IF($F52="","",SUM(BS64:BU64)-BU50)</f>
        <v>780</v>
      </c>
      <c r="BT48" s="675"/>
      <c r="BU48" s="675"/>
      <c r="BV48" s="240"/>
      <c r="BW48" s="238"/>
      <c r="BX48" s="238"/>
      <c r="BY48" s="238"/>
      <c r="BZ48" s="238"/>
      <c r="CA48" s="241"/>
      <c r="CB48" s="675">
        <f>IF($F52="","",SUM(CB64:CD64)-CD50)</f>
        <v>780</v>
      </c>
      <c r="CC48" s="675"/>
      <c r="CD48" s="675"/>
      <c r="CE48" s="240"/>
      <c r="CF48" s="238"/>
      <c r="CG48" s="238"/>
      <c r="CH48" s="238"/>
      <c r="CI48" s="238"/>
      <c r="CJ48" s="234"/>
      <c r="CK48" s="675">
        <f>IF($F52="","",SUM(CK64:CM64))</f>
        <v>780</v>
      </c>
      <c r="CL48" s="675"/>
      <c r="CM48" s="675"/>
      <c r="CN48" s="240"/>
      <c r="CO48" s="238"/>
      <c r="CP48" s="238"/>
      <c r="CQ48" s="238"/>
      <c r="CR48" s="238"/>
      <c r="CS48" s="234"/>
      <c r="CT48" s="234"/>
      <c r="CU48" s="251"/>
      <c r="CV48" s="209"/>
      <c r="CW48" s="218"/>
      <c r="CX48" s="4"/>
      <c r="CY48" s="4"/>
    </row>
    <row r="49" spans="1:103" ht="12.75" customHeight="1" x14ac:dyDescent="0.2">
      <c r="A49" s="219"/>
      <c r="B49" s="219"/>
      <c r="C49" s="174"/>
      <c r="D49" s="779"/>
      <c r="E49" s="543">
        <f>E27+7</f>
        <v>46263</v>
      </c>
      <c r="F49" s="178"/>
      <c r="G49" s="179"/>
      <c r="H49" s="179"/>
      <c r="I49" s="876"/>
      <c r="J49" s="876"/>
      <c r="K49" s="876"/>
      <c r="L49" s="254"/>
      <c r="M49" s="329"/>
      <c r="N49" s="208"/>
      <c r="O49" s="180"/>
      <c r="P49" s="180"/>
      <c r="Q49" s="584">
        <f>IF(Q48="","",Q48/Data!$X$1)</f>
        <v>0.65</v>
      </c>
      <c r="R49" s="584"/>
      <c r="S49" s="585" t="str">
        <f>IF(SUM(X52:X63)=0,"",SUM(X52:X63))</f>
        <v/>
      </c>
      <c r="T49" s="181"/>
      <c r="U49" s="182"/>
      <c r="V49" s="182"/>
      <c r="W49" s="182"/>
      <c r="X49" s="182"/>
      <c r="Y49" s="180"/>
      <c r="Z49" s="584">
        <f>IF(Z48="","",Z48/Data!$X$1)</f>
        <v>0.65</v>
      </c>
      <c r="AA49" s="584"/>
      <c r="AB49" s="585" t="str">
        <f>IF(SUM(AG52:AG63)=0,"",SUM(AG52:AG63))</f>
        <v/>
      </c>
      <c r="AC49" s="181"/>
      <c r="AD49" s="182"/>
      <c r="AE49" s="182"/>
      <c r="AF49" s="182"/>
      <c r="AG49" s="182"/>
      <c r="AH49" s="180"/>
      <c r="AI49" s="584">
        <f>IF(AI48="","",AI48/Data!$X$1)</f>
        <v>0.65</v>
      </c>
      <c r="AJ49" s="584"/>
      <c r="AK49" s="585" t="str">
        <f>IF(SUM(AP52:AP63)=0,"",SUM(AP52:AP63))</f>
        <v/>
      </c>
      <c r="AL49" s="181"/>
      <c r="AM49" s="182"/>
      <c r="AN49" s="182"/>
      <c r="AO49" s="182"/>
      <c r="AP49" s="182"/>
      <c r="AQ49" s="180"/>
      <c r="AR49" s="584">
        <f>IF(AR48="","",AR48/Data!$X$1)</f>
        <v>0.65</v>
      </c>
      <c r="AS49" s="584"/>
      <c r="AT49" s="585" t="str">
        <f>IF(SUM(AY52:AY63)=0,"",SUM(AY52:AY63))</f>
        <v/>
      </c>
      <c r="AU49" s="183"/>
      <c r="AV49" s="182"/>
      <c r="AW49" s="182"/>
      <c r="AX49" s="182"/>
      <c r="AY49" s="182"/>
      <c r="AZ49" s="184"/>
      <c r="BA49" s="584">
        <f>IF(BA48="","",BA48/Data!$X$1)</f>
        <v>0.65</v>
      </c>
      <c r="BB49" s="584"/>
      <c r="BC49" s="585" t="str">
        <f>IF(SUM(BH52:BH63)=0,"",SUM(BH52:BH63))</f>
        <v/>
      </c>
      <c r="BD49" s="183"/>
      <c r="BE49" s="182"/>
      <c r="BF49" s="182"/>
      <c r="BG49" s="182"/>
      <c r="BH49" s="182"/>
      <c r="BI49" s="184"/>
      <c r="BJ49" s="584">
        <f>IF(BJ48="","",BJ48/Data!$X$1)</f>
        <v>0.65</v>
      </c>
      <c r="BK49" s="584"/>
      <c r="BL49" s="585" t="str">
        <f>IF(SUM(BQ52:BQ63)=0,"",SUM(BQ52:BQ63))</f>
        <v/>
      </c>
      <c r="BM49" s="183"/>
      <c r="BN49" s="182"/>
      <c r="BO49" s="182"/>
      <c r="BP49" s="182"/>
      <c r="BQ49" s="182"/>
      <c r="BR49" s="185"/>
      <c r="BS49" s="584">
        <f>IF(BS48="","",BS48/Data!$X$1)</f>
        <v>0.65</v>
      </c>
      <c r="BT49" s="584"/>
      <c r="BU49" s="585" t="str">
        <f>IF(SUM(BZ52:BZ63)=0,"",SUM(BZ52:BZ63))</f>
        <v/>
      </c>
      <c r="BV49" s="184"/>
      <c r="BW49" s="182"/>
      <c r="BX49" s="182"/>
      <c r="BY49" s="182"/>
      <c r="BZ49" s="182"/>
      <c r="CA49" s="185"/>
      <c r="CB49" s="584">
        <f>IF(CB48="","",CB48/Data!$X$1)</f>
        <v>0.65</v>
      </c>
      <c r="CC49" s="584"/>
      <c r="CD49" s="585" t="str">
        <f>IF(SUM(CI52:CI63)=0,"",SUM(CI52:CI63))</f>
        <v/>
      </c>
      <c r="CE49" s="184"/>
      <c r="CF49" s="182"/>
      <c r="CG49" s="182"/>
      <c r="CH49" s="182"/>
      <c r="CI49" s="182"/>
      <c r="CJ49" s="182"/>
      <c r="CK49" s="584">
        <f>IF(CK48="","",CK48/Data!$X$1)</f>
        <v>0.65</v>
      </c>
      <c r="CL49" s="584"/>
      <c r="CM49" s="585" t="str">
        <f>IF(SUM(CR52:CR63)=0,"",SUM(CR52:CR63))</f>
        <v/>
      </c>
      <c r="CN49" s="184"/>
      <c r="CO49" s="182"/>
      <c r="CP49" s="182"/>
      <c r="CQ49" s="182"/>
      <c r="CR49" s="182"/>
      <c r="CS49" s="182"/>
      <c r="CT49" s="182"/>
      <c r="CU49" s="255"/>
      <c r="CV49" s="209"/>
      <c r="CW49" s="218"/>
      <c r="CX49" s="4"/>
      <c r="CY49" s="4"/>
    </row>
    <row r="50" spans="1:103" ht="13.35" customHeight="1" thickBot="1" x14ac:dyDescent="0.25">
      <c r="A50" s="219"/>
      <c r="B50" s="219"/>
      <c r="C50" s="174"/>
      <c r="D50" s="230"/>
      <c r="E50" s="359"/>
      <c r="F50" s="186"/>
      <c r="G50" s="187"/>
      <c r="H50" s="187"/>
      <c r="I50" s="673"/>
      <c r="J50" s="674"/>
      <c r="K50" s="674"/>
      <c r="L50" s="256"/>
      <c r="M50" s="330"/>
      <c r="N50" s="334"/>
      <c r="O50" s="187"/>
      <c r="P50" s="187"/>
      <c r="Q50" s="342" t="str">
        <f>Data!$E$11</f>
        <v>AHH</v>
      </c>
      <c r="R50" s="343">
        <f>IF($F63="","",RANK(Q48,$Q48:$CL48))</f>
        <v>1</v>
      </c>
      <c r="S50" s="466"/>
      <c r="T50" s="181"/>
      <c r="U50" s="182"/>
      <c r="V50" s="182"/>
      <c r="W50" s="182"/>
      <c r="X50" s="197">
        <f>COUNTIF(U52:W63,"&gt;0")</f>
        <v>12</v>
      </c>
      <c r="Y50" s="180"/>
      <c r="Z50" s="342" t="str">
        <f>Data!$E$12</f>
        <v>RB</v>
      </c>
      <c r="AA50" s="343">
        <f>IF($F63="","",RANK(Z48,$Q48:$CL48))</f>
        <v>1</v>
      </c>
      <c r="AB50" s="466"/>
      <c r="AC50" s="181"/>
      <c r="AD50" s="182"/>
      <c r="AE50" s="182"/>
      <c r="AF50" s="182"/>
      <c r="AG50" s="197">
        <f>COUNTIF(AD52:AF63,"&gt;0")</f>
        <v>12</v>
      </c>
      <c r="AH50" s="180"/>
      <c r="AI50" s="342" t="str">
        <f>Data!$E$13</f>
        <v>EB</v>
      </c>
      <c r="AJ50" s="343">
        <f>IF($F63="","",RANK(AI48,$Q48:$CL48))</f>
        <v>1</v>
      </c>
      <c r="AK50" s="466"/>
      <c r="AL50" s="181"/>
      <c r="AM50" s="182"/>
      <c r="AN50" s="182"/>
      <c r="AO50" s="182"/>
      <c r="AP50" s="197">
        <f>COUNTIF(AM52:AO63,"&gt;0")</f>
        <v>12</v>
      </c>
      <c r="AQ50" s="180"/>
      <c r="AR50" s="305" t="str">
        <f>Data!$E$14</f>
        <v>KAF</v>
      </c>
      <c r="AS50" s="343">
        <f>IF($F63="","",RANK(AR48,$Q48:$CL48))</f>
        <v>1</v>
      </c>
      <c r="AT50" s="466"/>
      <c r="AU50" s="181"/>
      <c r="AV50" s="182"/>
      <c r="AW50" s="182"/>
      <c r="AX50" s="182"/>
      <c r="AY50" s="197">
        <f>COUNTIF(AV52:AX63,"&gt;0")</f>
        <v>12</v>
      </c>
      <c r="AZ50" s="180"/>
      <c r="BA50" s="305" t="str">
        <f>Data!$E$15</f>
        <v>ØG</v>
      </c>
      <c r="BB50" s="343">
        <f>IF($F63="","",RANK(BA48,$Q48:$CL48))</f>
        <v>1</v>
      </c>
      <c r="BC50" s="466"/>
      <c r="BD50" s="181"/>
      <c r="BE50" s="182"/>
      <c r="BF50" s="182"/>
      <c r="BG50" s="182"/>
      <c r="BH50" s="197">
        <f>COUNTIF(BE52:BG63,"&gt;0")</f>
        <v>12</v>
      </c>
      <c r="BI50" s="180"/>
      <c r="BJ50" s="305" t="str">
        <f>Data!$E$16</f>
        <v>JH</v>
      </c>
      <c r="BK50" s="343">
        <f>IF($F63="","",RANK(BJ48,$Q48:$CL48))</f>
        <v>1</v>
      </c>
      <c r="BL50" s="466"/>
      <c r="BM50" s="181"/>
      <c r="BN50" s="182"/>
      <c r="BO50" s="182"/>
      <c r="BP50" s="182"/>
      <c r="BQ50" s="197">
        <f>COUNTIF(BN52:BP63,"&gt;0")</f>
        <v>12</v>
      </c>
      <c r="BR50" s="188"/>
      <c r="BS50" s="305" t="str">
        <f>Data!$E$17</f>
        <v>TOH</v>
      </c>
      <c r="BT50" s="343">
        <f>IF($F63="","",RANK(BS48,$Q48:$CL48))</f>
        <v>1</v>
      </c>
      <c r="BU50" s="466"/>
      <c r="BV50" s="180"/>
      <c r="BW50" s="182"/>
      <c r="BX50" s="182"/>
      <c r="BY50" s="182"/>
      <c r="BZ50" s="197">
        <f>COUNTIF(BW52:BY63,"&gt;0")</f>
        <v>12</v>
      </c>
      <c r="CA50" s="188"/>
      <c r="CB50" s="305" t="s">
        <v>26</v>
      </c>
      <c r="CC50" s="343">
        <f>IF($F63="","",RANK(CB48,$Q48:$CM48))</f>
        <v>1</v>
      </c>
      <c r="CD50" s="467"/>
      <c r="CE50" s="180"/>
      <c r="CF50" s="182"/>
      <c r="CG50" s="182"/>
      <c r="CH50" s="182"/>
      <c r="CI50" s="197">
        <f>COUNTIF(CF52:CH63,"&gt;0")</f>
        <v>12</v>
      </c>
      <c r="CJ50" s="182"/>
      <c r="CK50" s="305" t="s">
        <v>27</v>
      </c>
      <c r="CL50" s="343">
        <f>IF($F63="","",RANK(CK48,$Q48:$CM48))</f>
        <v>1</v>
      </c>
      <c r="CM50" s="669"/>
      <c r="CN50" s="180"/>
      <c r="CO50" s="182"/>
      <c r="CP50" s="182"/>
      <c r="CQ50" s="182"/>
      <c r="CR50" s="197">
        <f>COUNTIF(CO52:CQ63,"&gt;0")</f>
        <v>12</v>
      </c>
      <c r="CS50" s="182"/>
      <c r="CT50" s="182"/>
      <c r="CU50" s="255"/>
      <c r="CV50" s="209"/>
      <c r="CW50" s="218"/>
      <c r="CX50" s="4"/>
      <c r="CY50" s="4"/>
    </row>
    <row r="51" spans="1:103" s="142" customFormat="1" ht="13.35" customHeight="1" thickBot="1" x14ac:dyDescent="0.25">
      <c r="A51" s="227"/>
      <c r="B51" s="227"/>
      <c r="C51" s="168"/>
      <c r="D51" s="231"/>
      <c r="E51" s="189"/>
      <c r="F51" s="190"/>
      <c r="G51" s="191"/>
      <c r="H51" s="191"/>
      <c r="I51" s="192" t="s">
        <v>47</v>
      </c>
      <c r="J51" s="193" t="s">
        <v>48</v>
      </c>
      <c r="K51" s="194" t="s">
        <v>49</v>
      </c>
      <c r="L51" s="257"/>
      <c r="M51" s="331"/>
      <c r="N51" s="335"/>
      <c r="O51" s="195"/>
      <c r="P51" s="195"/>
      <c r="Q51" s="192" t="s">
        <v>47</v>
      </c>
      <c r="R51" s="193" t="s">
        <v>48</v>
      </c>
      <c r="S51" s="194" t="s">
        <v>49</v>
      </c>
      <c r="T51" s="196"/>
      <c r="U51" s="197"/>
      <c r="V51" s="197"/>
      <c r="W51" s="197"/>
      <c r="X51" s="197"/>
      <c r="Y51" s="195"/>
      <c r="Z51" s="192" t="s">
        <v>47</v>
      </c>
      <c r="AA51" s="193" t="s">
        <v>48</v>
      </c>
      <c r="AB51" s="194" t="s">
        <v>49</v>
      </c>
      <c r="AC51" s="196"/>
      <c r="AD51" s="197"/>
      <c r="AE51" s="197"/>
      <c r="AF51" s="197"/>
      <c r="AG51" s="197"/>
      <c r="AH51" s="195"/>
      <c r="AI51" s="192" t="s">
        <v>47</v>
      </c>
      <c r="AJ51" s="193" t="s">
        <v>48</v>
      </c>
      <c r="AK51" s="194" t="s">
        <v>49</v>
      </c>
      <c r="AL51" s="196"/>
      <c r="AM51" s="197"/>
      <c r="AN51" s="197"/>
      <c r="AO51" s="197"/>
      <c r="AP51" s="197"/>
      <c r="AQ51" s="195"/>
      <c r="AR51" s="192" t="s">
        <v>47</v>
      </c>
      <c r="AS51" s="193" t="s">
        <v>48</v>
      </c>
      <c r="AT51" s="194" t="s">
        <v>49</v>
      </c>
      <c r="AU51" s="196"/>
      <c r="AV51" s="197"/>
      <c r="AW51" s="197"/>
      <c r="AX51" s="197"/>
      <c r="AY51" s="197"/>
      <c r="AZ51" s="195"/>
      <c r="BA51" s="192" t="s">
        <v>47</v>
      </c>
      <c r="BB51" s="193" t="s">
        <v>48</v>
      </c>
      <c r="BC51" s="194" t="s">
        <v>49</v>
      </c>
      <c r="BD51" s="196"/>
      <c r="BE51" s="197"/>
      <c r="BF51" s="197"/>
      <c r="BG51" s="197"/>
      <c r="BH51" s="197"/>
      <c r="BI51" s="195"/>
      <c r="BJ51" s="192" t="s">
        <v>47</v>
      </c>
      <c r="BK51" s="193" t="s">
        <v>48</v>
      </c>
      <c r="BL51" s="194" t="s">
        <v>49</v>
      </c>
      <c r="BM51" s="196"/>
      <c r="BN51" s="197"/>
      <c r="BO51" s="197"/>
      <c r="BP51" s="197"/>
      <c r="BQ51" s="197"/>
      <c r="BR51" s="195"/>
      <c r="BS51" s="192" t="s">
        <v>47</v>
      </c>
      <c r="BT51" s="193" t="s">
        <v>48</v>
      </c>
      <c r="BU51" s="194" t="s">
        <v>49</v>
      </c>
      <c r="BV51" s="196"/>
      <c r="BW51" s="197"/>
      <c r="BX51" s="197"/>
      <c r="BY51" s="197"/>
      <c r="BZ51" s="197"/>
      <c r="CA51" s="195"/>
      <c r="CB51" s="192" t="s">
        <v>47</v>
      </c>
      <c r="CC51" s="193" t="s">
        <v>48</v>
      </c>
      <c r="CD51" s="194" t="s">
        <v>49</v>
      </c>
      <c r="CE51" s="196"/>
      <c r="CF51" s="197"/>
      <c r="CG51" s="197"/>
      <c r="CH51" s="197"/>
      <c r="CI51" s="197"/>
      <c r="CJ51" s="197"/>
      <c r="CK51" s="192" t="s">
        <v>47</v>
      </c>
      <c r="CL51" s="193" t="s">
        <v>48</v>
      </c>
      <c r="CM51" s="194" t="s">
        <v>49</v>
      </c>
      <c r="CN51" s="196"/>
      <c r="CO51" s="197"/>
      <c r="CP51" s="197"/>
      <c r="CQ51" s="197"/>
      <c r="CR51" s="197"/>
      <c r="CS51" s="197"/>
      <c r="CT51" s="198"/>
      <c r="CU51" s="255"/>
      <c r="CV51" s="209"/>
      <c r="CW51" s="228"/>
      <c r="CX51" s="141"/>
      <c r="CY51" s="141"/>
    </row>
    <row r="52" spans="1:103" s="143" customFormat="1" ht="13.35" customHeight="1" outlineLevel="2" x14ac:dyDescent="0.2">
      <c r="A52" s="227"/>
      <c r="B52" s="227"/>
      <c r="C52" s="168"/>
      <c r="D52" s="232"/>
      <c r="E52" s="134" t="s">
        <v>75</v>
      </c>
      <c r="F52" s="424">
        <v>1</v>
      </c>
      <c r="G52" s="428" t="s">
        <v>51</v>
      </c>
      <c r="H52" s="429"/>
      <c r="I52" s="138" t="str">
        <f t="shared" ref="I52:I63" si="62">IF($F52&gt;$H52,"x","")</f>
        <v>x</v>
      </c>
      <c r="J52" s="344" t="str">
        <f t="shared" ref="J52:J63" si="63">IF(F52&lt;&gt;"",IF(H52&lt;&gt;"",IF(F52=H52,"x",""),""),"")</f>
        <v/>
      </c>
      <c r="K52" s="345" t="str">
        <f t="shared" ref="K52:K63" si="64">IF($F52&lt;$H52,"x","")</f>
        <v/>
      </c>
      <c r="L52" s="258"/>
      <c r="M52" s="332"/>
      <c r="N52" s="336"/>
      <c r="O52" s="200"/>
      <c r="P52" s="200"/>
      <c r="Q52" s="436">
        <v>60</v>
      </c>
      <c r="R52" s="437">
        <v>20</v>
      </c>
      <c r="S52" s="438">
        <f t="shared" ref="S52:S63" si="65">IF(Q52="","",100-SUM(Q52:R52))</f>
        <v>20</v>
      </c>
      <c r="T52" s="328"/>
      <c r="U52" s="197">
        <f>IF(AND($I52="x",AND(MAX(Q52:S52)=Q52,Q52&gt;=0)),Data!$BI$2,"")</f>
        <v>65</v>
      </c>
      <c r="V52" s="197" t="str">
        <f>IF(AND($J52="x",AND(MAX(Q52:S52)=R52,R52&gt;=0)),Data!$BJ$2,"")</f>
        <v/>
      </c>
      <c r="W52" s="197" t="str">
        <f>IF(AND($K52="x",AND(MAX(Q52:S52)=S52,S52&gt;=0)),Data!$BK$2,"")</f>
        <v/>
      </c>
      <c r="X52" s="197"/>
      <c r="Y52" s="328"/>
      <c r="Z52" s="451">
        <v>60</v>
      </c>
      <c r="AA52" s="452">
        <v>20</v>
      </c>
      <c r="AB52" s="438">
        <f t="shared" ref="AB52:AB63" si="66">IF(Z52="","",100-SUM(Z52:AA52))</f>
        <v>20</v>
      </c>
      <c r="AC52" s="328"/>
      <c r="AD52" s="197">
        <f>IF(AND($I52="x",AND(MAX(Z52:AB52)=Z52,Z52&lt;&gt;"")),Data!$BI$2,"")</f>
        <v>65</v>
      </c>
      <c r="AE52" s="197" t="str">
        <f>IF(AND($J52="x",AND(MAX(Z52:AB52)=AA52,AA52&lt;&gt;"")),Data!$BJ$2,"")</f>
        <v/>
      </c>
      <c r="AF52" s="197" t="str">
        <f>IF(AND($K52="x",AND(MAX(Z52:AB52)=AB52,AB52&lt;&gt;"")),Data!$BK$2,"")</f>
        <v/>
      </c>
      <c r="AG52" s="197"/>
      <c r="AH52" s="328"/>
      <c r="AI52" s="451">
        <v>60</v>
      </c>
      <c r="AJ52" s="452">
        <v>20</v>
      </c>
      <c r="AK52" s="438">
        <f t="shared" ref="AK52:AK63" si="67">IF(AI52="","",100-SUM(AI52:AJ52))</f>
        <v>20</v>
      </c>
      <c r="AL52" s="328"/>
      <c r="AM52" s="197">
        <f>IF(AND($I52="x",AND(MAX(AI52:AK52)=AI52,AI52&lt;&gt;"")),Data!$BI$2,"")</f>
        <v>65</v>
      </c>
      <c r="AN52" s="197" t="str">
        <f>IF(AND($J52="x",AND(MAX(AI52:AK52)=AJ52,AJ52&lt;&gt;"")),Data!$BJ$2,"")</f>
        <v/>
      </c>
      <c r="AO52" s="197" t="str">
        <f>IF(AND($K52="x",AND(MAX(AI52:AK52)=AK52,AK52&lt;&gt;"")),Data!$BK$2,"")</f>
        <v/>
      </c>
      <c r="AP52" s="197"/>
      <c r="AQ52" s="328"/>
      <c r="AR52" s="451">
        <v>60</v>
      </c>
      <c r="AS52" s="452">
        <v>20</v>
      </c>
      <c r="AT52" s="438">
        <f t="shared" ref="AT52:AT63" si="68">IF(AR52="","",100-SUM(AR52:AS52))</f>
        <v>20</v>
      </c>
      <c r="AU52" s="328"/>
      <c r="AV52" s="197">
        <f>IF(AND($I52="x",AND(MAX(AR52:AT52)=AR52,AR52&lt;&gt;"")),Data!$BI$2,"")</f>
        <v>65</v>
      </c>
      <c r="AW52" s="197" t="str">
        <f>IF(AND($J52="x",AND(MAX(AR52:AT52)=AS52,AS52&lt;&gt;"")),Data!$BJ$2,"")</f>
        <v/>
      </c>
      <c r="AX52" s="197" t="str">
        <f>IF(AND($K52="x",AND(MAX(AR52:AT52)=AT52,AT52&lt;&gt;"")),Data!$BK$2,"")</f>
        <v/>
      </c>
      <c r="AY52" s="197"/>
      <c r="AZ52" s="328"/>
      <c r="BA52" s="451">
        <v>60</v>
      </c>
      <c r="BB52" s="452">
        <v>20</v>
      </c>
      <c r="BC52" s="438">
        <f t="shared" ref="BC52:BC63" si="69">IF(BA52="","",100-SUM(BA52:BB52))</f>
        <v>20</v>
      </c>
      <c r="BD52" s="328"/>
      <c r="BE52" s="197">
        <f>IF(AND($I52="x",AND(MAX(BA52:BC52)=BA52,BA52&lt;&gt;"")),Data!$BI$2,"")</f>
        <v>65</v>
      </c>
      <c r="BF52" s="197" t="str">
        <f>IF(AND($J52="x",AND(MAX(BA52:BC52)=BB52,BB52&lt;&gt;"")),Data!$BJ$2,"")</f>
        <v/>
      </c>
      <c r="BG52" s="197" t="str">
        <f>IF(AND($K52="x",AND(MAX(BA52:BC52)=BC52,BC52&lt;&gt;"")),Data!$BK$2,"")</f>
        <v/>
      </c>
      <c r="BH52" s="197"/>
      <c r="BI52" s="328"/>
      <c r="BJ52" s="451">
        <v>60</v>
      </c>
      <c r="BK52" s="452">
        <v>20</v>
      </c>
      <c r="BL52" s="438">
        <f t="shared" ref="BL52:BL63" si="70">IF(BJ52="","",100-SUM(BJ52:BK52))</f>
        <v>20</v>
      </c>
      <c r="BM52" s="328"/>
      <c r="BN52" s="197">
        <f>IF(AND($I52="x",AND(MAX(BJ52:BL52)=BJ52,BJ52&lt;&gt;"")),Data!$BI$2,"")</f>
        <v>65</v>
      </c>
      <c r="BO52" s="197" t="str">
        <f>IF(AND($J52="x",AND(MAX(BJ52:BL52)=BK52,BK52&lt;&gt;"")),Data!$BJ$2,"")</f>
        <v/>
      </c>
      <c r="BP52" s="197" t="str">
        <f>IF(AND($K52="x",AND(MAX(BJ52:BL52)=BL52,BL52&lt;&gt;"")),Data!$BK$2,"")</f>
        <v/>
      </c>
      <c r="BQ52" s="197"/>
      <c r="BR52" s="328"/>
      <c r="BS52" s="451">
        <v>60</v>
      </c>
      <c r="BT52" s="452">
        <v>20</v>
      </c>
      <c r="BU52" s="438">
        <f t="shared" ref="BU52:BU63" si="71">IF(BS52="","",100-SUM(BS52:BT52))</f>
        <v>20</v>
      </c>
      <c r="BV52" s="328"/>
      <c r="BW52" s="197">
        <f>IF(AND($I52="x",AND(MAX(BS52:BU52)=BS52,BS52&lt;&gt;"")),Data!$BI$2,"")</f>
        <v>65</v>
      </c>
      <c r="BX52" s="197" t="str">
        <f>IF(AND($J52="x",AND(MAX(BS52:BU52)=BT52,BT52&lt;&gt;"")),Data!$BJ$2,"")</f>
        <v/>
      </c>
      <c r="BY52" s="197" t="str">
        <f>IF(AND($K52="x",AND(MAX(BS52:BU52)=BU52,BU52&lt;&gt;"")),Data!$BK$2,"")</f>
        <v/>
      </c>
      <c r="BZ52" s="197"/>
      <c r="CA52" s="328"/>
      <c r="CB52" s="460">
        <f t="shared" ref="CB52:CB63" si="72">IFERROR(ROUNDUP((SUM(Q52,Z52,AI52,AR52,BA52,BJ52,BS52)/SUM($Q52:$S52,$Z52:$AB52,$AI52:$AK52,$AR52:$AT52,$BA52:$BC52,$BJ52:$BL52,$BS52:$BU52))*100,-1),"")</f>
        <v>60</v>
      </c>
      <c r="CC52" s="458">
        <f t="shared" ref="CC52:CC63" si="73">IFERROR(ROUNDDOWN((SUM(R52,AA52,AJ52,AS52,BB52,BK52,BT52)/SUM($Q52:$S52,$Z52:$AB52,$AI52:$AK52,$AR52:$AT52,$BA52:$BC52,$BJ52:$BL52,$BS52:$BU52))*100,-1),"")</f>
        <v>20</v>
      </c>
      <c r="CD52" s="459">
        <f t="shared" ref="CD52:CD63" si="74">IF(CB52="","",100-SUM(CB52:CC52))</f>
        <v>20</v>
      </c>
      <c r="CE52" s="328"/>
      <c r="CF52" s="197">
        <f>IF(AND($I52="x",AND(MAX(CB52:CD52)=CB52,CB52&lt;&gt;"")),Data!$BI$2,"")</f>
        <v>65</v>
      </c>
      <c r="CG52" s="197" t="str">
        <f>IF(AND($J52="x",AND(MAX(CB52:CD52)=CC52,CC52&lt;&gt;"")),Data!$BJ$2,"")</f>
        <v/>
      </c>
      <c r="CH52" s="197" t="str">
        <f>IF(AND($K52="x",AND(MAX(CB52:CD52)=CD52,CD52&lt;&gt;"")),Data!$BK$2,"")</f>
        <v/>
      </c>
      <c r="CI52" s="197"/>
      <c r="CJ52" s="197"/>
      <c r="CK52" s="451">
        <v>60</v>
      </c>
      <c r="CL52" s="452">
        <v>20</v>
      </c>
      <c r="CM52" s="438">
        <f t="shared" ref="CM52:CM63" si="75">IF(CK52="","",100-SUM(CK52:CL52))</f>
        <v>20</v>
      </c>
      <c r="CN52" s="328"/>
      <c r="CO52" s="197">
        <f>IF(AND($I52="x",AND(MAX(CK52:CM52)=CK52,CK52&lt;&gt;"")),Data!$BI$2,"")</f>
        <v>65</v>
      </c>
      <c r="CP52" s="197" t="str">
        <f>IF(AND($J52="x",AND(MAX(CK52:CM52)=CL52,CL52&lt;&gt;"")),Data!$BJ$2,"")</f>
        <v/>
      </c>
      <c r="CQ52" s="197" t="str">
        <f>IF(AND($K52="x",AND(MAX(CK52:CM52)=CM52,CM52&lt;&gt;"")),Data!$BK$2,"")</f>
        <v/>
      </c>
      <c r="CR52" s="197"/>
      <c r="CS52" s="197"/>
      <c r="CT52" s="328"/>
      <c r="CU52" s="255"/>
      <c r="CV52" s="209"/>
      <c r="CW52" s="227"/>
      <c r="CX52" s="141"/>
      <c r="CY52" s="141"/>
    </row>
    <row r="53" spans="1:103" s="143" customFormat="1" ht="13.35" customHeight="1" outlineLevel="2" x14ac:dyDescent="0.2">
      <c r="A53" s="227"/>
      <c r="B53" s="227"/>
      <c r="C53" s="168"/>
      <c r="D53" s="232"/>
      <c r="E53" s="135" t="s">
        <v>76</v>
      </c>
      <c r="F53" s="425">
        <v>1</v>
      </c>
      <c r="G53" s="430" t="s">
        <v>51</v>
      </c>
      <c r="H53" s="431"/>
      <c r="I53" s="346" t="str">
        <f t="shared" si="62"/>
        <v>x</v>
      </c>
      <c r="J53" s="347" t="str">
        <f t="shared" si="63"/>
        <v/>
      </c>
      <c r="K53" s="348" t="str">
        <f t="shared" si="64"/>
        <v/>
      </c>
      <c r="L53" s="258"/>
      <c r="M53" s="332"/>
      <c r="N53" s="336"/>
      <c r="O53" s="200"/>
      <c r="P53" s="200"/>
      <c r="Q53" s="439">
        <v>60</v>
      </c>
      <c r="R53" s="440">
        <v>20</v>
      </c>
      <c r="S53" s="441">
        <f t="shared" si="65"/>
        <v>20</v>
      </c>
      <c r="T53" s="328"/>
      <c r="U53" s="197">
        <f>IF(AND($I53="x",AND(MAX(Q53:S53)=Q53,Q53&gt;=0)),Data!$BI$2,"")</f>
        <v>65</v>
      </c>
      <c r="V53" s="197" t="str">
        <f>IF(AND($J53="x",AND(MAX(Q53:S53)=R53,R53&gt;=0)),Data!$BJ$2,"")</f>
        <v/>
      </c>
      <c r="W53" s="197" t="str">
        <f>IF(AND($K53="x",AND(MAX(Q53:S53)=S53,S53&gt;=0)),Data!$BK$2,"")</f>
        <v/>
      </c>
      <c r="X53" s="197"/>
      <c r="Y53" s="328"/>
      <c r="Z53" s="453">
        <v>60</v>
      </c>
      <c r="AA53" s="454">
        <v>20</v>
      </c>
      <c r="AB53" s="441">
        <f t="shared" si="66"/>
        <v>20</v>
      </c>
      <c r="AC53" s="328"/>
      <c r="AD53" s="197">
        <f>IF(AND($I53="x",AND(MAX(Z53:AB53)=Z53,Z53&lt;&gt;"")),Data!$BI$2,"")</f>
        <v>65</v>
      </c>
      <c r="AE53" s="197" t="str">
        <f>IF(AND($J53="x",AND(MAX(Z53:AB53)=AA53,AA53&lt;&gt;"")),Data!$BJ$2,"")</f>
        <v/>
      </c>
      <c r="AF53" s="197" t="str">
        <f>IF(AND($K53="x",AND(MAX(Z53:AB53)=AB53,AB53&lt;&gt;"")),Data!$BK$2,"")</f>
        <v/>
      </c>
      <c r="AG53" s="197"/>
      <c r="AH53" s="328"/>
      <c r="AI53" s="453">
        <v>60</v>
      </c>
      <c r="AJ53" s="454">
        <v>20</v>
      </c>
      <c r="AK53" s="441">
        <f t="shared" si="67"/>
        <v>20</v>
      </c>
      <c r="AL53" s="328"/>
      <c r="AM53" s="197">
        <f>IF(AND($I53="x",AND(MAX(AI53:AK53)=AI53,AI53&lt;&gt;"")),Data!$BI$2,"")</f>
        <v>65</v>
      </c>
      <c r="AN53" s="197" t="str">
        <f>IF(AND($J53="x",AND(MAX(AI53:AK53)=AJ53,AJ53&lt;&gt;"")),Data!$BJ$2,"")</f>
        <v/>
      </c>
      <c r="AO53" s="197" t="str">
        <f>IF(AND($K53="x",AND(MAX(AI53:AK53)=AK53,AK53&lt;&gt;"")),Data!$BK$2,"")</f>
        <v/>
      </c>
      <c r="AP53" s="197"/>
      <c r="AQ53" s="328"/>
      <c r="AR53" s="453">
        <v>60</v>
      </c>
      <c r="AS53" s="454">
        <v>20</v>
      </c>
      <c r="AT53" s="441">
        <f t="shared" si="68"/>
        <v>20</v>
      </c>
      <c r="AU53" s="328"/>
      <c r="AV53" s="197">
        <f>IF(AND($I53="x",AND(MAX(AR53:AT53)=AR53,AR53&lt;&gt;"")),Data!$BI$2,"")</f>
        <v>65</v>
      </c>
      <c r="AW53" s="197" t="str">
        <f>IF(AND($J53="x",AND(MAX(AR53:AT53)=AS53,AS53&lt;&gt;"")),Data!$BJ$2,"")</f>
        <v/>
      </c>
      <c r="AX53" s="197" t="str">
        <f>IF(AND($K53="x",AND(MAX(AR53:AT53)=AT53,AT53&lt;&gt;"")),Data!$BK$2,"")</f>
        <v/>
      </c>
      <c r="AY53" s="197"/>
      <c r="AZ53" s="328"/>
      <c r="BA53" s="453">
        <v>60</v>
      </c>
      <c r="BB53" s="454">
        <v>20</v>
      </c>
      <c r="BC53" s="441">
        <f t="shared" si="69"/>
        <v>20</v>
      </c>
      <c r="BD53" s="328"/>
      <c r="BE53" s="197">
        <f>IF(AND($I53="x",AND(MAX(BA53:BC53)=BA53,BA53&lt;&gt;"")),Data!$BI$2,"")</f>
        <v>65</v>
      </c>
      <c r="BF53" s="197" t="str">
        <f>IF(AND($J53="x",AND(MAX(BA53:BC53)=BB53,BB53&lt;&gt;"")),Data!$BJ$2,"")</f>
        <v/>
      </c>
      <c r="BG53" s="197" t="str">
        <f>IF(AND($K53="x",AND(MAX(BA53:BC53)=BC53,BC53&lt;&gt;"")),Data!$BK$2,"")</f>
        <v/>
      </c>
      <c r="BH53" s="197"/>
      <c r="BI53" s="328"/>
      <c r="BJ53" s="453">
        <v>60</v>
      </c>
      <c r="BK53" s="454">
        <v>20</v>
      </c>
      <c r="BL53" s="441">
        <f t="shared" si="70"/>
        <v>20</v>
      </c>
      <c r="BM53" s="328"/>
      <c r="BN53" s="197">
        <f>IF(AND($I53="x",AND(MAX(BJ53:BL53)=BJ53,BJ53&lt;&gt;"")),Data!$BI$2,"")</f>
        <v>65</v>
      </c>
      <c r="BO53" s="197" t="str">
        <f>IF(AND($J53="x",AND(MAX(BJ53:BL53)=BK53,BK53&lt;&gt;"")),Data!$BJ$2,"")</f>
        <v/>
      </c>
      <c r="BP53" s="197" t="str">
        <f>IF(AND($K53="x",AND(MAX(BJ53:BL53)=BL53,BL53&lt;&gt;"")),Data!$BK$2,"")</f>
        <v/>
      </c>
      <c r="BQ53" s="197"/>
      <c r="BR53" s="328"/>
      <c r="BS53" s="453">
        <v>60</v>
      </c>
      <c r="BT53" s="454">
        <v>20</v>
      </c>
      <c r="BU53" s="441">
        <f t="shared" si="71"/>
        <v>20</v>
      </c>
      <c r="BV53" s="328"/>
      <c r="BW53" s="197">
        <f>IF(AND($I53="x",AND(MAX(BS53:BU53)=BS53,BS53&lt;&gt;"")),Data!$BI$2,"")</f>
        <v>65</v>
      </c>
      <c r="BX53" s="197" t="str">
        <f>IF(AND($J53="x",AND(MAX(BS53:BU53)=BT53,BT53&lt;&gt;"")),Data!$BJ$2,"")</f>
        <v/>
      </c>
      <c r="BY53" s="197" t="str">
        <f>IF(AND($K53="x",AND(MAX(BS53:BU53)=BU53,BU53&lt;&gt;"")),Data!$BK$2,"")</f>
        <v/>
      </c>
      <c r="BZ53" s="197"/>
      <c r="CA53" s="328"/>
      <c r="CB53" s="460">
        <f t="shared" si="72"/>
        <v>60</v>
      </c>
      <c r="CC53" s="461">
        <f t="shared" si="73"/>
        <v>20</v>
      </c>
      <c r="CD53" s="462">
        <f t="shared" si="74"/>
        <v>20</v>
      </c>
      <c r="CE53" s="328"/>
      <c r="CF53" s="197">
        <f>IF(AND($I53="x",AND(MAX(CB53:CD53)=CB53,CB53&lt;&gt;"")),Data!$BI$2,"")</f>
        <v>65</v>
      </c>
      <c r="CG53" s="197" t="str">
        <f>IF(AND($J53="x",AND(MAX(CB53:CD53)=CC53,CC53&lt;&gt;"")),Data!$BJ$2,"")</f>
        <v/>
      </c>
      <c r="CH53" s="197" t="str">
        <f>IF(AND($K53="x",AND(MAX(CB53:CD53)=CD53,CD53&lt;&gt;"")),Data!$BK$2,"")</f>
        <v/>
      </c>
      <c r="CI53" s="197"/>
      <c r="CJ53" s="197"/>
      <c r="CK53" s="453">
        <v>60</v>
      </c>
      <c r="CL53" s="454">
        <v>20</v>
      </c>
      <c r="CM53" s="441">
        <f t="shared" si="75"/>
        <v>20</v>
      </c>
      <c r="CN53" s="328"/>
      <c r="CO53" s="197">
        <f>IF(AND($I53="x",AND(MAX(CK53:CM53)=CK53,CK53&lt;&gt;"")),Data!$BI$2,"")</f>
        <v>65</v>
      </c>
      <c r="CP53" s="197" t="str">
        <f>IF(AND($J53="x",AND(MAX(CK53:CM53)=CL53,CL53&lt;&gt;"")),Data!$BJ$2,"")</f>
        <v/>
      </c>
      <c r="CQ53" s="197" t="str">
        <f>IF(AND($K53="x",AND(MAX(CK53:CM53)=CM53,CM53&lt;&gt;"")),Data!$BK$2,"")</f>
        <v/>
      </c>
      <c r="CR53" s="197"/>
      <c r="CS53" s="197"/>
      <c r="CT53" s="328"/>
      <c r="CU53" s="255"/>
      <c r="CV53" s="209"/>
      <c r="CW53" s="227"/>
      <c r="CX53" s="141"/>
      <c r="CY53" s="141"/>
    </row>
    <row r="54" spans="1:103" s="143" customFormat="1" ht="13.35" customHeight="1" outlineLevel="2" thickBot="1" x14ac:dyDescent="0.25">
      <c r="A54" s="227"/>
      <c r="B54" s="227"/>
      <c r="C54" s="168"/>
      <c r="D54" s="232"/>
      <c r="E54" s="136" t="s">
        <v>77</v>
      </c>
      <c r="F54" s="426">
        <v>1</v>
      </c>
      <c r="G54" s="432" t="s">
        <v>51</v>
      </c>
      <c r="H54" s="433"/>
      <c r="I54" s="349" t="str">
        <f t="shared" si="62"/>
        <v>x</v>
      </c>
      <c r="J54" s="350" t="str">
        <f t="shared" si="63"/>
        <v/>
      </c>
      <c r="K54" s="351" t="str">
        <f t="shared" si="64"/>
        <v/>
      </c>
      <c r="L54" s="258"/>
      <c r="M54" s="332"/>
      <c r="N54" s="336"/>
      <c r="O54" s="200"/>
      <c r="P54" s="200"/>
      <c r="Q54" s="442">
        <v>60</v>
      </c>
      <c r="R54" s="443">
        <v>20</v>
      </c>
      <c r="S54" s="444">
        <f t="shared" si="65"/>
        <v>20</v>
      </c>
      <c r="T54" s="328"/>
      <c r="U54" s="197">
        <f>IF(AND($I54="x",AND(MAX(Q54:S54)=Q54,Q54&gt;=0)),Data!$BI$2,"")</f>
        <v>65</v>
      </c>
      <c r="V54" s="197" t="str">
        <f>IF(AND($J54="x",AND(MAX(Q54:S54)=R54,R54&gt;=0)),Data!$BJ$2,"")</f>
        <v/>
      </c>
      <c r="W54" s="197" t="str">
        <f>IF(AND($K54="x",AND(MAX(Q54:S54)=S54,S54&gt;=0)),Data!$BK$2,"")</f>
        <v/>
      </c>
      <c r="X54" s="197"/>
      <c r="Y54" s="328"/>
      <c r="Z54" s="455">
        <v>60</v>
      </c>
      <c r="AA54" s="456">
        <v>20</v>
      </c>
      <c r="AB54" s="444">
        <f t="shared" si="66"/>
        <v>20</v>
      </c>
      <c r="AC54" s="328"/>
      <c r="AD54" s="197">
        <f>IF(AND($I54="x",AND(MAX(Z54:AB54)=Z54,Z54&lt;&gt;"")),Data!$BI$2,"")</f>
        <v>65</v>
      </c>
      <c r="AE54" s="197" t="str">
        <f>IF(AND($J54="x",AND(MAX(Z54:AB54)=AA54,AA54&lt;&gt;"")),Data!$BJ$2,"")</f>
        <v/>
      </c>
      <c r="AF54" s="197" t="str">
        <f>IF(AND($K54="x",AND(MAX(Z54:AB54)=AB54,AB54&lt;&gt;"")),Data!$BK$2,"")</f>
        <v/>
      </c>
      <c r="AG54" s="197"/>
      <c r="AH54" s="328"/>
      <c r="AI54" s="455">
        <v>60</v>
      </c>
      <c r="AJ54" s="456">
        <v>20</v>
      </c>
      <c r="AK54" s="444">
        <f t="shared" si="67"/>
        <v>20</v>
      </c>
      <c r="AL54" s="328"/>
      <c r="AM54" s="197">
        <f>IF(AND($I54="x",AND(MAX(AI54:AK54)=AI54,AI54&lt;&gt;"")),Data!$BI$2,"")</f>
        <v>65</v>
      </c>
      <c r="AN54" s="197" t="str">
        <f>IF(AND($J54="x",AND(MAX(AI54:AK54)=AJ54,AJ54&lt;&gt;"")),Data!$BJ$2,"")</f>
        <v/>
      </c>
      <c r="AO54" s="197" t="str">
        <f>IF(AND($K54="x",AND(MAX(AI54:AK54)=AK54,AK54&lt;&gt;"")),Data!$BK$2,"")</f>
        <v/>
      </c>
      <c r="AP54" s="197"/>
      <c r="AQ54" s="328"/>
      <c r="AR54" s="455">
        <v>60</v>
      </c>
      <c r="AS54" s="456">
        <v>20</v>
      </c>
      <c r="AT54" s="444">
        <f t="shared" si="68"/>
        <v>20</v>
      </c>
      <c r="AU54" s="328"/>
      <c r="AV54" s="197">
        <f>IF(AND($I54="x",AND(MAX(AR54:AT54)=AR54,AR54&lt;&gt;"")),Data!$BI$2,"")</f>
        <v>65</v>
      </c>
      <c r="AW54" s="197" t="str">
        <f>IF(AND($J54="x",AND(MAX(AR54:AT54)=AS54,AS54&lt;&gt;"")),Data!$BJ$2,"")</f>
        <v/>
      </c>
      <c r="AX54" s="197" t="str">
        <f>IF(AND($K54="x",AND(MAX(AR54:AT54)=AT54,AT54&lt;&gt;"")),Data!$BK$2,"")</f>
        <v/>
      </c>
      <c r="AY54" s="197"/>
      <c r="AZ54" s="328"/>
      <c r="BA54" s="455">
        <v>60</v>
      </c>
      <c r="BB54" s="456">
        <v>20</v>
      </c>
      <c r="BC54" s="444">
        <f t="shared" si="69"/>
        <v>20</v>
      </c>
      <c r="BD54" s="328"/>
      <c r="BE54" s="197">
        <f>IF(AND($I54="x",AND(MAX(BA54:BC54)=BA54,BA54&lt;&gt;"")),Data!$BI$2,"")</f>
        <v>65</v>
      </c>
      <c r="BF54" s="197" t="str">
        <f>IF(AND($J54="x",AND(MAX(BA54:BC54)=BB54,BB54&lt;&gt;"")),Data!$BJ$2,"")</f>
        <v/>
      </c>
      <c r="BG54" s="197" t="str">
        <f>IF(AND($K54="x",AND(MAX(BA54:BC54)=BC54,BC54&lt;&gt;"")),Data!$BK$2,"")</f>
        <v/>
      </c>
      <c r="BH54" s="197"/>
      <c r="BI54" s="328"/>
      <c r="BJ54" s="455">
        <v>60</v>
      </c>
      <c r="BK54" s="456">
        <v>20</v>
      </c>
      <c r="BL54" s="444">
        <f t="shared" si="70"/>
        <v>20</v>
      </c>
      <c r="BM54" s="328"/>
      <c r="BN54" s="197">
        <f>IF(AND($I54="x",AND(MAX(BJ54:BL54)=BJ54,BJ54&lt;&gt;"")),Data!$BI$2,"")</f>
        <v>65</v>
      </c>
      <c r="BO54" s="197" t="str">
        <f>IF(AND($J54="x",AND(MAX(BJ54:BL54)=BK54,BK54&lt;&gt;"")),Data!$BJ$2,"")</f>
        <v/>
      </c>
      <c r="BP54" s="197" t="str">
        <f>IF(AND($K54="x",AND(MAX(BJ54:BL54)=BL54,BL54&lt;&gt;"")),Data!$BK$2,"")</f>
        <v/>
      </c>
      <c r="BQ54" s="197"/>
      <c r="BR54" s="328"/>
      <c r="BS54" s="455">
        <v>60</v>
      </c>
      <c r="BT54" s="456">
        <v>20</v>
      </c>
      <c r="BU54" s="444">
        <f t="shared" si="71"/>
        <v>20</v>
      </c>
      <c r="BV54" s="328"/>
      <c r="BW54" s="197">
        <f>IF(AND($I54="x",AND(MAX(BS54:BU54)=BS54,BS54&lt;&gt;"")),Data!$BI$2,"")</f>
        <v>65</v>
      </c>
      <c r="BX54" s="197" t="str">
        <f>IF(AND($J54="x",AND(MAX(BS54:BU54)=BT54,BT54&lt;&gt;"")),Data!$BJ$2,"")</f>
        <v/>
      </c>
      <c r="BY54" s="197" t="str">
        <f>IF(AND($K54="x",AND(MAX(BS54:BU54)=BU54,BU54&lt;&gt;"")),Data!$BK$2,"")</f>
        <v/>
      </c>
      <c r="BZ54" s="197"/>
      <c r="CA54" s="328"/>
      <c r="CB54" s="463">
        <f t="shared" si="72"/>
        <v>60</v>
      </c>
      <c r="CC54" s="464">
        <f t="shared" si="73"/>
        <v>20</v>
      </c>
      <c r="CD54" s="465">
        <f t="shared" si="74"/>
        <v>20</v>
      </c>
      <c r="CE54" s="328"/>
      <c r="CF54" s="197">
        <f>IF(AND($I54="x",AND(MAX(CB54:CD54)=CB54,CB54&lt;&gt;"")),Data!$BI$2,"")</f>
        <v>65</v>
      </c>
      <c r="CG54" s="197" t="str">
        <f>IF(AND($J54="x",AND(MAX(CB54:CD54)=CC54,CC54&lt;&gt;"")),Data!$BJ$2,"")</f>
        <v/>
      </c>
      <c r="CH54" s="197" t="str">
        <f>IF(AND($K54="x",AND(MAX(CB54:CD54)=CD54,CD54&lt;&gt;"")),Data!$BK$2,"")</f>
        <v/>
      </c>
      <c r="CI54" s="197"/>
      <c r="CJ54" s="197"/>
      <c r="CK54" s="455">
        <v>60</v>
      </c>
      <c r="CL54" s="456">
        <v>20</v>
      </c>
      <c r="CM54" s="444">
        <f t="shared" si="75"/>
        <v>20</v>
      </c>
      <c r="CN54" s="328"/>
      <c r="CO54" s="197">
        <f>IF(AND($I54="x",AND(MAX(CK54:CM54)=CK54,CK54&lt;&gt;"")),Data!$BI$2,"")</f>
        <v>65</v>
      </c>
      <c r="CP54" s="197" t="str">
        <f>IF(AND($J54="x",AND(MAX(CK54:CM54)=CL54,CL54&lt;&gt;"")),Data!$BJ$2,"")</f>
        <v/>
      </c>
      <c r="CQ54" s="197" t="str">
        <f>IF(AND($K54="x",AND(MAX(CK54:CM54)=CM54,CM54&lt;&gt;"")),Data!$BK$2,"")</f>
        <v/>
      </c>
      <c r="CR54" s="197"/>
      <c r="CS54" s="197"/>
      <c r="CT54" s="328"/>
      <c r="CU54" s="255"/>
      <c r="CV54" s="209"/>
      <c r="CW54" s="227"/>
      <c r="CX54" s="144"/>
      <c r="CY54" s="144"/>
    </row>
    <row r="55" spans="1:103" s="143" customFormat="1" ht="13.35" customHeight="1" outlineLevel="2" x14ac:dyDescent="0.2">
      <c r="A55" s="227"/>
      <c r="B55" s="227"/>
      <c r="C55" s="168"/>
      <c r="D55" s="232"/>
      <c r="E55" s="134" t="s">
        <v>78</v>
      </c>
      <c r="F55" s="424">
        <v>1</v>
      </c>
      <c r="G55" s="428" t="s">
        <v>51</v>
      </c>
      <c r="H55" s="429"/>
      <c r="I55" s="138" t="str">
        <f t="shared" si="62"/>
        <v>x</v>
      </c>
      <c r="J55" s="344" t="str">
        <f t="shared" si="63"/>
        <v/>
      </c>
      <c r="K55" s="345" t="str">
        <f t="shared" si="64"/>
        <v/>
      </c>
      <c r="L55" s="258"/>
      <c r="M55" s="332"/>
      <c r="N55" s="336"/>
      <c r="O55" s="200"/>
      <c r="P55" s="200"/>
      <c r="Q55" s="436">
        <v>60</v>
      </c>
      <c r="R55" s="437">
        <v>20</v>
      </c>
      <c r="S55" s="438">
        <f>IF(Q55="","",100-SUM(Q55:R55))</f>
        <v>20</v>
      </c>
      <c r="T55" s="328"/>
      <c r="U55" s="197">
        <f>IF(AND($I55="x",AND(MAX(Q55:S55)=Q55,Q55&gt;=0)),Data!$BI$2,"")</f>
        <v>65</v>
      </c>
      <c r="V55" s="197" t="str">
        <f>IF(AND($J55="x",AND(MAX(Q55:S55)=R55,R55&gt;=0)),Data!$BJ$2,"")</f>
        <v/>
      </c>
      <c r="W55" s="197" t="str">
        <f>IF(AND($K55="x",AND(MAX(Q55:S55)=S55,S55&gt;=0)),Data!$BK$2,"")</f>
        <v/>
      </c>
      <c r="X55" s="197"/>
      <c r="Y55" s="328"/>
      <c r="Z55" s="451">
        <v>60</v>
      </c>
      <c r="AA55" s="452">
        <v>20</v>
      </c>
      <c r="AB55" s="438">
        <f t="shared" si="66"/>
        <v>20</v>
      </c>
      <c r="AC55" s="328"/>
      <c r="AD55" s="197">
        <f>IF(AND($I55="x",AND(MAX(Z55:AB55)=Z55,Z55&lt;&gt;"")),Data!$BI$2,"")</f>
        <v>65</v>
      </c>
      <c r="AE55" s="197" t="str">
        <f>IF(AND($J55="x",AND(MAX(Z55:AB55)=AA55,AA55&lt;&gt;"")),Data!$BJ$2,"")</f>
        <v/>
      </c>
      <c r="AF55" s="197" t="str">
        <f>IF(AND($K55="x",AND(MAX(Z55:AB55)=AB55,AB55&lt;&gt;"")),Data!$BK$2,"")</f>
        <v/>
      </c>
      <c r="AG55" s="197"/>
      <c r="AH55" s="328"/>
      <c r="AI55" s="451">
        <v>60</v>
      </c>
      <c r="AJ55" s="452">
        <v>20</v>
      </c>
      <c r="AK55" s="438">
        <f t="shared" si="67"/>
        <v>20</v>
      </c>
      <c r="AL55" s="328"/>
      <c r="AM55" s="197">
        <f>IF(AND($I55="x",AND(MAX(AI55:AK55)=AI55,AI55&lt;&gt;"")),Data!$BI$2,"")</f>
        <v>65</v>
      </c>
      <c r="AN55" s="197" t="str">
        <f>IF(AND($J55="x",AND(MAX(AI55:AK55)=AJ55,AJ55&lt;&gt;"")),Data!$BJ$2,"")</f>
        <v/>
      </c>
      <c r="AO55" s="197" t="str">
        <f>IF(AND($K55="x",AND(MAX(AI55:AK55)=AK55,AK55&lt;&gt;"")),Data!$BK$2,"")</f>
        <v/>
      </c>
      <c r="AP55" s="197"/>
      <c r="AQ55" s="328"/>
      <c r="AR55" s="451">
        <v>60</v>
      </c>
      <c r="AS55" s="452">
        <v>20</v>
      </c>
      <c r="AT55" s="438">
        <f t="shared" si="68"/>
        <v>20</v>
      </c>
      <c r="AU55" s="328"/>
      <c r="AV55" s="197">
        <f>IF(AND($I55="x",AND(MAX(AR55:AT55)=AR55,AR55&lt;&gt;"")),Data!$BI$2,"")</f>
        <v>65</v>
      </c>
      <c r="AW55" s="197" t="str">
        <f>IF(AND($J55="x",AND(MAX(AR55:AT55)=AS55,AS55&lt;&gt;"")),Data!$BJ$2,"")</f>
        <v/>
      </c>
      <c r="AX55" s="197" t="str">
        <f>IF(AND($K55="x",AND(MAX(AR55:AT55)=AT55,AT55&lt;&gt;"")),Data!$BK$2,"")</f>
        <v/>
      </c>
      <c r="AY55" s="197"/>
      <c r="AZ55" s="328"/>
      <c r="BA55" s="451">
        <v>60</v>
      </c>
      <c r="BB55" s="452">
        <v>20</v>
      </c>
      <c r="BC55" s="438">
        <f t="shared" si="69"/>
        <v>20</v>
      </c>
      <c r="BD55" s="328"/>
      <c r="BE55" s="197">
        <f>IF(AND($I55="x",AND(MAX(BA55:BC55)=BA55,BA55&lt;&gt;"")),Data!$BI$2,"")</f>
        <v>65</v>
      </c>
      <c r="BF55" s="197" t="str">
        <f>IF(AND($J55="x",AND(MAX(BA55:BC55)=BB55,BB55&lt;&gt;"")),Data!$BJ$2,"")</f>
        <v/>
      </c>
      <c r="BG55" s="197" t="str">
        <f>IF(AND($K55="x",AND(MAX(BA55:BC55)=BC55,BC55&lt;&gt;"")),Data!$BK$2,"")</f>
        <v/>
      </c>
      <c r="BH55" s="197"/>
      <c r="BI55" s="328"/>
      <c r="BJ55" s="451">
        <v>60</v>
      </c>
      <c r="BK55" s="452">
        <v>20</v>
      </c>
      <c r="BL55" s="438">
        <f t="shared" si="70"/>
        <v>20</v>
      </c>
      <c r="BM55" s="328"/>
      <c r="BN55" s="197">
        <f>IF(AND($I55="x",AND(MAX(BJ55:BL55)=BJ55,BJ55&lt;&gt;"")),Data!$BI$2,"")</f>
        <v>65</v>
      </c>
      <c r="BO55" s="197" t="str">
        <f>IF(AND($J55="x",AND(MAX(BJ55:BL55)=BK55,BK55&lt;&gt;"")),Data!$BJ$2,"")</f>
        <v/>
      </c>
      <c r="BP55" s="197" t="str">
        <f>IF(AND($K55="x",AND(MAX(BJ55:BL55)=BL55,BL55&lt;&gt;"")),Data!$BK$2,"")</f>
        <v/>
      </c>
      <c r="BQ55" s="197"/>
      <c r="BR55" s="328"/>
      <c r="BS55" s="451">
        <v>60</v>
      </c>
      <c r="BT55" s="452">
        <v>20</v>
      </c>
      <c r="BU55" s="438">
        <f t="shared" si="71"/>
        <v>20</v>
      </c>
      <c r="BV55" s="328"/>
      <c r="BW55" s="197">
        <f>IF(AND($I55="x",AND(MAX(BS55:BU55)=BS55,BS55&lt;&gt;"")),Data!$BI$2,"")</f>
        <v>65</v>
      </c>
      <c r="BX55" s="197" t="str">
        <f>IF(AND($J55="x",AND(MAX(BS55:BU55)=BT55,BT55&lt;&gt;"")),Data!$BJ$2,"")</f>
        <v/>
      </c>
      <c r="BY55" s="197" t="str">
        <f>IF(AND($K55="x",AND(MAX(BS55:BU55)=BU55,BU55&lt;&gt;"")),Data!$BK$2,"")</f>
        <v/>
      </c>
      <c r="BZ55" s="197"/>
      <c r="CA55" s="328"/>
      <c r="CB55" s="457">
        <f>IFERROR(ROUNDUP((SUM(Q55,Z55,AI55,AR55,BA55,BJ55,BS55)/SUM($Q55:$S55,$Z55:$AB55,$AI55:$AK55,$AR55:$AT55,$BA55:$BC55,$BJ55:$BL55,$BS55:$BU55))*100,-1),"")</f>
        <v>60</v>
      </c>
      <c r="CC55" s="458">
        <f>IFERROR(ROUNDDOWN((SUM(R55,AA55,AJ55,AS55,BB55,BK55,BT55)/SUM($Q55:$S55,$Z55:$AB55,$AI55:$AK55,$AR55:$AT55,$BA55:$BC55,$BJ55:$BL55,$BS55:$BU55))*100,-1),"")</f>
        <v>20</v>
      </c>
      <c r="CD55" s="459">
        <f t="shared" si="74"/>
        <v>20</v>
      </c>
      <c r="CE55" s="328"/>
      <c r="CF55" s="197">
        <f>IF(AND($I55="x",AND(MAX(CB55:CD55)=CB55,CB55&lt;&gt;"")),Data!$BI$2,"")</f>
        <v>65</v>
      </c>
      <c r="CG55" s="197" t="str">
        <f>IF(AND($J55="x",AND(MAX(CB55:CD55)=CC55,CC55&lt;&gt;"")),Data!$BJ$2,"")</f>
        <v/>
      </c>
      <c r="CH55" s="197" t="str">
        <f>IF(AND($K55="x",AND(MAX(CB55:CD55)=CD55,CD55&lt;&gt;"")),Data!$BK$2,"")</f>
        <v/>
      </c>
      <c r="CI55" s="197"/>
      <c r="CJ55" s="197"/>
      <c r="CK55" s="451">
        <v>60</v>
      </c>
      <c r="CL55" s="452">
        <v>20</v>
      </c>
      <c r="CM55" s="438">
        <f t="shared" si="75"/>
        <v>20</v>
      </c>
      <c r="CN55" s="328"/>
      <c r="CO55" s="197">
        <f>IF(AND($I55="x",AND(MAX(CK55:CM55)=CK55,CK55&lt;&gt;"")),Data!$BI$2,"")</f>
        <v>65</v>
      </c>
      <c r="CP55" s="197" t="str">
        <f>IF(AND($J55="x",AND(MAX(CK55:CM55)=CL55,CL55&lt;&gt;"")),Data!$BJ$2,"")</f>
        <v/>
      </c>
      <c r="CQ55" s="197" t="str">
        <f>IF(AND($K55="x",AND(MAX(CK55:CM55)=CM55,CM55&lt;&gt;"")),Data!$BK$2,"")</f>
        <v/>
      </c>
      <c r="CR55" s="197"/>
      <c r="CS55" s="197"/>
      <c r="CT55" s="328"/>
      <c r="CU55" s="255"/>
      <c r="CV55" s="209"/>
      <c r="CW55" s="227"/>
      <c r="CX55" s="144"/>
      <c r="CY55" s="144"/>
    </row>
    <row r="56" spans="1:103" s="143" customFormat="1" ht="13.35" customHeight="1" outlineLevel="2" x14ac:dyDescent="0.2">
      <c r="A56" s="227"/>
      <c r="B56" s="227"/>
      <c r="C56" s="168"/>
      <c r="D56" s="232"/>
      <c r="E56" s="135" t="s">
        <v>79</v>
      </c>
      <c r="F56" s="425">
        <v>1</v>
      </c>
      <c r="G56" s="430" t="s">
        <v>51</v>
      </c>
      <c r="H56" s="431"/>
      <c r="I56" s="346" t="str">
        <f t="shared" si="62"/>
        <v>x</v>
      </c>
      <c r="J56" s="347" t="str">
        <f t="shared" si="63"/>
        <v/>
      </c>
      <c r="K56" s="348" t="str">
        <f t="shared" si="64"/>
        <v/>
      </c>
      <c r="L56" s="258"/>
      <c r="M56" s="332"/>
      <c r="N56" s="336"/>
      <c r="O56" s="200"/>
      <c r="P56" s="200"/>
      <c r="Q56" s="439">
        <v>60</v>
      </c>
      <c r="R56" s="440">
        <v>20</v>
      </c>
      <c r="S56" s="441">
        <f>IF(Q56="","",100-SUM(Q56:R56))</f>
        <v>20</v>
      </c>
      <c r="T56" s="328"/>
      <c r="U56" s="197">
        <f>IF(AND($I56="x",AND(MAX(Q56:S56)=Q56,Q56&gt;=0)),Data!$BI$2,"")</f>
        <v>65</v>
      </c>
      <c r="V56" s="197" t="str">
        <f>IF(AND($J56="x",AND(MAX(Q56:S56)=R56,R56&gt;=0)),Data!$BJ$2,"")</f>
        <v/>
      </c>
      <c r="W56" s="197" t="str">
        <f>IF(AND($K56="x",AND(MAX(Q56:S56)=S56,S56&gt;=0)),Data!$BK$2,"")</f>
        <v/>
      </c>
      <c r="X56" s="197"/>
      <c r="Y56" s="328"/>
      <c r="Z56" s="453">
        <v>60</v>
      </c>
      <c r="AA56" s="454">
        <v>20</v>
      </c>
      <c r="AB56" s="441">
        <f t="shared" si="66"/>
        <v>20</v>
      </c>
      <c r="AC56" s="328"/>
      <c r="AD56" s="197">
        <f>IF(AND($I56="x",AND(MAX(Z56:AB56)=Z56,Z56&lt;&gt;"")),Data!$BI$2,"")</f>
        <v>65</v>
      </c>
      <c r="AE56" s="197" t="str">
        <f>IF(AND($J56="x",AND(MAX(Z56:AB56)=AA56,AA56&lt;&gt;"")),Data!$BJ$2,"")</f>
        <v/>
      </c>
      <c r="AF56" s="197" t="str">
        <f>IF(AND($K56="x",AND(MAX(Z56:AB56)=AB56,AB56&lt;&gt;"")),Data!$BK$2,"")</f>
        <v/>
      </c>
      <c r="AG56" s="197"/>
      <c r="AH56" s="328"/>
      <c r="AI56" s="453">
        <v>60</v>
      </c>
      <c r="AJ56" s="454">
        <v>20</v>
      </c>
      <c r="AK56" s="441">
        <f t="shared" si="67"/>
        <v>20</v>
      </c>
      <c r="AL56" s="328"/>
      <c r="AM56" s="197">
        <f>IF(AND($I56="x",AND(MAX(AI56:AK56)=AI56,AI56&lt;&gt;"")),Data!$BI$2,"")</f>
        <v>65</v>
      </c>
      <c r="AN56" s="197" t="str">
        <f>IF(AND($J56="x",AND(MAX(AI56:AK56)=AJ56,AJ56&lt;&gt;"")),Data!$BJ$2,"")</f>
        <v/>
      </c>
      <c r="AO56" s="197" t="str">
        <f>IF(AND($K56="x",AND(MAX(AI56:AK56)=AK56,AK56&lt;&gt;"")),Data!$BK$2,"")</f>
        <v/>
      </c>
      <c r="AP56" s="197"/>
      <c r="AQ56" s="328"/>
      <c r="AR56" s="453">
        <v>60</v>
      </c>
      <c r="AS56" s="454">
        <v>20</v>
      </c>
      <c r="AT56" s="441">
        <f t="shared" si="68"/>
        <v>20</v>
      </c>
      <c r="AU56" s="328"/>
      <c r="AV56" s="197">
        <f>IF(AND($I56="x",AND(MAX(AR56:AT56)=AR56,AR56&lt;&gt;"")),Data!$BI$2,"")</f>
        <v>65</v>
      </c>
      <c r="AW56" s="197" t="str">
        <f>IF(AND($J56="x",AND(MAX(AR56:AT56)=AS56,AS56&lt;&gt;"")),Data!$BJ$2,"")</f>
        <v/>
      </c>
      <c r="AX56" s="197" t="str">
        <f>IF(AND($K56="x",AND(MAX(AR56:AT56)=AT56,AT56&lt;&gt;"")),Data!$BK$2,"")</f>
        <v/>
      </c>
      <c r="AY56" s="197"/>
      <c r="AZ56" s="328"/>
      <c r="BA56" s="453">
        <v>60</v>
      </c>
      <c r="BB56" s="454">
        <v>20</v>
      </c>
      <c r="BC56" s="441">
        <f t="shared" si="69"/>
        <v>20</v>
      </c>
      <c r="BD56" s="328"/>
      <c r="BE56" s="197">
        <f>IF(AND($I56="x",AND(MAX(BA56:BC56)=BA56,BA56&lt;&gt;"")),Data!$BI$2,"")</f>
        <v>65</v>
      </c>
      <c r="BF56" s="197" t="str">
        <f>IF(AND($J56="x",AND(MAX(BA56:BC56)=BB56,BB56&lt;&gt;"")),Data!$BJ$2,"")</f>
        <v/>
      </c>
      <c r="BG56" s="197" t="str">
        <f>IF(AND($K56="x",AND(MAX(BA56:BC56)=BC56,BC56&lt;&gt;"")),Data!$BK$2,"")</f>
        <v/>
      </c>
      <c r="BH56" s="197"/>
      <c r="BI56" s="328"/>
      <c r="BJ56" s="453">
        <v>60</v>
      </c>
      <c r="BK56" s="454">
        <v>20</v>
      </c>
      <c r="BL56" s="441">
        <f t="shared" si="70"/>
        <v>20</v>
      </c>
      <c r="BM56" s="328"/>
      <c r="BN56" s="197">
        <f>IF(AND($I56="x",AND(MAX(BJ56:BL56)=BJ56,BJ56&lt;&gt;"")),Data!$BI$2,"")</f>
        <v>65</v>
      </c>
      <c r="BO56" s="197" t="str">
        <f>IF(AND($J56="x",AND(MAX(BJ56:BL56)=BK56,BK56&lt;&gt;"")),Data!$BJ$2,"")</f>
        <v/>
      </c>
      <c r="BP56" s="197" t="str">
        <f>IF(AND($K56="x",AND(MAX(BJ56:BL56)=BL56,BL56&lt;&gt;"")),Data!$BK$2,"")</f>
        <v/>
      </c>
      <c r="BQ56" s="197"/>
      <c r="BR56" s="328"/>
      <c r="BS56" s="453">
        <v>60</v>
      </c>
      <c r="BT56" s="454">
        <v>20</v>
      </c>
      <c r="BU56" s="441">
        <f t="shared" si="71"/>
        <v>20</v>
      </c>
      <c r="BV56" s="328"/>
      <c r="BW56" s="197">
        <f>IF(AND($I56="x",AND(MAX(BS56:BU56)=BS56,BS56&lt;&gt;"")),Data!$BI$2,"")</f>
        <v>65</v>
      </c>
      <c r="BX56" s="197" t="str">
        <f>IF(AND($J56="x",AND(MAX(BS56:BU56)=BT56,BT56&lt;&gt;"")),Data!$BJ$2,"")</f>
        <v/>
      </c>
      <c r="BY56" s="197" t="str">
        <f>IF(AND($K56="x",AND(MAX(BS56:BU56)=BU56,BU56&lt;&gt;"")),Data!$BK$2,"")</f>
        <v/>
      </c>
      <c r="BZ56" s="197"/>
      <c r="CA56" s="328"/>
      <c r="CB56" s="460">
        <f>IFERROR(ROUNDUP((SUM(Q56,Z56,AI56,AR56,BA56,BJ56,BS56)/SUM($Q56:$S56,$Z56:$AB56,$AI56:$AK56,$AR56:$AT56,$BA56:$BC56,$BJ56:$BL56,$BS56:$BU56))*100,-1),"")</f>
        <v>60</v>
      </c>
      <c r="CC56" s="461">
        <f>IFERROR(ROUNDDOWN((SUM(R56,AA56,AJ56,AS56,BB56,BK56,BT56)/SUM($Q56:$S56,$Z56:$AB56,$AI56:$AK56,$AR56:$AT56,$BA56:$BC56,$BJ56:$BL56,$BS56:$BU56))*100,-1),"")</f>
        <v>20</v>
      </c>
      <c r="CD56" s="462">
        <f t="shared" si="74"/>
        <v>20</v>
      </c>
      <c r="CE56" s="328"/>
      <c r="CF56" s="197">
        <f>IF(AND($I56="x",AND(MAX(CB56:CD56)=CB56,CB56&lt;&gt;"")),Data!$BI$2,"")</f>
        <v>65</v>
      </c>
      <c r="CG56" s="197" t="str">
        <f>IF(AND($J56="x",AND(MAX(CB56:CD56)=CC56,CC56&lt;&gt;"")),Data!$BJ$2,"")</f>
        <v/>
      </c>
      <c r="CH56" s="197" t="str">
        <f>IF(AND($K56="x",AND(MAX(CB56:CD56)=CD56,CD56&lt;&gt;"")),Data!$BK$2,"")</f>
        <v/>
      </c>
      <c r="CI56" s="197"/>
      <c r="CJ56" s="197"/>
      <c r="CK56" s="453">
        <v>60</v>
      </c>
      <c r="CL56" s="454">
        <v>20</v>
      </c>
      <c r="CM56" s="441">
        <f t="shared" si="75"/>
        <v>20</v>
      </c>
      <c r="CN56" s="328"/>
      <c r="CO56" s="197">
        <f>IF(AND($I56="x",AND(MAX(CK56:CM56)=CK56,CK56&lt;&gt;"")),Data!$BI$2,"")</f>
        <v>65</v>
      </c>
      <c r="CP56" s="197" t="str">
        <f>IF(AND($J56="x",AND(MAX(CK56:CM56)=CL56,CL56&lt;&gt;"")),Data!$BJ$2,"")</f>
        <v/>
      </c>
      <c r="CQ56" s="197" t="str">
        <f>IF(AND($K56="x",AND(MAX(CK56:CM56)=CM56,CM56&lt;&gt;"")),Data!$BK$2,"")</f>
        <v/>
      </c>
      <c r="CR56" s="197"/>
      <c r="CS56" s="197"/>
      <c r="CT56" s="328"/>
      <c r="CU56" s="255"/>
      <c r="CV56" s="209"/>
      <c r="CW56" s="227"/>
      <c r="CX56" s="144"/>
      <c r="CY56" s="144"/>
    </row>
    <row r="57" spans="1:103" s="143" customFormat="1" ht="13.35" customHeight="1" outlineLevel="2" thickBot="1" x14ac:dyDescent="0.25">
      <c r="A57" s="227"/>
      <c r="B57" s="227"/>
      <c r="C57" s="168"/>
      <c r="D57" s="232"/>
      <c r="E57" s="136" t="s">
        <v>80</v>
      </c>
      <c r="F57" s="426">
        <v>1</v>
      </c>
      <c r="G57" s="432" t="s">
        <v>51</v>
      </c>
      <c r="H57" s="433"/>
      <c r="I57" s="349" t="str">
        <f t="shared" si="62"/>
        <v>x</v>
      </c>
      <c r="J57" s="350" t="str">
        <f t="shared" si="63"/>
        <v/>
      </c>
      <c r="K57" s="351" t="str">
        <f t="shared" si="64"/>
        <v/>
      </c>
      <c r="L57" s="258"/>
      <c r="M57" s="332"/>
      <c r="N57" s="336"/>
      <c r="O57" s="200"/>
      <c r="P57" s="200"/>
      <c r="Q57" s="445">
        <v>60</v>
      </c>
      <c r="R57" s="446">
        <v>20</v>
      </c>
      <c r="S57" s="447">
        <f>IF(Q57="","",100-SUM(Q57:R57))</f>
        <v>20</v>
      </c>
      <c r="T57" s="328"/>
      <c r="U57" s="197">
        <f>IF(AND($I57="x",AND(MAX(Q57:S57)=Q57,Q57&gt;=0)),Data!$BI$2,"")</f>
        <v>65</v>
      </c>
      <c r="V57" s="197" t="str">
        <f>IF(AND($J57="x",AND(MAX(Q57:S57)=R57,R57&gt;=0)),Data!$BJ$2,"")</f>
        <v/>
      </c>
      <c r="W57" s="197" t="str">
        <f>IF(AND($K57="x",AND(MAX(Q57:S57)=S57,S57&gt;=0)),Data!$BK$2,"")</f>
        <v/>
      </c>
      <c r="X57" s="197"/>
      <c r="Y57" s="328"/>
      <c r="Z57" s="455">
        <v>60</v>
      </c>
      <c r="AA57" s="456">
        <v>20</v>
      </c>
      <c r="AB57" s="447">
        <f t="shared" si="66"/>
        <v>20</v>
      </c>
      <c r="AC57" s="328"/>
      <c r="AD57" s="197">
        <f>IF(AND($I57="x",AND(MAX(Z57:AB57)=Z57,Z57&lt;&gt;"")),Data!$BI$2,"")</f>
        <v>65</v>
      </c>
      <c r="AE57" s="197" t="str">
        <f>IF(AND($J57="x",AND(MAX(Z57:AB57)=AA57,AA57&lt;&gt;"")),Data!$BJ$2,"")</f>
        <v/>
      </c>
      <c r="AF57" s="197" t="str">
        <f>IF(AND($K57="x",AND(MAX(Z57:AB57)=AB57,AB57&lt;&gt;"")),Data!$BK$2,"")</f>
        <v/>
      </c>
      <c r="AG57" s="197"/>
      <c r="AH57" s="328"/>
      <c r="AI57" s="455">
        <v>60</v>
      </c>
      <c r="AJ57" s="456">
        <v>20</v>
      </c>
      <c r="AK57" s="447">
        <f t="shared" si="67"/>
        <v>20</v>
      </c>
      <c r="AL57" s="328"/>
      <c r="AM57" s="197">
        <f>IF(AND($I57="x",AND(MAX(AI57:AK57)=AI57,AI57&lt;&gt;"")),Data!$BI$2,"")</f>
        <v>65</v>
      </c>
      <c r="AN57" s="197" t="str">
        <f>IF(AND($J57="x",AND(MAX(AI57:AK57)=AJ57,AJ57&lt;&gt;"")),Data!$BJ$2,"")</f>
        <v/>
      </c>
      <c r="AO57" s="197" t="str">
        <f>IF(AND($K57="x",AND(MAX(AI57:AK57)=AK57,AK57&lt;&gt;"")),Data!$BK$2,"")</f>
        <v/>
      </c>
      <c r="AP57" s="197"/>
      <c r="AQ57" s="328"/>
      <c r="AR57" s="455">
        <v>60</v>
      </c>
      <c r="AS57" s="456">
        <v>20</v>
      </c>
      <c r="AT57" s="447">
        <f t="shared" si="68"/>
        <v>20</v>
      </c>
      <c r="AU57" s="328"/>
      <c r="AV57" s="197">
        <f>IF(AND($I57="x",AND(MAX(AR57:AT57)=AR57,AR57&lt;&gt;"")),Data!$BI$2,"")</f>
        <v>65</v>
      </c>
      <c r="AW57" s="197" t="str">
        <f>IF(AND($J57="x",AND(MAX(AR57:AT57)=AS57,AS57&lt;&gt;"")),Data!$BJ$2,"")</f>
        <v/>
      </c>
      <c r="AX57" s="197" t="str">
        <f>IF(AND($K57="x",AND(MAX(AR57:AT57)=AT57,AT57&lt;&gt;"")),Data!$BK$2,"")</f>
        <v/>
      </c>
      <c r="AY57" s="197"/>
      <c r="AZ57" s="328"/>
      <c r="BA57" s="455">
        <v>60</v>
      </c>
      <c r="BB57" s="456">
        <v>20</v>
      </c>
      <c r="BC57" s="447">
        <f t="shared" si="69"/>
        <v>20</v>
      </c>
      <c r="BD57" s="328"/>
      <c r="BE57" s="197">
        <f>IF(AND($I57="x",AND(MAX(BA57:BC57)=BA57,BA57&lt;&gt;"")),Data!$BI$2,"")</f>
        <v>65</v>
      </c>
      <c r="BF57" s="197" t="str">
        <f>IF(AND($J57="x",AND(MAX(BA57:BC57)=BB57,BB57&lt;&gt;"")),Data!$BJ$2,"")</f>
        <v/>
      </c>
      <c r="BG57" s="197" t="str">
        <f>IF(AND($K57="x",AND(MAX(BA57:BC57)=BC57,BC57&lt;&gt;"")),Data!$BK$2,"")</f>
        <v/>
      </c>
      <c r="BH57" s="197"/>
      <c r="BI57" s="328"/>
      <c r="BJ57" s="455">
        <v>60</v>
      </c>
      <c r="BK57" s="456">
        <v>20</v>
      </c>
      <c r="BL57" s="447">
        <f t="shared" si="70"/>
        <v>20</v>
      </c>
      <c r="BM57" s="328"/>
      <c r="BN57" s="197">
        <f>IF(AND($I57="x",AND(MAX(BJ57:BL57)=BJ57,BJ57&lt;&gt;"")),Data!$BI$2,"")</f>
        <v>65</v>
      </c>
      <c r="BO57" s="197" t="str">
        <f>IF(AND($J57="x",AND(MAX(BJ57:BL57)=BK57,BK57&lt;&gt;"")),Data!$BJ$2,"")</f>
        <v/>
      </c>
      <c r="BP57" s="197" t="str">
        <f>IF(AND($K57="x",AND(MAX(BJ57:BL57)=BL57,BL57&lt;&gt;"")),Data!$BK$2,"")</f>
        <v/>
      </c>
      <c r="BQ57" s="197"/>
      <c r="BR57" s="328"/>
      <c r="BS57" s="455">
        <v>60</v>
      </c>
      <c r="BT57" s="456">
        <v>20</v>
      </c>
      <c r="BU57" s="447">
        <f t="shared" si="71"/>
        <v>20</v>
      </c>
      <c r="BV57" s="328"/>
      <c r="BW57" s="197">
        <f>IF(AND($I57="x",AND(MAX(BS57:BU57)=BS57,BS57&lt;&gt;"")),Data!$BI$2,"")</f>
        <v>65</v>
      </c>
      <c r="BX57" s="197" t="str">
        <f>IF(AND($J57="x",AND(MAX(BS57:BU57)=BT57,BT57&lt;&gt;"")),Data!$BJ$2,"")</f>
        <v/>
      </c>
      <c r="BY57" s="197" t="str">
        <f>IF(AND($K57="x",AND(MAX(BS57:BU57)=BU57,BU57&lt;&gt;"")),Data!$BK$2,"")</f>
        <v/>
      </c>
      <c r="BZ57" s="197"/>
      <c r="CA57" s="328"/>
      <c r="CB57" s="463">
        <f>IFERROR(ROUNDUP((SUM(Q57,Z57,AI57,AR57,BA57,BJ57,BS57)/SUM($Q57:$S57,$Z57:$AB57,$AI57:$AK57,$AR57:$AT57,$BA57:$BC57,$BJ57:$BL57,$BS57:$BU57))*100,-1),"")</f>
        <v>60</v>
      </c>
      <c r="CC57" s="464">
        <f>IFERROR(ROUNDDOWN((SUM(R57,AA57,AJ57,AS57,BB57,BK57,BT57)/SUM($Q57:$S57,$Z57:$AB57,$AI57:$AK57,$AR57:$AT57,$BA57:$BC57,$BJ57:$BL57,$BS57:$BU57))*100,-1),"")</f>
        <v>20</v>
      </c>
      <c r="CD57" s="465">
        <f t="shared" si="74"/>
        <v>20</v>
      </c>
      <c r="CE57" s="328"/>
      <c r="CF57" s="197">
        <f>IF(AND($I57="x",AND(MAX(CB57:CD57)=CB57,CB57&lt;&gt;"")),Data!$BI$2,"")</f>
        <v>65</v>
      </c>
      <c r="CG57" s="197" t="str">
        <f>IF(AND($J57="x",AND(MAX(CB57:CD57)=CC57,CC57&lt;&gt;"")),Data!$BJ$2,"")</f>
        <v/>
      </c>
      <c r="CH57" s="197" t="str">
        <f>IF(AND($K57="x",AND(MAX(CB57:CD57)=CD57,CD57&lt;&gt;"")),Data!$BK$2,"")</f>
        <v/>
      </c>
      <c r="CI57" s="197"/>
      <c r="CJ57" s="197"/>
      <c r="CK57" s="455">
        <v>60</v>
      </c>
      <c r="CL57" s="456">
        <v>20</v>
      </c>
      <c r="CM57" s="447">
        <f t="shared" si="75"/>
        <v>20</v>
      </c>
      <c r="CN57" s="328"/>
      <c r="CO57" s="197">
        <f>IF(AND($I57="x",AND(MAX(CK57:CM57)=CK57,CK57&lt;&gt;"")),Data!$BI$2,"")</f>
        <v>65</v>
      </c>
      <c r="CP57" s="197" t="str">
        <f>IF(AND($J57="x",AND(MAX(CK57:CM57)=CL57,CL57&lt;&gt;"")),Data!$BJ$2,"")</f>
        <v/>
      </c>
      <c r="CQ57" s="197" t="str">
        <f>IF(AND($K57="x",AND(MAX(CK57:CM57)=CM57,CM57&lt;&gt;"")),Data!$BK$2,"")</f>
        <v/>
      </c>
      <c r="CR57" s="197"/>
      <c r="CS57" s="197"/>
      <c r="CT57" s="328"/>
      <c r="CU57" s="255"/>
      <c r="CV57" s="209"/>
      <c r="CW57" s="227"/>
      <c r="CX57" s="144"/>
      <c r="CY57" s="144"/>
    </row>
    <row r="58" spans="1:103" s="143" customFormat="1" ht="13.35" customHeight="1" outlineLevel="2" x14ac:dyDescent="0.2">
      <c r="A58" s="227"/>
      <c r="B58" s="227"/>
      <c r="C58" s="168"/>
      <c r="D58" s="232"/>
      <c r="E58" s="134" t="s">
        <v>81</v>
      </c>
      <c r="F58" s="424">
        <v>1</v>
      </c>
      <c r="G58" s="428" t="s">
        <v>51</v>
      </c>
      <c r="H58" s="429"/>
      <c r="I58" s="138" t="str">
        <f t="shared" si="62"/>
        <v>x</v>
      </c>
      <c r="J58" s="344" t="str">
        <f t="shared" si="63"/>
        <v/>
      </c>
      <c r="K58" s="345" t="str">
        <f t="shared" si="64"/>
        <v/>
      </c>
      <c r="L58" s="258"/>
      <c r="M58" s="332"/>
      <c r="N58" s="336"/>
      <c r="O58" s="200"/>
      <c r="P58" s="200"/>
      <c r="Q58" s="436">
        <v>60</v>
      </c>
      <c r="R58" s="437">
        <v>20</v>
      </c>
      <c r="S58" s="438">
        <f>IF(Q58="","",100-SUM(Q58:R58))</f>
        <v>20</v>
      </c>
      <c r="T58" s="328"/>
      <c r="U58" s="197">
        <f>IF(AND($I58="x",AND(MAX(Q58:S58)=Q58,Q58&gt;=0)),Data!$BI$2,"")</f>
        <v>65</v>
      </c>
      <c r="V58" s="197" t="str">
        <f>IF(AND($J58="x",AND(MAX(Q58:S58)=R58,R58&gt;=0)),Data!$BJ$2,"")</f>
        <v/>
      </c>
      <c r="W58" s="197" t="str">
        <f>IF(AND($K58="x",AND(MAX(Q58:S58)=S58,S58&gt;=0)),Data!$BK$2,"")</f>
        <v/>
      </c>
      <c r="X58" s="197"/>
      <c r="Y58" s="328"/>
      <c r="Z58" s="451">
        <v>60</v>
      </c>
      <c r="AA58" s="452">
        <v>20</v>
      </c>
      <c r="AB58" s="438">
        <f t="shared" si="66"/>
        <v>20</v>
      </c>
      <c r="AC58" s="328"/>
      <c r="AD58" s="197">
        <f>IF(AND($I58="x",AND(MAX(Z58:AB58)=Z58,Z58&lt;&gt;"")),Data!$BI$2,"")</f>
        <v>65</v>
      </c>
      <c r="AE58" s="197" t="str">
        <f>IF(AND($J58="x",AND(MAX(Z58:AB58)=AA58,AA58&lt;&gt;"")),Data!$BJ$2,"")</f>
        <v/>
      </c>
      <c r="AF58" s="197" t="str">
        <f>IF(AND($K58="x",AND(MAX(Z58:AB58)=AB58,AB58&lt;&gt;"")),Data!$BK$2,"")</f>
        <v/>
      </c>
      <c r="AG58" s="197"/>
      <c r="AH58" s="328"/>
      <c r="AI58" s="451">
        <v>60</v>
      </c>
      <c r="AJ58" s="452">
        <v>20</v>
      </c>
      <c r="AK58" s="438">
        <f t="shared" si="67"/>
        <v>20</v>
      </c>
      <c r="AL58" s="328"/>
      <c r="AM58" s="197">
        <f>IF(AND($I58="x",AND(MAX(AI58:AK58)=AI58,AI58&lt;&gt;"")),Data!$BI$2,"")</f>
        <v>65</v>
      </c>
      <c r="AN58" s="197" t="str">
        <f>IF(AND($J58="x",AND(MAX(AI58:AK58)=AJ58,AJ58&lt;&gt;"")),Data!$BJ$2,"")</f>
        <v/>
      </c>
      <c r="AO58" s="197" t="str">
        <f>IF(AND($K58="x",AND(MAX(AI58:AK58)=AK58,AK58&lt;&gt;"")),Data!$BK$2,"")</f>
        <v/>
      </c>
      <c r="AP58" s="197"/>
      <c r="AQ58" s="328"/>
      <c r="AR58" s="451">
        <v>60</v>
      </c>
      <c r="AS58" s="452">
        <v>20</v>
      </c>
      <c r="AT58" s="438">
        <f t="shared" si="68"/>
        <v>20</v>
      </c>
      <c r="AU58" s="328"/>
      <c r="AV58" s="197">
        <f>IF(AND($I58="x",AND(MAX(AR58:AT58)=AR58,AR58&lt;&gt;"")),Data!$BI$2,"")</f>
        <v>65</v>
      </c>
      <c r="AW58" s="197" t="str">
        <f>IF(AND($J58="x",AND(MAX(AR58:AT58)=AS58,AS58&lt;&gt;"")),Data!$BJ$2,"")</f>
        <v/>
      </c>
      <c r="AX58" s="197" t="str">
        <f>IF(AND($K58="x",AND(MAX(AR58:AT58)=AT58,AT58&lt;&gt;"")),Data!$BK$2,"")</f>
        <v/>
      </c>
      <c r="AY58" s="197"/>
      <c r="AZ58" s="328"/>
      <c r="BA58" s="451">
        <v>60</v>
      </c>
      <c r="BB58" s="452">
        <v>20</v>
      </c>
      <c r="BC58" s="438">
        <f t="shared" si="69"/>
        <v>20</v>
      </c>
      <c r="BD58" s="328"/>
      <c r="BE58" s="197">
        <f>IF(AND($I58="x",AND(MAX(BA58:BC58)=BA58,BA58&lt;&gt;"")),Data!$BI$2,"")</f>
        <v>65</v>
      </c>
      <c r="BF58" s="197" t="str">
        <f>IF(AND($J58="x",AND(MAX(BA58:BC58)=BB58,BB58&lt;&gt;"")),Data!$BJ$2,"")</f>
        <v/>
      </c>
      <c r="BG58" s="197" t="str">
        <f>IF(AND($K58="x",AND(MAX(BA58:BC58)=BC58,BC58&lt;&gt;"")),Data!$BK$2,"")</f>
        <v/>
      </c>
      <c r="BH58" s="197"/>
      <c r="BI58" s="328"/>
      <c r="BJ58" s="451">
        <v>60</v>
      </c>
      <c r="BK58" s="452">
        <v>20</v>
      </c>
      <c r="BL58" s="438">
        <f t="shared" si="70"/>
        <v>20</v>
      </c>
      <c r="BM58" s="328"/>
      <c r="BN58" s="197">
        <f>IF(AND($I58="x",AND(MAX(BJ58:BL58)=BJ58,BJ58&lt;&gt;"")),Data!$BI$2,"")</f>
        <v>65</v>
      </c>
      <c r="BO58" s="197" t="str">
        <f>IF(AND($J58="x",AND(MAX(BJ58:BL58)=BK58,BK58&lt;&gt;"")),Data!$BJ$2,"")</f>
        <v/>
      </c>
      <c r="BP58" s="197" t="str">
        <f>IF(AND($K58="x",AND(MAX(BJ58:BL58)=BL58,BL58&lt;&gt;"")),Data!$BK$2,"")</f>
        <v/>
      </c>
      <c r="BQ58" s="197"/>
      <c r="BR58" s="328"/>
      <c r="BS58" s="451">
        <v>60</v>
      </c>
      <c r="BT58" s="452">
        <v>20</v>
      </c>
      <c r="BU58" s="438">
        <f t="shared" si="71"/>
        <v>20</v>
      </c>
      <c r="BV58" s="328"/>
      <c r="BW58" s="197">
        <f>IF(AND($I58="x",AND(MAX(BS58:BU58)=BS58,BS58&lt;&gt;"")),Data!$BI$2,"")</f>
        <v>65</v>
      </c>
      <c r="BX58" s="197" t="str">
        <f>IF(AND($J58="x",AND(MAX(BS58:BU58)=BT58,BT58&lt;&gt;"")),Data!$BJ$2,"")</f>
        <v/>
      </c>
      <c r="BY58" s="197" t="str">
        <f>IF(AND($K58="x",AND(MAX(BS58:BU58)=BU58,BU58&lt;&gt;"")),Data!$BK$2,"")</f>
        <v/>
      </c>
      <c r="BZ58" s="197"/>
      <c r="CA58" s="328"/>
      <c r="CB58" s="457">
        <f>IFERROR(ROUNDUP((SUM(Q58,Z58,AI58,AR58,BA58,BJ58,BS58)/SUM($Q58:$S58,$Z58:$AB58,$AI58:$AK58,$AR58:$AT58,$BA58:$BC58,$BJ58:$BL58,$BS58:$BU58))*100,-1),"")</f>
        <v>60</v>
      </c>
      <c r="CC58" s="458">
        <f>IFERROR(ROUNDDOWN((SUM(R58,AA58,AJ58,AS58,BB58,BK58,BT58)/SUM($Q58:$S58,$Z58:$AB58,$AI58:$AK58,$AR58:$AT58,$BA58:$BC58,$BJ58:$BL58,$BS58:$BU58))*100,-1),"")</f>
        <v>20</v>
      </c>
      <c r="CD58" s="459">
        <f t="shared" si="74"/>
        <v>20</v>
      </c>
      <c r="CE58" s="328"/>
      <c r="CF58" s="197">
        <f>IF(AND($I58="x",AND(MAX(CB58:CD58)=CB58,CB58&lt;&gt;"")),Data!$BI$2,"")</f>
        <v>65</v>
      </c>
      <c r="CG58" s="197" t="str">
        <f>IF(AND($J58="x",AND(MAX(CB58:CD58)=CC58,CC58&lt;&gt;"")),Data!$BJ$2,"")</f>
        <v/>
      </c>
      <c r="CH58" s="197" t="str">
        <f>IF(AND($K58="x",AND(MAX(CB58:CD58)=CD58,CD58&lt;&gt;"")),Data!$BK$2,"")</f>
        <v/>
      </c>
      <c r="CI58" s="197"/>
      <c r="CJ58" s="197"/>
      <c r="CK58" s="451">
        <v>60</v>
      </c>
      <c r="CL58" s="452">
        <v>20</v>
      </c>
      <c r="CM58" s="438">
        <f t="shared" si="75"/>
        <v>20</v>
      </c>
      <c r="CN58" s="328"/>
      <c r="CO58" s="197">
        <f>IF(AND($I58="x",AND(MAX(CK58:CM58)=CK58,CK58&lt;&gt;"")),Data!$BI$2,"")</f>
        <v>65</v>
      </c>
      <c r="CP58" s="197" t="str">
        <f>IF(AND($J58="x",AND(MAX(CK58:CM58)=CL58,CL58&lt;&gt;"")),Data!$BJ$2,"")</f>
        <v/>
      </c>
      <c r="CQ58" s="197" t="str">
        <f>IF(AND($K58="x",AND(MAX(CK58:CM58)=CM58,CM58&lt;&gt;"")),Data!$BK$2,"")</f>
        <v/>
      </c>
      <c r="CR58" s="197"/>
      <c r="CS58" s="197"/>
      <c r="CT58" s="328"/>
      <c r="CU58" s="259"/>
      <c r="CV58" s="209"/>
      <c r="CW58" s="227"/>
      <c r="CX58" s="144"/>
      <c r="CY58" s="144"/>
    </row>
    <row r="59" spans="1:103" s="143" customFormat="1" ht="13.35" customHeight="1" outlineLevel="2" x14ac:dyDescent="0.2">
      <c r="A59" s="227"/>
      <c r="B59" s="227"/>
      <c r="C59" s="168"/>
      <c r="D59" s="232"/>
      <c r="E59" s="135" t="s">
        <v>82</v>
      </c>
      <c r="F59" s="425">
        <v>1</v>
      </c>
      <c r="G59" s="430" t="s">
        <v>51</v>
      </c>
      <c r="H59" s="431"/>
      <c r="I59" s="346" t="str">
        <f t="shared" si="62"/>
        <v>x</v>
      </c>
      <c r="J59" s="347" t="str">
        <f t="shared" si="63"/>
        <v/>
      </c>
      <c r="K59" s="348" t="str">
        <f t="shared" si="64"/>
        <v/>
      </c>
      <c r="L59" s="258"/>
      <c r="M59" s="332"/>
      <c r="N59" s="336"/>
      <c r="O59" s="200"/>
      <c r="P59" s="200"/>
      <c r="Q59" s="439">
        <v>60</v>
      </c>
      <c r="R59" s="440">
        <v>20</v>
      </c>
      <c r="S59" s="441">
        <f t="shared" si="65"/>
        <v>20</v>
      </c>
      <c r="T59" s="328"/>
      <c r="U59" s="197">
        <f>IF(AND($I59="x",AND(MAX(Q59:S59)=Q59,Q59&gt;=0)),Data!$BI$2,"")</f>
        <v>65</v>
      </c>
      <c r="V59" s="197" t="str">
        <f>IF(AND($J59="x",AND(MAX(Q59:S59)=R59,R59&gt;=0)),Data!$BJ$2,"")</f>
        <v/>
      </c>
      <c r="W59" s="197" t="str">
        <f>IF(AND($K59="x",AND(MAX(Q59:S59)=S59,S59&gt;=0)),Data!$BK$2,"")</f>
        <v/>
      </c>
      <c r="X59" s="197"/>
      <c r="Y59" s="328"/>
      <c r="Z59" s="453">
        <v>60</v>
      </c>
      <c r="AA59" s="454">
        <v>20</v>
      </c>
      <c r="AB59" s="441">
        <f t="shared" si="66"/>
        <v>20</v>
      </c>
      <c r="AC59" s="328"/>
      <c r="AD59" s="197">
        <f>IF(AND($I59="x",AND(MAX(Z59:AB59)=Z59,Z59&lt;&gt;"")),Data!$BI$2,"")</f>
        <v>65</v>
      </c>
      <c r="AE59" s="197" t="str">
        <f>IF(AND($J59="x",AND(MAX(Z59:AB59)=AA59,AA59&lt;&gt;"")),Data!$BJ$2,"")</f>
        <v/>
      </c>
      <c r="AF59" s="197" t="str">
        <f>IF(AND($K59="x",AND(MAX(Z59:AB59)=AB59,AB59&lt;&gt;"")),Data!$BK$2,"")</f>
        <v/>
      </c>
      <c r="AG59" s="197"/>
      <c r="AH59" s="328"/>
      <c r="AI59" s="453">
        <v>60</v>
      </c>
      <c r="AJ59" s="454">
        <v>20</v>
      </c>
      <c r="AK59" s="441">
        <f t="shared" si="67"/>
        <v>20</v>
      </c>
      <c r="AL59" s="328"/>
      <c r="AM59" s="197">
        <f>IF(AND($I59="x",AND(MAX(AI59:AK59)=AI59,AI59&lt;&gt;"")),Data!$BI$2,"")</f>
        <v>65</v>
      </c>
      <c r="AN59" s="197" t="str">
        <f>IF(AND($J59="x",AND(MAX(AI59:AK59)=AJ59,AJ59&lt;&gt;"")),Data!$BJ$2,"")</f>
        <v/>
      </c>
      <c r="AO59" s="197" t="str">
        <f>IF(AND($K59="x",AND(MAX(AI59:AK59)=AK59,AK59&lt;&gt;"")),Data!$BK$2,"")</f>
        <v/>
      </c>
      <c r="AP59" s="197"/>
      <c r="AQ59" s="328"/>
      <c r="AR59" s="453">
        <v>60</v>
      </c>
      <c r="AS59" s="454">
        <v>20</v>
      </c>
      <c r="AT59" s="441">
        <f t="shared" si="68"/>
        <v>20</v>
      </c>
      <c r="AU59" s="328"/>
      <c r="AV59" s="197">
        <f>IF(AND($I59="x",AND(MAX(AR59:AT59)=AR59,AR59&lt;&gt;"")),Data!$BI$2,"")</f>
        <v>65</v>
      </c>
      <c r="AW59" s="197" t="str">
        <f>IF(AND($J59="x",AND(MAX(AR59:AT59)=AS59,AS59&lt;&gt;"")),Data!$BJ$2,"")</f>
        <v/>
      </c>
      <c r="AX59" s="197" t="str">
        <f>IF(AND($K59="x",AND(MAX(AR59:AT59)=AT59,AT59&lt;&gt;"")),Data!$BK$2,"")</f>
        <v/>
      </c>
      <c r="AY59" s="197"/>
      <c r="AZ59" s="328"/>
      <c r="BA59" s="453">
        <v>60</v>
      </c>
      <c r="BB59" s="454">
        <v>20</v>
      </c>
      <c r="BC59" s="441">
        <f t="shared" si="69"/>
        <v>20</v>
      </c>
      <c r="BD59" s="328"/>
      <c r="BE59" s="197">
        <f>IF(AND($I59="x",AND(MAX(BA59:BC59)=BA59,BA59&lt;&gt;"")),Data!$BI$2,"")</f>
        <v>65</v>
      </c>
      <c r="BF59" s="197" t="str">
        <f>IF(AND($J59="x",AND(MAX(BA59:BC59)=BB59,BB59&lt;&gt;"")),Data!$BJ$2,"")</f>
        <v/>
      </c>
      <c r="BG59" s="197" t="str">
        <f>IF(AND($K59="x",AND(MAX(BA59:BC59)=BC59,BC59&lt;&gt;"")),Data!$BK$2,"")</f>
        <v/>
      </c>
      <c r="BH59" s="197"/>
      <c r="BI59" s="328"/>
      <c r="BJ59" s="453">
        <v>60</v>
      </c>
      <c r="BK59" s="454">
        <v>20</v>
      </c>
      <c r="BL59" s="441">
        <f t="shared" si="70"/>
        <v>20</v>
      </c>
      <c r="BM59" s="328"/>
      <c r="BN59" s="197">
        <f>IF(AND($I59="x",AND(MAX(BJ59:BL59)=BJ59,BJ59&lt;&gt;"")),Data!$BI$2,"")</f>
        <v>65</v>
      </c>
      <c r="BO59" s="197" t="str">
        <f>IF(AND($J59="x",AND(MAX(BJ59:BL59)=BK59,BK59&lt;&gt;"")),Data!$BJ$2,"")</f>
        <v/>
      </c>
      <c r="BP59" s="197" t="str">
        <f>IF(AND($K59="x",AND(MAX(BJ59:BL59)=BL59,BL59&lt;&gt;"")),Data!$BK$2,"")</f>
        <v/>
      </c>
      <c r="BQ59" s="197"/>
      <c r="BR59" s="328"/>
      <c r="BS59" s="453">
        <v>60</v>
      </c>
      <c r="BT59" s="454">
        <v>20</v>
      </c>
      <c r="BU59" s="441">
        <f t="shared" si="71"/>
        <v>20</v>
      </c>
      <c r="BV59" s="328"/>
      <c r="BW59" s="197">
        <f>IF(AND($I59="x",AND(MAX(BS59:BU59)=BS59,BS59&lt;&gt;"")),Data!$BI$2,"")</f>
        <v>65</v>
      </c>
      <c r="BX59" s="197" t="str">
        <f>IF(AND($J59="x",AND(MAX(BS59:BU59)=BT59,BT59&lt;&gt;"")),Data!$BJ$2,"")</f>
        <v/>
      </c>
      <c r="BY59" s="197" t="str">
        <f>IF(AND($K59="x",AND(MAX(BS59:BU59)=BU59,BU59&lt;&gt;"")),Data!$BK$2,"")</f>
        <v/>
      </c>
      <c r="BZ59" s="197"/>
      <c r="CA59" s="328"/>
      <c r="CB59" s="460">
        <f t="shared" si="72"/>
        <v>60</v>
      </c>
      <c r="CC59" s="461">
        <f t="shared" si="73"/>
        <v>20</v>
      </c>
      <c r="CD59" s="462">
        <f t="shared" si="74"/>
        <v>20</v>
      </c>
      <c r="CE59" s="328"/>
      <c r="CF59" s="197">
        <f>IF(AND($I59="x",AND(MAX(CB59:CD59)=CB59,CB59&lt;&gt;"")),Data!$BI$2,"")</f>
        <v>65</v>
      </c>
      <c r="CG59" s="197" t="str">
        <f>IF(AND($J59="x",AND(MAX(CB59:CD59)=CC59,CC59&lt;&gt;"")),Data!$BJ$2,"")</f>
        <v/>
      </c>
      <c r="CH59" s="197" t="str">
        <f>IF(AND($K59="x",AND(MAX(CB59:CD59)=CD59,CD59&lt;&gt;"")),Data!$BK$2,"")</f>
        <v/>
      </c>
      <c r="CI59" s="197"/>
      <c r="CJ59" s="197"/>
      <c r="CK59" s="453">
        <v>60</v>
      </c>
      <c r="CL59" s="454">
        <v>20</v>
      </c>
      <c r="CM59" s="441">
        <f t="shared" si="75"/>
        <v>20</v>
      </c>
      <c r="CN59" s="328"/>
      <c r="CO59" s="197">
        <f>IF(AND($I59="x",AND(MAX(CK59:CM59)=CK59,CK59&lt;&gt;"")),Data!$BI$2,"")</f>
        <v>65</v>
      </c>
      <c r="CP59" s="197" t="str">
        <f>IF(AND($J59="x",AND(MAX(CK59:CM59)=CL59,CL59&lt;&gt;"")),Data!$BJ$2,"")</f>
        <v/>
      </c>
      <c r="CQ59" s="197" t="str">
        <f>IF(AND($K59="x",AND(MAX(CK59:CM59)=CM59,CM59&lt;&gt;"")),Data!$BK$2,"")</f>
        <v/>
      </c>
      <c r="CR59" s="197"/>
      <c r="CS59" s="197"/>
      <c r="CT59" s="328"/>
      <c r="CU59" s="259"/>
      <c r="CV59" s="209"/>
      <c r="CW59" s="227"/>
      <c r="CX59" s="144"/>
      <c r="CY59" s="144"/>
    </row>
    <row r="60" spans="1:103" s="143" customFormat="1" ht="13.35" customHeight="1" outlineLevel="2" x14ac:dyDescent="0.2">
      <c r="A60" s="227"/>
      <c r="B60" s="227"/>
      <c r="C60" s="168"/>
      <c r="D60" s="232"/>
      <c r="E60" s="136" t="s">
        <v>83</v>
      </c>
      <c r="F60" s="426">
        <v>1</v>
      </c>
      <c r="G60" s="432" t="s">
        <v>51</v>
      </c>
      <c r="H60" s="433"/>
      <c r="I60" s="349" t="str">
        <f t="shared" si="62"/>
        <v>x</v>
      </c>
      <c r="J60" s="350" t="str">
        <f t="shared" si="63"/>
        <v/>
      </c>
      <c r="K60" s="351" t="str">
        <f t="shared" si="64"/>
        <v/>
      </c>
      <c r="L60" s="258"/>
      <c r="M60" s="332"/>
      <c r="N60" s="336"/>
      <c r="O60" s="200"/>
      <c r="P60" s="200"/>
      <c r="Q60" s="445">
        <v>60</v>
      </c>
      <c r="R60" s="446">
        <v>20</v>
      </c>
      <c r="S60" s="447">
        <f t="shared" si="65"/>
        <v>20</v>
      </c>
      <c r="T60" s="328"/>
      <c r="U60" s="197">
        <f>IF(AND($I60="x",AND(MAX(Q60:S60)=Q60,Q60&gt;=0)),Data!$BI$2,"")</f>
        <v>65</v>
      </c>
      <c r="V60" s="197" t="str">
        <f>IF(AND($J60="x",AND(MAX(Q60:S60)=R60,R60&gt;=0)),Data!$BJ$2,"")</f>
        <v/>
      </c>
      <c r="W60" s="197" t="str">
        <f>IF(AND($K60="x",AND(MAX(Q60:S60)=S60,S60&gt;=0)),Data!$BK$2,"")</f>
        <v/>
      </c>
      <c r="X60" s="197"/>
      <c r="Y60" s="328"/>
      <c r="Z60" s="455">
        <v>60</v>
      </c>
      <c r="AA60" s="456">
        <v>20</v>
      </c>
      <c r="AB60" s="447">
        <f t="shared" si="66"/>
        <v>20</v>
      </c>
      <c r="AC60" s="328"/>
      <c r="AD60" s="197">
        <f>IF(AND($I60="x",AND(MAX(Z60:AB60)=Z60,Z60&lt;&gt;"")),Data!$BI$2,"")</f>
        <v>65</v>
      </c>
      <c r="AE60" s="197" t="str">
        <f>IF(AND($J60="x",AND(MAX(Z60:AB60)=AA60,AA60&lt;&gt;"")),Data!$BJ$2,"")</f>
        <v/>
      </c>
      <c r="AF60" s="197" t="str">
        <f>IF(AND($K60="x",AND(MAX(Z60:AB60)=AB60,AB60&lt;&gt;"")),Data!$BK$2,"")</f>
        <v/>
      </c>
      <c r="AG60" s="197"/>
      <c r="AH60" s="328"/>
      <c r="AI60" s="455">
        <v>60</v>
      </c>
      <c r="AJ60" s="456">
        <v>20</v>
      </c>
      <c r="AK60" s="447">
        <f t="shared" si="67"/>
        <v>20</v>
      </c>
      <c r="AL60" s="328"/>
      <c r="AM60" s="197">
        <f>IF(AND($I60="x",AND(MAX(AI60:AK60)=AI60,AI60&lt;&gt;"")),Data!$BI$2,"")</f>
        <v>65</v>
      </c>
      <c r="AN60" s="197" t="str">
        <f>IF(AND($J60="x",AND(MAX(AI60:AK60)=AJ60,AJ60&lt;&gt;"")),Data!$BJ$2,"")</f>
        <v/>
      </c>
      <c r="AO60" s="197" t="str">
        <f>IF(AND($K60="x",AND(MAX(AI60:AK60)=AK60,AK60&lt;&gt;"")),Data!$BK$2,"")</f>
        <v/>
      </c>
      <c r="AP60" s="197"/>
      <c r="AQ60" s="328"/>
      <c r="AR60" s="455">
        <v>60</v>
      </c>
      <c r="AS60" s="456">
        <v>20</v>
      </c>
      <c r="AT60" s="447">
        <f t="shared" si="68"/>
        <v>20</v>
      </c>
      <c r="AU60" s="328"/>
      <c r="AV60" s="197">
        <f>IF(AND($I60="x",AND(MAX(AR60:AT60)=AR60,AR60&lt;&gt;"")),Data!$BI$2,"")</f>
        <v>65</v>
      </c>
      <c r="AW60" s="197" t="str">
        <f>IF(AND($J60="x",AND(MAX(AR60:AT60)=AS60,AS60&lt;&gt;"")),Data!$BJ$2,"")</f>
        <v/>
      </c>
      <c r="AX60" s="197" t="str">
        <f>IF(AND($K60="x",AND(MAX(AR60:AT60)=AT60,AT60&lt;&gt;"")),Data!$BK$2,"")</f>
        <v/>
      </c>
      <c r="AY60" s="197"/>
      <c r="AZ60" s="328"/>
      <c r="BA60" s="455">
        <v>60</v>
      </c>
      <c r="BB60" s="456">
        <v>20</v>
      </c>
      <c r="BC60" s="447">
        <f t="shared" si="69"/>
        <v>20</v>
      </c>
      <c r="BD60" s="328"/>
      <c r="BE60" s="197">
        <f>IF(AND($I60="x",AND(MAX(BA60:BC60)=BA60,BA60&lt;&gt;"")),Data!$BI$2,"")</f>
        <v>65</v>
      </c>
      <c r="BF60" s="197" t="str">
        <f>IF(AND($J60="x",AND(MAX(BA60:BC60)=BB60,BB60&lt;&gt;"")),Data!$BJ$2,"")</f>
        <v/>
      </c>
      <c r="BG60" s="197" t="str">
        <f>IF(AND($K60="x",AND(MAX(BA60:BC60)=BC60,BC60&lt;&gt;"")),Data!$BK$2,"")</f>
        <v/>
      </c>
      <c r="BH60" s="197"/>
      <c r="BI60" s="328"/>
      <c r="BJ60" s="455">
        <v>60</v>
      </c>
      <c r="BK60" s="456">
        <v>20</v>
      </c>
      <c r="BL60" s="447">
        <f t="shared" si="70"/>
        <v>20</v>
      </c>
      <c r="BM60" s="328"/>
      <c r="BN60" s="197">
        <f>IF(AND($I60="x",AND(MAX(BJ60:BL60)=BJ60,BJ60&lt;&gt;"")),Data!$BI$2,"")</f>
        <v>65</v>
      </c>
      <c r="BO60" s="197" t="str">
        <f>IF(AND($J60="x",AND(MAX(BJ60:BL60)=BK60,BK60&lt;&gt;"")),Data!$BJ$2,"")</f>
        <v/>
      </c>
      <c r="BP60" s="197" t="str">
        <f>IF(AND($K60="x",AND(MAX(BJ60:BL60)=BL60,BL60&lt;&gt;"")),Data!$BK$2,"")</f>
        <v/>
      </c>
      <c r="BQ60" s="197"/>
      <c r="BR60" s="328"/>
      <c r="BS60" s="455">
        <v>60</v>
      </c>
      <c r="BT60" s="456">
        <v>20</v>
      </c>
      <c r="BU60" s="447">
        <f t="shared" si="71"/>
        <v>20</v>
      </c>
      <c r="BV60" s="328"/>
      <c r="BW60" s="197">
        <f>IF(AND($I60="x",AND(MAX(BS60:BU60)=BS60,BS60&lt;&gt;"")),Data!$BI$2,"")</f>
        <v>65</v>
      </c>
      <c r="BX60" s="197" t="str">
        <f>IF(AND($J60="x",AND(MAX(BS60:BU60)=BT60,BT60&lt;&gt;"")),Data!$BJ$2,"")</f>
        <v/>
      </c>
      <c r="BY60" s="197" t="str">
        <f>IF(AND($K60="x",AND(MAX(BS60:BU60)=BU60,BU60&lt;&gt;"")),Data!$BK$2,"")</f>
        <v/>
      </c>
      <c r="BZ60" s="197"/>
      <c r="CA60" s="328"/>
      <c r="CB60" s="463">
        <f t="shared" si="72"/>
        <v>60</v>
      </c>
      <c r="CC60" s="464">
        <f t="shared" si="73"/>
        <v>20</v>
      </c>
      <c r="CD60" s="465">
        <f t="shared" si="74"/>
        <v>20</v>
      </c>
      <c r="CE60" s="328"/>
      <c r="CF60" s="197">
        <f>IF(AND($I60="x",AND(MAX(CB60:CD60)=CB60,CB60&lt;&gt;"")),Data!$BI$2,"")</f>
        <v>65</v>
      </c>
      <c r="CG60" s="197" t="str">
        <f>IF(AND($J60="x",AND(MAX(CB60:CD60)=CC60,CC60&lt;&gt;"")),Data!$BJ$2,"")</f>
        <v/>
      </c>
      <c r="CH60" s="197" t="str">
        <f>IF(AND($K60="x",AND(MAX(CB60:CD60)=CD60,CD60&lt;&gt;"")),Data!$BK$2,"")</f>
        <v/>
      </c>
      <c r="CI60" s="197"/>
      <c r="CJ60" s="197"/>
      <c r="CK60" s="455">
        <v>60</v>
      </c>
      <c r="CL60" s="456">
        <v>20</v>
      </c>
      <c r="CM60" s="447">
        <f t="shared" si="75"/>
        <v>20</v>
      </c>
      <c r="CN60" s="328"/>
      <c r="CO60" s="197">
        <f>IF(AND($I60="x",AND(MAX(CK60:CM60)=CK60,CK60&lt;&gt;"")),Data!$BI$2,"")</f>
        <v>65</v>
      </c>
      <c r="CP60" s="197" t="str">
        <f>IF(AND($J60="x",AND(MAX(CK60:CM60)=CL60,CL60&lt;&gt;"")),Data!$BJ$2,"")</f>
        <v/>
      </c>
      <c r="CQ60" s="197" t="str">
        <f>IF(AND($K60="x",AND(MAX(CK60:CM60)=CM60,CM60&lt;&gt;"")),Data!$BK$2,"")</f>
        <v/>
      </c>
      <c r="CR60" s="197"/>
      <c r="CS60" s="197"/>
      <c r="CT60" s="328"/>
      <c r="CU60" s="259"/>
      <c r="CV60" s="209"/>
      <c r="CW60" s="227"/>
      <c r="CX60" s="144"/>
      <c r="CY60" s="144"/>
    </row>
    <row r="61" spans="1:103" s="143" customFormat="1" ht="13.35" customHeight="1" outlineLevel="2" x14ac:dyDescent="0.2">
      <c r="A61" s="227"/>
      <c r="B61" s="227"/>
      <c r="C61" s="168"/>
      <c r="D61" s="232"/>
      <c r="E61" s="137" t="s">
        <v>84</v>
      </c>
      <c r="F61" s="427">
        <v>1</v>
      </c>
      <c r="G61" s="434" t="s">
        <v>51</v>
      </c>
      <c r="H61" s="435"/>
      <c r="I61" s="138" t="str">
        <f t="shared" si="62"/>
        <v>x</v>
      </c>
      <c r="J61" s="344" t="str">
        <f t="shared" si="63"/>
        <v/>
      </c>
      <c r="K61" s="345" t="str">
        <f t="shared" si="64"/>
        <v/>
      </c>
      <c r="L61" s="258"/>
      <c r="M61" s="332"/>
      <c r="N61" s="336"/>
      <c r="O61" s="200"/>
      <c r="P61" s="200"/>
      <c r="Q61" s="448">
        <v>60</v>
      </c>
      <c r="R61" s="449">
        <v>20</v>
      </c>
      <c r="S61" s="450">
        <f t="shared" si="65"/>
        <v>20</v>
      </c>
      <c r="T61" s="328"/>
      <c r="U61" s="197">
        <f>IF(AND($I61="x",AND(MAX(Q61:S61)=Q61,Q61&gt;=0)),Data!$BI$2,"")</f>
        <v>65</v>
      </c>
      <c r="V61" s="197" t="str">
        <f>IF(AND($J61="x",AND(MAX(Q61:S61)=R61,R61&gt;=0)),Data!$BJ$2,"")</f>
        <v/>
      </c>
      <c r="W61" s="197" t="str">
        <f>IF(AND($K61="x",AND(MAX(Q61:S61)=S61,S61&gt;=0)),Data!$BK$2,"")</f>
        <v/>
      </c>
      <c r="X61" s="197"/>
      <c r="Y61" s="328"/>
      <c r="Z61" s="451">
        <v>60</v>
      </c>
      <c r="AA61" s="452">
        <v>20</v>
      </c>
      <c r="AB61" s="450">
        <f t="shared" si="66"/>
        <v>20</v>
      </c>
      <c r="AC61" s="328"/>
      <c r="AD61" s="197">
        <f>IF(AND($I61="x",AND(MAX(Z61:AB61)=Z61,Z61&lt;&gt;"")),Data!$BI$2,"")</f>
        <v>65</v>
      </c>
      <c r="AE61" s="197" t="str">
        <f>IF(AND($J61="x",AND(MAX(Z61:AB61)=AA61,AA61&lt;&gt;"")),Data!$BJ$2,"")</f>
        <v/>
      </c>
      <c r="AF61" s="197" t="str">
        <f>IF(AND($K61="x",AND(MAX(Z61:AB61)=AB61,AB61&lt;&gt;"")),Data!$BK$2,"")</f>
        <v/>
      </c>
      <c r="AG61" s="197"/>
      <c r="AH61" s="328"/>
      <c r="AI61" s="451">
        <v>60</v>
      </c>
      <c r="AJ61" s="452">
        <v>20</v>
      </c>
      <c r="AK61" s="450">
        <f t="shared" si="67"/>
        <v>20</v>
      </c>
      <c r="AL61" s="328"/>
      <c r="AM61" s="197">
        <f>IF(AND($I61="x",AND(MAX(AI61:AK61)=AI61,AI61&lt;&gt;"")),Data!$BI$2,"")</f>
        <v>65</v>
      </c>
      <c r="AN61" s="197" t="str">
        <f>IF(AND($J61="x",AND(MAX(AI61:AK61)=AJ61,AJ61&lt;&gt;"")),Data!$BJ$2,"")</f>
        <v/>
      </c>
      <c r="AO61" s="197" t="str">
        <f>IF(AND($K61="x",AND(MAX(AI61:AK61)=AK61,AK61&lt;&gt;"")),Data!$BK$2,"")</f>
        <v/>
      </c>
      <c r="AP61" s="197"/>
      <c r="AQ61" s="328"/>
      <c r="AR61" s="451">
        <v>60</v>
      </c>
      <c r="AS61" s="452">
        <v>20</v>
      </c>
      <c r="AT61" s="450">
        <f t="shared" si="68"/>
        <v>20</v>
      </c>
      <c r="AU61" s="328"/>
      <c r="AV61" s="197">
        <f>IF(AND($I61="x",AND(MAX(AR61:AT61)=AR61,AR61&lt;&gt;"")),Data!$BI$2,"")</f>
        <v>65</v>
      </c>
      <c r="AW61" s="197" t="str">
        <f>IF(AND($J61="x",AND(MAX(AR61:AT61)=AS61,AS61&lt;&gt;"")),Data!$BJ$2,"")</f>
        <v/>
      </c>
      <c r="AX61" s="197" t="str">
        <f>IF(AND($K61="x",AND(MAX(AR61:AT61)=AT61,AT61&lt;&gt;"")),Data!$BK$2,"")</f>
        <v/>
      </c>
      <c r="AY61" s="197"/>
      <c r="AZ61" s="328"/>
      <c r="BA61" s="451">
        <v>60</v>
      </c>
      <c r="BB61" s="452">
        <v>20</v>
      </c>
      <c r="BC61" s="450">
        <f t="shared" si="69"/>
        <v>20</v>
      </c>
      <c r="BD61" s="328"/>
      <c r="BE61" s="197">
        <f>IF(AND($I61="x",AND(MAX(BA61:BC61)=BA61,BA61&lt;&gt;"")),Data!$BI$2,"")</f>
        <v>65</v>
      </c>
      <c r="BF61" s="197" t="str">
        <f>IF(AND($J61="x",AND(MAX(BA61:BC61)=BB61,BB61&lt;&gt;"")),Data!$BJ$2,"")</f>
        <v/>
      </c>
      <c r="BG61" s="197" t="str">
        <f>IF(AND($K61="x",AND(MAX(BA61:BC61)=BC61,BC61&lt;&gt;"")),Data!$BK$2,"")</f>
        <v/>
      </c>
      <c r="BH61" s="197"/>
      <c r="BI61" s="328"/>
      <c r="BJ61" s="451">
        <v>60</v>
      </c>
      <c r="BK61" s="452">
        <v>20</v>
      </c>
      <c r="BL61" s="450">
        <f t="shared" si="70"/>
        <v>20</v>
      </c>
      <c r="BM61" s="328"/>
      <c r="BN61" s="197">
        <f>IF(AND($I61="x",AND(MAX(BJ61:BL61)=BJ61,BJ61&lt;&gt;"")),Data!$BI$2,"")</f>
        <v>65</v>
      </c>
      <c r="BO61" s="197" t="str">
        <f>IF(AND($J61="x",AND(MAX(BJ61:BL61)=BK61,BK61&lt;&gt;"")),Data!$BJ$2,"")</f>
        <v/>
      </c>
      <c r="BP61" s="197" t="str">
        <f>IF(AND($K61="x",AND(MAX(BJ61:BL61)=BL61,BL61&lt;&gt;"")),Data!$BK$2,"")</f>
        <v/>
      </c>
      <c r="BQ61" s="197"/>
      <c r="BR61" s="328"/>
      <c r="BS61" s="451">
        <v>60</v>
      </c>
      <c r="BT61" s="452">
        <v>20</v>
      </c>
      <c r="BU61" s="450">
        <f t="shared" si="71"/>
        <v>20</v>
      </c>
      <c r="BV61" s="328"/>
      <c r="BW61" s="197">
        <f>IF(AND($I61="x",AND(MAX(BS61:BU61)=BS61,BS61&lt;&gt;"")),Data!$BI$2,"")</f>
        <v>65</v>
      </c>
      <c r="BX61" s="197" t="str">
        <f>IF(AND($J61="x",AND(MAX(BS61:BU61)=BT61,BT61&lt;&gt;"")),Data!$BJ$2,"")</f>
        <v/>
      </c>
      <c r="BY61" s="197" t="str">
        <f>IF(AND($K61="x",AND(MAX(BS61:BU61)=BU61,BU61&lt;&gt;"")),Data!$BK$2,"")</f>
        <v/>
      </c>
      <c r="BZ61" s="197"/>
      <c r="CA61" s="328"/>
      <c r="CB61" s="457">
        <f t="shared" si="72"/>
        <v>60</v>
      </c>
      <c r="CC61" s="458">
        <f t="shared" si="73"/>
        <v>20</v>
      </c>
      <c r="CD61" s="459">
        <f t="shared" si="74"/>
        <v>20</v>
      </c>
      <c r="CE61" s="328"/>
      <c r="CF61" s="197">
        <f>IF(AND($I61="x",AND(MAX(CB61:CD61)=CB61,CB61&lt;&gt;"")),Data!$BI$2,"")</f>
        <v>65</v>
      </c>
      <c r="CG61" s="197" t="str">
        <f>IF(AND($J61="x",AND(MAX(CB61:CD61)=CC61,CC61&lt;&gt;"")),Data!$BJ$2,"")</f>
        <v/>
      </c>
      <c r="CH61" s="197" t="str">
        <f>IF(AND($K61="x",AND(MAX(CB61:CD61)=CD61,CD61&lt;&gt;"")),Data!$BK$2,"")</f>
        <v/>
      </c>
      <c r="CI61" s="197"/>
      <c r="CJ61" s="197"/>
      <c r="CK61" s="451">
        <v>60</v>
      </c>
      <c r="CL61" s="452">
        <v>20</v>
      </c>
      <c r="CM61" s="450">
        <f t="shared" si="75"/>
        <v>20</v>
      </c>
      <c r="CN61" s="328"/>
      <c r="CO61" s="197">
        <f>IF(AND($I61="x",AND(MAX(CK61:CM61)=CK61,CK61&lt;&gt;"")),Data!$BI$2,"")</f>
        <v>65</v>
      </c>
      <c r="CP61" s="197" t="str">
        <f>IF(AND($J61="x",AND(MAX(CK61:CM61)=CL61,CL61&lt;&gt;"")),Data!$BJ$2,"")</f>
        <v/>
      </c>
      <c r="CQ61" s="197" t="str">
        <f>IF(AND($K61="x",AND(MAX(CK61:CM61)=CM61,CM61&lt;&gt;"")),Data!$BK$2,"")</f>
        <v/>
      </c>
      <c r="CR61" s="197"/>
      <c r="CS61" s="197"/>
      <c r="CT61" s="328"/>
      <c r="CU61" s="259"/>
      <c r="CV61" s="209"/>
      <c r="CW61" s="227"/>
      <c r="CX61" s="144"/>
      <c r="CY61" s="144"/>
    </row>
    <row r="62" spans="1:103" s="143" customFormat="1" ht="13.35" customHeight="1" outlineLevel="2" x14ac:dyDescent="0.2">
      <c r="A62" s="227"/>
      <c r="B62" s="227"/>
      <c r="C62" s="168"/>
      <c r="D62" s="232"/>
      <c r="E62" s="135" t="s">
        <v>85</v>
      </c>
      <c r="F62" s="425">
        <v>1</v>
      </c>
      <c r="G62" s="430" t="s">
        <v>51</v>
      </c>
      <c r="H62" s="431"/>
      <c r="I62" s="346" t="str">
        <f t="shared" si="62"/>
        <v>x</v>
      </c>
      <c r="J62" s="347" t="str">
        <f t="shared" si="63"/>
        <v/>
      </c>
      <c r="K62" s="348" t="str">
        <f t="shared" si="64"/>
        <v/>
      </c>
      <c r="L62" s="258"/>
      <c r="M62" s="332"/>
      <c r="N62" s="336"/>
      <c r="O62" s="200"/>
      <c r="P62" s="200"/>
      <c r="Q62" s="439">
        <v>60</v>
      </c>
      <c r="R62" s="440">
        <v>20</v>
      </c>
      <c r="S62" s="441">
        <f t="shared" si="65"/>
        <v>20</v>
      </c>
      <c r="T62" s="328"/>
      <c r="U62" s="197">
        <f>IF(AND($I62="x",AND(MAX(Q62:S62)=Q62,Q62&gt;=0)),Data!$BI$2,"")</f>
        <v>65</v>
      </c>
      <c r="V62" s="197" t="str">
        <f>IF(AND($J62="x",AND(MAX(Q62:S62)=R62,R62&gt;=0)),Data!$BJ$2,"")</f>
        <v/>
      </c>
      <c r="W62" s="197" t="str">
        <f>IF(AND($K62="x",AND(MAX(Q62:S62)=S62,S62&gt;=0)),Data!$BK$2,"")</f>
        <v/>
      </c>
      <c r="X62" s="197"/>
      <c r="Y62" s="328"/>
      <c r="Z62" s="453">
        <v>60</v>
      </c>
      <c r="AA62" s="454">
        <v>20</v>
      </c>
      <c r="AB62" s="441">
        <f t="shared" si="66"/>
        <v>20</v>
      </c>
      <c r="AC62" s="328"/>
      <c r="AD62" s="197">
        <f>IF(AND($I62="x",AND(MAX(Z62:AB62)=Z62,Z62&lt;&gt;"")),Data!$BI$2,"")</f>
        <v>65</v>
      </c>
      <c r="AE62" s="197" t="str">
        <f>IF(AND($J62="x",AND(MAX(Z62:AB62)=AA62,AA62&lt;&gt;"")),Data!$BJ$2,"")</f>
        <v/>
      </c>
      <c r="AF62" s="197" t="str">
        <f>IF(AND($K62="x",AND(MAX(Z62:AB62)=AB62,AB62&lt;&gt;"")),Data!$BK$2,"")</f>
        <v/>
      </c>
      <c r="AG62" s="197"/>
      <c r="AH62" s="328"/>
      <c r="AI62" s="453">
        <v>60</v>
      </c>
      <c r="AJ62" s="454">
        <v>20</v>
      </c>
      <c r="AK62" s="441">
        <f t="shared" si="67"/>
        <v>20</v>
      </c>
      <c r="AL62" s="328"/>
      <c r="AM62" s="197">
        <f>IF(AND($I62="x",AND(MAX(AI62:AK62)=AI62,AI62&lt;&gt;"")),Data!$BI$2,"")</f>
        <v>65</v>
      </c>
      <c r="AN62" s="197" t="str">
        <f>IF(AND($J62="x",AND(MAX(AI62:AK62)=AJ62,AJ62&lt;&gt;"")),Data!$BJ$2,"")</f>
        <v/>
      </c>
      <c r="AO62" s="197" t="str">
        <f>IF(AND($K62="x",AND(MAX(AI62:AK62)=AK62,AK62&lt;&gt;"")),Data!$BK$2,"")</f>
        <v/>
      </c>
      <c r="AP62" s="197"/>
      <c r="AQ62" s="328"/>
      <c r="AR62" s="453">
        <v>60</v>
      </c>
      <c r="AS62" s="454">
        <v>20</v>
      </c>
      <c r="AT62" s="441">
        <f t="shared" si="68"/>
        <v>20</v>
      </c>
      <c r="AU62" s="328"/>
      <c r="AV62" s="197">
        <f>IF(AND($I62="x",AND(MAX(AR62:AT62)=AR62,AR62&lt;&gt;"")),Data!$BI$2,"")</f>
        <v>65</v>
      </c>
      <c r="AW62" s="197" t="str">
        <f>IF(AND($J62="x",AND(MAX(AR62:AT62)=AS62,AS62&lt;&gt;"")),Data!$BJ$2,"")</f>
        <v/>
      </c>
      <c r="AX62" s="197" t="str">
        <f>IF(AND($K62="x",AND(MAX(AR62:AT62)=AT62,AT62&lt;&gt;"")),Data!$BK$2,"")</f>
        <v/>
      </c>
      <c r="AY62" s="197"/>
      <c r="AZ62" s="328"/>
      <c r="BA62" s="453">
        <v>60</v>
      </c>
      <c r="BB62" s="454">
        <v>20</v>
      </c>
      <c r="BC62" s="441">
        <f t="shared" si="69"/>
        <v>20</v>
      </c>
      <c r="BD62" s="328"/>
      <c r="BE62" s="197">
        <f>IF(AND($I62="x",AND(MAX(BA62:BC62)=BA62,BA62&lt;&gt;"")),Data!$BI$2,"")</f>
        <v>65</v>
      </c>
      <c r="BF62" s="197" t="str">
        <f>IF(AND($J62="x",AND(MAX(BA62:BC62)=BB62,BB62&lt;&gt;"")),Data!$BJ$2,"")</f>
        <v/>
      </c>
      <c r="BG62" s="197" t="str">
        <f>IF(AND($K62="x",AND(MAX(BA62:BC62)=BC62,BC62&lt;&gt;"")),Data!$BK$2,"")</f>
        <v/>
      </c>
      <c r="BH62" s="197"/>
      <c r="BI62" s="328"/>
      <c r="BJ62" s="453">
        <v>60</v>
      </c>
      <c r="BK62" s="454">
        <v>20</v>
      </c>
      <c r="BL62" s="441">
        <f t="shared" si="70"/>
        <v>20</v>
      </c>
      <c r="BM62" s="328"/>
      <c r="BN62" s="197">
        <f>IF(AND($I62="x",AND(MAX(BJ62:BL62)=BJ62,BJ62&lt;&gt;"")),Data!$BI$2,"")</f>
        <v>65</v>
      </c>
      <c r="BO62" s="197" t="str">
        <f>IF(AND($J62="x",AND(MAX(BJ62:BL62)=BK62,BK62&lt;&gt;"")),Data!$BJ$2,"")</f>
        <v/>
      </c>
      <c r="BP62" s="197" t="str">
        <f>IF(AND($K62="x",AND(MAX(BJ62:BL62)=BL62,BL62&lt;&gt;"")),Data!$BK$2,"")</f>
        <v/>
      </c>
      <c r="BQ62" s="197"/>
      <c r="BR62" s="328"/>
      <c r="BS62" s="453">
        <v>60</v>
      </c>
      <c r="BT62" s="454">
        <v>20</v>
      </c>
      <c r="BU62" s="441">
        <f t="shared" si="71"/>
        <v>20</v>
      </c>
      <c r="BV62" s="328"/>
      <c r="BW62" s="197">
        <f>IF(AND($I62="x",AND(MAX(BS62:BU62)=BS62,BS62&lt;&gt;"")),Data!$BI$2,"")</f>
        <v>65</v>
      </c>
      <c r="BX62" s="197" t="str">
        <f>IF(AND($J62="x",AND(MAX(BS62:BU62)=BT62,BT62&lt;&gt;"")),Data!$BJ$2,"")</f>
        <v/>
      </c>
      <c r="BY62" s="197" t="str">
        <f>IF(AND($K62="x",AND(MAX(BS62:BU62)=BU62,BU62&lt;&gt;"")),Data!$BK$2,"")</f>
        <v/>
      </c>
      <c r="BZ62" s="197"/>
      <c r="CA62" s="328"/>
      <c r="CB62" s="460">
        <f t="shared" si="72"/>
        <v>60</v>
      </c>
      <c r="CC62" s="461">
        <f t="shared" si="73"/>
        <v>20</v>
      </c>
      <c r="CD62" s="462">
        <f t="shared" si="74"/>
        <v>20</v>
      </c>
      <c r="CE62" s="328"/>
      <c r="CF62" s="197">
        <f>IF(AND($I62="x",AND(MAX(CB62:CD62)=CB62,CB62&lt;&gt;"")),Data!$BI$2,"")</f>
        <v>65</v>
      </c>
      <c r="CG62" s="197" t="str">
        <f>IF(AND($J62="x",AND(MAX(CB62:CD62)=CC62,CC62&lt;&gt;"")),Data!$BJ$2,"")</f>
        <v/>
      </c>
      <c r="CH62" s="197" t="str">
        <f>IF(AND($K62="x",AND(MAX(CB62:CD62)=CD62,CD62&lt;&gt;"")),Data!$BK$2,"")</f>
        <v/>
      </c>
      <c r="CI62" s="197"/>
      <c r="CJ62" s="197"/>
      <c r="CK62" s="453">
        <v>60</v>
      </c>
      <c r="CL62" s="454">
        <v>20</v>
      </c>
      <c r="CM62" s="441">
        <f t="shared" si="75"/>
        <v>20</v>
      </c>
      <c r="CN62" s="328"/>
      <c r="CO62" s="197">
        <f>IF(AND($I62="x",AND(MAX(CK62:CM62)=CK62,CK62&lt;&gt;"")),Data!$BI$2,"")</f>
        <v>65</v>
      </c>
      <c r="CP62" s="197" t="str">
        <f>IF(AND($J62="x",AND(MAX(CK62:CM62)=CL62,CL62&lt;&gt;"")),Data!$BJ$2,"")</f>
        <v/>
      </c>
      <c r="CQ62" s="197" t="str">
        <f>IF(AND($K62="x",AND(MAX(CK62:CM62)=CM62,CM62&lt;&gt;"")),Data!$BK$2,"")</f>
        <v/>
      </c>
      <c r="CR62" s="197"/>
      <c r="CS62" s="197"/>
      <c r="CT62" s="328"/>
      <c r="CU62" s="259"/>
      <c r="CV62" s="209"/>
      <c r="CW62" s="227"/>
      <c r="CX62" s="144"/>
      <c r="CY62" s="144"/>
    </row>
    <row r="63" spans="1:103" s="143" customFormat="1" ht="13.35" customHeight="1" outlineLevel="2" x14ac:dyDescent="0.2">
      <c r="A63" s="227"/>
      <c r="B63" s="227"/>
      <c r="C63" s="168"/>
      <c r="D63" s="232"/>
      <c r="E63" s="136" t="s">
        <v>86</v>
      </c>
      <c r="F63" s="426">
        <v>1</v>
      </c>
      <c r="G63" s="432" t="s">
        <v>51</v>
      </c>
      <c r="H63" s="433"/>
      <c r="I63" s="349" t="str">
        <f t="shared" si="62"/>
        <v>x</v>
      </c>
      <c r="J63" s="350" t="str">
        <f t="shared" si="63"/>
        <v/>
      </c>
      <c r="K63" s="351" t="str">
        <f t="shared" si="64"/>
        <v/>
      </c>
      <c r="L63" s="258"/>
      <c r="M63" s="332"/>
      <c r="N63" s="336"/>
      <c r="O63" s="200"/>
      <c r="P63" s="200"/>
      <c r="Q63" s="445">
        <v>60</v>
      </c>
      <c r="R63" s="446">
        <v>20</v>
      </c>
      <c r="S63" s="447">
        <f t="shared" si="65"/>
        <v>20</v>
      </c>
      <c r="T63" s="328"/>
      <c r="U63" s="197">
        <f>IF(AND($I63="x",AND(MAX(Q63:S63)=Q63,Q63&gt;=0)),Data!$BI$2,"")</f>
        <v>65</v>
      </c>
      <c r="V63" s="197" t="str">
        <f>IF(AND($J63="x",AND(MAX(Q63:S63)=R63,R63&gt;=0)),Data!$BJ$2,"")</f>
        <v/>
      </c>
      <c r="W63" s="197" t="str">
        <f>IF(AND($K63="x",AND(MAX(Q63:S63)=S63,S63&gt;=0)),Data!$BK$2,"")</f>
        <v/>
      </c>
      <c r="X63" s="197"/>
      <c r="Y63" s="328"/>
      <c r="Z63" s="455">
        <v>60</v>
      </c>
      <c r="AA63" s="456">
        <v>20</v>
      </c>
      <c r="AB63" s="447">
        <f t="shared" si="66"/>
        <v>20</v>
      </c>
      <c r="AC63" s="328"/>
      <c r="AD63" s="197">
        <f>IF(AND($I63="x",AND(MAX(Z63:AB63)=Z63,Z63&lt;&gt;"")),Data!$BI$2,"")</f>
        <v>65</v>
      </c>
      <c r="AE63" s="197" t="str">
        <f>IF(AND($J63="x",AND(MAX(Z63:AB63)=AA63,AA63&lt;&gt;"")),Data!$BJ$2,"")</f>
        <v/>
      </c>
      <c r="AF63" s="197" t="str">
        <f>IF(AND($K63="x",AND(MAX(Z63:AB63)=AB63,AB63&lt;&gt;"")),Data!$BK$2,"")</f>
        <v/>
      </c>
      <c r="AG63" s="197"/>
      <c r="AH63" s="328"/>
      <c r="AI63" s="455">
        <v>60</v>
      </c>
      <c r="AJ63" s="456">
        <v>20</v>
      </c>
      <c r="AK63" s="447">
        <f t="shared" si="67"/>
        <v>20</v>
      </c>
      <c r="AL63" s="328"/>
      <c r="AM63" s="197">
        <f>IF(AND($I63="x",AND(MAX(AI63:AK63)=AI63,AI63&lt;&gt;"")),Data!$BI$2,"")</f>
        <v>65</v>
      </c>
      <c r="AN63" s="197" t="str">
        <f>IF(AND($J63="x",AND(MAX(AI63:AK63)=AJ63,AJ63&lt;&gt;"")),Data!$BJ$2,"")</f>
        <v/>
      </c>
      <c r="AO63" s="197" t="str">
        <f>IF(AND($K63="x",AND(MAX(AI63:AK63)=AK63,AK63&lt;&gt;"")),Data!$BK$2,"")</f>
        <v/>
      </c>
      <c r="AP63" s="197"/>
      <c r="AQ63" s="328"/>
      <c r="AR63" s="455">
        <v>60</v>
      </c>
      <c r="AS63" s="456">
        <v>20</v>
      </c>
      <c r="AT63" s="447">
        <f t="shared" si="68"/>
        <v>20</v>
      </c>
      <c r="AU63" s="328"/>
      <c r="AV63" s="197">
        <f>IF(AND($I63="x",AND(MAX(AR63:AT63)=AR63,AR63&lt;&gt;"")),Data!$BI$2,"")</f>
        <v>65</v>
      </c>
      <c r="AW63" s="197" t="str">
        <f>IF(AND($J63="x",AND(MAX(AR63:AT63)=AS63,AS63&lt;&gt;"")),Data!$BJ$2,"")</f>
        <v/>
      </c>
      <c r="AX63" s="197" t="str">
        <f>IF(AND($K63="x",AND(MAX(AR63:AT63)=AT63,AT63&lt;&gt;"")),Data!$BK$2,"")</f>
        <v/>
      </c>
      <c r="AY63" s="197"/>
      <c r="AZ63" s="328"/>
      <c r="BA63" s="455">
        <v>60</v>
      </c>
      <c r="BB63" s="456">
        <v>20</v>
      </c>
      <c r="BC63" s="447">
        <f t="shared" si="69"/>
        <v>20</v>
      </c>
      <c r="BD63" s="328"/>
      <c r="BE63" s="197">
        <f>IF(AND($I63="x",AND(MAX(BA63:BC63)=BA63,BA63&lt;&gt;"")),Data!$BI$2,"")</f>
        <v>65</v>
      </c>
      <c r="BF63" s="197" t="str">
        <f>IF(AND($J63="x",AND(MAX(BA63:BC63)=BB63,BB63&lt;&gt;"")),Data!$BJ$2,"")</f>
        <v/>
      </c>
      <c r="BG63" s="197" t="str">
        <f>IF(AND($K63="x",AND(MAX(BA63:BC63)=BC63,BC63&lt;&gt;"")),Data!$BK$2,"")</f>
        <v/>
      </c>
      <c r="BH63" s="197"/>
      <c r="BI63" s="328"/>
      <c r="BJ63" s="455">
        <v>60</v>
      </c>
      <c r="BK63" s="456">
        <v>20</v>
      </c>
      <c r="BL63" s="447">
        <f t="shared" si="70"/>
        <v>20</v>
      </c>
      <c r="BM63" s="328"/>
      <c r="BN63" s="197">
        <f>IF(AND($I63="x",AND(MAX(BJ63:BL63)=BJ63,BJ63&lt;&gt;"")),Data!$BI$2,"")</f>
        <v>65</v>
      </c>
      <c r="BO63" s="197" t="str">
        <f>IF(AND($J63="x",AND(MAX(BJ63:BL63)=BK63,BK63&lt;&gt;"")),Data!$BJ$2,"")</f>
        <v/>
      </c>
      <c r="BP63" s="197" t="str">
        <f>IF(AND($K63="x",AND(MAX(BJ63:BL63)=BL63,BL63&lt;&gt;"")),Data!$BK$2,"")</f>
        <v/>
      </c>
      <c r="BQ63" s="197"/>
      <c r="BR63" s="328"/>
      <c r="BS63" s="455">
        <v>60</v>
      </c>
      <c r="BT63" s="456">
        <v>20</v>
      </c>
      <c r="BU63" s="447">
        <f t="shared" si="71"/>
        <v>20</v>
      </c>
      <c r="BV63" s="328"/>
      <c r="BW63" s="197">
        <f>IF(AND($I63="x",AND(MAX(BS63:BU63)=BS63,BS63&lt;&gt;"")),Data!$BI$2,"")</f>
        <v>65</v>
      </c>
      <c r="BX63" s="197" t="str">
        <f>IF(AND($J63="x",AND(MAX(BS63:BU63)=BT63,BT63&lt;&gt;"")),Data!$BJ$2,"")</f>
        <v/>
      </c>
      <c r="BY63" s="197" t="str">
        <f>IF(AND($K63="x",AND(MAX(BS63:BU63)=BU63,BU63&lt;&gt;"")),Data!$BK$2,"")</f>
        <v/>
      </c>
      <c r="BZ63" s="197"/>
      <c r="CA63" s="328"/>
      <c r="CB63" s="463">
        <f t="shared" si="72"/>
        <v>60</v>
      </c>
      <c r="CC63" s="464">
        <f t="shared" si="73"/>
        <v>20</v>
      </c>
      <c r="CD63" s="465">
        <f t="shared" si="74"/>
        <v>20</v>
      </c>
      <c r="CE63" s="328"/>
      <c r="CF63" s="197">
        <f>IF(AND($I63="x",AND(MAX(CB63:CD63)=CB63,CB63&lt;&gt;"")),Data!$BI$2,"")</f>
        <v>65</v>
      </c>
      <c r="CG63" s="197" t="str">
        <f>IF(AND($J63="x",AND(MAX(CB63:CD63)=CC63,CC63&lt;&gt;"")),Data!$BJ$2,"")</f>
        <v/>
      </c>
      <c r="CH63" s="197" t="str">
        <f>IF(AND($K63="x",AND(MAX(CB63:CD63)=CD63,CD63&lt;&gt;"")),Data!$BK$2,"")</f>
        <v/>
      </c>
      <c r="CI63" s="197"/>
      <c r="CJ63" s="197"/>
      <c r="CK63" s="455">
        <v>60</v>
      </c>
      <c r="CL63" s="456">
        <v>20</v>
      </c>
      <c r="CM63" s="447">
        <f t="shared" si="75"/>
        <v>20</v>
      </c>
      <c r="CN63" s="328"/>
      <c r="CO63" s="197">
        <f>IF(AND($I63="x",AND(MAX(CK63:CM63)=CK63,CK63&lt;&gt;"")),Data!$BI$2,"")</f>
        <v>65</v>
      </c>
      <c r="CP63" s="197" t="str">
        <f>IF(AND($J63="x",AND(MAX(CK63:CM63)=CL63,CL63&lt;&gt;"")),Data!$BJ$2,"")</f>
        <v/>
      </c>
      <c r="CQ63" s="197" t="str">
        <f>IF(AND($K63="x",AND(MAX(CK63:CM63)=CM63,CM63&lt;&gt;"")),Data!$BK$2,"")</f>
        <v/>
      </c>
      <c r="CR63" s="197"/>
      <c r="CS63" s="197"/>
      <c r="CT63" s="328"/>
      <c r="CU63" s="259"/>
      <c r="CV63" s="209"/>
      <c r="CW63" s="227"/>
      <c r="CX63" s="145"/>
      <c r="CY63" s="144"/>
    </row>
    <row r="64" spans="1:103" s="142" customFormat="1" ht="13.35" customHeight="1" outlineLevel="1" x14ac:dyDescent="0.2">
      <c r="A64" s="227"/>
      <c r="B64" s="227"/>
      <c r="C64" s="168"/>
      <c r="D64" s="233"/>
      <c r="E64" s="199"/>
      <c r="F64" s="352">
        <f>IF(SUM(F52:F63)=0,"",SUM(F52:F63))</f>
        <v>12</v>
      </c>
      <c r="G64" s="327" t="s">
        <v>51</v>
      </c>
      <c r="H64" s="353" t="str">
        <f>IF(SUM(H52:H63)=0,"",SUM(H52:H63))</f>
        <v/>
      </c>
      <c r="I64" s="354">
        <f>IF(COUNTIF(I52:I63,"=x")=0,"",COUNTIF(I52:I63,"=x"))</f>
        <v>12</v>
      </c>
      <c r="J64" s="355" t="str">
        <f>IF(COUNTIF(J52:J63,"=x")=0,"",COUNTIF(J52:J63,"=x"))</f>
        <v/>
      </c>
      <c r="K64" s="356" t="str">
        <f>IF(COUNTIF(K52:K63,"=x")=0,"",COUNTIF(K52:K63,"=x"))</f>
        <v/>
      </c>
      <c r="L64" s="258"/>
      <c r="M64" s="332"/>
      <c r="N64" s="336"/>
      <c r="O64" s="200"/>
      <c r="P64" s="326"/>
      <c r="Q64" s="422">
        <f>SUM(U52:U63)</f>
        <v>780</v>
      </c>
      <c r="R64" s="422">
        <f t="shared" ref="R64:S64" si="76">SUM(V52:V63)</f>
        <v>0</v>
      </c>
      <c r="S64" s="422">
        <f t="shared" si="76"/>
        <v>0</v>
      </c>
      <c r="T64" s="325"/>
      <c r="U64" s="197">
        <f>SUM(U52:U63)</f>
        <v>780</v>
      </c>
      <c r="V64" s="197">
        <f t="shared" ref="V64:W64" si="77">SUM(V52:V63)</f>
        <v>0</v>
      </c>
      <c r="W64" s="197">
        <f t="shared" si="77"/>
        <v>0</v>
      </c>
      <c r="X64" s="197"/>
      <c r="Y64" s="324"/>
      <c r="Z64" s="422">
        <f>SUM(AD52:AD63)</f>
        <v>780</v>
      </c>
      <c r="AA64" s="422">
        <f t="shared" ref="AA64:AB64" si="78">SUM(AE52:AE63)</f>
        <v>0</v>
      </c>
      <c r="AB64" s="422">
        <f t="shared" si="78"/>
        <v>0</v>
      </c>
      <c r="AC64" s="325"/>
      <c r="AD64" s="197">
        <f>SUM(AD52:AD63)</f>
        <v>780</v>
      </c>
      <c r="AE64" s="197">
        <f t="shared" ref="AE64:AF64" si="79">SUM(AE52:AE63)</f>
        <v>0</v>
      </c>
      <c r="AF64" s="197">
        <f t="shared" si="79"/>
        <v>0</v>
      </c>
      <c r="AG64" s="197"/>
      <c r="AH64" s="324"/>
      <c r="AI64" s="422">
        <f>SUM(AM52:AM63)</f>
        <v>780</v>
      </c>
      <c r="AJ64" s="422">
        <f t="shared" ref="AJ64:AK64" si="80">SUM(AN52:AN63)</f>
        <v>0</v>
      </c>
      <c r="AK64" s="422">
        <f t="shared" si="80"/>
        <v>0</v>
      </c>
      <c r="AL64" s="325"/>
      <c r="AM64" s="197">
        <f>SUM(AM52:AM63)</f>
        <v>780</v>
      </c>
      <c r="AN64" s="197">
        <f t="shared" ref="AN64:AO64" si="81">SUM(AN52:AN63)</f>
        <v>0</v>
      </c>
      <c r="AO64" s="197">
        <f t="shared" si="81"/>
        <v>0</v>
      </c>
      <c r="AP64" s="197"/>
      <c r="AQ64" s="324"/>
      <c r="AR64" s="422">
        <f>SUM(AV52:AV63)</f>
        <v>780</v>
      </c>
      <c r="AS64" s="422">
        <f t="shared" ref="AS64:AT64" si="82">SUM(AW52:AW63)</f>
        <v>0</v>
      </c>
      <c r="AT64" s="422">
        <f t="shared" si="82"/>
        <v>0</v>
      </c>
      <c r="AU64" s="325"/>
      <c r="AV64" s="197">
        <f>SUM(AV52:AV63)</f>
        <v>780</v>
      </c>
      <c r="AW64" s="197">
        <f t="shared" ref="AW64:AX64" si="83">SUM(AW52:AW63)</f>
        <v>0</v>
      </c>
      <c r="AX64" s="197">
        <f t="shared" si="83"/>
        <v>0</v>
      </c>
      <c r="AY64" s="197"/>
      <c r="AZ64" s="324"/>
      <c r="BA64" s="422">
        <f>SUM(BE52:BE63)</f>
        <v>780</v>
      </c>
      <c r="BB64" s="422">
        <f t="shared" ref="BB64:BC64" si="84">SUM(BF52:BF63)</f>
        <v>0</v>
      </c>
      <c r="BC64" s="422">
        <f t="shared" si="84"/>
        <v>0</v>
      </c>
      <c r="BD64" s="325"/>
      <c r="BE64" s="197">
        <f>SUM(BE52:BE63)</f>
        <v>780</v>
      </c>
      <c r="BF64" s="197">
        <f t="shared" ref="BF64:BG64" si="85">SUM(BF52:BF63)</f>
        <v>0</v>
      </c>
      <c r="BG64" s="197">
        <f t="shared" si="85"/>
        <v>0</v>
      </c>
      <c r="BH64" s="197"/>
      <c r="BI64" s="324"/>
      <c r="BJ64" s="422">
        <f>SUM(BN52:BN63)</f>
        <v>780</v>
      </c>
      <c r="BK64" s="422">
        <f t="shared" ref="BK64" si="86">SUM(BO52:BO63)</f>
        <v>0</v>
      </c>
      <c r="BL64" s="422">
        <f t="shared" ref="BL64" si="87">SUM(BP52:BP63)</f>
        <v>0</v>
      </c>
      <c r="BM64" s="325"/>
      <c r="BN64" s="197">
        <f>SUM(BN52:BN63)</f>
        <v>780</v>
      </c>
      <c r="BO64" s="197">
        <f t="shared" ref="BO64:BP64" si="88">SUM(BO52:BO63)</f>
        <v>0</v>
      </c>
      <c r="BP64" s="197">
        <f t="shared" si="88"/>
        <v>0</v>
      </c>
      <c r="BQ64" s="197"/>
      <c r="BR64" s="324"/>
      <c r="BS64" s="422">
        <f>SUM(BW52:BW63)</f>
        <v>780</v>
      </c>
      <c r="BT64" s="422">
        <f t="shared" ref="BT64:BU64" si="89">SUM(BX52:BX63)</f>
        <v>0</v>
      </c>
      <c r="BU64" s="422">
        <f t="shared" si="89"/>
        <v>0</v>
      </c>
      <c r="BV64" s="325"/>
      <c r="BW64" s="197">
        <f>SUM(BW52:BW63)</f>
        <v>780</v>
      </c>
      <c r="BX64" s="197">
        <f t="shared" ref="BX64:BY64" si="90">SUM(BX52:BX63)</f>
        <v>0</v>
      </c>
      <c r="BY64" s="197">
        <f t="shared" si="90"/>
        <v>0</v>
      </c>
      <c r="BZ64" s="197"/>
      <c r="CA64" s="326"/>
      <c r="CB64" s="422">
        <f>SUM(CF52:CF63)</f>
        <v>780</v>
      </c>
      <c r="CC64" s="422">
        <f t="shared" ref="CC64:CD64" si="91">SUM(CG52:CG63)</f>
        <v>0</v>
      </c>
      <c r="CD64" s="422">
        <f t="shared" si="91"/>
        <v>0</v>
      </c>
      <c r="CE64" s="325"/>
      <c r="CF64" s="197">
        <f>SUM(CF52:CF63)</f>
        <v>780</v>
      </c>
      <c r="CG64" s="197">
        <f t="shared" ref="CG64:CH64" si="92">SUM(CG52:CG63)</f>
        <v>0</v>
      </c>
      <c r="CH64" s="197">
        <f t="shared" si="92"/>
        <v>0</v>
      </c>
      <c r="CI64" s="197"/>
      <c r="CJ64" s="197"/>
      <c r="CK64" s="422">
        <f>SUM(CO52:CO63)</f>
        <v>780</v>
      </c>
      <c r="CL64" s="422">
        <f t="shared" ref="CL64:CM64" si="93">SUM(CP52:CP63)</f>
        <v>0</v>
      </c>
      <c r="CM64" s="422">
        <f t="shared" si="93"/>
        <v>0</v>
      </c>
      <c r="CN64" s="325"/>
      <c r="CO64" s="197">
        <f>SUM(CO52:CO63)</f>
        <v>780</v>
      </c>
      <c r="CP64" s="197">
        <f t="shared" ref="CP64:CQ64" si="94">SUM(CP52:CP63)</f>
        <v>0</v>
      </c>
      <c r="CQ64" s="197">
        <f t="shared" si="94"/>
        <v>0</v>
      </c>
      <c r="CR64" s="197"/>
      <c r="CS64" s="197"/>
      <c r="CT64" s="197"/>
      <c r="CU64" s="259"/>
      <c r="CV64" s="209"/>
      <c r="CW64" s="228"/>
      <c r="CX64" s="5"/>
      <c r="CY64" s="141"/>
    </row>
    <row r="65" spans="1:103" s="142" customFormat="1" ht="13.35" customHeight="1" x14ac:dyDescent="0.2">
      <c r="A65" s="227"/>
      <c r="B65" s="227"/>
      <c r="C65" s="168"/>
      <c r="D65" s="249"/>
      <c r="E65" s="242"/>
      <c r="F65" s="243"/>
      <c r="G65" s="242"/>
      <c r="H65" s="242"/>
      <c r="I65" s="242"/>
      <c r="J65" s="242"/>
      <c r="K65" s="242"/>
      <c r="L65" s="252"/>
      <c r="M65" s="260"/>
      <c r="N65" s="337"/>
      <c r="O65" s="333"/>
      <c r="P65" s="244"/>
      <c r="Q65" s="245"/>
      <c r="R65" s="245"/>
      <c r="S65" s="245"/>
      <c r="T65" s="246"/>
      <c r="U65" s="247"/>
      <c r="V65" s="247"/>
      <c r="W65" s="247"/>
      <c r="X65" s="247"/>
      <c r="Y65" s="244"/>
      <c r="Z65" s="245"/>
      <c r="AA65" s="245"/>
      <c r="AB65" s="245"/>
      <c r="AC65" s="246"/>
      <c r="AD65" s="247"/>
      <c r="AE65" s="247"/>
      <c r="AF65" s="247"/>
      <c r="AG65" s="247"/>
      <c r="AH65" s="244"/>
      <c r="AI65" s="245"/>
      <c r="AJ65" s="245"/>
      <c r="AK65" s="245"/>
      <c r="AL65" s="246"/>
      <c r="AM65" s="247"/>
      <c r="AN65" s="247"/>
      <c r="AO65" s="247"/>
      <c r="AP65" s="247"/>
      <c r="AQ65" s="244"/>
      <c r="AR65" s="245"/>
      <c r="AS65" s="245"/>
      <c r="AT65" s="245"/>
      <c r="AU65" s="246"/>
      <c r="AV65" s="247"/>
      <c r="AW65" s="247"/>
      <c r="AX65" s="247"/>
      <c r="AY65" s="247"/>
      <c r="AZ65" s="244"/>
      <c r="BA65" s="245"/>
      <c r="BB65" s="245"/>
      <c r="BC65" s="245"/>
      <c r="BD65" s="246"/>
      <c r="BE65" s="247"/>
      <c r="BF65" s="247"/>
      <c r="BG65" s="247"/>
      <c r="BH65" s="247"/>
      <c r="BI65" s="244"/>
      <c r="BJ65" s="244"/>
      <c r="BK65" s="244"/>
      <c r="BL65" s="244"/>
      <c r="BM65" s="244"/>
      <c r="BN65" s="247"/>
      <c r="BO65" s="247"/>
      <c r="BP65" s="247"/>
      <c r="BQ65" s="247"/>
      <c r="BR65" s="244"/>
      <c r="BS65" s="244"/>
      <c r="BT65" s="244"/>
      <c r="BU65" s="244"/>
      <c r="BV65" s="244"/>
      <c r="BW65" s="247"/>
      <c r="BX65" s="247"/>
      <c r="BY65" s="247"/>
      <c r="BZ65" s="247"/>
      <c r="CA65" s="244"/>
      <c r="CB65" s="244"/>
      <c r="CC65" s="244"/>
      <c r="CD65" s="244"/>
      <c r="CE65" s="244"/>
      <c r="CF65" s="247"/>
      <c r="CG65" s="247"/>
      <c r="CH65" s="247"/>
      <c r="CI65" s="247"/>
      <c r="CJ65" s="248"/>
      <c r="CK65" s="248"/>
      <c r="CL65" s="248"/>
      <c r="CM65" s="248"/>
      <c r="CN65" s="248"/>
      <c r="CO65" s="247"/>
      <c r="CP65" s="247"/>
      <c r="CQ65" s="247"/>
      <c r="CR65" s="247"/>
      <c r="CS65" s="248"/>
      <c r="CT65" s="242"/>
      <c r="CU65" s="253"/>
      <c r="CV65" s="209"/>
      <c r="CW65" s="228"/>
      <c r="CX65" s="141"/>
      <c r="CY65" s="141"/>
    </row>
    <row r="66" spans="1:103" x14ac:dyDescent="0.2">
      <c r="A66" s="219"/>
      <c r="B66" s="219"/>
      <c r="C66" s="175"/>
      <c r="D66" s="176"/>
      <c r="E66" s="210"/>
      <c r="F66" s="211"/>
      <c r="G66" s="210"/>
      <c r="H66" s="210"/>
      <c r="I66" s="210"/>
      <c r="J66" s="210"/>
      <c r="K66" s="210"/>
      <c r="L66" s="212"/>
      <c r="M66" s="213"/>
      <c r="N66" s="213"/>
      <c r="O66" s="213"/>
      <c r="P66" s="213"/>
      <c r="Q66" s="210"/>
      <c r="R66" s="210"/>
      <c r="S66" s="210"/>
      <c r="T66" s="214"/>
      <c r="U66" s="215"/>
      <c r="V66" s="215"/>
      <c r="W66" s="215"/>
      <c r="X66" s="215"/>
      <c r="Y66" s="213"/>
      <c r="Z66" s="210"/>
      <c r="AA66" s="210"/>
      <c r="AB66" s="210"/>
      <c r="AC66" s="214"/>
      <c r="AD66" s="215"/>
      <c r="AE66" s="215"/>
      <c r="AF66" s="215"/>
      <c r="AG66" s="215"/>
      <c r="AH66" s="213"/>
      <c r="AI66" s="210"/>
      <c r="AJ66" s="210"/>
      <c r="AK66" s="210"/>
      <c r="AL66" s="214"/>
      <c r="AM66" s="215"/>
      <c r="AN66" s="215"/>
      <c r="AO66" s="215"/>
      <c r="AP66" s="215"/>
      <c r="AQ66" s="213"/>
      <c r="AR66" s="210"/>
      <c r="AS66" s="210"/>
      <c r="AT66" s="210"/>
      <c r="AU66" s="214"/>
      <c r="AV66" s="215"/>
      <c r="AW66" s="215"/>
      <c r="AX66" s="215"/>
      <c r="AY66" s="215"/>
      <c r="AZ66" s="213"/>
      <c r="BA66" s="210"/>
      <c r="BB66" s="210"/>
      <c r="BC66" s="210"/>
      <c r="BD66" s="214"/>
      <c r="BE66" s="215"/>
      <c r="BF66" s="215"/>
      <c r="BG66" s="215"/>
      <c r="BH66" s="215"/>
      <c r="BI66" s="213"/>
      <c r="BJ66" s="210"/>
      <c r="BK66" s="210"/>
      <c r="BL66" s="210"/>
      <c r="BM66" s="214"/>
      <c r="BN66" s="215"/>
      <c r="BO66" s="215"/>
      <c r="BP66" s="215"/>
      <c r="BQ66" s="215"/>
      <c r="BR66" s="177"/>
      <c r="BS66" s="210"/>
      <c r="BT66" s="210"/>
      <c r="BU66" s="210"/>
      <c r="BV66" s="213"/>
      <c r="BW66" s="215"/>
      <c r="BX66" s="215"/>
      <c r="BY66" s="215"/>
      <c r="BZ66" s="215"/>
      <c r="CA66" s="210"/>
      <c r="CB66" s="216"/>
      <c r="CC66" s="216"/>
      <c r="CD66" s="216"/>
      <c r="CE66" s="216"/>
      <c r="CF66" s="215"/>
      <c r="CG66" s="215"/>
      <c r="CH66" s="215"/>
      <c r="CI66" s="215"/>
      <c r="CJ66" s="210"/>
      <c r="CK66" s="210"/>
      <c r="CL66" s="210"/>
      <c r="CM66" s="210"/>
      <c r="CN66" s="210"/>
      <c r="CO66" s="215"/>
      <c r="CP66" s="215"/>
      <c r="CQ66" s="215"/>
      <c r="CR66" s="215"/>
      <c r="CS66" s="210"/>
      <c r="CT66" s="210"/>
      <c r="CU66" s="210"/>
      <c r="CV66" s="217"/>
      <c r="CW66" s="218"/>
      <c r="CX66" s="4"/>
      <c r="CY66" s="4"/>
    </row>
    <row r="67" spans="1:103" ht="14.25" thickTop="1" thickBot="1" x14ac:dyDescent="0.25">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c r="BP67" s="218"/>
      <c r="BQ67" s="218"/>
      <c r="BR67" s="218"/>
      <c r="BS67" s="218"/>
      <c r="BT67" s="218"/>
      <c r="BU67" s="218"/>
      <c r="BV67" s="218"/>
      <c r="BW67" s="218"/>
      <c r="BX67" s="218"/>
      <c r="BY67" s="218"/>
      <c r="BZ67" s="218"/>
      <c r="CA67" s="218"/>
      <c r="CB67" s="392"/>
      <c r="CC67" s="392"/>
      <c r="CD67" s="392"/>
      <c r="CE67" s="392"/>
      <c r="CF67" s="218"/>
      <c r="CG67" s="218"/>
      <c r="CH67" s="218"/>
      <c r="CI67" s="218"/>
      <c r="CJ67" s="218"/>
      <c r="CK67" s="218"/>
      <c r="CL67" s="218"/>
      <c r="CM67" s="218"/>
      <c r="CN67" s="218"/>
      <c r="CO67" s="218"/>
      <c r="CP67" s="218"/>
      <c r="CQ67" s="218"/>
      <c r="CR67" s="218"/>
      <c r="CS67" s="218"/>
      <c r="CT67" s="218"/>
      <c r="CU67" s="218"/>
      <c r="CV67" s="218"/>
      <c r="CW67" s="218"/>
      <c r="CX67" s="4"/>
      <c r="CY67" s="4"/>
    </row>
    <row r="68" spans="1:103" ht="21" thickTop="1" x14ac:dyDescent="0.3">
      <c r="A68" s="219"/>
      <c r="B68" s="219"/>
      <c r="C68" s="157"/>
      <c r="D68" s="158"/>
      <c r="E68" s="731" t="s">
        <v>44</v>
      </c>
      <c r="F68" s="229"/>
      <c r="G68" s="229"/>
      <c r="H68" s="229"/>
      <c r="I68" s="877" t="e" vm="1">
        <v>#VALUE!</v>
      </c>
      <c r="J68" s="877"/>
      <c r="K68" s="877"/>
      <c r="L68" s="877"/>
      <c r="M68" s="159"/>
      <c r="N68" s="159"/>
      <c r="O68" s="159"/>
      <c r="P68" s="160"/>
      <c r="Q68" s="159"/>
      <c r="R68" s="159"/>
      <c r="S68" s="159"/>
      <c r="T68" s="161"/>
      <c r="U68" s="162"/>
      <c r="V68" s="162"/>
      <c r="W68" s="162"/>
      <c r="X68" s="162"/>
      <c r="Y68" s="160"/>
      <c r="Z68" s="159"/>
      <c r="AA68" s="159"/>
      <c r="AB68" s="159"/>
      <c r="AC68" s="161"/>
      <c r="AD68" s="162"/>
      <c r="AE68" s="162"/>
      <c r="AF68" s="162"/>
      <c r="AG68" s="162"/>
      <c r="AH68" s="160"/>
      <c r="AI68" s="159"/>
      <c r="AJ68" s="201"/>
      <c r="AK68" s="201"/>
      <c r="AL68" s="164"/>
      <c r="AM68" s="162"/>
      <c r="AN68" s="162"/>
      <c r="AO68" s="162"/>
      <c r="AP68" s="162"/>
      <c r="AQ68" s="202"/>
      <c r="AR68" s="203"/>
      <c r="AS68" s="165"/>
      <c r="AT68" s="166"/>
      <c r="AU68" s="164"/>
      <c r="AV68" s="162"/>
      <c r="AW68" s="162"/>
      <c r="AX68" s="162"/>
      <c r="AY68" s="162"/>
      <c r="AZ68" s="202"/>
      <c r="BA68" s="203"/>
      <c r="BB68" s="166"/>
      <c r="BC68" s="201"/>
      <c r="BD68" s="204"/>
      <c r="BE68" s="162"/>
      <c r="BF68" s="162"/>
      <c r="BG68" s="162"/>
      <c r="BH68" s="162"/>
      <c r="BI68" s="205"/>
      <c r="BJ68" s="201"/>
      <c r="BK68" s="201"/>
      <c r="BL68" s="201"/>
      <c r="BM68" s="204"/>
      <c r="BN68" s="162"/>
      <c r="BO68" s="162"/>
      <c r="BP68" s="162"/>
      <c r="BQ68" s="162"/>
      <c r="BR68" s="167"/>
      <c r="BS68" s="201"/>
      <c r="BT68" s="201"/>
      <c r="BU68" s="201"/>
      <c r="BV68" s="205"/>
      <c r="BW68" s="162"/>
      <c r="BX68" s="162"/>
      <c r="BY68" s="162"/>
      <c r="BZ68" s="162"/>
      <c r="CA68" s="201"/>
      <c r="CB68" s="393"/>
      <c r="CC68" s="393"/>
      <c r="CD68" s="393"/>
      <c r="CE68" s="393"/>
      <c r="CF68" s="162"/>
      <c r="CG68" s="162"/>
      <c r="CH68" s="162"/>
      <c r="CI68" s="162"/>
      <c r="CJ68" s="163"/>
      <c r="CK68" s="163"/>
      <c r="CL68" s="163"/>
      <c r="CM68" s="163"/>
      <c r="CN68" s="163"/>
      <c r="CO68" s="162"/>
      <c r="CP68" s="162"/>
      <c r="CQ68" s="162"/>
      <c r="CR68" s="162"/>
      <c r="CS68" s="163"/>
      <c r="CT68" s="358"/>
      <c r="CU68" s="201"/>
      <c r="CV68" s="206"/>
      <c r="CW68" s="218"/>
      <c r="CX68" s="4"/>
      <c r="CY68" s="4"/>
    </row>
    <row r="69" spans="1:103" ht="15.75" customHeight="1" thickBot="1" x14ac:dyDescent="0.25">
      <c r="A69" s="219"/>
      <c r="B69" s="219"/>
      <c r="C69" s="168"/>
      <c r="D69" s="785"/>
      <c r="E69" s="869" t="s">
        <v>45</v>
      </c>
      <c r="F69" s="363"/>
      <c r="G69" s="363"/>
      <c r="H69" s="363"/>
      <c r="I69" s="878"/>
      <c r="J69" s="878"/>
      <c r="K69" s="878"/>
      <c r="L69" s="878"/>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H69" s="363"/>
      <c r="BI69" s="363"/>
      <c r="BJ69" s="363"/>
      <c r="BK69" s="363"/>
      <c r="BL69" s="363"/>
      <c r="BM69" s="363"/>
      <c r="BN69" s="363"/>
      <c r="BO69" s="363"/>
      <c r="BP69" s="363"/>
      <c r="BQ69" s="363"/>
      <c r="BR69" s="363"/>
      <c r="BS69" s="363"/>
      <c r="BT69" s="363"/>
      <c r="BU69" s="363"/>
      <c r="BV69" s="363"/>
      <c r="BW69" s="363"/>
      <c r="BX69" s="363"/>
      <c r="BY69" s="363"/>
      <c r="BZ69" s="363"/>
      <c r="CA69" s="363"/>
      <c r="CB69" s="394"/>
      <c r="CC69" s="394"/>
      <c r="CD69" s="394"/>
      <c r="CE69" s="394"/>
      <c r="CF69" s="363"/>
      <c r="CG69" s="363"/>
      <c r="CH69" s="363"/>
      <c r="CI69" s="363"/>
      <c r="CJ69" s="363"/>
      <c r="CK69" s="363"/>
      <c r="CL69" s="363"/>
      <c r="CM69" s="363"/>
      <c r="CN69" s="323"/>
      <c r="CO69" s="363"/>
      <c r="CP69" s="363"/>
      <c r="CQ69" s="363"/>
      <c r="CR69" s="363"/>
      <c r="CS69" s="323"/>
      <c r="CT69" s="155"/>
      <c r="CU69" s="269"/>
      <c r="CV69" s="209"/>
      <c r="CW69" s="218"/>
      <c r="CX69" s="4"/>
      <c r="CY69" s="4"/>
    </row>
    <row r="70" spans="1:103" ht="18" customHeight="1" thickTop="1" x14ac:dyDescent="0.2">
      <c r="A70" s="219"/>
      <c r="B70" s="219"/>
      <c r="C70" s="174"/>
      <c r="D70" s="778"/>
      <c r="E70" s="777"/>
      <c r="F70" s="235"/>
      <c r="G70" s="234"/>
      <c r="H70" s="234"/>
      <c r="I70" s="875" t="s">
        <v>87</v>
      </c>
      <c r="J70" s="875"/>
      <c r="K70" s="875"/>
      <c r="L70" s="250"/>
      <c r="M70" s="261"/>
      <c r="N70" s="205"/>
      <c r="O70" s="236"/>
      <c r="P70" s="236"/>
      <c r="Q70" s="675">
        <f>IF($F74="","",SUM(Q86:S86)-S72)</f>
        <v>780</v>
      </c>
      <c r="R70" s="675"/>
      <c r="S70" s="675"/>
      <c r="T70" s="237"/>
      <c r="U70" s="238"/>
      <c r="V70" s="238"/>
      <c r="W70" s="238"/>
      <c r="X70" s="238"/>
      <c r="Y70" s="236"/>
      <c r="Z70" s="675">
        <f>IF($F74="","",SUM(Z86:AB86)-AB72)</f>
        <v>780</v>
      </c>
      <c r="AA70" s="675"/>
      <c r="AB70" s="675"/>
      <c r="AC70" s="237"/>
      <c r="AD70" s="238"/>
      <c r="AE70" s="238"/>
      <c r="AF70" s="238"/>
      <c r="AG70" s="238"/>
      <c r="AH70" s="236"/>
      <c r="AI70" s="675">
        <f>IF($F74="","",SUM(AI86:AK86)-AK72)</f>
        <v>780</v>
      </c>
      <c r="AJ70" s="675"/>
      <c r="AK70" s="675"/>
      <c r="AL70" s="237"/>
      <c r="AM70" s="238"/>
      <c r="AN70" s="238"/>
      <c r="AO70" s="238"/>
      <c r="AP70" s="238"/>
      <c r="AQ70" s="236"/>
      <c r="AR70" s="675">
        <f>IF($F74="","",SUM(AR86:AT86)-AT72)</f>
        <v>780</v>
      </c>
      <c r="AS70" s="675"/>
      <c r="AT70" s="675"/>
      <c r="AU70" s="239"/>
      <c r="AV70" s="238"/>
      <c r="AW70" s="238"/>
      <c r="AX70" s="238"/>
      <c r="AY70" s="238"/>
      <c r="AZ70" s="240"/>
      <c r="BA70" s="675">
        <f>IF($F74="","",SUM(BA86:BC86)-BC72)</f>
        <v>780</v>
      </c>
      <c r="BB70" s="675"/>
      <c r="BC70" s="675"/>
      <c r="BD70" s="239"/>
      <c r="BE70" s="238"/>
      <c r="BF70" s="238"/>
      <c r="BG70" s="238"/>
      <c r="BH70" s="238"/>
      <c r="BI70" s="240"/>
      <c r="BJ70" s="675">
        <f>IF($F74="","",SUM(BJ86:BL86)-BL72)</f>
        <v>780</v>
      </c>
      <c r="BK70" s="675"/>
      <c r="BL70" s="675"/>
      <c r="BM70" s="239"/>
      <c r="BN70" s="238"/>
      <c r="BO70" s="238"/>
      <c r="BP70" s="238"/>
      <c r="BQ70" s="238"/>
      <c r="BR70" s="241"/>
      <c r="BS70" s="675">
        <f>IF($F74="","",SUM(BS86:BU86)-BU72)</f>
        <v>780</v>
      </c>
      <c r="BT70" s="675"/>
      <c r="BU70" s="675"/>
      <c r="BV70" s="240"/>
      <c r="BW70" s="238"/>
      <c r="BX70" s="238"/>
      <c r="BY70" s="238"/>
      <c r="BZ70" s="238"/>
      <c r="CA70" s="241"/>
      <c r="CB70" s="675">
        <f>IF($F74="","",SUM(CB86:CD86)-CD72)</f>
        <v>780</v>
      </c>
      <c r="CC70" s="675"/>
      <c r="CD70" s="675"/>
      <c r="CE70" s="240"/>
      <c r="CF70" s="238"/>
      <c r="CG70" s="238"/>
      <c r="CH70" s="238"/>
      <c r="CI70" s="238"/>
      <c r="CJ70" s="234"/>
      <c r="CK70" s="675">
        <f>IF($F74="","",SUM(CK86:CM86))</f>
        <v>780</v>
      </c>
      <c r="CL70" s="675"/>
      <c r="CM70" s="675"/>
      <c r="CN70" s="240"/>
      <c r="CO70" s="238"/>
      <c r="CP70" s="238"/>
      <c r="CQ70" s="238"/>
      <c r="CR70" s="238"/>
      <c r="CS70" s="234"/>
      <c r="CT70" s="234"/>
      <c r="CU70" s="251"/>
      <c r="CV70" s="209"/>
      <c r="CW70" s="218"/>
      <c r="CX70" s="4"/>
      <c r="CY70" s="4"/>
    </row>
    <row r="71" spans="1:103" ht="12.75" customHeight="1" x14ac:dyDescent="0.2">
      <c r="A71" s="219"/>
      <c r="B71" s="219"/>
      <c r="C71" s="174"/>
      <c r="D71" s="779"/>
      <c r="E71" s="543">
        <f>E49+7</f>
        <v>46270</v>
      </c>
      <c r="F71" s="178"/>
      <c r="G71" s="179"/>
      <c r="H71" s="179"/>
      <c r="I71" s="876"/>
      <c r="J71" s="876"/>
      <c r="K71" s="876"/>
      <c r="L71" s="254"/>
      <c r="M71" s="329"/>
      <c r="N71" s="208"/>
      <c r="O71" s="180"/>
      <c r="P71" s="180"/>
      <c r="Q71" s="584">
        <f>IF(Q70="","",Q70/Data!$X$1)</f>
        <v>0.65</v>
      </c>
      <c r="R71" s="584"/>
      <c r="S71" s="585" t="str">
        <f>IF(SUM(X74:X85)=0,"",SUM(X74:X85))</f>
        <v/>
      </c>
      <c r="T71" s="181"/>
      <c r="U71" s="182"/>
      <c r="V71" s="182"/>
      <c r="W71" s="182"/>
      <c r="X71" s="182"/>
      <c r="Y71" s="180"/>
      <c r="Z71" s="584">
        <f>IF(Z70="","",Z70/Data!$X$1)</f>
        <v>0.65</v>
      </c>
      <c r="AA71" s="584"/>
      <c r="AB71" s="585" t="str">
        <f>IF(SUM(AG74:AG85)=0,"",SUM(AG74:AG85))</f>
        <v/>
      </c>
      <c r="AC71" s="181"/>
      <c r="AD71" s="182"/>
      <c r="AE71" s="182"/>
      <c r="AF71" s="182"/>
      <c r="AG71" s="182"/>
      <c r="AH71" s="180"/>
      <c r="AI71" s="584">
        <f>IF(AI70="","",AI70/Data!$X$1)</f>
        <v>0.65</v>
      </c>
      <c r="AJ71" s="584"/>
      <c r="AK71" s="585" t="str">
        <f>IF(SUM(AP74:AP85)=0,"",SUM(AP74:AP85))</f>
        <v/>
      </c>
      <c r="AL71" s="181"/>
      <c r="AM71" s="182"/>
      <c r="AN71" s="182"/>
      <c r="AO71" s="182"/>
      <c r="AP71" s="182"/>
      <c r="AQ71" s="180"/>
      <c r="AR71" s="584">
        <f>IF(AR70="","",AR70/Data!$X$1)</f>
        <v>0.65</v>
      </c>
      <c r="AS71" s="584"/>
      <c r="AT71" s="585" t="str">
        <f>IF(SUM(AY74:AY85)=0,"",SUM(AY74:AY85))</f>
        <v/>
      </c>
      <c r="AU71" s="183"/>
      <c r="AV71" s="182"/>
      <c r="AW71" s="182"/>
      <c r="AX71" s="182"/>
      <c r="AY71" s="182"/>
      <c r="AZ71" s="184"/>
      <c r="BA71" s="584">
        <f>IF(BA70="","",BA70/Data!$X$1)</f>
        <v>0.65</v>
      </c>
      <c r="BB71" s="584"/>
      <c r="BC71" s="585" t="str">
        <f>IF(SUM(BH74:BH85)=0,"",SUM(BH74:BH85))</f>
        <v/>
      </c>
      <c r="BD71" s="183"/>
      <c r="BE71" s="182"/>
      <c r="BF71" s="182"/>
      <c r="BG71" s="182"/>
      <c r="BH71" s="182"/>
      <c r="BI71" s="184"/>
      <c r="BJ71" s="584">
        <f>IF(BJ70="","",BJ70/Data!$X$1)</f>
        <v>0.65</v>
      </c>
      <c r="BK71" s="584"/>
      <c r="BL71" s="585" t="str">
        <f>IF(SUM(BQ74:BQ85)=0,"",SUM(BQ74:BQ85))</f>
        <v/>
      </c>
      <c r="BM71" s="183"/>
      <c r="BN71" s="182"/>
      <c r="BO71" s="182"/>
      <c r="BP71" s="182"/>
      <c r="BQ71" s="182"/>
      <c r="BR71" s="185"/>
      <c r="BS71" s="584">
        <f>IF(BS70="","",BS70/Data!$X$1)</f>
        <v>0.65</v>
      </c>
      <c r="BT71" s="584"/>
      <c r="BU71" s="585" t="str">
        <f>IF(SUM(BZ74:BZ85)=0,"",SUM(BZ74:BZ85))</f>
        <v/>
      </c>
      <c r="BV71" s="184"/>
      <c r="BW71" s="182"/>
      <c r="BX71" s="182"/>
      <c r="BY71" s="182"/>
      <c r="BZ71" s="182"/>
      <c r="CA71" s="185"/>
      <c r="CB71" s="584">
        <f>IF(CB70="","",CB70/Data!$X$1)</f>
        <v>0.65</v>
      </c>
      <c r="CC71" s="584"/>
      <c r="CD71" s="585" t="str">
        <f>IF(SUM(CI74:CI85)=0,"",SUM(CI74:CI85))</f>
        <v/>
      </c>
      <c r="CE71" s="184"/>
      <c r="CF71" s="182"/>
      <c r="CG71" s="182"/>
      <c r="CH71" s="182"/>
      <c r="CI71" s="182"/>
      <c r="CJ71" s="182"/>
      <c r="CK71" s="584">
        <f>IF(CK70="","",CK70/Data!$X$1)</f>
        <v>0.65</v>
      </c>
      <c r="CL71" s="584"/>
      <c r="CM71" s="585" t="str">
        <f>IF(SUM(CR74:CR85)=0,"",SUM(CR74:CR85))</f>
        <v/>
      </c>
      <c r="CN71" s="184"/>
      <c r="CO71" s="182"/>
      <c r="CP71" s="182"/>
      <c r="CQ71" s="182"/>
      <c r="CR71" s="182"/>
      <c r="CS71" s="182"/>
      <c r="CT71" s="182"/>
      <c r="CU71" s="255"/>
      <c r="CV71" s="209"/>
      <c r="CW71" s="218"/>
      <c r="CX71" s="4"/>
      <c r="CY71" s="4"/>
    </row>
    <row r="72" spans="1:103" ht="13.5" thickBot="1" x14ac:dyDescent="0.25">
      <c r="A72" s="219"/>
      <c r="B72" s="219"/>
      <c r="C72" s="174"/>
      <c r="D72" s="230"/>
      <c r="E72" s="359"/>
      <c r="F72" s="186"/>
      <c r="G72" s="187"/>
      <c r="H72" s="187"/>
      <c r="I72" s="673"/>
      <c r="J72" s="674"/>
      <c r="K72" s="674"/>
      <c r="L72" s="256"/>
      <c r="M72" s="330"/>
      <c r="N72" s="334"/>
      <c r="O72" s="187"/>
      <c r="P72" s="187"/>
      <c r="Q72" s="342" t="str">
        <f>Data!$E$11</f>
        <v>AHH</v>
      </c>
      <c r="R72" s="343">
        <f>IF($F85="","",RANK(Q70,$Q70:$CL70))</f>
        <v>1</v>
      </c>
      <c r="S72" s="466"/>
      <c r="T72" s="181"/>
      <c r="U72" s="182"/>
      <c r="V72" s="182"/>
      <c r="W72" s="182"/>
      <c r="X72" s="197">
        <f>COUNTIF(U74:W85,"&gt;0")</f>
        <v>12</v>
      </c>
      <c r="Y72" s="180"/>
      <c r="Z72" s="342" t="str">
        <f>Data!$E$12</f>
        <v>RB</v>
      </c>
      <c r="AA72" s="343">
        <f>IF($F85="","",RANK(Z70,$Q70:$CL70))</f>
        <v>1</v>
      </c>
      <c r="AB72" s="466"/>
      <c r="AC72" s="181"/>
      <c r="AD72" s="182"/>
      <c r="AE72" s="182"/>
      <c r="AF72" s="182"/>
      <c r="AG72" s="197">
        <f>COUNTIF(AD74:AF85,"&gt;0")</f>
        <v>12</v>
      </c>
      <c r="AH72" s="180"/>
      <c r="AI72" s="342" t="str">
        <f>Data!$E$13</f>
        <v>EB</v>
      </c>
      <c r="AJ72" s="343">
        <f>IF($F85="","",RANK(AI70,$Q70:$CL70))</f>
        <v>1</v>
      </c>
      <c r="AK72" s="466"/>
      <c r="AL72" s="181"/>
      <c r="AM72" s="182"/>
      <c r="AN72" s="182"/>
      <c r="AO72" s="182"/>
      <c r="AP72" s="197">
        <f>COUNTIF(AM74:AO85,"&gt;0")</f>
        <v>12</v>
      </c>
      <c r="AQ72" s="180"/>
      <c r="AR72" s="305" t="str">
        <f>Data!$E$14</f>
        <v>KAF</v>
      </c>
      <c r="AS72" s="343">
        <f>IF($F85="","",RANK(AR70,$Q70:$CL70))</f>
        <v>1</v>
      </c>
      <c r="AT72" s="466"/>
      <c r="AU72" s="181"/>
      <c r="AV72" s="182"/>
      <c r="AW72" s="182"/>
      <c r="AX72" s="182"/>
      <c r="AY72" s="197">
        <f>COUNTIF(AV74:AX85,"&gt;0")</f>
        <v>12</v>
      </c>
      <c r="AZ72" s="180"/>
      <c r="BA72" s="305" t="str">
        <f>Data!$E$15</f>
        <v>ØG</v>
      </c>
      <c r="BB72" s="343">
        <f>IF($F85="","",RANK(BA70,$Q70:$CL70))</f>
        <v>1</v>
      </c>
      <c r="BC72" s="466"/>
      <c r="BD72" s="181"/>
      <c r="BE72" s="182"/>
      <c r="BF72" s="182"/>
      <c r="BG72" s="182"/>
      <c r="BH72" s="197">
        <f>COUNTIF(BE74:BG85,"&gt;0")</f>
        <v>12</v>
      </c>
      <c r="BI72" s="180"/>
      <c r="BJ72" s="305" t="str">
        <f>Data!$E$16</f>
        <v>JH</v>
      </c>
      <c r="BK72" s="343">
        <f>IF($F85="","",RANK(BJ70,$Q70:$CL70))</f>
        <v>1</v>
      </c>
      <c r="BL72" s="466"/>
      <c r="BM72" s="181"/>
      <c r="BN72" s="182"/>
      <c r="BO72" s="182"/>
      <c r="BP72" s="182"/>
      <c r="BQ72" s="197">
        <f>COUNTIF(BN74:BP85,"&gt;0")</f>
        <v>12</v>
      </c>
      <c r="BR72" s="188"/>
      <c r="BS72" s="305" t="str">
        <f>Data!$E$17</f>
        <v>TOH</v>
      </c>
      <c r="BT72" s="343">
        <f>IF($F85="","",RANK(BS70,$Q70:$CL70))</f>
        <v>1</v>
      </c>
      <c r="BU72" s="466"/>
      <c r="BV72" s="180"/>
      <c r="BW72" s="182"/>
      <c r="BX72" s="182"/>
      <c r="BY72" s="182"/>
      <c r="BZ72" s="197">
        <f>COUNTIF(BW74:BY85,"&gt;0")</f>
        <v>12</v>
      </c>
      <c r="CA72" s="188"/>
      <c r="CB72" s="305" t="s">
        <v>26</v>
      </c>
      <c r="CC72" s="343">
        <f>IF($F85="","",RANK(CB70,$Q70:$CM70))</f>
        <v>1</v>
      </c>
      <c r="CD72" s="467"/>
      <c r="CE72" s="180"/>
      <c r="CF72" s="182"/>
      <c r="CG72" s="182"/>
      <c r="CH72" s="182"/>
      <c r="CI72" s="197">
        <f>COUNTIF(CF74:CH85,"&gt;0")</f>
        <v>12</v>
      </c>
      <c r="CJ72" s="182"/>
      <c r="CK72" s="305" t="s">
        <v>27</v>
      </c>
      <c r="CL72" s="343">
        <f>IF($F85="","",RANK(CK70,$Q70:$CM70))</f>
        <v>1</v>
      </c>
      <c r="CM72" s="669"/>
      <c r="CN72" s="180"/>
      <c r="CO72" s="182"/>
      <c r="CP72" s="182"/>
      <c r="CQ72" s="182"/>
      <c r="CR72" s="197">
        <f>COUNTIF(CO74:CQ85,"&gt;0")</f>
        <v>12</v>
      </c>
      <c r="CS72" s="182"/>
      <c r="CT72" s="182"/>
      <c r="CU72" s="255"/>
      <c r="CV72" s="209"/>
      <c r="CW72" s="218"/>
      <c r="CX72" s="4"/>
      <c r="CY72" s="4"/>
    </row>
    <row r="73" spans="1:103" ht="13.5" thickBot="1" x14ac:dyDescent="0.25">
      <c r="A73" s="227"/>
      <c r="B73" s="227"/>
      <c r="C73" s="168"/>
      <c r="D73" s="231"/>
      <c r="E73" s="189"/>
      <c r="F73" s="190"/>
      <c r="G73" s="191"/>
      <c r="H73" s="191"/>
      <c r="I73" s="192" t="s">
        <v>47</v>
      </c>
      <c r="J73" s="193" t="s">
        <v>48</v>
      </c>
      <c r="K73" s="194" t="s">
        <v>49</v>
      </c>
      <c r="L73" s="257" t="s">
        <v>88</v>
      </c>
      <c r="M73" s="331"/>
      <c r="N73" s="335"/>
      <c r="O73" s="195"/>
      <c r="P73" s="195"/>
      <c r="Q73" s="192" t="s">
        <v>47</v>
      </c>
      <c r="R73" s="193" t="s">
        <v>48</v>
      </c>
      <c r="S73" s="194" t="s">
        <v>49</v>
      </c>
      <c r="T73" s="196"/>
      <c r="U73" s="197"/>
      <c r="V73" s="197"/>
      <c r="W73" s="197"/>
      <c r="X73" s="197"/>
      <c r="Y73" s="195"/>
      <c r="Z73" s="192" t="s">
        <v>47</v>
      </c>
      <c r="AA73" s="193" t="s">
        <v>48</v>
      </c>
      <c r="AB73" s="194" t="s">
        <v>49</v>
      </c>
      <c r="AC73" s="196"/>
      <c r="AD73" s="197"/>
      <c r="AE73" s="197"/>
      <c r="AF73" s="197"/>
      <c r="AG73" s="197"/>
      <c r="AH73" s="195"/>
      <c r="AI73" s="192" t="s">
        <v>47</v>
      </c>
      <c r="AJ73" s="193" t="s">
        <v>48</v>
      </c>
      <c r="AK73" s="194" t="s">
        <v>49</v>
      </c>
      <c r="AL73" s="196"/>
      <c r="AM73" s="197"/>
      <c r="AN73" s="197"/>
      <c r="AO73" s="197"/>
      <c r="AP73" s="197"/>
      <c r="AQ73" s="195"/>
      <c r="AR73" s="192" t="s">
        <v>47</v>
      </c>
      <c r="AS73" s="193" t="s">
        <v>48</v>
      </c>
      <c r="AT73" s="194" t="s">
        <v>49</v>
      </c>
      <c r="AU73" s="196"/>
      <c r="AV73" s="197"/>
      <c r="AW73" s="197"/>
      <c r="AX73" s="197"/>
      <c r="AY73" s="197"/>
      <c r="AZ73" s="195"/>
      <c r="BA73" s="192" t="s">
        <v>47</v>
      </c>
      <c r="BB73" s="193" t="s">
        <v>48</v>
      </c>
      <c r="BC73" s="194" t="s">
        <v>49</v>
      </c>
      <c r="BD73" s="196"/>
      <c r="BE73" s="197"/>
      <c r="BF73" s="197"/>
      <c r="BG73" s="197"/>
      <c r="BH73" s="197"/>
      <c r="BI73" s="195"/>
      <c r="BJ73" s="192" t="s">
        <v>47</v>
      </c>
      <c r="BK73" s="193" t="s">
        <v>48</v>
      </c>
      <c r="BL73" s="194" t="s">
        <v>49</v>
      </c>
      <c r="BM73" s="196"/>
      <c r="BN73" s="197"/>
      <c r="BO73" s="197"/>
      <c r="BP73" s="197"/>
      <c r="BQ73" s="197"/>
      <c r="BR73" s="195"/>
      <c r="BS73" s="192" t="s">
        <v>47</v>
      </c>
      <c r="BT73" s="193" t="s">
        <v>48</v>
      </c>
      <c r="BU73" s="194" t="s">
        <v>49</v>
      </c>
      <c r="BV73" s="196"/>
      <c r="BW73" s="197"/>
      <c r="BX73" s="197"/>
      <c r="BY73" s="197"/>
      <c r="BZ73" s="197"/>
      <c r="CA73" s="195"/>
      <c r="CB73" s="192" t="s">
        <v>47</v>
      </c>
      <c r="CC73" s="193" t="s">
        <v>48</v>
      </c>
      <c r="CD73" s="194" t="s">
        <v>49</v>
      </c>
      <c r="CE73" s="196"/>
      <c r="CF73" s="197"/>
      <c r="CG73" s="197"/>
      <c r="CH73" s="197"/>
      <c r="CI73" s="197"/>
      <c r="CJ73" s="197"/>
      <c r="CK73" s="192" t="s">
        <v>47</v>
      </c>
      <c r="CL73" s="193" t="s">
        <v>48</v>
      </c>
      <c r="CM73" s="194" t="s">
        <v>49</v>
      </c>
      <c r="CN73" s="196"/>
      <c r="CO73" s="197"/>
      <c r="CP73" s="197"/>
      <c r="CQ73" s="197"/>
      <c r="CR73" s="197"/>
      <c r="CS73" s="197"/>
      <c r="CT73" s="198"/>
      <c r="CU73" s="255"/>
      <c r="CV73" s="209"/>
      <c r="CW73" s="228"/>
      <c r="CX73" s="4"/>
      <c r="CY73" s="4"/>
    </row>
    <row r="74" spans="1:103" x14ac:dyDescent="0.2">
      <c r="A74" s="227"/>
      <c r="B74" s="227"/>
      <c r="C74" s="168"/>
      <c r="D74" s="232"/>
      <c r="E74" s="134" t="s">
        <v>89</v>
      </c>
      <c r="F74" s="424">
        <v>1</v>
      </c>
      <c r="G74" s="428" t="s">
        <v>51</v>
      </c>
      <c r="H74" s="429"/>
      <c r="I74" s="138" t="str">
        <f t="shared" ref="I74:I85" si="95">IF($F74&gt;$H74,"x","")</f>
        <v>x</v>
      </c>
      <c r="J74" s="344" t="str">
        <f t="shared" ref="J74:J85" si="96">IF(F74&lt;&gt;"",IF(H74&lt;&gt;"",IF(F74=H74,"x",""),""),"")</f>
        <v/>
      </c>
      <c r="K74" s="345" t="str">
        <f t="shared" ref="K74:K85" si="97">IF($F74&lt;$H74,"x","")</f>
        <v/>
      </c>
      <c r="L74" s="258"/>
      <c r="M74" s="332"/>
      <c r="N74" s="336"/>
      <c r="O74" s="200"/>
      <c r="P74" s="200"/>
      <c r="Q74" s="436">
        <v>50</v>
      </c>
      <c r="R74" s="437">
        <v>10</v>
      </c>
      <c r="S74" s="438">
        <f>IF(Q74="","",100-SUM(Q74:R74))</f>
        <v>40</v>
      </c>
      <c r="T74" s="328"/>
      <c r="U74" s="197">
        <f>IF(AND($I74="x",AND(MAX(Q74:S74)=Q74,Q74&gt;=0)),Data!$BI$2,"")</f>
        <v>65</v>
      </c>
      <c r="V74" s="197" t="str">
        <f>IF(AND($J74="x",AND(MAX(Q74:S74)=R74,R74&gt;=0)),Data!$BJ$2,"")</f>
        <v/>
      </c>
      <c r="W74" s="197" t="str">
        <f>IF(AND($K74="x",AND(MAX(Q74:S74)=S74,S74&gt;=0)),Data!$BK$2,"")</f>
        <v/>
      </c>
      <c r="X74" s="197"/>
      <c r="Y74" s="328"/>
      <c r="Z74" s="451">
        <v>50</v>
      </c>
      <c r="AA74" s="452">
        <v>10</v>
      </c>
      <c r="AB74" s="438">
        <f t="shared" ref="AB74:AB85" si="98">IF(Z74="","",100-SUM(Z74:AA74))</f>
        <v>40</v>
      </c>
      <c r="AC74" s="328"/>
      <c r="AD74" s="197">
        <f>IF(AND($I74="x",AND(MAX(Z74:AB74)=Z74,Z74&lt;&gt;"")),Data!$BI$2,"")</f>
        <v>65</v>
      </c>
      <c r="AE74" s="197" t="str">
        <f>IF(AND($J74="x",AND(MAX(Z74:AB74)=AA74,AA74&lt;&gt;"")),Data!$BJ$2,"")</f>
        <v/>
      </c>
      <c r="AF74" s="197" t="str">
        <f>IF(AND($K74="x",AND(MAX(Z74:AB74)=AB74,AB74&lt;&gt;"")),Data!$BK$2,"")</f>
        <v/>
      </c>
      <c r="AG74" s="197"/>
      <c r="AH74" s="328"/>
      <c r="AI74" s="451">
        <v>50</v>
      </c>
      <c r="AJ74" s="452">
        <v>10</v>
      </c>
      <c r="AK74" s="438">
        <f t="shared" ref="AK74:AK85" si="99">IF(AI74="","",100-SUM(AI74:AJ74))</f>
        <v>40</v>
      </c>
      <c r="AL74" s="328"/>
      <c r="AM74" s="197">
        <f>IF(AND($I74="x",AND(MAX(AI74:AK74)=AI74,AI74&lt;&gt;"")),Data!$BI$2,"")</f>
        <v>65</v>
      </c>
      <c r="AN74" s="197" t="str">
        <f>IF(AND($J74="x",AND(MAX(AI74:AK74)=AJ74,AJ74&lt;&gt;"")),Data!$BJ$2,"")</f>
        <v/>
      </c>
      <c r="AO74" s="197" t="str">
        <f>IF(AND($K74="x",AND(MAX(AI74:AK74)=AK74,AK74&lt;&gt;"")),Data!$BK$2,"")</f>
        <v/>
      </c>
      <c r="AP74" s="197"/>
      <c r="AQ74" s="328"/>
      <c r="AR74" s="451">
        <v>50</v>
      </c>
      <c r="AS74" s="452">
        <v>10</v>
      </c>
      <c r="AT74" s="438">
        <f t="shared" ref="AT74:AT85" si="100">IF(AR74="","",100-SUM(AR74:AS74))</f>
        <v>40</v>
      </c>
      <c r="AU74" s="328"/>
      <c r="AV74" s="197">
        <f>IF(AND($I74="x",AND(MAX(AR74:AT74)=AR74,AR74&lt;&gt;"")),Data!$BI$2,"")</f>
        <v>65</v>
      </c>
      <c r="AW74" s="197" t="str">
        <f>IF(AND($J74="x",AND(MAX(AR74:AT74)=AS74,AS74&lt;&gt;"")),Data!$BJ$2,"")</f>
        <v/>
      </c>
      <c r="AX74" s="197" t="str">
        <f>IF(AND($K74="x",AND(MAX(AR74:AT74)=AT74,AT74&lt;&gt;"")),Data!$BK$2,"")</f>
        <v/>
      </c>
      <c r="AY74" s="197"/>
      <c r="AZ74" s="328"/>
      <c r="BA74" s="451">
        <v>50</v>
      </c>
      <c r="BB74" s="452">
        <v>10</v>
      </c>
      <c r="BC74" s="438">
        <f t="shared" ref="BC74:BC85" si="101">IF(BA74="","",100-SUM(BA74:BB74))</f>
        <v>40</v>
      </c>
      <c r="BD74" s="328"/>
      <c r="BE74" s="197">
        <f>IF(AND($I74="x",AND(MAX(BA74:BC74)=BA74,BA74&lt;&gt;"")),Data!$BI$2,"")</f>
        <v>65</v>
      </c>
      <c r="BF74" s="197" t="str">
        <f>IF(AND($J74="x",AND(MAX(BA74:BC74)=BB74,BB74&lt;&gt;"")),Data!$BJ$2,"")</f>
        <v/>
      </c>
      <c r="BG74" s="197" t="str">
        <f>IF(AND($K74="x",AND(MAX(BA74:BC74)=BC74,BC74&lt;&gt;"")),Data!$BK$2,"")</f>
        <v/>
      </c>
      <c r="BH74" s="197"/>
      <c r="BI74" s="328"/>
      <c r="BJ74" s="451">
        <v>50</v>
      </c>
      <c r="BK74" s="452">
        <v>10</v>
      </c>
      <c r="BL74" s="438">
        <f t="shared" ref="BL74:BL85" si="102">IF(BJ74="","",100-SUM(BJ74:BK74))</f>
        <v>40</v>
      </c>
      <c r="BM74" s="328"/>
      <c r="BN74" s="197">
        <f>IF(AND($I74="x",AND(MAX(BJ74:BL74)=BJ74,BJ74&lt;&gt;"")),Data!$BI$2,"")</f>
        <v>65</v>
      </c>
      <c r="BO74" s="197" t="str">
        <f>IF(AND($J74="x",AND(MAX(BJ74:BL74)=BK74,BK74&lt;&gt;"")),Data!$BJ$2,"")</f>
        <v/>
      </c>
      <c r="BP74" s="197" t="str">
        <f>IF(AND($K74="x",AND(MAX(BJ74:BL74)=BL74,BL74&lt;&gt;"")),Data!$BK$2,"")</f>
        <v/>
      </c>
      <c r="BQ74" s="197"/>
      <c r="BR74" s="328"/>
      <c r="BS74" s="451">
        <v>50</v>
      </c>
      <c r="BT74" s="452">
        <v>10</v>
      </c>
      <c r="BU74" s="438">
        <f t="shared" ref="BU74:BU85" si="103">IF(BS74="","",100-SUM(BS74:BT74))</f>
        <v>40</v>
      </c>
      <c r="BV74" s="328"/>
      <c r="BW74" s="197">
        <f>IF(AND($I74="x",AND(MAX(BS74:BU74)=BS74,BS74&lt;&gt;"")),Data!$BI$2,"")</f>
        <v>65</v>
      </c>
      <c r="BX74" s="197" t="str">
        <f>IF(AND($J74="x",AND(MAX(BS74:BU74)=BT74,BT74&lt;&gt;"")),Data!$BJ$2,"")</f>
        <v/>
      </c>
      <c r="BY74" s="197" t="str">
        <f>IF(AND($K74="x",AND(MAX(BS74:BU74)=BU74,BU74&lt;&gt;"")),Data!$BK$2,"")</f>
        <v/>
      </c>
      <c r="BZ74" s="197"/>
      <c r="CA74" s="328"/>
      <c r="CB74" s="457">
        <f>IFERROR(ROUNDUP((SUM(Q74,Z74,AI74,AR74,BA74,BJ74,BS74)/SUM($Q74:$S74,$Z74:$AB74,$AI74:$AK74,$AR74:$AT74,$BA74:$BC74,$BJ74:$BL74,$BS74:$BU74))*100,-1),"")</f>
        <v>50</v>
      </c>
      <c r="CC74" s="458">
        <f>IFERROR(ROUNDDOWN((SUM(R74,AA74,AJ74,AS74,BB74,BK74,BT74)/SUM($Q74:$S74,$Z74:$AB74,$AI74:$AK74,$AR74:$AT74,$BA74:$BC74,$BJ74:$BL74,$BS74:$BU74))*100,-1),"")</f>
        <v>10</v>
      </c>
      <c r="CD74" s="459">
        <f t="shared" ref="CD74:CD85" si="104">IF(CB74="","",100-SUM(CB74:CC74))</f>
        <v>40</v>
      </c>
      <c r="CE74" s="328"/>
      <c r="CF74" s="197">
        <f>IF(AND($I74="x",AND(MAX(CB74:CD74)=CB74,CB74&lt;&gt;"")),Data!$BI$2,"")</f>
        <v>65</v>
      </c>
      <c r="CG74" s="197" t="str">
        <f>IF(AND($J74="x",AND(MAX(CB74:CD74)=CC74,CC74&lt;&gt;"")),Data!$BJ$2,"")</f>
        <v/>
      </c>
      <c r="CH74" s="197" t="str">
        <f>IF(AND($K74="x",AND(MAX(CB74:CD74)=CD74,CD74&lt;&gt;"")),Data!$BK$2,"")</f>
        <v/>
      </c>
      <c r="CI74" s="197"/>
      <c r="CJ74" s="197"/>
      <c r="CK74" s="451">
        <v>50</v>
      </c>
      <c r="CL74" s="452">
        <v>10</v>
      </c>
      <c r="CM74" s="438">
        <f t="shared" ref="CM74:CM85" si="105">IF(CK74="","",100-SUM(CK74:CL74))</f>
        <v>40</v>
      </c>
      <c r="CN74" s="328"/>
      <c r="CO74" s="197">
        <f>IF(AND($I74="x",AND(MAX(CK74:CM74)=CK74,CK74&lt;&gt;"")),Data!$BI$2,"")</f>
        <v>65</v>
      </c>
      <c r="CP74" s="197" t="str">
        <f>IF(AND($J74="x",AND(MAX(CK74:CM74)=CL74,CL74&lt;&gt;"")),Data!$BJ$2,"")</f>
        <v/>
      </c>
      <c r="CQ74" s="197" t="str">
        <f>IF(AND($K74="x",AND(MAX(CK74:CM74)=CM74,CM74&lt;&gt;"")),Data!$BK$2,"")</f>
        <v/>
      </c>
      <c r="CR74" s="197"/>
      <c r="CS74" s="197"/>
      <c r="CT74" s="328"/>
      <c r="CU74" s="255"/>
      <c r="CV74" s="209"/>
      <c r="CW74" s="227"/>
      <c r="CX74" s="4"/>
      <c r="CY74" s="4"/>
    </row>
    <row r="75" spans="1:103" x14ac:dyDescent="0.2">
      <c r="A75" s="227"/>
      <c r="B75" s="227"/>
      <c r="C75" s="168"/>
      <c r="D75" s="232"/>
      <c r="E75" s="135" t="s">
        <v>90</v>
      </c>
      <c r="F75" s="425">
        <v>1</v>
      </c>
      <c r="G75" s="430" t="s">
        <v>51</v>
      </c>
      <c r="H75" s="431"/>
      <c r="I75" s="346" t="str">
        <f t="shared" si="95"/>
        <v>x</v>
      </c>
      <c r="J75" s="347" t="str">
        <f t="shared" si="96"/>
        <v/>
      </c>
      <c r="K75" s="348" t="str">
        <f t="shared" si="97"/>
        <v/>
      </c>
      <c r="L75" s="258"/>
      <c r="M75" s="332"/>
      <c r="N75" s="336"/>
      <c r="O75" s="200"/>
      <c r="P75" s="200"/>
      <c r="Q75" s="439">
        <v>50</v>
      </c>
      <c r="R75" s="440">
        <v>10</v>
      </c>
      <c r="S75" s="441">
        <f t="shared" ref="S75:S85" si="106">IF(Q75="","",100-SUM(Q75:R75))</f>
        <v>40</v>
      </c>
      <c r="T75" s="328"/>
      <c r="U75" s="197">
        <f>IF(AND($I75="x",AND(MAX(Q75:S75)=Q75,Q75&gt;=0)),Data!$BI$2,"")</f>
        <v>65</v>
      </c>
      <c r="V75" s="197" t="str">
        <f>IF(AND($J75="x",AND(MAX(Q75:S75)=R75,R75&gt;=0)),Data!$BJ$2,"")</f>
        <v/>
      </c>
      <c r="W75" s="197" t="str">
        <f>IF(AND($K75="x",AND(MAX(Q75:S75)=S75,S75&gt;=0)),Data!$BK$2,"")</f>
        <v/>
      </c>
      <c r="X75" s="197"/>
      <c r="Y75" s="328"/>
      <c r="Z75" s="453">
        <v>50</v>
      </c>
      <c r="AA75" s="454">
        <v>10</v>
      </c>
      <c r="AB75" s="441">
        <f t="shared" si="98"/>
        <v>40</v>
      </c>
      <c r="AC75" s="328"/>
      <c r="AD75" s="197">
        <f>IF(AND($I75="x",AND(MAX(Z75:AB75)=Z75,Z75&lt;&gt;"")),Data!$BI$2,"")</f>
        <v>65</v>
      </c>
      <c r="AE75" s="197" t="str">
        <f>IF(AND($J75="x",AND(MAX(Z75:AB75)=AA75,AA75&lt;&gt;"")),Data!$BJ$2,"")</f>
        <v/>
      </c>
      <c r="AF75" s="197" t="str">
        <f>IF(AND($K75="x",AND(MAX(Z75:AB75)=AB75,AB75&lt;&gt;"")),Data!$BK$2,"")</f>
        <v/>
      </c>
      <c r="AG75" s="197"/>
      <c r="AH75" s="328"/>
      <c r="AI75" s="453">
        <v>50</v>
      </c>
      <c r="AJ75" s="454">
        <v>10</v>
      </c>
      <c r="AK75" s="441">
        <f t="shared" si="99"/>
        <v>40</v>
      </c>
      <c r="AL75" s="328"/>
      <c r="AM75" s="197">
        <f>IF(AND($I75="x",AND(MAX(AI75:AK75)=AI75,AI75&lt;&gt;"")),Data!$BI$2,"")</f>
        <v>65</v>
      </c>
      <c r="AN75" s="197" t="str">
        <f>IF(AND($J75="x",AND(MAX(AI75:AK75)=AJ75,AJ75&lt;&gt;"")),Data!$BJ$2,"")</f>
        <v/>
      </c>
      <c r="AO75" s="197" t="str">
        <f>IF(AND($K75="x",AND(MAX(AI75:AK75)=AK75,AK75&lt;&gt;"")),Data!$BK$2,"")</f>
        <v/>
      </c>
      <c r="AP75" s="197"/>
      <c r="AQ75" s="328"/>
      <c r="AR75" s="453">
        <v>50</v>
      </c>
      <c r="AS75" s="454">
        <v>10</v>
      </c>
      <c r="AT75" s="441">
        <f t="shared" si="100"/>
        <v>40</v>
      </c>
      <c r="AU75" s="328"/>
      <c r="AV75" s="197">
        <f>IF(AND($I75="x",AND(MAX(AR75:AT75)=AR75,AR75&lt;&gt;"")),Data!$BI$2,"")</f>
        <v>65</v>
      </c>
      <c r="AW75" s="197" t="str">
        <f>IF(AND($J75="x",AND(MAX(AR75:AT75)=AS75,AS75&lt;&gt;"")),Data!$BJ$2,"")</f>
        <v/>
      </c>
      <c r="AX75" s="197" t="str">
        <f>IF(AND($K75="x",AND(MAX(AR75:AT75)=AT75,AT75&lt;&gt;"")),Data!$BK$2,"")</f>
        <v/>
      </c>
      <c r="AY75" s="197"/>
      <c r="AZ75" s="328"/>
      <c r="BA75" s="453">
        <v>50</v>
      </c>
      <c r="BB75" s="454">
        <v>10</v>
      </c>
      <c r="BC75" s="441">
        <f t="shared" si="101"/>
        <v>40</v>
      </c>
      <c r="BD75" s="328"/>
      <c r="BE75" s="197">
        <f>IF(AND($I75="x",AND(MAX(BA75:BC75)=BA75,BA75&lt;&gt;"")),Data!$BI$2,"")</f>
        <v>65</v>
      </c>
      <c r="BF75" s="197" t="str">
        <f>IF(AND($J75="x",AND(MAX(BA75:BC75)=BB75,BB75&lt;&gt;"")),Data!$BJ$2,"")</f>
        <v/>
      </c>
      <c r="BG75" s="197" t="str">
        <f>IF(AND($K75="x",AND(MAX(BA75:BC75)=BC75,BC75&lt;&gt;"")),Data!$BK$2,"")</f>
        <v/>
      </c>
      <c r="BH75" s="197"/>
      <c r="BI75" s="328"/>
      <c r="BJ75" s="453">
        <v>50</v>
      </c>
      <c r="BK75" s="454">
        <v>10</v>
      </c>
      <c r="BL75" s="441">
        <f t="shared" si="102"/>
        <v>40</v>
      </c>
      <c r="BM75" s="328"/>
      <c r="BN75" s="197">
        <f>IF(AND($I75="x",AND(MAX(BJ75:BL75)=BJ75,BJ75&lt;&gt;"")),Data!$BI$2,"")</f>
        <v>65</v>
      </c>
      <c r="BO75" s="197" t="str">
        <f>IF(AND($J75="x",AND(MAX(BJ75:BL75)=BK75,BK75&lt;&gt;"")),Data!$BJ$2,"")</f>
        <v/>
      </c>
      <c r="BP75" s="197" t="str">
        <f>IF(AND($K75="x",AND(MAX(BJ75:BL75)=BL75,BL75&lt;&gt;"")),Data!$BK$2,"")</f>
        <v/>
      </c>
      <c r="BQ75" s="197"/>
      <c r="BR75" s="328"/>
      <c r="BS75" s="453">
        <v>50</v>
      </c>
      <c r="BT75" s="454">
        <v>10</v>
      </c>
      <c r="BU75" s="441">
        <f t="shared" si="103"/>
        <v>40</v>
      </c>
      <c r="BV75" s="328"/>
      <c r="BW75" s="197">
        <f>IF(AND($I75="x",AND(MAX(BS75:BU75)=BS75,BS75&lt;&gt;"")),Data!$BI$2,"")</f>
        <v>65</v>
      </c>
      <c r="BX75" s="197" t="str">
        <f>IF(AND($J75="x",AND(MAX(BS75:BU75)=BT75,BT75&lt;&gt;"")),Data!$BJ$2,"")</f>
        <v/>
      </c>
      <c r="BY75" s="197" t="str">
        <f>IF(AND($K75="x",AND(MAX(BS75:BU75)=BU75,BU75&lt;&gt;"")),Data!$BK$2,"")</f>
        <v/>
      </c>
      <c r="BZ75" s="197"/>
      <c r="CA75" s="328"/>
      <c r="CB75" s="460">
        <f t="shared" ref="CB75:CB85" si="107">IFERROR(ROUNDUP((SUM(Q75,Z75,AI75,AR75,BA75,BJ75,BS75)/SUM($Q75:$S75,$Z75:$AB75,$AI75:$AK75,$AR75:$AT75,$BA75:$BC75,$BJ75:$BL75,$BS75:$BU75))*100,-1),"")</f>
        <v>50</v>
      </c>
      <c r="CC75" s="461">
        <f t="shared" ref="CC75:CC85" si="108">IFERROR(ROUNDDOWN((SUM(R75,AA75,AJ75,AS75,BB75,BK75,BT75)/SUM($Q75:$S75,$Z75:$AB75,$AI75:$AK75,$AR75:$AT75,$BA75:$BC75,$BJ75:$BL75,$BS75:$BU75))*100,-1),"")</f>
        <v>10</v>
      </c>
      <c r="CD75" s="462">
        <f t="shared" si="104"/>
        <v>40</v>
      </c>
      <c r="CE75" s="328"/>
      <c r="CF75" s="197">
        <f>IF(AND($I75="x",AND(MAX(CB75:CD75)=CB75,CB75&lt;&gt;"")),Data!$BI$2,"")</f>
        <v>65</v>
      </c>
      <c r="CG75" s="197" t="str">
        <f>IF(AND($J75="x",AND(MAX(CB75:CD75)=CC75,CC75&lt;&gt;"")),Data!$BJ$2,"")</f>
        <v/>
      </c>
      <c r="CH75" s="197" t="str">
        <f>IF(AND($K75="x",AND(MAX(CB75:CD75)=CD75,CD75&lt;&gt;"")),Data!$BK$2,"")</f>
        <v/>
      </c>
      <c r="CI75" s="197"/>
      <c r="CJ75" s="197"/>
      <c r="CK75" s="453">
        <v>50</v>
      </c>
      <c r="CL75" s="454">
        <v>10</v>
      </c>
      <c r="CM75" s="441">
        <f t="shared" si="105"/>
        <v>40</v>
      </c>
      <c r="CN75" s="328"/>
      <c r="CO75" s="197">
        <f>IF(AND($I75="x",AND(MAX(CK75:CM75)=CK75,CK75&lt;&gt;"")),Data!$BI$2,"")</f>
        <v>65</v>
      </c>
      <c r="CP75" s="197" t="str">
        <f>IF(AND($J75="x",AND(MAX(CK75:CM75)=CL75,CL75&lt;&gt;"")),Data!$BJ$2,"")</f>
        <v/>
      </c>
      <c r="CQ75" s="197" t="str">
        <f>IF(AND($K75="x",AND(MAX(CK75:CM75)=CM75,CM75&lt;&gt;"")),Data!$BK$2,"")</f>
        <v/>
      </c>
      <c r="CR75" s="197"/>
      <c r="CS75" s="197"/>
      <c r="CT75" s="328"/>
      <c r="CU75" s="255"/>
      <c r="CV75" s="209"/>
      <c r="CW75" s="227"/>
      <c r="CX75" s="4"/>
      <c r="CY75" s="4"/>
    </row>
    <row r="76" spans="1:103" x14ac:dyDescent="0.2">
      <c r="A76" s="227"/>
      <c r="B76" s="227"/>
      <c r="C76" s="168"/>
      <c r="D76" s="232"/>
      <c r="E76" s="136" t="s">
        <v>91</v>
      </c>
      <c r="F76" s="426">
        <v>1</v>
      </c>
      <c r="G76" s="432" t="s">
        <v>51</v>
      </c>
      <c r="H76" s="433"/>
      <c r="I76" s="349" t="str">
        <f t="shared" si="95"/>
        <v>x</v>
      </c>
      <c r="J76" s="350" t="str">
        <f t="shared" si="96"/>
        <v/>
      </c>
      <c r="K76" s="351" t="str">
        <f t="shared" si="97"/>
        <v/>
      </c>
      <c r="L76" s="258"/>
      <c r="M76" s="332"/>
      <c r="N76" s="336"/>
      <c r="O76" s="200"/>
      <c r="P76" s="200"/>
      <c r="Q76" s="442">
        <v>50</v>
      </c>
      <c r="R76" s="443">
        <v>10</v>
      </c>
      <c r="S76" s="444">
        <f t="shared" si="106"/>
        <v>40</v>
      </c>
      <c r="T76" s="328"/>
      <c r="U76" s="197">
        <f>IF(AND($I76="x",AND(MAX(Q76:S76)=Q76,Q76&gt;=0)),Data!$BI$2,"")</f>
        <v>65</v>
      </c>
      <c r="V76" s="197" t="str">
        <f>IF(AND($J76="x",AND(MAX(Q76:S76)=R76,R76&gt;=0)),Data!$BJ$2,"")</f>
        <v/>
      </c>
      <c r="W76" s="197" t="str">
        <f>IF(AND($K76="x",AND(MAX(Q76:S76)=S76,S76&gt;=0)),Data!$BK$2,"")</f>
        <v/>
      </c>
      <c r="X76" s="197"/>
      <c r="Y76" s="328"/>
      <c r="Z76" s="455">
        <v>50</v>
      </c>
      <c r="AA76" s="456">
        <v>10</v>
      </c>
      <c r="AB76" s="444">
        <f t="shared" si="98"/>
        <v>40</v>
      </c>
      <c r="AC76" s="328"/>
      <c r="AD76" s="197">
        <f>IF(AND($I76="x",AND(MAX(Z76:AB76)=Z76,Z76&lt;&gt;"")),Data!$BI$2,"")</f>
        <v>65</v>
      </c>
      <c r="AE76" s="197" t="str">
        <f>IF(AND($J76="x",AND(MAX(Z76:AB76)=AA76,AA76&lt;&gt;"")),Data!$BJ$2,"")</f>
        <v/>
      </c>
      <c r="AF76" s="197" t="str">
        <f>IF(AND($K76="x",AND(MAX(Z76:AB76)=AB76,AB76&lt;&gt;"")),Data!$BK$2,"")</f>
        <v/>
      </c>
      <c r="AG76" s="197"/>
      <c r="AH76" s="328"/>
      <c r="AI76" s="455">
        <v>50</v>
      </c>
      <c r="AJ76" s="456">
        <v>10</v>
      </c>
      <c r="AK76" s="444">
        <f t="shared" si="99"/>
        <v>40</v>
      </c>
      <c r="AL76" s="328"/>
      <c r="AM76" s="197">
        <f>IF(AND($I76="x",AND(MAX(AI76:AK76)=AI76,AI76&lt;&gt;"")),Data!$BI$2,"")</f>
        <v>65</v>
      </c>
      <c r="AN76" s="197" t="str">
        <f>IF(AND($J76="x",AND(MAX(AI76:AK76)=AJ76,AJ76&lt;&gt;"")),Data!$BJ$2,"")</f>
        <v/>
      </c>
      <c r="AO76" s="197" t="str">
        <f>IF(AND($K76="x",AND(MAX(AI76:AK76)=AK76,AK76&lt;&gt;"")),Data!$BK$2,"")</f>
        <v/>
      </c>
      <c r="AP76" s="197"/>
      <c r="AQ76" s="328"/>
      <c r="AR76" s="455">
        <v>50</v>
      </c>
      <c r="AS76" s="456">
        <v>10</v>
      </c>
      <c r="AT76" s="444">
        <f t="shared" si="100"/>
        <v>40</v>
      </c>
      <c r="AU76" s="328"/>
      <c r="AV76" s="197">
        <f>IF(AND($I76="x",AND(MAX(AR76:AT76)=AR76,AR76&lt;&gt;"")),Data!$BI$2,"")</f>
        <v>65</v>
      </c>
      <c r="AW76" s="197" t="str">
        <f>IF(AND($J76="x",AND(MAX(AR76:AT76)=AS76,AS76&lt;&gt;"")),Data!$BJ$2,"")</f>
        <v/>
      </c>
      <c r="AX76" s="197" t="str">
        <f>IF(AND($K76="x",AND(MAX(AR76:AT76)=AT76,AT76&lt;&gt;"")),Data!$BK$2,"")</f>
        <v/>
      </c>
      <c r="AY76" s="197"/>
      <c r="AZ76" s="328"/>
      <c r="BA76" s="455">
        <v>50</v>
      </c>
      <c r="BB76" s="456">
        <v>10</v>
      </c>
      <c r="BC76" s="444">
        <f t="shared" si="101"/>
        <v>40</v>
      </c>
      <c r="BD76" s="328"/>
      <c r="BE76" s="197">
        <f>IF(AND($I76="x",AND(MAX(BA76:BC76)=BA76,BA76&lt;&gt;"")),Data!$BI$2,"")</f>
        <v>65</v>
      </c>
      <c r="BF76" s="197" t="str">
        <f>IF(AND($J76="x",AND(MAX(BA76:BC76)=BB76,BB76&lt;&gt;"")),Data!$BJ$2,"")</f>
        <v/>
      </c>
      <c r="BG76" s="197" t="str">
        <f>IF(AND($K76="x",AND(MAX(BA76:BC76)=BC76,BC76&lt;&gt;"")),Data!$BK$2,"")</f>
        <v/>
      </c>
      <c r="BH76" s="197"/>
      <c r="BI76" s="328"/>
      <c r="BJ76" s="455">
        <v>50</v>
      </c>
      <c r="BK76" s="456">
        <v>10</v>
      </c>
      <c r="BL76" s="444">
        <f t="shared" si="102"/>
        <v>40</v>
      </c>
      <c r="BM76" s="328"/>
      <c r="BN76" s="197">
        <f>IF(AND($I76="x",AND(MAX(BJ76:BL76)=BJ76,BJ76&lt;&gt;"")),Data!$BI$2,"")</f>
        <v>65</v>
      </c>
      <c r="BO76" s="197" t="str">
        <f>IF(AND($J76="x",AND(MAX(BJ76:BL76)=BK76,BK76&lt;&gt;"")),Data!$BJ$2,"")</f>
        <v/>
      </c>
      <c r="BP76" s="197" t="str">
        <f>IF(AND($K76="x",AND(MAX(BJ76:BL76)=BL76,BL76&lt;&gt;"")),Data!$BK$2,"")</f>
        <v/>
      </c>
      <c r="BQ76" s="197"/>
      <c r="BR76" s="328"/>
      <c r="BS76" s="455">
        <v>50</v>
      </c>
      <c r="BT76" s="456">
        <v>10</v>
      </c>
      <c r="BU76" s="444">
        <f t="shared" si="103"/>
        <v>40</v>
      </c>
      <c r="BV76" s="328"/>
      <c r="BW76" s="197">
        <f>IF(AND($I76="x",AND(MAX(BS76:BU76)=BS76,BS76&lt;&gt;"")),Data!$BI$2,"")</f>
        <v>65</v>
      </c>
      <c r="BX76" s="197" t="str">
        <f>IF(AND($J76="x",AND(MAX(BS76:BU76)=BT76,BT76&lt;&gt;"")),Data!$BJ$2,"")</f>
        <v/>
      </c>
      <c r="BY76" s="197" t="str">
        <f>IF(AND($K76="x",AND(MAX(BS76:BU76)=BU76,BU76&lt;&gt;"")),Data!$BK$2,"")</f>
        <v/>
      </c>
      <c r="BZ76" s="197"/>
      <c r="CA76" s="328"/>
      <c r="CB76" s="463">
        <f t="shared" si="107"/>
        <v>50</v>
      </c>
      <c r="CC76" s="464">
        <f t="shared" si="108"/>
        <v>10</v>
      </c>
      <c r="CD76" s="465">
        <f t="shared" si="104"/>
        <v>40</v>
      </c>
      <c r="CE76" s="328"/>
      <c r="CF76" s="197">
        <f>IF(AND($I76="x",AND(MAX(CB76:CD76)=CB76,CB76&lt;&gt;"")),Data!$BI$2,"")</f>
        <v>65</v>
      </c>
      <c r="CG76" s="197" t="str">
        <f>IF(AND($J76="x",AND(MAX(CB76:CD76)=CC76,CC76&lt;&gt;"")),Data!$BJ$2,"")</f>
        <v/>
      </c>
      <c r="CH76" s="197" t="str">
        <f>IF(AND($K76="x",AND(MAX(CB76:CD76)=CD76,CD76&lt;&gt;"")),Data!$BK$2,"")</f>
        <v/>
      </c>
      <c r="CI76" s="197"/>
      <c r="CJ76" s="197"/>
      <c r="CK76" s="455">
        <v>50</v>
      </c>
      <c r="CL76" s="456">
        <v>10</v>
      </c>
      <c r="CM76" s="444">
        <f t="shared" si="105"/>
        <v>40</v>
      </c>
      <c r="CN76" s="328"/>
      <c r="CO76" s="197">
        <f>IF(AND($I76="x",AND(MAX(CK76:CM76)=CK76,CK76&lt;&gt;"")),Data!$BI$2,"")</f>
        <v>65</v>
      </c>
      <c r="CP76" s="197" t="str">
        <f>IF(AND($J76="x",AND(MAX(CK76:CM76)=CL76,CL76&lt;&gt;"")),Data!$BJ$2,"")</f>
        <v/>
      </c>
      <c r="CQ76" s="197" t="str">
        <f>IF(AND($K76="x",AND(MAX(CK76:CM76)=CM76,CM76&lt;&gt;"")),Data!$BK$2,"")</f>
        <v/>
      </c>
      <c r="CR76" s="197"/>
      <c r="CS76" s="197"/>
      <c r="CT76" s="328"/>
      <c r="CU76" s="255"/>
      <c r="CV76" s="209"/>
      <c r="CW76" s="227"/>
      <c r="CX76" s="4"/>
      <c r="CY76" s="4"/>
    </row>
    <row r="77" spans="1:103" x14ac:dyDescent="0.2">
      <c r="A77" s="227"/>
      <c r="B77" s="227"/>
      <c r="C77" s="168"/>
      <c r="D77" s="232"/>
      <c r="E77" s="134" t="s">
        <v>92</v>
      </c>
      <c r="F77" s="424">
        <v>1</v>
      </c>
      <c r="G77" s="428" t="s">
        <v>51</v>
      </c>
      <c r="H77" s="429"/>
      <c r="I77" s="138" t="str">
        <f t="shared" si="95"/>
        <v>x</v>
      </c>
      <c r="J77" s="344" t="str">
        <f t="shared" si="96"/>
        <v/>
      </c>
      <c r="K77" s="345" t="str">
        <f t="shared" si="97"/>
        <v/>
      </c>
      <c r="L77" s="258"/>
      <c r="M77" s="332"/>
      <c r="N77" s="336"/>
      <c r="O77" s="200"/>
      <c r="P77" s="200"/>
      <c r="Q77" s="436">
        <v>50</v>
      </c>
      <c r="R77" s="437">
        <v>10</v>
      </c>
      <c r="S77" s="438">
        <f t="shared" si="106"/>
        <v>40</v>
      </c>
      <c r="T77" s="328"/>
      <c r="U77" s="197">
        <f>IF(AND($I77="x",AND(MAX(Q77:S77)=Q77,Q77&gt;=0)),Data!$BI$2,"")</f>
        <v>65</v>
      </c>
      <c r="V77" s="197" t="str">
        <f>IF(AND($J77="x",AND(MAX(Q77:S77)=R77,R77&gt;=0)),Data!$BJ$2,"")</f>
        <v/>
      </c>
      <c r="W77" s="197" t="str">
        <f>IF(AND($K77="x",AND(MAX(Q77:S77)=S77,S77&gt;=0)),Data!$BK$2,"")</f>
        <v/>
      </c>
      <c r="X77" s="197"/>
      <c r="Y77" s="328"/>
      <c r="Z77" s="451">
        <v>50</v>
      </c>
      <c r="AA77" s="452">
        <v>10</v>
      </c>
      <c r="AB77" s="438">
        <f t="shared" si="98"/>
        <v>40</v>
      </c>
      <c r="AC77" s="328"/>
      <c r="AD77" s="197">
        <f>IF(AND($I77="x",AND(MAX(Z77:AB77)=Z77,Z77&lt;&gt;"")),Data!$BI$2,"")</f>
        <v>65</v>
      </c>
      <c r="AE77" s="197" t="str">
        <f>IF(AND($J77="x",AND(MAX(Z77:AB77)=AA77,AA77&lt;&gt;"")),Data!$BJ$2,"")</f>
        <v/>
      </c>
      <c r="AF77" s="197" t="str">
        <f>IF(AND($K77="x",AND(MAX(Z77:AB77)=AB77,AB77&lt;&gt;"")),Data!$BK$2,"")</f>
        <v/>
      </c>
      <c r="AG77" s="197"/>
      <c r="AH77" s="328"/>
      <c r="AI77" s="451">
        <v>50</v>
      </c>
      <c r="AJ77" s="452">
        <v>10</v>
      </c>
      <c r="AK77" s="438">
        <f t="shared" si="99"/>
        <v>40</v>
      </c>
      <c r="AL77" s="328"/>
      <c r="AM77" s="197">
        <f>IF(AND($I77="x",AND(MAX(AI77:AK77)=AI77,AI77&lt;&gt;"")),Data!$BI$2,"")</f>
        <v>65</v>
      </c>
      <c r="AN77" s="197" t="str">
        <f>IF(AND($J77="x",AND(MAX(AI77:AK77)=AJ77,AJ77&lt;&gt;"")),Data!$BJ$2,"")</f>
        <v/>
      </c>
      <c r="AO77" s="197" t="str">
        <f>IF(AND($K77="x",AND(MAX(AI77:AK77)=AK77,AK77&lt;&gt;"")),Data!$BK$2,"")</f>
        <v/>
      </c>
      <c r="AP77" s="197"/>
      <c r="AQ77" s="328"/>
      <c r="AR77" s="451">
        <v>50</v>
      </c>
      <c r="AS77" s="452">
        <v>10</v>
      </c>
      <c r="AT77" s="438">
        <f t="shared" si="100"/>
        <v>40</v>
      </c>
      <c r="AU77" s="328"/>
      <c r="AV77" s="197">
        <f>IF(AND($I77="x",AND(MAX(AR77:AT77)=AR77,AR77&lt;&gt;"")),Data!$BI$2,"")</f>
        <v>65</v>
      </c>
      <c r="AW77" s="197" t="str">
        <f>IF(AND($J77="x",AND(MAX(AR77:AT77)=AS77,AS77&lt;&gt;"")),Data!$BJ$2,"")</f>
        <v/>
      </c>
      <c r="AX77" s="197" t="str">
        <f>IF(AND($K77="x",AND(MAX(AR77:AT77)=AT77,AT77&lt;&gt;"")),Data!$BK$2,"")</f>
        <v/>
      </c>
      <c r="AY77" s="197"/>
      <c r="AZ77" s="328"/>
      <c r="BA77" s="451">
        <v>50</v>
      </c>
      <c r="BB77" s="452">
        <v>10</v>
      </c>
      <c r="BC77" s="438">
        <f t="shared" si="101"/>
        <v>40</v>
      </c>
      <c r="BD77" s="328"/>
      <c r="BE77" s="197">
        <f>IF(AND($I77="x",AND(MAX(BA77:BC77)=BA77,BA77&lt;&gt;"")),Data!$BI$2,"")</f>
        <v>65</v>
      </c>
      <c r="BF77" s="197" t="str">
        <f>IF(AND($J77="x",AND(MAX(BA77:BC77)=BB77,BB77&lt;&gt;"")),Data!$BJ$2,"")</f>
        <v/>
      </c>
      <c r="BG77" s="197" t="str">
        <f>IF(AND($K77="x",AND(MAX(BA77:BC77)=BC77,BC77&lt;&gt;"")),Data!$BK$2,"")</f>
        <v/>
      </c>
      <c r="BH77" s="197"/>
      <c r="BI77" s="328"/>
      <c r="BJ77" s="451">
        <v>50</v>
      </c>
      <c r="BK77" s="452">
        <v>10</v>
      </c>
      <c r="BL77" s="438">
        <f t="shared" si="102"/>
        <v>40</v>
      </c>
      <c r="BM77" s="328"/>
      <c r="BN77" s="197">
        <f>IF(AND($I77="x",AND(MAX(BJ77:BL77)=BJ77,BJ77&lt;&gt;"")),Data!$BI$2,"")</f>
        <v>65</v>
      </c>
      <c r="BO77" s="197" t="str">
        <f>IF(AND($J77="x",AND(MAX(BJ77:BL77)=BK77,BK77&lt;&gt;"")),Data!$BJ$2,"")</f>
        <v/>
      </c>
      <c r="BP77" s="197" t="str">
        <f>IF(AND($K77="x",AND(MAX(BJ77:BL77)=BL77,BL77&lt;&gt;"")),Data!$BK$2,"")</f>
        <v/>
      </c>
      <c r="BQ77" s="197"/>
      <c r="BR77" s="328"/>
      <c r="BS77" s="451">
        <v>50</v>
      </c>
      <c r="BT77" s="452">
        <v>10</v>
      </c>
      <c r="BU77" s="438">
        <f t="shared" si="103"/>
        <v>40</v>
      </c>
      <c r="BV77" s="328"/>
      <c r="BW77" s="197">
        <f>IF(AND($I77="x",AND(MAX(BS77:BU77)=BS77,BS77&lt;&gt;"")),Data!$BI$2,"")</f>
        <v>65</v>
      </c>
      <c r="BX77" s="197" t="str">
        <f>IF(AND($J77="x",AND(MAX(BS77:BU77)=BT77,BT77&lt;&gt;"")),Data!$BJ$2,"")</f>
        <v/>
      </c>
      <c r="BY77" s="197" t="str">
        <f>IF(AND($K77="x",AND(MAX(BS77:BU77)=BU77,BU77&lt;&gt;"")),Data!$BK$2,"")</f>
        <v/>
      </c>
      <c r="BZ77" s="197"/>
      <c r="CA77" s="328"/>
      <c r="CB77" s="457">
        <f t="shared" si="107"/>
        <v>50</v>
      </c>
      <c r="CC77" s="458">
        <f t="shared" si="108"/>
        <v>10</v>
      </c>
      <c r="CD77" s="459">
        <f t="shared" si="104"/>
        <v>40</v>
      </c>
      <c r="CE77" s="328"/>
      <c r="CF77" s="197">
        <f>IF(AND($I77="x",AND(MAX(CB77:CD77)=CB77,CB77&lt;&gt;"")),Data!$BI$2,"")</f>
        <v>65</v>
      </c>
      <c r="CG77" s="197" t="str">
        <f>IF(AND($J77="x",AND(MAX(CB77:CD77)=CC77,CC77&lt;&gt;"")),Data!$BJ$2,"")</f>
        <v/>
      </c>
      <c r="CH77" s="197" t="str">
        <f>IF(AND($K77="x",AND(MAX(CB77:CD77)=CD77,CD77&lt;&gt;"")),Data!$BK$2,"")</f>
        <v/>
      </c>
      <c r="CI77" s="197"/>
      <c r="CJ77" s="197"/>
      <c r="CK77" s="451">
        <v>50</v>
      </c>
      <c r="CL77" s="452">
        <v>10</v>
      </c>
      <c r="CM77" s="438">
        <f t="shared" si="105"/>
        <v>40</v>
      </c>
      <c r="CN77" s="328"/>
      <c r="CO77" s="197">
        <f>IF(AND($I77="x",AND(MAX(CK77:CM77)=CK77,CK77&lt;&gt;"")),Data!$BI$2,"")</f>
        <v>65</v>
      </c>
      <c r="CP77" s="197" t="str">
        <f>IF(AND($J77="x",AND(MAX(CK77:CM77)=CL77,CL77&lt;&gt;"")),Data!$BJ$2,"")</f>
        <v/>
      </c>
      <c r="CQ77" s="197" t="str">
        <f>IF(AND($K77="x",AND(MAX(CK77:CM77)=CM77,CM77&lt;&gt;"")),Data!$BK$2,"")</f>
        <v/>
      </c>
      <c r="CR77" s="197"/>
      <c r="CS77" s="197"/>
      <c r="CT77" s="328"/>
      <c r="CU77" s="255"/>
      <c r="CV77" s="209"/>
      <c r="CW77" s="227"/>
      <c r="CX77" s="4"/>
      <c r="CY77" s="4"/>
    </row>
    <row r="78" spans="1:103" x14ac:dyDescent="0.2">
      <c r="A78" s="227"/>
      <c r="B78" s="227"/>
      <c r="C78" s="168"/>
      <c r="D78" s="232"/>
      <c r="E78" s="135" t="s">
        <v>93</v>
      </c>
      <c r="F78" s="425">
        <v>1</v>
      </c>
      <c r="G78" s="430" t="s">
        <v>51</v>
      </c>
      <c r="H78" s="431"/>
      <c r="I78" s="346" t="str">
        <f t="shared" si="95"/>
        <v>x</v>
      </c>
      <c r="J78" s="347" t="str">
        <f t="shared" si="96"/>
        <v/>
      </c>
      <c r="K78" s="348" t="str">
        <f t="shared" si="97"/>
        <v/>
      </c>
      <c r="L78" s="258"/>
      <c r="M78" s="332"/>
      <c r="N78" s="336"/>
      <c r="O78" s="200"/>
      <c r="P78" s="200"/>
      <c r="Q78" s="439">
        <v>50</v>
      </c>
      <c r="R78" s="440">
        <v>10</v>
      </c>
      <c r="S78" s="441">
        <f t="shared" si="106"/>
        <v>40</v>
      </c>
      <c r="T78" s="328"/>
      <c r="U78" s="197">
        <f>IF(AND($I78="x",AND(MAX(Q78:S78)=Q78,Q78&gt;=0)),Data!$BI$2,"")</f>
        <v>65</v>
      </c>
      <c r="V78" s="197" t="str">
        <f>IF(AND($J78="x",AND(MAX(Q78:S78)=R78,R78&gt;=0)),Data!$BJ$2,"")</f>
        <v/>
      </c>
      <c r="W78" s="197" t="str">
        <f>IF(AND($K78="x",AND(MAX(Q78:S78)=S78,S78&gt;=0)),Data!$BK$2,"")</f>
        <v/>
      </c>
      <c r="X78" s="197"/>
      <c r="Y78" s="328"/>
      <c r="Z78" s="453">
        <v>50</v>
      </c>
      <c r="AA78" s="454">
        <v>10</v>
      </c>
      <c r="AB78" s="441">
        <f t="shared" si="98"/>
        <v>40</v>
      </c>
      <c r="AC78" s="328"/>
      <c r="AD78" s="197">
        <f>IF(AND($I78="x",AND(MAX(Z78:AB78)=Z78,Z78&lt;&gt;"")),Data!$BI$2,"")</f>
        <v>65</v>
      </c>
      <c r="AE78" s="197" t="str">
        <f>IF(AND($J78="x",AND(MAX(Z78:AB78)=AA78,AA78&lt;&gt;"")),Data!$BJ$2,"")</f>
        <v/>
      </c>
      <c r="AF78" s="197" t="str">
        <f>IF(AND($K78="x",AND(MAX(Z78:AB78)=AB78,AB78&lt;&gt;"")),Data!$BK$2,"")</f>
        <v/>
      </c>
      <c r="AG78" s="197"/>
      <c r="AH78" s="328"/>
      <c r="AI78" s="453">
        <v>50</v>
      </c>
      <c r="AJ78" s="454">
        <v>10</v>
      </c>
      <c r="AK78" s="441">
        <f t="shared" si="99"/>
        <v>40</v>
      </c>
      <c r="AL78" s="328"/>
      <c r="AM78" s="197">
        <f>IF(AND($I78="x",AND(MAX(AI78:AK78)=AI78,AI78&lt;&gt;"")),Data!$BI$2,"")</f>
        <v>65</v>
      </c>
      <c r="AN78" s="197" t="str">
        <f>IF(AND($J78="x",AND(MAX(AI78:AK78)=AJ78,AJ78&lt;&gt;"")),Data!$BJ$2,"")</f>
        <v/>
      </c>
      <c r="AO78" s="197" t="str">
        <f>IF(AND($K78="x",AND(MAX(AI78:AK78)=AK78,AK78&lt;&gt;"")),Data!$BK$2,"")</f>
        <v/>
      </c>
      <c r="AP78" s="197"/>
      <c r="AQ78" s="328"/>
      <c r="AR78" s="453">
        <v>50</v>
      </c>
      <c r="AS78" s="454">
        <v>10</v>
      </c>
      <c r="AT78" s="441">
        <f t="shared" si="100"/>
        <v>40</v>
      </c>
      <c r="AU78" s="328"/>
      <c r="AV78" s="197">
        <f>IF(AND($I78="x",AND(MAX(AR78:AT78)=AR78,AR78&lt;&gt;"")),Data!$BI$2,"")</f>
        <v>65</v>
      </c>
      <c r="AW78" s="197" t="str">
        <f>IF(AND($J78="x",AND(MAX(AR78:AT78)=AS78,AS78&lt;&gt;"")),Data!$BJ$2,"")</f>
        <v/>
      </c>
      <c r="AX78" s="197" t="str">
        <f>IF(AND($K78="x",AND(MAX(AR78:AT78)=AT78,AT78&lt;&gt;"")),Data!$BK$2,"")</f>
        <v/>
      </c>
      <c r="AY78" s="197"/>
      <c r="AZ78" s="328"/>
      <c r="BA78" s="453">
        <v>50</v>
      </c>
      <c r="BB78" s="454">
        <v>10</v>
      </c>
      <c r="BC78" s="441">
        <f t="shared" si="101"/>
        <v>40</v>
      </c>
      <c r="BD78" s="328"/>
      <c r="BE78" s="197">
        <f>IF(AND($I78="x",AND(MAX(BA78:BC78)=BA78,BA78&lt;&gt;"")),Data!$BI$2,"")</f>
        <v>65</v>
      </c>
      <c r="BF78" s="197" t="str">
        <f>IF(AND($J78="x",AND(MAX(BA78:BC78)=BB78,BB78&lt;&gt;"")),Data!$BJ$2,"")</f>
        <v/>
      </c>
      <c r="BG78" s="197" t="str">
        <f>IF(AND($K78="x",AND(MAX(BA78:BC78)=BC78,BC78&lt;&gt;"")),Data!$BK$2,"")</f>
        <v/>
      </c>
      <c r="BH78" s="197"/>
      <c r="BI78" s="328"/>
      <c r="BJ78" s="453">
        <v>50</v>
      </c>
      <c r="BK78" s="454">
        <v>10</v>
      </c>
      <c r="BL78" s="441">
        <f t="shared" si="102"/>
        <v>40</v>
      </c>
      <c r="BM78" s="328"/>
      <c r="BN78" s="197">
        <f>IF(AND($I78="x",AND(MAX(BJ78:BL78)=BJ78,BJ78&lt;&gt;"")),Data!$BI$2,"")</f>
        <v>65</v>
      </c>
      <c r="BO78" s="197" t="str">
        <f>IF(AND($J78="x",AND(MAX(BJ78:BL78)=BK78,BK78&lt;&gt;"")),Data!$BJ$2,"")</f>
        <v/>
      </c>
      <c r="BP78" s="197" t="str">
        <f>IF(AND($K78="x",AND(MAX(BJ78:BL78)=BL78,BL78&lt;&gt;"")),Data!$BK$2,"")</f>
        <v/>
      </c>
      <c r="BQ78" s="197"/>
      <c r="BR78" s="328"/>
      <c r="BS78" s="453">
        <v>50</v>
      </c>
      <c r="BT78" s="454">
        <v>10</v>
      </c>
      <c r="BU78" s="441">
        <f t="shared" si="103"/>
        <v>40</v>
      </c>
      <c r="BV78" s="328"/>
      <c r="BW78" s="197">
        <f>IF(AND($I78="x",AND(MAX(BS78:BU78)=BS78,BS78&lt;&gt;"")),Data!$BI$2,"")</f>
        <v>65</v>
      </c>
      <c r="BX78" s="197" t="str">
        <f>IF(AND($J78="x",AND(MAX(BS78:BU78)=BT78,BT78&lt;&gt;"")),Data!$BJ$2,"")</f>
        <v/>
      </c>
      <c r="BY78" s="197" t="str">
        <f>IF(AND($K78="x",AND(MAX(BS78:BU78)=BU78,BU78&lt;&gt;"")),Data!$BK$2,"")</f>
        <v/>
      </c>
      <c r="BZ78" s="197"/>
      <c r="CA78" s="328"/>
      <c r="CB78" s="460">
        <f t="shared" si="107"/>
        <v>50</v>
      </c>
      <c r="CC78" s="461">
        <f t="shared" si="108"/>
        <v>10</v>
      </c>
      <c r="CD78" s="462">
        <f t="shared" si="104"/>
        <v>40</v>
      </c>
      <c r="CE78" s="328"/>
      <c r="CF78" s="197">
        <f>IF(AND($I78="x",AND(MAX(CB78:CD78)=CB78,CB78&lt;&gt;"")),Data!$BI$2,"")</f>
        <v>65</v>
      </c>
      <c r="CG78" s="197" t="str">
        <f>IF(AND($J78="x",AND(MAX(CB78:CD78)=CC78,CC78&lt;&gt;"")),Data!$BJ$2,"")</f>
        <v/>
      </c>
      <c r="CH78" s="197" t="str">
        <f>IF(AND($K78="x",AND(MAX(CB78:CD78)=CD78,CD78&lt;&gt;"")),Data!$BK$2,"")</f>
        <v/>
      </c>
      <c r="CI78" s="197"/>
      <c r="CJ78" s="197"/>
      <c r="CK78" s="453">
        <v>50</v>
      </c>
      <c r="CL78" s="454">
        <v>10</v>
      </c>
      <c r="CM78" s="441">
        <f t="shared" si="105"/>
        <v>40</v>
      </c>
      <c r="CN78" s="328"/>
      <c r="CO78" s="197">
        <f>IF(AND($I78="x",AND(MAX(CK78:CM78)=CK78,CK78&lt;&gt;"")),Data!$BI$2,"")</f>
        <v>65</v>
      </c>
      <c r="CP78" s="197" t="str">
        <f>IF(AND($J78="x",AND(MAX(CK78:CM78)=CL78,CL78&lt;&gt;"")),Data!$BJ$2,"")</f>
        <v/>
      </c>
      <c r="CQ78" s="197" t="str">
        <f>IF(AND($K78="x",AND(MAX(CK78:CM78)=CM78,CM78&lt;&gt;"")),Data!$BK$2,"")</f>
        <v/>
      </c>
      <c r="CR78" s="197"/>
      <c r="CS78" s="197"/>
      <c r="CT78" s="328"/>
      <c r="CU78" s="255"/>
      <c r="CV78" s="209"/>
      <c r="CW78" s="227"/>
      <c r="CX78" s="4"/>
      <c r="CY78" s="4"/>
    </row>
    <row r="79" spans="1:103" x14ac:dyDescent="0.2">
      <c r="A79" s="227"/>
      <c r="B79" s="227"/>
      <c r="C79" s="168"/>
      <c r="D79" s="232"/>
      <c r="E79" s="136" t="s">
        <v>94</v>
      </c>
      <c r="F79" s="426">
        <v>1</v>
      </c>
      <c r="G79" s="432" t="s">
        <v>51</v>
      </c>
      <c r="H79" s="433"/>
      <c r="I79" s="349" t="str">
        <f t="shared" si="95"/>
        <v>x</v>
      </c>
      <c r="J79" s="350" t="str">
        <f t="shared" si="96"/>
        <v/>
      </c>
      <c r="K79" s="351" t="str">
        <f t="shared" si="97"/>
        <v/>
      </c>
      <c r="L79" s="258"/>
      <c r="M79" s="332"/>
      <c r="N79" s="336"/>
      <c r="O79" s="200"/>
      <c r="P79" s="200"/>
      <c r="Q79" s="445">
        <v>50</v>
      </c>
      <c r="R79" s="446">
        <v>10</v>
      </c>
      <c r="S79" s="447">
        <f t="shared" si="106"/>
        <v>40</v>
      </c>
      <c r="T79" s="328"/>
      <c r="U79" s="197">
        <f>IF(AND($I79="x",AND(MAX(Q79:S79)=Q79,Q79&gt;=0)),Data!$BI$2,"")</f>
        <v>65</v>
      </c>
      <c r="V79" s="197" t="str">
        <f>IF(AND($J79="x",AND(MAX(Q79:S79)=R79,R79&gt;=0)),Data!$BJ$2,"")</f>
        <v/>
      </c>
      <c r="W79" s="197" t="str">
        <f>IF(AND($K79="x",AND(MAX(Q79:S79)=S79,S79&gt;=0)),Data!$BK$2,"")</f>
        <v/>
      </c>
      <c r="X79" s="197"/>
      <c r="Y79" s="328"/>
      <c r="Z79" s="455">
        <v>50</v>
      </c>
      <c r="AA79" s="456">
        <v>10</v>
      </c>
      <c r="AB79" s="447">
        <f t="shared" si="98"/>
        <v>40</v>
      </c>
      <c r="AC79" s="328"/>
      <c r="AD79" s="197">
        <f>IF(AND($I79="x",AND(MAX(Z79:AB79)=Z79,Z79&lt;&gt;"")),Data!$BI$2,"")</f>
        <v>65</v>
      </c>
      <c r="AE79" s="197" t="str">
        <f>IF(AND($J79="x",AND(MAX(Z79:AB79)=AA79,AA79&lt;&gt;"")),Data!$BJ$2,"")</f>
        <v/>
      </c>
      <c r="AF79" s="197" t="str">
        <f>IF(AND($K79="x",AND(MAX(Z79:AB79)=AB79,AB79&lt;&gt;"")),Data!$BK$2,"")</f>
        <v/>
      </c>
      <c r="AG79" s="197"/>
      <c r="AH79" s="328"/>
      <c r="AI79" s="455">
        <v>50</v>
      </c>
      <c r="AJ79" s="456">
        <v>10</v>
      </c>
      <c r="AK79" s="447">
        <f t="shared" si="99"/>
        <v>40</v>
      </c>
      <c r="AL79" s="328"/>
      <c r="AM79" s="197">
        <f>IF(AND($I79="x",AND(MAX(AI79:AK79)=AI79,AI79&lt;&gt;"")),Data!$BI$2,"")</f>
        <v>65</v>
      </c>
      <c r="AN79" s="197" t="str">
        <f>IF(AND($J79="x",AND(MAX(AI79:AK79)=AJ79,AJ79&lt;&gt;"")),Data!$BJ$2,"")</f>
        <v/>
      </c>
      <c r="AO79" s="197" t="str">
        <f>IF(AND($K79="x",AND(MAX(AI79:AK79)=AK79,AK79&lt;&gt;"")),Data!$BK$2,"")</f>
        <v/>
      </c>
      <c r="AP79" s="197"/>
      <c r="AQ79" s="328"/>
      <c r="AR79" s="455">
        <v>50</v>
      </c>
      <c r="AS79" s="456">
        <v>10</v>
      </c>
      <c r="AT79" s="447">
        <f t="shared" si="100"/>
        <v>40</v>
      </c>
      <c r="AU79" s="328"/>
      <c r="AV79" s="197">
        <f>IF(AND($I79="x",AND(MAX(AR79:AT79)=AR79,AR79&lt;&gt;"")),Data!$BI$2,"")</f>
        <v>65</v>
      </c>
      <c r="AW79" s="197" t="str">
        <f>IF(AND($J79="x",AND(MAX(AR79:AT79)=AS79,AS79&lt;&gt;"")),Data!$BJ$2,"")</f>
        <v/>
      </c>
      <c r="AX79" s="197" t="str">
        <f>IF(AND($K79="x",AND(MAX(AR79:AT79)=AT79,AT79&lt;&gt;"")),Data!$BK$2,"")</f>
        <v/>
      </c>
      <c r="AY79" s="197"/>
      <c r="AZ79" s="328"/>
      <c r="BA79" s="455">
        <v>50</v>
      </c>
      <c r="BB79" s="456">
        <v>10</v>
      </c>
      <c r="BC79" s="447">
        <f t="shared" si="101"/>
        <v>40</v>
      </c>
      <c r="BD79" s="328"/>
      <c r="BE79" s="197">
        <f>IF(AND($I79="x",AND(MAX(BA79:BC79)=BA79,BA79&lt;&gt;"")),Data!$BI$2,"")</f>
        <v>65</v>
      </c>
      <c r="BF79" s="197" t="str">
        <f>IF(AND($J79="x",AND(MAX(BA79:BC79)=BB79,BB79&lt;&gt;"")),Data!$BJ$2,"")</f>
        <v/>
      </c>
      <c r="BG79" s="197" t="str">
        <f>IF(AND($K79="x",AND(MAX(BA79:BC79)=BC79,BC79&lt;&gt;"")),Data!$BK$2,"")</f>
        <v/>
      </c>
      <c r="BH79" s="197"/>
      <c r="BI79" s="328"/>
      <c r="BJ79" s="455">
        <v>50</v>
      </c>
      <c r="BK79" s="456">
        <v>10</v>
      </c>
      <c r="BL79" s="447">
        <f t="shared" si="102"/>
        <v>40</v>
      </c>
      <c r="BM79" s="328"/>
      <c r="BN79" s="197">
        <f>IF(AND($I79="x",AND(MAX(BJ79:BL79)=BJ79,BJ79&lt;&gt;"")),Data!$BI$2,"")</f>
        <v>65</v>
      </c>
      <c r="BO79" s="197" t="str">
        <f>IF(AND($J79="x",AND(MAX(BJ79:BL79)=BK79,BK79&lt;&gt;"")),Data!$BJ$2,"")</f>
        <v/>
      </c>
      <c r="BP79" s="197" t="str">
        <f>IF(AND($K79="x",AND(MAX(BJ79:BL79)=BL79,BL79&lt;&gt;"")),Data!$BK$2,"")</f>
        <v/>
      </c>
      <c r="BQ79" s="197"/>
      <c r="BR79" s="328"/>
      <c r="BS79" s="455">
        <v>50</v>
      </c>
      <c r="BT79" s="456">
        <v>10</v>
      </c>
      <c r="BU79" s="447">
        <f t="shared" si="103"/>
        <v>40</v>
      </c>
      <c r="BV79" s="328"/>
      <c r="BW79" s="197">
        <f>IF(AND($I79="x",AND(MAX(BS79:BU79)=BS79,BS79&lt;&gt;"")),Data!$BI$2,"")</f>
        <v>65</v>
      </c>
      <c r="BX79" s="197" t="str">
        <f>IF(AND($J79="x",AND(MAX(BS79:BU79)=BT79,BT79&lt;&gt;"")),Data!$BJ$2,"")</f>
        <v/>
      </c>
      <c r="BY79" s="197" t="str">
        <f>IF(AND($K79="x",AND(MAX(BS79:BU79)=BU79,BU79&lt;&gt;"")),Data!$BK$2,"")</f>
        <v/>
      </c>
      <c r="BZ79" s="197"/>
      <c r="CA79" s="328"/>
      <c r="CB79" s="463">
        <f t="shared" si="107"/>
        <v>50</v>
      </c>
      <c r="CC79" s="464">
        <f t="shared" si="108"/>
        <v>10</v>
      </c>
      <c r="CD79" s="465">
        <f t="shared" si="104"/>
        <v>40</v>
      </c>
      <c r="CE79" s="328"/>
      <c r="CF79" s="197">
        <f>IF(AND($I79="x",AND(MAX(CB79:CD79)=CB79,CB79&lt;&gt;"")),Data!$BI$2,"")</f>
        <v>65</v>
      </c>
      <c r="CG79" s="197" t="str">
        <f>IF(AND($J79="x",AND(MAX(CB79:CD79)=CC79,CC79&lt;&gt;"")),Data!$BJ$2,"")</f>
        <v/>
      </c>
      <c r="CH79" s="197" t="str">
        <f>IF(AND($K79="x",AND(MAX(CB79:CD79)=CD79,CD79&lt;&gt;"")),Data!$BK$2,"")</f>
        <v/>
      </c>
      <c r="CI79" s="197"/>
      <c r="CJ79" s="197"/>
      <c r="CK79" s="455">
        <v>50</v>
      </c>
      <c r="CL79" s="456">
        <v>10</v>
      </c>
      <c r="CM79" s="447">
        <f t="shared" si="105"/>
        <v>40</v>
      </c>
      <c r="CN79" s="328"/>
      <c r="CO79" s="197">
        <f>IF(AND($I79="x",AND(MAX(CK79:CM79)=CK79,CK79&lt;&gt;"")),Data!$BI$2,"")</f>
        <v>65</v>
      </c>
      <c r="CP79" s="197" t="str">
        <f>IF(AND($J79="x",AND(MAX(CK79:CM79)=CL79,CL79&lt;&gt;"")),Data!$BJ$2,"")</f>
        <v/>
      </c>
      <c r="CQ79" s="197" t="str">
        <f>IF(AND($K79="x",AND(MAX(CK79:CM79)=CM79,CM79&lt;&gt;"")),Data!$BK$2,"")</f>
        <v/>
      </c>
      <c r="CR79" s="197"/>
      <c r="CS79" s="197"/>
      <c r="CT79" s="328"/>
      <c r="CU79" s="255"/>
      <c r="CV79" s="209"/>
      <c r="CW79" s="227"/>
      <c r="CX79" s="4"/>
      <c r="CY79" s="4"/>
    </row>
    <row r="80" spans="1:103" x14ac:dyDescent="0.2">
      <c r="A80" s="227"/>
      <c r="B80" s="227"/>
      <c r="C80" s="168"/>
      <c r="D80" s="232"/>
      <c r="E80" s="134" t="s">
        <v>95</v>
      </c>
      <c r="F80" s="424">
        <v>1</v>
      </c>
      <c r="G80" s="428" t="s">
        <v>51</v>
      </c>
      <c r="H80" s="429"/>
      <c r="I80" s="138" t="str">
        <f t="shared" si="95"/>
        <v>x</v>
      </c>
      <c r="J80" s="344" t="str">
        <f t="shared" si="96"/>
        <v/>
      </c>
      <c r="K80" s="345" t="str">
        <f t="shared" si="97"/>
        <v/>
      </c>
      <c r="L80" s="258"/>
      <c r="M80" s="332"/>
      <c r="N80" s="336"/>
      <c r="O80" s="200"/>
      <c r="P80" s="200"/>
      <c r="Q80" s="436">
        <v>50</v>
      </c>
      <c r="R80" s="437">
        <v>10</v>
      </c>
      <c r="S80" s="438">
        <f t="shared" si="106"/>
        <v>40</v>
      </c>
      <c r="T80" s="328"/>
      <c r="U80" s="197">
        <f>IF(AND($I80="x",AND(MAX(Q80:S80)=Q80,Q80&gt;=0)),Data!$BI$2,"")</f>
        <v>65</v>
      </c>
      <c r="V80" s="197" t="str">
        <f>IF(AND($J80="x",AND(MAX(Q80:S80)=R80,R80&gt;=0)),Data!$BJ$2,"")</f>
        <v/>
      </c>
      <c r="W80" s="197" t="str">
        <f>IF(AND($K80="x",AND(MAX(Q80:S80)=S80,S80&gt;=0)),Data!$BK$2,"")</f>
        <v/>
      </c>
      <c r="X80" s="197"/>
      <c r="Y80" s="328"/>
      <c r="Z80" s="451">
        <v>50</v>
      </c>
      <c r="AA80" s="452">
        <v>10</v>
      </c>
      <c r="AB80" s="438">
        <f t="shared" si="98"/>
        <v>40</v>
      </c>
      <c r="AC80" s="328"/>
      <c r="AD80" s="197">
        <f>IF(AND($I80="x",AND(MAX(Z80:AB80)=Z80,Z80&lt;&gt;"")),Data!$BI$2,"")</f>
        <v>65</v>
      </c>
      <c r="AE80" s="197" t="str">
        <f>IF(AND($J80="x",AND(MAX(Z80:AB80)=AA80,AA80&lt;&gt;"")),Data!$BJ$2,"")</f>
        <v/>
      </c>
      <c r="AF80" s="197" t="str">
        <f>IF(AND($K80="x",AND(MAX(Z80:AB80)=AB80,AB80&lt;&gt;"")),Data!$BK$2,"")</f>
        <v/>
      </c>
      <c r="AG80" s="197"/>
      <c r="AH80" s="328"/>
      <c r="AI80" s="451">
        <v>50</v>
      </c>
      <c r="AJ80" s="452">
        <v>10</v>
      </c>
      <c r="AK80" s="438">
        <f t="shared" si="99"/>
        <v>40</v>
      </c>
      <c r="AL80" s="328"/>
      <c r="AM80" s="197">
        <f>IF(AND($I80="x",AND(MAX(AI80:AK80)=AI80,AI80&lt;&gt;"")),Data!$BI$2,"")</f>
        <v>65</v>
      </c>
      <c r="AN80" s="197" t="str">
        <f>IF(AND($J80="x",AND(MAX(AI80:AK80)=AJ80,AJ80&lt;&gt;"")),Data!$BJ$2,"")</f>
        <v/>
      </c>
      <c r="AO80" s="197" t="str">
        <f>IF(AND($K80="x",AND(MAX(AI80:AK80)=AK80,AK80&lt;&gt;"")),Data!$BK$2,"")</f>
        <v/>
      </c>
      <c r="AP80" s="197"/>
      <c r="AQ80" s="328"/>
      <c r="AR80" s="451">
        <v>50</v>
      </c>
      <c r="AS80" s="452">
        <v>10</v>
      </c>
      <c r="AT80" s="438">
        <f t="shared" si="100"/>
        <v>40</v>
      </c>
      <c r="AU80" s="328"/>
      <c r="AV80" s="197">
        <f>IF(AND($I80="x",AND(MAX(AR80:AT80)=AR80,AR80&lt;&gt;"")),Data!$BI$2,"")</f>
        <v>65</v>
      </c>
      <c r="AW80" s="197" t="str">
        <f>IF(AND($J80="x",AND(MAX(AR80:AT80)=AS80,AS80&lt;&gt;"")),Data!$BJ$2,"")</f>
        <v/>
      </c>
      <c r="AX80" s="197" t="str">
        <f>IF(AND($K80="x",AND(MAX(AR80:AT80)=AT80,AT80&lt;&gt;"")),Data!$BK$2,"")</f>
        <v/>
      </c>
      <c r="AY80" s="197"/>
      <c r="AZ80" s="328"/>
      <c r="BA80" s="451">
        <v>50</v>
      </c>
      <c r="BB80" s="452">
        <v>10</v>
      </c>
      <c r="BC80" s="438">
        <f t="shared" si="101"/>
        <v>40</v>
      </c>
      <c r="BD80" s="328"/>
      <c r="BE80" s="197">
        <f>IF(AND($I80="x",AND(MAX(BA80:BC80)=BA80,BA80&lt;&gt;"")),Data!$BI$2,"")</f>
        <v>65</v>
      </c>
      <c r="BF80" s="197" t="str">
        <f>IF(AND($J80="x",AND(MAX(BA80:BC80)=BB80,BB80&lt;&gt;"")),Data!$BJ$2,"")</f>
        <v/>
      </c>
      <c r="BG80" s="197" t="str">
        <f>IF(AND($K80="x",AND(MAX(BA80:BC80)=BC80,BC80&lt;&gt;"")),Data!$BK$2,"")</f>
        <v/>
      </c>
      <c r="BH80" s="197"/>
      <c r="BI80" s="328"/>
      <c r="BJ80" s="451">
        <v>50</v>
      </c>
      <c r="BK80" s="452">
        <v>10</v>
      </c>
      <c r="BL80" s="438">
        <f t="shared" si="102"/>
        <v>40</v>
      </c>
      <c r="BM80" s="328"/>
      <c r="BN80" s="197">
        <f>IF(AND($I80="x",AND(MAX(BJ80:BL80)=BJ80,BJ80&lt;&gt;"")),Data!$BI$2,"")</f>
        <v>65</v>
      </c>
      <c r="BO80" s="197" t="str">
        <f>IF(AND($J80="x",AND(MAX(BJ80:BL80)=BK80,BK80&lt;&gt;"")),Data!$BJ$2,"")</f>
        <v/>
      </c>
      <c r="BP80" s="197" t="str">
        <f>IF(AND($K80="x",AND(MAX(BJ80:BL80)=BL80,BL80&lt;&gt;"")),Data!$BK$2,"")</f>
        <v/>
      </c>
      <c r="BQ80" s="197"/>
      <c r="BR80" s="328"/>
      <c r="BS80" s="451">
        <v>50</v>
      </c>
      <c r="BT80" s="452">
        <v>10</v>
      </c>
      <c r="BU80" s="438">
        <f t="shared" si="103"/>
        <v>40</v>
      </c>
      <c r="BV80" s="328"/>
      <c r="BW80" s="197">
        <f>IF(AND($I80="x",AND(MAX(BS80:BU80)=BS80,BS80&lt;&gt;"")),Data!$BI$2,"")</f>
        <v>65</v>
      </c>
      <c r="BX80" s="197" t="str">
        <f>IF(AND($J80="x",AND(MAX(BS80:BU80)=BT80,BT80&lt;&gt;"")),Data!$BJ$2,"")</f>
        <v/>
      </c>
      <c r="BY80" s="197" t="str">
        <f>IF(AND($K80="x",AND(MAX(BS80:BU80)=BU80,BU80&lt;&gt;"")),Data!$BK$2,"")</f>
        <v/>
      </c>
      <c r="BZ80" s="197"/>
      <c r="CA80" s="328"/>
      <c r="CB80" s="457">
        <f t="shared" si="107"/>
        <v>50</v>
      </c>
      <c r="CC80" s="458">
        <f t="shared" si="108"/>
        <v>10</v>
      </c>
      <c r="CD80" s="459">
        <f t="shared" si="104"/>
        <v>40</v>
      </c>
      <c r="CE80" s="328"/>
      <c r="CF80" s="197">
        <f>IF(AND($I80="x",AND(MAX(CB80:CD80)=CB80,CB80&lt;&gt;"")),Data!$BI$2,"")</f>
        <v>65</v>
      </c>
      <c r="CG80" s="197" t="str">
        <f>IF(AND($J80="x",AND(MAX(CB80:CD80)=CC80,CC80&lt;&gt;"")),Data!$BJ$2,"")</f>
        <v/>
      </c>
      <c r="CH80" s="197" t="str">
        <f>IF(AND($K80="x",AND(MAX(CB80:CD80)=CD80,CD80&lt;&gt;"")),Data!$BK$2,"")</f>
        <v/>
      </c>
      <c r="CI80" s="197"/>
      <c r="CJ80" s="197"/>
      <c r="CK80" s="451">
        <v>50</v>
      </c>
      <c r="CL80" s="452">
        <v>10</v>
      </c>
      <c r="CM80" s="438">
        <f t="shared" si="105"/>
        <v>40</v>
      </c>
      <c r="CN80" s="328"/>
      <c r="CO80" s="197">
        <f>IF(AND($I80="x",AND(MAX(CK80:CM80)=CK80,CK80&lt;&gt;"")),Data!$BI$2,"")</f>
        <v>65</v>
      </c>
      <c r="CP80" s="197" t="str">
        <f>IF(AND($J80="x",AND(MAX(CK80:CM80)=CL80,CL80&lt;&gt;"")),Data!$BJ$2,"")</f>
        <v/>
      </c>
      <c r="CQ80" s="197" t="str">
        <f>IF(AND($K80="x",AND(MAX(CK80:CM80)=CM80,CM80&lt;&gt;"")),Data!$BK$2,"")</f>
        <v/>
      </c>
      <c r="CR80" s="197"/>
      <c r="CS80" s="197"/>
      <c r="CT80" s="328"/>
      <c r="CU80" s="259"/>
      <c r="CV80" s="209"/>
      <c r="CW80" s="227"/>
      <c r="CX80" s="4"/>
      <c r="CY80" s="4"/>
    </row>
    <row r="81" spans="1:101" x14ac:dyDescent="0.2">
      <c r="A81" s="227"/>
      <c r="B81" s="227"/>
      <c r="C81" s="168"/>
      <c r="D81" s="232"/>
      <c r="E81" s="135" t="s">
        <v>96</v>
      </c>
      <c r="F81" s="425">
        <v>1</v>
      </c>
      <c r="G81" s="430" t="s">
        <v>51</v>
      </c>
      <c r="H81" s="431"/>
      <c r="I81" s="346" t="str">
        <f t="shared" si="95"/>
        <v>x</v>
      </c>
      <c r="J81" s="347" t="str">
        <f t="shared" si="96"/>
        <v/>
      </c>
      <c r="K81" s="348" t="str">
        <f t="shared" si="97"/>
        <v/>
      </c>
      <c r="L81" s="258"/>
      <c r="M81" s="332"/>
      <c r="N81" s="336"/>
      <c r="O81" s="200"/>
      <c r="P81" s="200"/>
      <c r="Q81" s="439">
        <v>50</v>
      </c>
      <c r="R81" s="440">
        <v>10</v>
      </c>
      <c r="S81" s="441">
        <f t="shared" si="106"/>
        <v>40</v>
      </c>
      <c r="T81" s="328"/>
      <c r="U81" s="197">
        <f>IF(AND($I81="x",AND(MAX(Q81:S81)=Q81,Q81&gt;=0)),Data!$BI$2,"")</f>
        <v>65</v>
      </c>
      <c r="V81" s="197" t="str">
        <f>IF(AND($J81="x",AND(MAX(Q81:S81)=R81,R81&gt;=0)),Data!$BJ$2,"")</f>
        <v/>
      </c>
      <c r="W81" s="197" t="str">
        <f>IF(AND($K81="x",AND(MAX(Q81:S81)=S81,S81&gt;=0)),Data!$BK$2,"")</f>
        <v/>
      </c>
      <c r="X81" s="197"/>
      <c r="Y81" s="328"/>
      <c r="Z81" s="453">
        <v>50</v>
      </c>
      <c r="AA81" s="454">
        <v>10</v>
      </c>
      <c r="AB81" s="441">
        <f t="shared" si="98"/>
        <v>40</v>
      </c>
      <c r="AC81" s="328"/>
      <c r="AD81" s="197">
        <f>IF(AND($I81="x",AND(MAX(Z81:AB81)=Z81,Z81&lt;&gt;"")),Data!$BI$2,"")</f>
        <v>65</v>
      </c>
      <c r="AE81" s="197" t="str">
        <f>IF(AND($J81="x",AND(MAX(Z81:AB81)=AA81,AA81&lt;&gt;"")),Data!$BJ$2,"")</f>
        <v/>
      </c>
      <c r="AF81" s="197" t="str">
        <f>IF(AND($K81="x",AND(MAX(Z81:AB81)=AB81,AB81&lt;&gt;"")),Data!$BK$2,"")</f>
        <v/>
      </c>
      <c r="AG81" s="197"/>
      <c r="AH81" s="328"/>
      <c r="AI81" s="453">
        <v>50</v>
      </c>
      <c r="AJ81" s="454">
        <v>10</v>
      </c>
      <c r="AK81" s="441">
        <f t="shared" si="99"/>
        <v>40</v>
      </c>
      <c r="AL81" s="328"/>
      <c r="AM81" s="197">
        <f>IF(AND($I81="x",AND(MAX(AI81:AK81)=AI81,AI81&lt;&gt;"")),Data!$BI$2,"")</f>
        <v>65</v>
      </c>
      <c r="AN81" s="197" t="str">
        <f>IF(AND($J81="x",AND(MAX(AI81:AK81)=AJ81,AJ81&lt;&gt;"")),Data!$BJ$2,"")</f>
        <v/>
      </c>
      <c r="AO81" s="197" t="str">
        <f>IF(AND($K81="x",AND(MAX(AI81:AK81)=AK81,AK81&lt;&gt;"")),Data!$BK$2,"")</f>
        <v/>
      </c>
      <c r="AP81" s="197"/>
      <c r="AQ81" s="328"/>
      <c r="AR81" s="453">
        <v>50</v>
      </c>
      <c r="AS81" s="454">
        <v>10</v>
      </c>
      <c r="AT81" s="441">
        <f t="shared" si="100"/>
        <v>40</v>
      </c>
      <c r="AU81" s="328"/>
      <c r="AV81" s="197">
        <f>IF(AND($I81="x",AND(MAX(AR81:AT81)=AR81,AR81&lt;&gt;"")),Data!$BI$2,"")</f>
        <v>65</v>
      </c>
      <c r="AW81" s="197" t="str">
        <f>IF(AND($J81="x",AND(MAX(AR81:AT81)=AS81,AS81&lt;&gt;"")),Data!$BJ$2,"")</f>
        <v/>
      </c>
      <c r="AX81" s="197" t="str">
        <f>IF(AND($K81="x",AND(MAX(AR81:AT81)=AT81,AT81&lt;&gt;"")),Data!$BK$2,"")</f>
        <v/>
      </c>
      <c r="AY81" s="197"/>
      <c r="AZ81" s="328"/>
      <c r="BA81" s="453">
        <v>50</v>
      </c>
      <c r="BB81" s="454">
        <v>10</v>
      </c>
      <c r="BC81" s="441">
        <f t="shared" si="101"/>
        <v>40</v>
      </c>
      <c r="BD81" s="328"/>
      <c r="BE81" s="197">
        <f>IF(AND($I81="x",AND(MAX(BA81:BC81)=BA81,BA81&lt;&gt;"")),Data!$BI$2,"")</f>
        <v>65</v>
      </c>
      <c r="BF81" s="197" t="str">
        <f>IF(AND($J81="x",AND(MAX(BA81:BC81)=BB81,BB81&lt;&gt;"")),Data!$BJ$2,"")</f>
        <v/>
      </c>
      <c r="BG81" s="197" t="str">
        <f>IF(AND($K81="x",AND(MAX(BA81:BC81)=BC81,BC81&lt;&gt;"")),Data!$BK$2,"")</f>
        <v/>
      </c>
      <c r="BH81" s="197"/>
      <c r="BI81" s="328"/>
      <c r="BJ81" s="453">
        <v>50</v>
      </c>
      <c r="BK81" s="454">
        <v>10</v>
      </c>
      <c r="BL81" s="441">
        <f t="shared" si="102"/>
        <v>40</v>
      </c>
      <c r="BM81" s="328"/>
      <c r="BN81" s="197">
        <f>IF(AND($I81="x",AND(MAX(BJ81:BL81)=BJ81,BJ81&lt;&gt;"")),Data!$BI$2,"")</f>
        <v>65</v>
      </c>
      <c r="BO81" s="197" t="str">
        <f>IF(AND($J81="x",AND(MAX(BJ81:BL81)=BK81,BK81&lt;&gt;"")),Data!$BJ$2,"")</f>
        <v/>
      </c>
      <c r="BP81" s="197" t="str">
        <f>IF(AND($K81="x",AND(MAX(BJ81:BL81)=BL81,BL81&lt;&gt;"")),Data!$BK$2,"")</f>
        <v/>
      </c>
      <c r="BQ81" s="197"/>
      <c r="BR81" s="328"/>
      <c r="BS81" s="453">
        <v>50</v>
      </c>
      <c r="BT81" s="454">
        <v>10</v>
      </c>
      <c r="BU81" s="441">
        <f t="shared" si="103"/>
        <v>40</v>
      </c>
      <c r="BV81" s="328"/>
      <c r="BW81" s="197">
        <f>IF(AND($I81="x",AND(MAX(BS81:BU81)=BS81,BS81&lt;&gt;"")),Data!$BI$2,"")</f>
        <v>65</v>
      </c>
      <c r="BX81" s="197" t="str">
        <f>IF(AND($J81="x",AND(MAX(BS81:BU81)=BT81,BT81&lt;&gt;"")),Data!$BJ$2,"")</f>
        <v/>
      </c>
      <c r="BY81" s="197" t="str">
        <f>IF(AND($K81="x",AND(MAX(BS81:BU81)=BU81,BU81&lt;&gt;"")),Data!$BK$2,"")</f>
        <v/>
      </c>
      <c r="BZ81" s="197"/>
      <c r="CA81" s="328"/>
      <c r="CB81" s="460">
        <f t="shared" si="107"/>
        <v>50</v>
      </c>
      <c r="CC81" s="461">
        <f t="shared" si="108"/>
        <v>10</v>
      </c>
      <c r="CD81" s="462">
        <f t="shared" si="104"/>
        <v>40</v>
      </c>
      <c r="CE81" s="328"/>
      <c r="CF81" s="197">
        <f>IF(AND($I81="x",AND(MAX(CB81:CD81)=CB81,CB81&lt;&gt;"")),Data!$BI$2,"")</f>
        <v>65</v>
      </c>
      <c r="CG81" s="197" t="str">
        <f>IF(AND($J81="x",AND(MAX(CB81:CD81)=CC81,CC81&lt;&gt;"")),Data!$BJ$2,"")</f>
        <v/>
      </c>
      <c r="CH81" s="197" t="str">
        <f>IF(AND($K81="x",AND(MAX(CB81:CD81)=CD81,CD81&lt;&gt;"")),Data!$BK$2,"")</f>
        <v/>
      </c>
      <c r="CI81" s="197"/>
      <c r="CJ81" s="197"/>
      <c r="CK81" s="453">
        <v>50</v>
      </c>
      <c r="CL81" s="454">
        <v>10</v>
      </c>
      <c r="CM81" s="441">
        <f t="shared" si="105"/>
        <v>40</v>
      </c>
      <c r="CN81" s="328"/>
      <c r="CO81" s="197">
        <f>IF(AND($I81="x",AND(MAX(CK81:CM81)=CK81,CK81&lt;&gt;"")),Data!$BI$2,"")</f>
        <v>65</v>
      </c>
      <c r="CP81" s="197" t="str">
        <f>IF(AND($J81="x",AND(MAX(CK81:CM81)=CL81,CL81&lt;&gt;"")),Data!$BJ$2,"")</f>
        <v/>
      </c>
      <c r="CQ81" s="197" t="str">
        <f>IF(AND($K81="x",AND(MAX(CK81:CM81)=CM81,CM81&lt;&gt;"")),Data!$BK$2,"")</f>
        <v/>
      </c>
      <c r="CR81" s="197"/>
      <c r="CS81" s="197"/>
      <c r="CT81" s="328"/>
      <c r="CU81" s="259"/>
      <c r="CV81" s="209"/>
      <c r="CW81" s="227"/>
    </row>
    <row r="82" spans="1:101" x14ac:dyDescent="0.2">
      <c r="A82" s="227"/>
      <c r="B82" s="227"/>
      <c r="C82" s="168"/>
      <c r="D82" s="232"/>
      <c r="E82" s="136" t="s">
        <v>97</v>
      </c>
      <c r="F82" s="426">
        <v>1</v>
      </c>
      <c r="G82" s="432" t="s">
        <v>51</v>
      </c>
      <c r="H82" s="433"/>
      <c r="I82" s="349" t="str">
        <f t="shared" si="95"/>
        <v>x</v>
      </c>
      <c r="J82" s="350" t="str">
        <f t="shared" si="96"/>
        <v/>
      </c>
      <c r="K82" s="351" t="str">
        <f t="shared" si="97"/>
        <v/>
      </c>
      <c r="L82" s="258"/>
      <c r="M82" s="332"/>
      <c r="N82" s="336"/>
      <c r="O82" s="200"/>
      <c r="P82" s="200"/>
      <c r="Q82" s="445">
        <v>50</v>
      </c>
      <c r="R82" s="446">
        <v>10</v>
      </c>
      <c r="S82" s="447">
        <f t="shared" si="106"/>
        <v>40</v>
      </c>
      <c r="T82" s="328"/>
      <c r="U82" s="197">
        <f>IF(AND($I82="x",AND(MAX(Q82:S82)=Q82,Q82&gt;=0)),Data!$BI$2,"")</f>
        <v>65</v>
      </c>
      <c r="V82" s="197" t="str">
        <f>IF(AND($J82="x",AND(MAX(Q82:S82)=R82,R82&gt;=0)),Data!$BJ$2,"")</f>
        <v/>
      </c>
      <c r="W82" s="197" t="str">
        <f>IF(AND($K82="x",AND(MAX(Q82:S82)=S82,S82&gt;=0)),Data!$BK$2,"")</f>
        <v/>
      </c>
      <c r="X82" s="197"/>
      <c r="Y82" s="328"/>
      <c r="Z82" s="455">
        <v>50</v>
      </c>
      <c r="AA82" s="456">
        <v>10</v>
      </c>
      <c r="AB82" s="447">
        <f t="shared" si="98"/>
        <v>40</v>
      </c>
      <c r="AC82" s="328"/>
      <c r="AD82" s="197">
        <f>IF(AND($I82="x",AND(MAX(Z82:AB82)=Z82,Z82&lt;&gt;"")),Data!$BI$2,"")</f>
        <v>65</v>
      </c>
      <c r="AE82" s="197" t="str">
        <f>IF(AND($J82="x",AND(MAX(Z82:AB82)=AA82,AA82&lt;&gt;"")),Data!$BJ$2,"")</f>
        <v/>
      </c>
      <c r="AF82" s="197" t="str">
        <f>IF(AND($K82="x",AND(MAX(Z82:AB82)=AB82,AB82&lt;&gt;"")),Data!$BK$2,"")</f>
        <v/>
      </c>
      <c r="AG82" s="197"/>
      <c r="AH82" s="328"/>
      <c r="AI82" s="455">
        <v>50</v>
      </c>
      <c r="AJ82" s="456">
        <v>10</v>
      </c>
      <c r="AK82" s="447">
        <f t="shared" si="99"/>
        <v>40</v>
      </c>
      <c r="AL82" s="328"/>
      <c r="AM82" s="197">
        <f>IF(AND($I82="x",AND(MAX(AI82:AK82)=AI82,AI82&lt;&gt;"")),Data!$BI$2,"")</f>
        <v>65</v>
      </c>
      <c r="AN82" s="197" t="str">
        <f>IF(AND($J82="x",AND(MAX(AI82:AK82)=AJ82,AJ82&lt;&gt;"")),Data!$BJ$2,"")</f>
        <v/>
      </c>
      <c r="AO82" s="197" t="str">
        <f>IF(AND($K82="x",AND(MAX(AI82:AK82)=AK82,AK82&lt;&gt;"")),Data!$BK$2,"")</f>
        <v/>
      </c>
      <c r="AP82" s="197"/>
      <c r="AQ82" s="328"/>
      <c r="AR82" s="455">
        <v>50</v>
      </c>
      <c r="AS82" s="456">
        <v>10</v>
      </c>
      <c r="AT82" s="447">
        <f t="shared" si="100"/>
        <v>40</v>
      </c>
      <c r="AU82" s="328"/>
      <c r="AV82" s="197">
        <f>IF(AND($I82="x",AND(MAX(AR82:AT82)=AR82,AR82&lt;&gt;"")),Data!$BI$2,"")</f>
        <v>65</v>
      </c>
      <c r="AW82" s="197" t="str">
        <f>IF(AND($J82="x",AND(MAX(AR82:AT82)=AS82,AS82&lt;&gt;"")),Data!$BJ$2,"")</f>
        <v/>
      </c>
      <c r="AX82" s="197" t="str">
        <f>IF(AND($K82="x",AND(MAX(AR82:AT82)=AT82,AT82&lt;&gt;"")),Data!$BK$2,"")</f>
        <v/>
      </c>
      <c r="AY82" s="197"/>
      <c r="AZ82" s="328"/>
      <c r="BA82" s="455">
        <v>50</v>
      </c>
      <c r="BB82" s="456">
        <v>10</v>
      </c>
      <c r="BC82" s="447">
        <f t="shared" si="101"/>
        <v>40</v>
      </c>
      <c r="BD82" s="328"/>
      <c r="BE82" s="197">
        <f>IF(AND($I82="x",AND(MAX(BA82:BC82)=BA82,BA82&lt;&gt;"")),Data!$BI$2,"")</f>
        <v>65</v>
      </c>
      <c r="BF82" s="197" t="str">
        <f>IF(AND($J82="x",AND(MAX(BA82:BC82)=BB82,BB82&lt;&gt;"")),Data!$BJ$2,"")</f>
        <v/>
      </c>
      <c r="BG82" s="197" t="str">
        <f>IF(AND($K82="x",AND(MAX(BA82:BC82)=BC82,BC82&lt;&gt;"")),Data!$BK$2,"")</f>
        <v/>
      </c>
      <c r="BH82" s="197"/>
      <c r="BI82" s="328"/>
      <c r="BJ82" s="455">
        <v>50</v>
      </c>
      <c r="BK82" s="456">
        <v>10</v>
      </c>
      <c r="BL82" s="447">
        <f t="shared" si="102"/>
        <v>40</v>
      </c>
      <c r="BM82" s="328"/>
      <c r="BN82" s="197">
        <f>IF(AND($I82="x",AND(MAX(BJ82:BL82)=BJ82,BJ82&lt;&gt;"")),Data!$BI$2,"")</f>
        <v>65</v>
      </c>
      <c r="BO82" s="197" t="str">
        <f>IF(AND($J82="x",AND(MAX(BJ82:BL82)=BK82,BK82&lt;&gt;"")),Data!$BJ$2,"")</f>
        <v/>
      </c>
      <c r="BP82" s="197" t="str">
        <f>IF(AND($K82="x",AND(MAX(BJ82:BL82)=BL82,BL82&lt;&gt;"")),Data!$BK$2,"")</f>
        <v/>
      </c>
      <c r="BQ82" s="197"/>
      <c r="BR82" s="328"/>
      <c r="BS82" s="455">
        <v>50</v>
      </c>
      <c r="BT82" s="456">
        <v>10</v>
      </c>
      <c r="BU82" s="447">
        <f t="shared" si="103"/>
        <v>40</v>
      </c>
      <c r="BV82" s="328"/>
      <c r="BW82" s="197">
        <f>IF(AND($I82="x",AND(MAX(BS82:BU82)=BS82,BS82&lt;&gt;"")),Data!$BI$2,"")</f>
        <v>65</v>
      </c>
      <c r="BX82" s="197" t="str">
        <f>IF(AND($J82="x",AND(MAX(BS82:BU82)=BT82,BT82&lt;&gt;"")),Data!$BJ$2,"")</f>
        <v/>
      </c>
      <c r="BY82" s="197" t="str">
        <f>IF(AND($K82="x",AND(MAX(BS82:BU82)=BU82,BU82&lt;&gt;"")),Data!$BK$2,"")</f>
        <v/>
      </c>
      <c r="BZ82" s="197"/>
      <c r="CA82" s="328"/>
      <c r="CB82" s="463">
        <f t="shared" si="107"/>
        <v>50</v>
      </c>
      <c r="CC82" s="464">
        <f t="shared" si="108"/>
        <v>10</v>
      </c>
      <c r="CD82" s="465">
        <f t="shared" si="104"/>
        <v>40</v>
      </c>
      <c r="CE82" s="328"/>
      <c r="CF82" s="197">
        <f>IF(AND($I82="x",AND(MAX(CB82:CD82)=CB82,CB82&lt;&gt;"")),Data!$BI$2,"")</f>
        <v>65</v>
      </c>
      <c r="CG82" s="197" t="str">
        <f>IF(AND($J82="x",AND(MAX(CB82:CD82)=CC82,CC82&lt;&gt;"")),Data!$BJ$2,"")</f>
        <v/>
      </c>
      <c r="CH82" s="197" t="str">
        <f>IF(AND($K82="x",AND(MAX(CB82:CD82)=CD82,CD82&lt;&gt;"")),Data!$BK$2,"")</f>
        <v/>
      </c>
      <c r="CI82" s="197"/>
      <c r="CJ82" s="197"/>
      <c r="CK82" s="455">
        <v>50</v>
      </c>
      <c r="CL82" s="456">
        <v>10</v>
      </c>
      <c r="CM82" s="447">
        <f t="shared" si="105"/>
        <v>40</v>
      </c>
      <c r="CN82" s="328"/>
      <c r="CO82" s="197">
        <f>IF(AND($I82="x",AND(MAX(CK82:CM82)=CK82,CK82&lt;&gt;"")),Data!$BI$2,"")</f>
        <v>65</v>
      </c>
      <c r="CP82" s="197" t="str">
        <f>IF(AND($J82="x",AND(MAX(CK82:CM82)=CL82,CL82&lt;&gt;"")),Data!$BJ$2,"")</f>
        <v/>
      </c>
      <c r="CQ82" s="197" t="str">
        <f>IF(AND($K82="x",AND(MAX(CK82:CM82)=CM82,CM82&lt;&gt;"")),Data!$BK$2,"")</f>
        <v/>
      </c>
      <c r="CR82" s="197"/>
      <c r="CS82" s="197"/>
      <c r="CT82" s="328"/>
      <c r="CU82" s="259"/>
      <c r="CV82" s="209"/>
      <c r="CW82" s="227"/>
    </row>
    <row r="83" spans="1:101" x14ac:dyDescent="0.2">
      <c r="A83" s="227"/>
      <c r="B83" s="227"/>
      <c r="C83" s="168"/>
      <c r="D83" s="232"/>
      <c r="E83" s="137" t="s">
        <v>98</v>
      </c>
      <c r="F83" s="427">
        <v>1</v>
      </c>
      <c r="G83" s="434" t="s">
        <v>51</v>
      </c>
      <c r="H83" s="435"/>
      <c r="I83" s="138" t="str">
        <f t="shared" si="95"/>
        <v>x</v>
      </c>
      <c r="J83" s="344" t="str">
        <f t="shared" si="96"/>
        <v/>
      </c>
      <c r="K83" s="345" t="str">
        <f t="shared" si="97"/>
        <v/>
      </c>
      <c r="L83" s="258"/>
      <c r="M83" s="332"/>
      <c r="N83" s="336"/>
      <c r="O83" s="200"/>
      <c r="P83" s="200"/>
      <c r="Q83" s="448">
        <v>50</v>
      </c>
      <c r="R83" s="449">
        <v>10</v>
      </c>
      <c r="S83" s="450">
        <f t="shared" si="106"/>
        <v>40</v>
      </c>
      <c r="T83" s="328"/>
      <c r="U83" s="197">
        <f>IF(AND($I83="x",AND(MAX(Q83:S83)=Q83,Q83&gt;=0)),Data!$BI$2,"")</f>
        <v>65</v>
      </c>
      <c r="V83" s="197" t="str">
        <f>IF(AND($J83="x",AND(MAX(Q83:S83)=R83,R83&gt;=0)),Data!$BJ$2,"")</f>
        <v/>
      </c>
      <c r="W83" s="197" t="str">
        <f>IF(AND($K83="x",AND(MAX(Q83:S83)=S83,S83&gt;=0)),Data!$BK$2,"")</f>
        <v/>
      </c>
      <c r="X83" s="197"/>
      <c r="Y83" s="328"/>
      <c r="Z83" s="451">
        <v>50</v>
      </c>
      <c r="AA83" s="452">
        <v>10</v>
      </c>
      <c r="AB83" s="450">
        <f t="shared" si="98"/>
        <v>40</v>
      </c>
      <c r="AC83" s="328"/>
      <c r="AD83" s="197">
        <f>IF(AND($I83="x",AND(MAX(Z83:AB83)=Z83,Z83&lt;&gt;"")),Data!$BI$2,"")</f>
        <v>65</v>
      </c>
      <c r="AE83" s="197" t="str">
        <f>IF(AND($J83="x",AND(MAX(Z83:AB83)=AA83,AA83&lt;&gt;"")),Data!$BJ$2,"")</f>
        <v/>
      </c>
      <c r="AF83" s="197" t="str">
        <f>IF(AND($K83="x",AND(MAX(Z83:AB83)=AB83,AB83&lt;&gt;"")),Data!$BK$2,"")</f>
        <v/>
      </c>
      <c r="AG83" s="197"/>
      <c r="AH83" s="328"/>
      <c r="AI83" s="451">
        <v>50</v>
      </c>
      <c r="AJ83" s="452">
        <v>10</v>
      </c>
      <c r="AK83" s="450">
        <f t="shared" si="99"/>
        <v>40</v>
      </c>
      <c r="AL83" s="328"/>
      <c r="AM83" s="197">
        <f>IF(AND($I83="x",AND(MAX(AI83:AK83)=AI83,AI83&lt;&gt;"")),Data!$BI$2,"")</f>
        <v>65</v>
      </c>
      <c r="AN83" s="197" t="str">
        <f>IF(AND($J83="x",AND(MAX(AI83:AK83)=AJ83,AJ83&lt;&gt;"")),Data!$BJ$2,"")</f>
        <v/>
      </c>
      <c r="AO83" s="197" t="str">
        <f>IF(AND($K83="x",AND(MAX(AI83:AK83)=AK83,AK83&lt;&gt;"")),Data!$BK$2,"")</f>
        <v/>
      </c>
      <c r="AP83" s="197"/>
      <c r="AQ83" s="328"/>
      <c r="AR83" s="451">
        <v>50</v>
      </c>
      <c r="AS83" s="452">
        <v>10</v>
      </c>
      <c r="AT83" s="450">
        <f t="shared" si="100"/>
        <v>40</v>
      </c>
      <c r="AU83" s="328"/>
      <c r="AV83" s="197">
        <f>IF(AND($I83="x",AND(MAX(AR83:AT83)=AR83,AR83&lt;&gt;"")),Data!$BI$2,"")</f>
        <v>65</v>
      </c>
      <c r="AW83" s="197" t="str">
        <f>IF(AND($J83="x",AND(MAX(AR83:AT83)=AS83,AS83&lt;&gt;"")),Data!$BJ$2,"")</f>
        <v/>
      </c>
      <c r="AX83" s="197" t="str">
        <f>IF(AND($K83="x",AND(MAX(AR83:AT83)=AT83,AT83&lt;&gt;"")),Data!$BK$2,"")</f>
        <v/>
      </c>
      <c r="AY83" s="197"/>
      <c r="AZ83" s="328"/>
      <c r="BA83" s="451">
        <v>50</v>
      </c>
      <c r="BB83" s="452">
        <v>10</v>
      </c>
      <c r="BC83" s="450">
        <f t="shared" si="101"/>
        <v>40</v>
      </c>
      <c r="BD83" s="328"/>
      <c r="BE83" s="197">
        <f>IF(AND($I83="x",AND(MAX(BA83:BC83)=BA83,BA83&lt;&gt;"")),Data!$BI$2,"")</f>
        <v>65</v>
      </c>
      <c r="BF83" s="197" t="str">
        <f>IF(AND($J83="x",AND(MAX(BA83:BC83)=BB83,BB83&lt;&gt;"")),Data!$BJ$2,"")</f>
        <v/>
      </c>
      <c r="BG83" s="197" t="str">
        <f>IF(AND($K83="x",AND(MAX(BA83:BC83)=BC83,BC83&lt;&gt;"")),Data!$BK$2,"")</f>
        <v/>
      </c>
      <c r="BH83" s="197"/>
      <c r="BI83" s="328"/>
      <c r="BJ83" s="451">
        <v>50</v>
      </c>
      <c r="BK83" s="452">
        <v>10</v>
      </c>
      <c r="BL83" s="450">
        <f t="shared" si="102"/>
        <v>40</v>
      </c>
      <c r="BM83" s="328"/>
      <c r="BN83" s="197">
        <f>IF(AND($I83="x",AND(MAX(BJ83:BL83)=BJ83,BJ83&lt;&gt;"")),Data!$BI$2,"")</f>
        <v>65</v>
      </c>
      <c r="BO83" s="197" t="str">
        <f>IF(AND($J83="x",AND(MAX(BJ83:BL83)=BK83,BK83&lt;&gt;"")),Data!$BJ$2,"")</f>
        <v/>
      </c>
      <c r="BP83" s="197" t="str">
        <f>IF(AND($K83="x",AND(MAX(BJ83:BL83)=BL83,BL83&lt;&gt;"")),Data!$BK$2,"")</f>
        <v/>
      </c>
      <c r="BQ83" s="197"/>
      <c r="BR83" s="328"/>
      <c r="BS83" s="451">
        <v>50</v>
      </c>
      <c r="BT83" s="452">
        <v>10</v>
      </c>
      <c r="BU83" s="450">
        <f t="shared" si="103"/>
        <v>40</v>
      </c>
      <c r="BV83" s="328"/>
      <c r="BW83" s="197">
        <f>IF(AND($I83="x",AND(MAX(BS83:BU83)=BS83,BS83&lt;&gt;"")),Data!$BI$2,"")</f>
        <v>65</v>
      </c>
      <c r="BX83" s="197" t="str">
        <f>IF(AND($J83="x",AND(MAX(BS83:BU83)=BT83,BT83&lt;&gt;"")),Data!$BJ$2,"")</f>
        <v/>
      </c>
      <c r="BY83" s="197" t="str">
        <f>IF(AND($K83="x",AND(MAX(BS83:BU83)=BU83,BU83&lt;&gt;"")),Data!$BK$2,"")</f>
        <v/>
      </c>
      <c r="BZ83" s="197"/>
      <c r="CA83" s="328"/>
      <c r="CB83" s="457">
        <f t="shared" si="107"/>
        <v>50</v>
      </c>
      <c r="CC83" s="458">
        <f t="shared" si="108"/>
        <v>10</v>
      </c>
      <c r="CD83" s="459">
        <f t="shared" si="104"/>
        <v>40</v>
      </c>
      <c r="CE83" s="328"/>
      <c r="CF83" s="197">
        <f>IF(AND($I83="x",AND(MAX(CB83:CD83)=CB83,CB83&lt;&gt;"")),Data!$BI$2,"")</f>
        <v>65</v>
      </c>
      <c r="CG83" s="197" t="str">
        <f>IF(AND($J83="x",AND(MAX(CB83:CD83)=CC83,CC83&lt;&gt;"")),Data!$BJ$2,"")</f>
        <v/>
      </c>
      <c r="CH83" s="197" t="str">
        <f>IF(AND($K83="x",AND(MAX(CB83:CD83)=CD83,CD83&lt;&gt;"")),Data!$BK$2,"")</f>
        <v/>
      </c>
      <c r="CI83" s="197"/>
      <c r="CJ83" s="197"/>
      <c r="CK83" s="451">
        <v>50</v>
      </c>
      <c r="CL83" s="452">
        <v>10</v>
      </c>
      <c r="CM83" s="450">
        <f t="shared" si="105"/>
        <v>40</v>
      </c>
      <c r="CN83" s="328"/>
      <c r="CO83" s="197">
        <f>IF(AND($I83="x",AND(MAX(CK83:CM83)=CK83,CK83&lt;&gt;"")),Data!$BI$2,"")</f>
        <v>65</v>
      </c>
      <c r="CP83" s="197" t="str">
        <f>IF(AND($J83="x",AND(MAX(CK83:CM83)=CL83,CL83&lt;&gt;"")),Data!$BJ$2,"")</f>
        <v/>
      </c>
      <c r="CQ83" s="197" t="str">
        <f>IF(AND($K83="x",AND(MAX(CK83:CM83)=CM83,CM83&lt;&gt;"")),Data!$BK$2,"")</f>
        <v/>
      </c>
      <c r="CR83" s="197"/>
      <c r="CS83" s="197"/>
      <c r="CT83" s="328"/>
      <c r="CU83" s="259"/>
      <c r="CV83" s="209"/>
      <c r="CW83" s="227"/>
    </row>
    <row r="84" spans="1:101" x14ac:dyDescent="0.2">
      <c r="A84" s="227"/>
      <c r="B84" s="227"/>
      <c r="C84" s="168"/>
      <c r="D84" s="232"/>
      <c r="E84" s="135" t="s">
        <v>99</v>
      </c>
      <c r="F84" s="425">
        <v>1</v>
      </c>
      <c r="G84" s="430" t="s">
        <v>51</v>
      </c>
      <c r="H84" s="431"/>
      <c r="I84" s="346" t="str">
        <f t="shared" si="95"/>
        <v>x</v>
      </c>
      <c r="J84" s="347" t="str">
        <f t="shared" si="96"/>
        <v/>
      </c>
      <c r="K84" s="348" t="str">
        <f t="shared" si="97"/>
        <v/>
      </c>
      <c r="L84" s="258"/>
      <c r="M84" s="332"/>
      <c r="N84" s="336"/>
      <c r="O84" s="200"/>
      <c r="P84" s="200"/>
      <c r="Q84" s="439">
        <v>50</v>
      </c>
      <c r="R84" s="440">
        <v>10</v>
      </c>
      <c r="S84" s="441">
        <f t="shared" si="106"/>
        <v>40</v>
      </c>
      <c r="T84" s="328"/>
      <c r="U84" s="197">
        <f>IF(AND($I84="x",AND(MAX(Q84:S84)=Q84,Q84&gt;=0)),Data!$BI$2,"")</f>
        <v>65</v>
      </c>
      <c r="V84" s="197" t="str">
        <f>IF(AND($J84="x",AND(MAX(Q84:S84)=R84,R84&gt;=0)),Data!$BJ$2,"")</f>
        <v/>
      </c>
      <c r="W84" s="197" t="str">
        <f>IF(AND($K84="x",AND(MAX(Q84:S84)=S84,S84&gt;=0)),Data!$BK$2,"")</f>
        <v/>
      </c>
      <c r="X84" s="197"/>
      <c r="Y84" s="328"/>
      <c r="Z84" s="453">
        <v>50</v>
      </c>
      <c r="AA84" s="454">
        <v>10</v>
      </c>
      <c r="AB84" s="441">
        <f t="shared" si="98"/>
        <v>40</v>
      </c>
      <c r="AC84" s="328"/>
      <c r="AD84" s="197">
        <f>IF(AND($I84="x",AND(MAX(Z84:AB84)=Z84,Z84&lt;&gt;"")),Data!$BI$2,"")</f>
        <v>65</v>
      </c>
      <c r="AE84" s="197" t="str">
        <f>IF(AND($J84="x",AND(MAX(Z84:AB84)=AA84,AA84&lt;&gt;"")),Data!$BJ$2,"")</f>
        <v/>
      </c>
      <c r="AF84" s="197" t="str">
        <f>IF(AND($K84="x",AND(MAX(Z84:AB84)=AB84,AB84&lt;&gt;"")),Data!$BK$2,"")</f>
        <v/>
      </c>
      <c r="AG84" s="197"/>
      <c r="AH84" s="328"/>
      <c r="AI84" s="453">
        <v>50</v>
      </c>
      <c r="AJ84" s="454">
        <v>10</v>
      </c>
      <c r="AK84" s="441">
        <f t="shared" si="99"/>
        <v>40</v>
      </c>
      <c r="AL84" s="328"/>
      <c r="AM84" s="197">
        <f>IF(AND($I84="x",AND(MAX(AI84:AK84)=AI84,AI84&lt;&gt;"")),Data!$BI$2,"")</f>
        <v>65</v>
      </c>
      <c r="AN84" s="197" t="str">
        <f>IF(AND($J84="x",AND(MAX(AI84:AK84)=AJ84,AJ84&lt;&gt;"")),Data!$BJ$2,"")</f>
        <v/>
      </c>
      <c r="AO84" s="197" t="str">
        <f>IF(AND($K84="x",AND(MAX(AI84:AK84)=AK84,AK84&lt;&gt;"")),Data!$BK$2,"")</f>
        <v/>
      </c>
      <c r="AP84" s="197"/>
      <c r="AQ84" s="328"/>
      <c r="AR84" s="453">
        <v>50</v>
      </c>
      <c r="AS84" s="454">
        <v>10</v>
      </c>
      <c r="AT84" s="441">
        <f t="shared" si="100"/>
        <v>40</v>
      </c>
      <c r="AU84" s="328"/>
      <c r="AV84" s="197">
        <f>IF(AND($I84="x",AND(MAX(AR84:AT84)=AR84,AR84&lt;&gt;"")),Data!$BI$2,"")</f>
        <v>65</v>
      </c>
      <c r="AW84" s="197" t="str">
        <f>IF(AND($J84="x",AND(MAX(AR84:AT84)=AS84,AS84&lt;&gt;"")),Data!$BJ$2,"")</f>
        <v/>
      </c>
      <c r="AX84" s="197" t="str">
        <f>IF(AND($K84="x",AND(MAX(AR84:AT84)=AT84,AT84&lt;&gt;"")),Data!$BK$2,"")</f>
        <v/>
      </c>
      <c r="AY84" s="197"/>
      <c r="AZ84" s="328"/>
      <c r="BA84" s="453">
        <v>50</v>
      </c>
      <c r="BB84" s="454">
        <v>10</v>
      </c>
      <c r="BC84" s="441">
        <f t="shared" si="101"/>
        <v>40</v>
      </c>
      <c r="BD84" s="328"/>
      <c r="BE84" s="197">
        <f>IF(AND($I84="x",AND(MAX(BA84:BC84)=BA84,BA84&lt;&gt;"")),Data!$BI$2,"")</f>
        <v>65</v>
      </c>
      <c r="BF84" s="197" t="str">
        <f>IF(AND($J84="x",AND(MAX(BA84:BC84)=BB84,BB84&lt;&gt;"")),Data!$BJ$2,"")</f>
        <v/>
      </c>
      <c r="BG84" s="197" t="str">
        <f>IF(AND($K84="x",AND(MAX(BA84:BC84)=BC84,BC84&lt;&gt;"")),Data!$BK$2,"")</f>
        <v/>
      </c>
      <c r="BH84" s="197"/>
      <c r="BI84" s="328"/>
      <c r="BJ84" s="453">
        <v>50</v>
      </c>
      <c r="BK84" s="454">
        <v>10</v>
      </c>
      <c r="BL84" s="441">
        <f t="shared" si="102"/>
        <v>40</v>
      </c>
      <c r="BM84" s="328"/>
      <c r="BN84" s="197">
        <f>IF(AND($I84="x",AND(MAX(BJ84:BL84)=BJ84,BJ84&lt;&gt;"")),Data!$BI$2,"")</f>
        <v>65</v>
      </c>
      <c r="BO84" s="197" t="str">
        <f>IF(AND($J84="x",AND(MAX(BJ84:BL84)=BK84,BK84&lt;&gt;"")),Data!$BJ$2,"")</f>
        <v/>
      </c>
      <c r="BP84" s="197" t="str">
        <f>IF(AND($K84="x",AND(MAX(BJ84:BL84)=BL84,BL84&lt;&gt;"")),Data!$BK$2,"")</f>
        <v/>
      </c>
      <c r="BQ84" s="197"/>
      <c r="BR84" s="328"/>
      <c r="BS84" s="453">
        <v>50</v>
      </c>
      <c r="BT84" s="454">
        <v>10</v>
      </c>
      <c r="BU84" s="441">
        <f t="shared" si="103"/>
        <v>40</v>
      </c>
      <c r="BV84" s="328"/>
      <c r="BW84" s="197">
        <f>IF(AND($I84="x",AND(MAX(BS84:BU84)=BS84,BS84&lt;&gt;"")),Data!$BI$2,"")</f>
        <v>65</v>
      </c>
      <c r="BX84" s="197" t="str">
        <f>IF(AND($J84="x",AND(MAX(BS84:BU84)=BT84,BT84&lt;&gt;"")),Data!$BJ$2,"")</f>
        <v/>
      </c>
      <c r="BY84" s="197" t="str">
        <f>IF(AND($K84="x",AND(MAX(BS84:BU84)=BU84,BU84&lt;&gt;"")),Data!$BK$2,"")</f>
        <v/>
      </c>
      <c r="BZ84" s="197"/>
      <c r="CA84" s="328"/>
      <c r="CB84" s="460">
        <f t="shared" si="107"/>
        <v>50</v>
      </c>
      <c r="CC84" s="461">
        <f t="shared" si="108"/>
        <v>10</v>
      </c>
      <c r="CD84" s="462">
        <f t="shared" si="104"/>
        <v>40</v>
      </c>
      <c r="CE84" s="328"/>
      <c r="CF84" s="197">
        <f>IF(AND($I84="x",AND(MAX(CB84:CD84)=CB84,CB84&lt;&gt;"")),Data!$BI$2,"")</f>
        <v>65</v>
      </c>
      <c r="CG84" s="197" t="str">
        <f>IF(AND($J84="x",AND(MAX(CB84:CD84)=CC84,CC84&lt;&gt;"")),Data!$BJ$2,"")</f>
        <v/>
      </c>
      <c r="CH84" s="197" t="str">
        <f>IF(AND($K84="x",AND(MAX(CB84:CD84)=CD84,CD84&lt;&gt;"")),Data!$BK$2,"")</f>
        <v/>
      </c>
      <c r="CI84" s="197"/>
      <c r="CJ84" s="197"/>
      <c r="CK84" s="453">
        <v>50</v>
      </c>
      <c r="CL84" s="454">
        <v>10</v>
      </c>
      <c r="CM84" s="441">
        <f t="shared" si="105"/>
        <v>40</v>
      </c>
      <c r="CN84" s="328"/>
      <c r="CO84" s="197">
        <f>IF(AND($I84="x",AND(MAX(CK84:CM84)=CK84,CK84&lt;&gt;"")),Data!$BI$2,"")</f>
        <v>65</v>
      </c>
      <c r="CP84" s="197" t="str">
        <f>IF(AND($J84="x",AND(MAX(CK84:CM84)=CL84,CL84&lt;&gt;"")),Data!$BJ$2,"")</f>
        <v/>
      </c>
      <c r="CQ84" s="197" t="str">
        <f>IF(AND($K84="x",AND(MAX(CK84:CM84)=CM84,CM84&lt;&gt;"")),Data!$BK$2,"")</f>
        <v/>
      </c>
      <c r="CR84" s="197"/>
      <c r="CS84" s="197"/>
      <c r="CT84" s="328"/>
      <c r="CU84" s="259"/>
      <c r="CV84" s="209"/>
      <c r="CW84" s="227"/>
    </row>
    <row r="85" spans="1:101" x14ac:dyDescent="0.2">
      <c r="A85" s="227"/>
      <c r="B85" s="227"/>
      <c r="C85" s="168"/>
      <c r="D85" s="232"/>
      <c r="E85" s="136" t="s">
        <v>100</v>
      </c>
      <c r="F85" s="426">
        <v>1</v>
      </c>
      <c r="G85" s="432" t="s">
        <v>51</v>
      </c>
      <c r="H85" s="433"/>
      <c r="I85" s="349" t="str">
        <f t="shared" si="95"/>
        <v>x</v>
      </c>
      <c r="J85" s="350" t="str">
        <f t="shared" si="96"/>
        <v/>
      </c>
      <c r="K85" s="351" t="str">
        <f t="shared" si="97"/>
        <v/>
      </c>
      <c r="L85" s="258"/>
      <c r="M85" s="332"/>
      <c r="N85" s="336"/>
      <c r="O85" s="200"/>
      <c r="P85" s="200"/>
      <c r="Q85" s="445">
        <v>50</v>
      </c>
      <c r="R85" s="446">
        <v>10</v>
      </c>
      <c r="S85" s="447">
        <f t="shared" si="106"/>
        <v>40</v>
      </c>
      <c r="T85" s="328"/>
      <c r="U85" s="197">
        <f>IF(AND($I85="x",AND(MAX(Q85:S85)=Q85,Q85&gt;=0)),Data!$BI$2,"")</f>
        <v>65</v>
      </c>
      <c r="V85" s="197" t="str">
        <f>IF(AND($J85="x",AND(MAX(Q85:S85)=R85,R85&gt;=0)),Data!$BJ$2,"")</f>
        <v/>
      </c>
      <c r="W85" s="197" t="str">
        <f>IF(AND($K85="x",AND(MAX(Q85:S85)=S85,S85&gt;=0)),Data!$BK$2,"")</f>
        <v/>
      </c>
      <c r="X85" s="197"/>
      <c r="Y85" s="328"/>
      <c r="Z85" s="455">
        <v>50</v>
      </c>
      <c r="AA85" s="456">
        <v>10</v>
      </c>
      <c r="AB85" s="447">
        <f t="shared" si="98"/>
        <v>40</v>
      </c>
      <c r="AC85" s="328"/>
      <c r="AD85" s="197">
        <f>IF(AND($I85="x",AND(MAX(Z85:AB85)=Z85,Z85&lt;&gt;"")),Data!$BI$2,"")</f>
        <v>65</v>
      </c>
      <c r="AE85" s="197" t="str">
        <f>IF(AND($J85="x",AND(MAX(Z85:AB85)=AA85,AA85&lt;&gt;"")),Data!$BJ$2,"")</f>
        <v/>
      </c>
      <c r="AF85" s="197" t="str">
        <f>IF(AND($K85="x",AND(MAX(Z85:AB85)=AB85,AB85&lt;&gt;"")),Data!$BK$2,"")</f>
        <v/>
      </c>
      <c r="AG85" s="197"/>
      <c r="AH85" s="328"/>
      <c r="AI85" s="455">
        <v>50</v>
      </c>
      <c r="AJ85" s="456">
        <v>10</v>
      </c>
      <c r="AK85" s="447">
        <f t="shared" si="99"/>
        <v>40</v>
      </c>
      <c r="AL85" s="328"/>
      <c r="AM85" s="197">
        <f>IF(AND($I85="x",AND(MAX(AI85:AK85)=AI85,AI85&lt;&gt;"")),Data!$BI$2,"")</f>
        <v>65</v>
      </c>
      <c r="AN85" s="197" t="str">
        <f>IF(AND($J85="x",AND(MAX(AI85:AK85)=AJ85,AJ85&lt;&gt;"")),Data!$BJ$2,"")</f>
        <v/>
      </c>
      <c r="AO85" s="197" t="str">
        <f>IF(AND($K85="x",AND(MAX(AI85:AK85)=AK85,AK85&lt;&gt;"")),Data!$BK$2,"")</f>
        <v/>
      </c>
      <c r="AP85" s="197"/>
      <c r="AQ85" s="328"/>
      <c r="AR85" s="455">
        <v>50</v>
      </c>
      <c r="AS85" s="456">
        <v>10</v>
      </c>
      <c r="AT85" s="447">
        <f t="shared" si="100"/>
        <v>40</v>
      </c>
      <c r="AU85" s="328"/>
      <c r="AV85" s="197">
        <f>IF(AND($I85="x",AND(MAX(AR85:AT85)=AR85,AR85&lt;&gt;"")),Data!$BI$2,"")</f>
        <v>65</v>
      </c>
      <c r="AW85" s="197" t="str">
        <f>IF(AND($J85="x",AND(MAX(AR85:AT85)=AS85,AS85&lt;&gt;"")),Data!$BJ$2,"")</f>
        <v/>
      </c>
      <c r="AX85" s="197" t="str">
        <f>IF(AND($K85="x",AND(MAX(AR85:AT85)=AT85,AT85&lt;&gt;"")),Data!$BK$2,"")</f>
        <v/>
      </c>
      <c r="AY85" s="197"/>
      <c r="AZ85" s="328"/>
      <c r="BA85" s="455">
        <v>50</v>
      </c>
      <c r="BB85" s="456">
        <v>10</v>
      </c>
      <c r="BC85" s="447">
        <f t="shared" si="101"/>
        <v>40</v>
      </c>
      <c r="BD85" s="328"/>
      <c r="BE85" s="197">
        <f>IF(AND($I85="x",AND(MAX(BA85:BC85)=BA85,BA85&lt;&gt;"")),Data!$BI$2,"")</f>
        <v>65</v>
      </c>
      <c r="BF85" s="197" t="str">
        <f>IF(AND($J85="x",AND(MAX(BA85:BC85)=BB85,BB85&lt;&gt;"")),Data!$BJ$2,"")</f>
        <v/>
      </c>
      <c r="BG85" s="197" t="str">
        <f>IF(AND($K85="x",AND(MAX(BA85:BC85)=BC85,BC85&lt;&gt;"")),Data!$BK$2,"")</f>
        <v/>
      </c>
      <c r="BH85" s="197"/>
      <c r="BI85" s="328"/>
      <c r="BJ85" s="455">
        <v>50</v>
      </c>
      <c r="BK85" s="456">
        <v>10</v>
      </c>
      <c r="BL85" s="447">
        <f t="shared" si="102"/>
        <v>40</v>
      </c>
      <c r="BM85" s="328"/>
      <c r="BN85" s="197">
        <f>IF(AND($I85="x",AND(MAX(BJ85:BL85)=BJ85,BJ85&lt;&gt;"")),Data!$BI$2,"")</f>
        <v>65</v>
      </c>
      <c r="BO85" s="197" t="str">
        <f>IF(AND($J85="x",AND(MAX(BJ85:BL85)=BK85,BK85&lt;&gt;"")),Data!$BJ$2,"")</f>
        <v/>
      </c>
      <c r="BP85" s="197" t="str">
        <f>IF(AND($K85="x",AND(MAX(BJ85:BL85)=BL85,BL85&lt;&gt;"")),Data!$BK$2,"")</f>
        <v/>
      </c>
      <c r="BQ85" s="197"/>
      <c r="BR85" s="328"/>
      <c r="BS85" s="455">
        <v>50</v>
      </c>
      <c r="BT85" s="456">
        <v>10</v>
      </c>
      <c r="BU85" s="447">
        <f t="shared" si="103"/>
        <v>40</v>
      </c>
      <c r="BV85" s="328"/>
      <c r="BW85" s="197">
        <f>IF(AND($I85="x",AND(MAX(BS85:BU85)=BS85,BS85&lt;&gt;"")),Data!$BI$2,"")</f>
        <v>65</v>
      </c>
      <c r="BX85" s="197" t="str">
        <f>IF(AND($J85="x",AND(MAX(BS85:BU85)=BT85,BT85&lt;&gt;"")),Data!$BJ$2,"")</f>
        <v/>
      </c>
      <c r="BY85" s="197" t="str">
        <f>IF(AND($K85="x",AND(MAX(BS85:BU85)=BU85,BU85&lt;&gt;"")),Data!$BK$2,"")</f>
        <v/>
      </c>
      <c r="BZ85" s="197"/>
      <c r="CA85" s="328"/>
      <c r="CB85" s="463">
        <f t="shared" si="107"/>
        <v>50</v>
      </c>
      <c r="CC85" s="464">
        <f t="shared" si="108"/>
        <v>10</v>
      </c>
      <c r="CD85" s="465">
        <f t="shared" si="104"/>
        <v>40</v>
      </c>
      <c r="CE85" s="328"/>
      <c r="CF85" s="197">
        <f>IF(AND($I85="x",AND(MAX(CB85:CD85)=CB85,CB85&lt;&gt;"")),Data!$BI$2,"")</f>
        <v>65</v>
      </c>
      <c r="CG85" s="197" t="str">
        <f>IF(AND($J85="x",AND(MAX(CB85:CD85)=CC85,CC85&lt;&gt;"")),Data!$BJ$2,"")</f>
        <v/>
      </c>
      <c r="CH85" s="197" t="str">
        <f>IF(AND($K85="x",AND(MAX(CB85:CD85)=CD85,CD85&lt;&gt;"")),Data!$BK$2,"")</f>
        <v/>
      </c>
      <c r="CI85" s="197"/>
      <c r="CJ85" s="197"/>
      <c r="CK85" s="455">
        <v>50</v>
      </c>
      <c r="CL85" s="456">
        <v>10</v>
      </c>
      <c r="CM85" s="447">
        <f t="shared" si="105"/>
        <v>40</v>
      </c>
      <c r="CN85" s="328"/>
      <c r="CO85" s="197">
        <f>IF(AND($I85="x",AND(MAX(CK85:CM85)=CK85,CK85&lt;&gt;"")),Data!$BI$2,"")</f>
        <v>65</v>
      </c>
      <c r="CP85" s="197" t="str">
        <f>IF(AND($J85="x",AND(MAX(CK85:CM85)=CL85,CL85&lt;&gt;"")),Data!$BJ$2,"")</f>
        <v/>
      </c>
      <c r="CQ85" s="197" t="str">
        <f>IF(AND($K85="x",AND(MAX(CK85:CM85)=CM85,CM85&lt;&gt;"")),Data!$BK$2,"")</f>
        <v/>
      </c>
      <c r="CR85" s="197"/>
      <c r="CS85" s="197"/>
      <c r="CT85" s="328"/>
      <c r="CU85" s="259"/>
      <c r="CV85" s="209"/>
      <c r="CW85" s="227"/>
    </row>
    <row r="86" spans="1:101" x14ac:dyDescent="0.2">
      <c r="A86" s="227"/>
      <c r="B86" s="227"/>
      <c r="C86" s="168"/>
      <c r="D86" s="233"/>
      <c r="E86" s="199"/>
      <c r="F86" s="352">
        <f>IF(SUM(F74:F85)=0,"",SUM(F74:F85))</f>
        <v>12</v>
      </c>
      <c r="G86" s="327" t="s">
        <v>51</v>
      </c>
      <c r="H86" s="353" t="str">
        <f>IF(SUM(H74:H85)=0,"",SUM(H74:H85))</f>
        <v/>
      </c>
      <c r="I86" s="354">
        <f>IF(COUNTIF(I74:I85,"=x")=0,"",COUNTIF(I74:I85,"=x"))</f>
        <v>12</v>
      </c>
      <c r="J86" s="355" t="str">
        <f>IF(COUNTIF(J74:J85,"=x")=0,"",COUNTIF(J74:J85,"=x"))</f>
        <v/>
      </c>
      <c r="K86" s="356" t="str">
        <f>IF(COUNTIF(K74:K85,"=x")=0,"",COUNTIF(K74:K85,"=x"))</f>
        <v/>
      </c>
      <c r="L86" s="258"/>
      <c r="M86" s="332"/>
      <c r="N86" s="336"/>
      <c r="O86" s="200"/>
      <c r="P86" s="326"/>
      <c r="Q86" s="422">
        <f>SUM(U74:U85)</f>
        <v>780</v>
      </c>
      <c r="R86" s="422">
        <f t="shared" ref="R86:S86" si="109">SUM(V74:V85)</f>
        <v>0</v>
      </c>
      <c r="S86" s="422">
        <f t="shared" si="109"/>
        <v>0</v>
      </c>
      <c r="T86" s="325"/>
      <c r="U86" s="197">
        <f>SUM(U74:U85)</f>
        <v>780</v>
      </c>
      <c r="V86" s="197">
        <f t="shared" ref="V86:W86" si="110">SUM(V74:V85)</f>
        <v>0</v>
      </c>
      <c r="W86" s="197">
        <f t="shared" si="110"/>
        <v>0</v>
      </c>
      <c r="X86" s="197"/>
      <c r="Y86" s="324"/>
      <c r="Z86" s="422">
        <f>SUM(AD74:AD85)</f>
        <v>780</v>
      </c>
      <c r="AA86" s="422">
        <f t="shared" ref="AA86:AB86" si="111">SUM(AE74:AE85)</f>
        <v>0</v>
      </c>
      <c r="AB86" s="422">
        <f t="shared" si="111"/>
        <v>0</v>
      </c>
      <c r="AC86" s="325"/>
      <c r="AD86" s="197">
        <f>SUM(AD74:AD85)</f>
        <v>780</v>
      </c>
      <c r="AE86" s="197">
        <f t="shared" ref="AE86:AF86" si="112">SUM(AE74:AE85)</f>
        <v>0</v>
      </c>
      <c r="AF86" s="197">
        <f t="shared" si="112"/>
        <v>0</v>
      </c>
      <c r="AG86" s="197"/>
      <c r="AH86" s="324"/>
      <c r="AI86" s="422">
        <f>SUM(AM74:AM85)</f>
        <v>780</v>
      </c>
      <c r="AJ86" s="422">
        <f t="shared" ref="AJ86:AK86" si="113">SUM(AN74:AN85)</f>
        <v>0</v>
      </c>
      <c r="AK86" s="422">
        <f t="shared" si="113"/>
        <v>0</v>
      </c>
      <c r="AL86" s="325"/>
      <c r="AM86" s="197">
        <f>SUM(AM74:AM85)</f>
        <v>780</v>
      </c>
      <c r="AN86" s="197">
        <f t="shared" ref="AN86:AO86" si="114">SUM(AN74:AN85)</f>
        <v>0</v>
      </c>
      <c r="AO86" s="197">
        <f t="shared" si="114"/>
        <v>0</v>
      </c>
      <c r="AP86" s="197"/>
      <c r="AQ86" s="324"/>
      <c r="AR86" s="422">
        <f>SUM(AV74:AV85)</f>
        <v>780</v>
      </c>
      <c r="AS86" s="422">
        <f t="shared" ref="AS86:AT86" si="115">SUM(AW74:AW85)</f>
        <v>0</v>
      </c>
      <c r="AT86" s="422">
        <f t="shared" si="115"/>
        <v>0</v>
      </c>
      <c r="AU86" s="325"/>
      <c r="AV86" s="197">
        <f>SUM(AV74:AV85)</f>
        <v>780</v>
      </c>
      <c r="AW86" s="197">
        <f t="shared" ref="AW86:AX86" si="116">SUM(AW74:AW85)</f>
        <v>0</v>
      </c>
      <c r="AX86" s="197">
        <f t="shared" si="116"/>
        <v>0</v>
      </c>
      <c r="AY86" s="197"/>
      <c r="AZ86" s="324"/>
      <c r="BA86" s="422">
        <f>SUM(BE74:BE85)</f>
        <v>780</v>
      </c>
      <c r="BB86" s="422">
        <f t="shared" ref="BB86:BC86" si="117">SUM(BF74:BF85)</f>
        <v>0</v>
      </c>
      <c r="BC86" s="422">
        <f t="shared" si="117"/>
        <v>0</v>
      </c>
      <c r="BD86" s="325"/>
      <c r="BE86" s="197">
        <f>SUM(BE74:BE85)</f>
        <v>780</v>
      </c>
      <c r="BF86" s="197">
        <f t="shared" ref="BF86:BG86" si="118">SUM(BF74:BF85)</f>
        <v>0</v>
      </c>
      <c r="BG86" s="197">
        <f t="shared" si="118"/>
        <v>0</v>
      </c>
      <c r="BH86" s="197"/>
      <c r="BI86" s="324"/>
      <c r="BJ86" s="422">
        <f>SUM(BN74:BN85)</f>
        <v>780</v>
      </c>
      <c r="BK86" s="422">
        <f t="shared" ref="BK86" si="119">SUM(BO74:BO85)</f>
        <v>0</v>
      </c>
      <c r="BL86" s="422">
        <f t="shared" ref="BL86" si="120">SUM(BP74:BP85)</f>
        <v>0</v>
      </c>
      <c r="BM86" s="325"/>
      <c r="BN86" s="197">
        <f>SUM(BN74:BN85)</f>
        <v>780</v>
      </c>
      <c r="BO86" s="197">
        <f t="shared" ref="BO86:BP86" si="121">SUM(BO74:BO85)</f>
        <v>0</v>
      </c>
      <c r="BP86" s="197">
        <f t="shared" si="121"/>
        <v>0</v>
      </c>
      <c r="BQ86" s="197"/>
      <c r="BR86" s="324"/>
      <c r="BS86" s="422">
        <f>SUM(BW74:BW85)</f>
        <v>780</v>
      </c>
      <c r="BT86" s="422">
        <f t="shared" ref="BT86:BU86" si="122">SUM(BX74:BX85)</f>
        <v>0</v>
      </c>
      <c r="BU86" s="422">
        <f t="shared" si="122"/>
        <v>0</v>
      </c>
      <c r="BV86" s="325"/>
      <c r="BW86" s="197">
        <f>SUM(BW74:BW85)</f>
        <v>780</v>
      </c>
      <c r="BX86" s="197">
        <f t="shared" ref="BX86:BY86" si="123">SUM(BX74:BX85)</f>
        <v>0</v>
      </c>
      <c r="BY86" s="197">
        <f t="shared" si="123"/>
        <v>0</v>
      </c>
      <c r="BZ86" s="197"/>
      <c r="CA86" s="326"/>
      <c r="CB86" s="422">
        <f>SUM(CF74:CF85)</f>
        <v>780</v>
      </c>
      <c r="CC86" s="422">
        <f t="shared" ref="CC86:CD86" si="124">SUM(CG74:CG85)</f>
        <v>0</v>
      </c>
      <c r="CD86" s="422">
        <f t="shared" si="124"/>
        <v>0</v>
      </c>
      <c r="CE86" s="325"/>
      <c r="CF86" s="197">
        <f>SUM(CF74:CF85)</f>
        <v>780</v>
      </c>
      <c r="CG86" s="197">
        <f t="shared" ref="CG86:CH86" si="125">SUM(CG74:CG85)</f>
        <v>0</v>
      </c>
      <c r="CH86" s="197">
        <f t="shared" si="125"/>
        <v>0</v>
      </c>
      <c r="CI86" s="197"/>
      <c r="CJ86" s="197"/>
      <c r="CK86" s="422">
        <f>SUM(CO74:CO85)</f>
        <v>780</v>
      </c>
      <c r="CL86" s="422">
        <f t="shared" ref="CL86:CM86" si="126">SUM(CP74:CP85)</f>
        <v>0</v>
      </c>
      <c r="CM86" s="422">
        <f t="shared" si="126"/>
        <v>0</v>
      </c>
      <c r="CN86" s="325"/>
      <c r="CO86" s="197">
        <f>SUM(CO74:CO85)</f>
        <v>780</v>
      </c>
      <c r="CP86" s="197">
        <f t="shared" ref="CP86:CQ86" si="127">SUM(CP74:CP85)</f>
        <v>0</v>
      </c>
      <c r="CQ86" s="197">
        <f t="shared" si="127"/>
        <v>0</v>
      </c>
      <c r="CR86" s="197"/>
      <c r="CS86" s="197"/>
      <c r="CT86" s="197"/>
      <c r="CU86" s="259"/>
      <c r="CV86" s="209"/>
      <c r="CW86" s="228"/>
    </row>
    <row r="87" spans="1:101" x14ac:dyDescent="0.2">
      <c r="A87" s="227"/>
      <c r="B87" s="227"/>
      <c r="C87" s="168"/>
      <c r="D87" s="249"/>
      <c r="E87" s="242"/>
      <c r="F87" s="243"/>
      <c r="G87" s="242"/>
      <c r="H87" s="242"/>
      <c r="I87" s="242"/>
      <c r="J87" s="242"/>
      <c r="K87" s="242"/>
      <c r="L87" s="252"/>
      <c r="M87" s="260"/>
      <c r="N87" s="337"/>
      <c r="O87" s="333"/>
      <c r="P87" s="244"/>
      <c r="Q87" s="245"/>
      <c r="R87" s="245"/>
      <c r="S87" s="245"/>
      <c r="T87" s="246"/>
      <c r="U87" s="247"/>
      <c r="V87" s="247"/>
      <c r="W87" s="247"/>
      <c r="X87" s="247"/>
      <c r="Y87" s="244"/>
      <c r="Z87" s="245"/>
      <c r="AA87" s="245"/>
      <c r="AB87" s="245"/>
      <c r="AC87" s="246"/>
      <c r="AD87" s="247"/>
      <c r="AE87" s="247"/>
      <c r="AF87" s="247"/>
      <c r="AG87" s="247"/>
      <c r="AH87" s="244"/>
      <c r="AI87" s="245"/>
      <c r="AJ87" s="245"/>
      <c r="AK87" s="245"/>
      <c r="AL87" s="246"/>
      <c r="AM87" s="247"/>
      <c r="AN87" s="247"/>
      <c r="AO87" s="247"/>
      <c r="AP87" s="247"/>
      <c r="AQ87" s="244"/>
      <c r="AR87" s="245"/>
      <c r="AS87" s="245"/>
      <c r="AT87" s="245"/>
      <c r="AU87" s="246"/>
      <c r="AV87" s="247"/>
      <c r="AW87" s="247"/>
      <c r="AX87" s="247"/>
      <c r="AY87" s="247"/>
      <c r="AZ87" s="244"/>
      <c r="BA87" s="245"/>
      <c r="BB87" s="245"/>
      <c r="BC87" s="245"/>
      <c r="BD87" s="246"/>
      <c r="BE87" s="247"/>
      <c r="BF87" s="247"/>
      <c r="BG87" s="247"/>
      <c r="BH87" s="247"/>
      <c r="BI87" s="244"/>
      <c r="BJ87" s="244"/>
      <c r="BK87" s="244"/>
      <c r="BL87" s="244"/>
      <c r="BM87" s="244"/>
      <c r="BN87" s="247"/>
      <c r="BO87" s="247"/>
      <c r="BP87" s="247"/>
      <c r="BQ87" s="247"/>
      <c r="BR87" s="244"/>
      <c r="BS87" s="244"/>
      <c r="BT87" s="244"/>
      <c r="BU87" s="244"/>
      <c r="BV87" s="244"/>
      <c r="BW87" s="247"/>
      <c r="BX87" s="247"/>
      <c r="BY87" s="247"/>
      <c r="BZ87" s="247"/>
      <c r="CA87" s="244"/>
      <c r="CB87" s="244"/>
      <c r="CC87" s="244"/>
      <c r="CD87" s="244"/>
      <c r="CE87" s="244"/>
      <c r="CF87" s="247"/>
      <c r="CG87" s="247"/>
      <c r="CH87" s="247"/>
      <c r="CI87" s="247"/>
      <c r="CJ87" s="248"/>
      <c r="CK87" s="248"/>
      <c r="CL87" s="248"/>
      <c r="CM87" s="248"/>
      <c r="CN87" s="248"/>
      <c r="CO87" s="247"/>
      <c r="CP87" s="247"/>
      <c r="CQ87" s="247"/>
      <c r="CR87" s="247"/>
      <c r="CS87" s="248"/>
      <c r="CT87" s="242"/>
      <c r="CU87" s="253"/>
      <c r="CV87" s="209"/>
      <c r="CW87" s="228"/>
    </row>
    <row r="88" spans="1:101" x14ac:dyDescent="0.2">
      <c r="A88" s="219"/>
      <c r="B88" s="219"/>
      <c r="C88" s="175"/>
      <c r="D88" s="176"/>
      <c r="E88" s="210"/>
      <c r="F88" s="211"/>
      <c r="G88" s="210"/>
      <c r="H88" s="210"/>
      <c r="I88" s="210"/>
      <c r="J88" s="210"/>
      <c r="K88" s="210"/>
      <c r="L88" s="212"/>
      <c r="M88" s="213"/>
      <c r="N88" s="213"/>
      <c r="O88" s="213"/>
      <c r="P88" s="213"/>
      <c r="Q88" s="210"/>
      <c r="R88" s="210"/>
      <c r="S88" s="210"/>
      <c r="T88" s="214"/>
      <c r="U88" s="215"/>
      <c r="V88" s="215"/>
      <c r="W88" s="215"/>
      <c r="X88" s="215"/>
      <c r="Y88" s="213"/>
      <c r="Z88" s="210"/>
      <c r="AA88" s="210"/>
      <c r="AB88" s="210"/>
      <c r="AC88" s="214"/>
      <c r="AD88" s="215"/>
      <c r="AE88" s="215"/>
      <c r="AF88" s="215"/>
      <c r="AG88" s="215"/>
      <c r="AH88" s="213"/>
      <c r="AI88" s="210"/>
      <c r="AJ88" s="210"/>
      <c r="AK88" s="210"/>
      <c r="AL88" s="214"/>
      <c r="AM88" s="215"/>
      <c r="AN88" s="215"/>
      <c r="AO88" s="215"/>
      <c r="AP88" s="215"/>
      <c r="AQ88" s="213"/>
      <c r="AR88" s="210"/>
      <c r="AS88" s="210"/>
      <c r="AT88" s="210"/>
      <c r="AU88" s="214"/>
      <c r="AV88" s="215"/>
      <c r="AW88" s="215"/>
      <c r="AX88" s="215"/>
      <c r="AY88" s="215"/>
      <c r="AZ88" s="213"/>
      <c r="BA88" s="210"/>
      <c r="BB88" s="210"/>
      <c r="BC88" s="210"/>
      <c r="BD88" s="214"/>
      <c r="BE88" s="215"/>
      <c r="BF88" s="215"/>
      <c r="BG88" s="215"/>
      <c r="BH88" s="215"/>
      <c r="BI88" s="213"/>
      <c r="BJ88" s="210"/>
      <c r="BK88" s="210"/>
      <c r="BL88" s="210"/>
      <c r="BM88" s="214"/>
      <c r="BN88" s="215"/>
      <c r="BO88" s="215"/>
      <c r="BP88" s="215"/>
      <c r="BQ88" s="215"/>
      <c r="BR88" s="177"/>
      <c r="BS88" s="210"/>
      <c r="BT88" s="210"/>
      <c r="BU88" s="210"/>
      <c r="BV88" s="213"/>
      <c r="BW88" s="215"/>
      <c r="BX88" s="215"/>
      <c r="BY88" s="215"/>
      <c r="BZ88" s="215"/>
      <c r="CA88" s="210"/>
      <c r="CB88" s="216"/>
      <c r="CC88" s="216"/>
      <c r="CD88" s="216"/>
      <c r="CE88" s="216"/>
      <c r="CF88" s="215"/>
      <c r="CG88" s="215"/>
      <c r="CH88" s="215"/>
      <c r="CI88" s="215"/>
      <c r="CJ88" s="210"/>
      <c r="CK88" s="210"/>
      <c r="CL88" s="210"/>
      <c r="CM88" s="210"/>
      <c r="CN88" s="210"/>
      <c r="CO88" s="215"/>
      <c r="CP88" s="215"/>
      <c r="CQ88" s="215"/>
      <c r="CR88" s="215"/>
      <c r="CS88" s="210"/>
      <c r="CT88" s="210"/>
      <c r="CU88" s="210"/>
      <c r="CV88" s="217"/>
      <c r="CW88" s="218"/>
    </row>
    <row r="89" spans="1:101" ht="14.25" thickTop="1" thickBot="1" x14ac:dyDescent="0.25">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c r="BL89" s="218"/>
      <c r="BM89" s="218"/>
      <c r="BN89" s="218"/>
      <c r="BO89" s="218"/>
      <c r="BP89" s="218"/>
      <c r="BQ89" s="218"/>
      <c r="BR89" s="218"/>
      <c r="BS89" s="218"/>
      <c r="BT89" s="218"/>
      <c r="BU89" s="218"/>
      <c r="BV89" s="218"/>
      <c r="BW89" s="218"/>
      <c r="BX89" s="218"/>
      <c r="BY89" s="218"/>
      <c r="BZ89" s="218"/>
      <c r="CA89" s="218"/>
      <c r="CB89" s="392"/>
      <c r="CC89" s="392"/>
      <c r="CD89" s="392"/>
      <c r="CE89" s="392"/>
      <c r="CF89" s="218"/>
      <c r="CG89" s="218"/>
      <c r="CH89" s="218"/>
      <c r="CI89" s="218"/>
      <c r="CJ89" s="218"/>
      <c r="CK89" s="218"/>
      <c r="CL89" s="218"/>
      <c r="CM89" s="218"/>
      <c r="CN89" s="218"/>
      <c r="CO89" s="218"/>
      <c r="CP89" s="218"/>
      <c r="CQ89" s="218"/>
      <c r="CR89" s="218"/>
      <c r="CS89" s="218"/>
      <c r="CT89" s="218"/>
      <c r="CU89" s="218"/>
      <c r="CV89" s="218"/>
      <c r="CW89" s="218"/>
    </row>
    <row r="90" spans="1:101" ht="21" thickTop="1" x14ac:dyDescent="0.3">
      <c r="A90" s="219"/>
      <c r="B90" s="219"/>
      <c r="C90" s="157"/>
      <c r="D90" s="158"/>
      <c r="E90" s="731" t="s">
        <v>44</v>
      </c>
      <c r="F90" s="229"/>
      <c r="G90" s="229"/>
      <c r="H90" s="229"/>
      <c r="I90" s="877" t="e" vm="1">
        <v>#VALUE!</v>
      </c>
      <c r="J90" s="877"/>
      <c r="K90" s="877"/>
      <c r="L90" s="877"/>
      <c r="M90" s="159"/>
      <c r="N90" s="159"/>
      <c r="O90" s="159"/>
      <c r="P90" s="160"/>
      <c r="Q90" s="159"/>
      <c r="R90" s="159"/>
      <c r="S90" s="159"/>
      <c r="T90" s="161"/>
      <c r="U90" s="162"/>
      <c r="V90" s="162"/>
      <c r="W90" s="162"/>
      <c r="X90" s="162"/>
      <c r="Y90" s="160"/>
      <c r="Z90" s="159"/>
      <c r="AA90" s="159"/>
      <c r="AB90" s="159"/>
      <c r="AC90" s="161"/>
      <c r="AD90" s="162"/>
      <c r="AE90" s="162"/>
      <c r="AF90" s="162"/>
      <c r="AG90" s="162"/>
      <c r="AH90" s="160"/>
      <c r="AI90" s="159"/>
      <c r="AJ90" s="201"/>
      <c r="AK90" s="201"/>
      <c r="AL90" s="164"/>
      <c r="AM90" s="162"/>
      <c r="AN90" s="162"/>
      <c r="AO90" s="162"/>
      <c r="AP90" s="162"/>
      <c r="AQ90" s="202"/>
      <c r="AR90" s="203"/>
      <c r="AS90" s="165"/>
      <c r="AT90" s="166"/>
      <c r="AU90" s="164"/>
      <c r="AV90" s="162"/>
      <c r="AW90" s="162"/>
      <c r="AX90" s="162"/>
      <c r="AY90" s="162"/>
      <c r="AZ90" s="202"/>
      <c r="BA90" s="203"/>
      <c r="BB90" s="166"/>
      <c r="BC90" s="201"/>
      <c r="BD90" s="204"/>
      <c r="BE90" s="162"/>
      <c r="BF90" s="162"/>
      <c r="BG90" s="162"/>
      <c r="BH90" s="162"/>
      <c r="BI90" s="205"/>
      <c r="BJ90" s="201"/>
      <c r="BK90" s="201"/>
      <c r="BL90" s="201"/>
      <c r="BM90" s="204"/>
      <c r="BN90" s="162"/>
      <c r="BO90" s="162"/>
      <c r="BP90" s="162"/>
      <c r="BQ90" s="162"/>
      <c r="BR90" s="167"/>
      <c r="BS90" s="201"/>
      <c r="BT90" s="201"/>
      <c r="BU90" s="201"/>
      <c r="BV90" s="205"/>
      <c r="BW90" s="162"/>
      <c r="BX90" s="162"/>
      <c r="BY90" s="162"/>
      <c r="BZ90" s="162"/>
      <c r="CA90" s="201"/>
      <c r="CB90" s="393"/>
      <c r="CC90" s="393"/>
      <c r="CD90" s="393"/>
      <c r="CE90" s="393"/>
      <c r="CF90" s="162"/>
      <c r="CG90" s="162"/>
      <c r="CH90" s="162"/>
      <c r="CI90" s="162"/>
      <c r="CJ90" s="163"/>
      <c r="CK90" s="163"/>
      <c r="CL90" s="163"/>
      <c r="CM90" s="163"/>
      <c r="CN90" s="163"/>
      <c r="CO90" s="162"/>
      <c r="CP90" s="162"/>
      <c r="CQ90" s="162"/>
      <c r="CR90" s="162"/>
      <c r="CS90" s="163"/>
      <c r="CT90" s="358"/>
      <c r="CU90" s="201"/>
      <c r="CV90" s="206"/>
      <c r="CW90" s="218"/>
    </row>
    <row r="91" spans="1:101" ht="15.75" customHeight="1" thickBot="1" x14ac:dyDescent="0.25">
      <c r="A91" s="219"/>
      <c r="B91" s="219"/>
      <c r="C91" s="168"/>
      <c r="D91" s="785"/>
      <c r="E91" s="869" t="s">
        <v>45</v>
      </c>
      <c r="F91" s="363"/>
      <c r="G91" s="363"/>
      <c r="H91" s="363"/>
      <c r="I91" s="878"/>
      <c r="J91" s="878"/>
      <c r="K91" s="878"/>
      <c r="L91" s="878"/>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H91" s="363"/>
      <c r="BI91" s="363"/>
      <c r="BJ91" s="363"/>
      <c r="BK91" s="363"/>
      <c r="BL91" s="363"/>
      <c r="BM91" s="363"/>
      <c r="BN91" s="363"/>
      <c r="BO91" s="363"/>
      <c r="BP91" s="363"/>
      <c r="BQ91" s="363"/>
      <c r="BR91" s="363"/>
      <c r="BS91" s="363"/>
      <c r="BT91" s="363"/>
      <c r="BU91" s="363"/>
      <c r="BV91" s="363"/>
      <c r="BW91" s="363"/>
      <c r="BX91" s="363"/>
      <c r="BY91" s="363"/>
      <c r="BZ91" s="363"/>
      <c r="CA91" s="363"/>
      <c r="CB91" s="394"/>
      <c r="CC91" s="394"/>
      <c r="CD91" s="394"/>
      <c r="CE91" s="394"/>
      <c r="CF91" s="363"/>
      <c r="CG91" s="363"/>
      <c r="CH91" s="363"/>
      <c r="CI91" s="363"/>
      <c r="CJ91" s="363"/>
      <c r="CK91" s="363"/>
      <c r="CL91" s="363"/>
      <c r="CM91" s="363"/>
      <c r="CN91" s="323"/>
      <c r="CO91" s="363"/>
      <c r="CP91" s="363"/>
      <c r="CQ91" s="363"/>
      <c r="CR91" s="363"/>
      <c r="CS91" s="323"/>
      <c r="CT91" s="155"/>
      <c r="CU91" s="269"/>
      <c r="CV91" s="209"/>
      <c r="CW91" s="218"/>
    </row>
    <row r="92" spans="1:101" ht="18.75" customHeight="1" thickTop="1" x14ac:dyDescent="0.2">
      <c r="A92" s="219"/>
      <c r="B92" s="219"/>
      <c r="C92" s="174"/>
      <c r="D92" s="778"/>
      <c r="E92" s="777"/>
      <c r="F92" s="235"/>
      <c r="G92" s="234"/>
      <c r="H92" s="234"/>
      <c r="I92" s="875">
        <f>WEEKNUM(E93)</f>
        <v>37</v>
      </c>
      <c r="J92" s="875"/>
      <c r="K92" s="875"/>
      <c r="L92" s="250"/>
      <c r="M92" s="261"/>
      <c r="N92" s="205"/>
      <c r="O92" s="236"/>
      <c r="P92" s="236"/>
      <c r="Q92" s="675" t="str">
        <f>IF($F96="","",SUM(Q108:S108)-S94)</f>
        <v/>
      </c>
      <c r="R92" s="675"/>
      <c r="S92" s="675"/>
      <c r="T92" s="237"/>
      <c r="U92" s="238"/>
      <c r="V92" s="238"/>
      <c r="W92" s="238"/>
      <c r="X92" s="238"/>
      <c r="Y92" s="236"/>
      <c r="Z92" s="675" t="str">
        <f>IF($F96="","",SUM(Z108:AB108)-AB94)</f>
        <v/>
      </c>
      <c r="AA92" s="675"/>
      <c r="AB92" s="675"/>
      <c r="AC92" s="237"/>
      <c r="AD92" s="238"/>
      <c r="AE92" s="238"/>
      <c r="AF92" s="238"/>
      <c r="AG92" s="238"/>
      <c r="AH92" s="236"/>
      <c r="AI92" s="675" t="str">
        <f>IF($F96="","",SUM(AI108:AK108)-AK94)</f>
        <v/>
      </c>
      <c r="AJ92" s="675"/>
      <c r="AK92" s="675"/>
      <c r="AL92" s="237"/>
      <c r="AM92" s="238"/>
      <c r="AN92" s="238"/>
      <c r="AO92" s="238"/>
      <c r="AP92" s="238"/>
      <c r="AQ92" s="236"/>
      <c r="AR92" s="675" t="str">
        <f>IF($F96="","",SUM(AR108:AT108)-AT94)</f>
        <v/>
      </c>
      <c r="AS92" s="675"/>
      <c r="AT92" s="675"/>
      <c r="AU92" s="239"/>
      <c r="AV92" s="238"/>
      <c r="AW92" s="238"/>
      <c r="AX92" s="238"/>
      <c r="AY92" s="238"/>
      <c r="AZ92" s="240"/>
      <c r="BA92" s="675" t="str">
        <f>IF($F96="","",SUM(BA108:BC108)-BC94)</f>
        <v/>
      </c>
      <c r="BB92" s="675"/>
      <c r="BC92" s="675"/>
      <c r="BD92" s="239"/>
      <c r="BE92" s="238"/>
      <c r="BF92" s="238"/>
      <c r="BG92" s="238"/>
      <c r="BH92" s="238"/>
      <c r="BI92" s="240"/>
      <c r="BJ92" s="675" t="str">
        <f>IF($F96="","",SUM(BJ108:BL108)-BL94)</f>
        <v/>
      </c>
      <c r="BK92" s="675"/>
      <c r="BL92" s="675"/>
      <c r="BM92" s="239"/>
      <c r="BN92" s="238"/>
      <c r="BO92" s="238"/>
      <c r="BP92" s="238"/>
      <c r="BQ92" s="238"/>
      <c r="BR92" s="241"/>
      <c r="BS92" s="675" t="str">
        <f>IF($F96="","",SUM(BS108:BU108)-BU94)</f>
        <v/>
      </c>
      <c r="BT92" s="675"/>
      <c r="BU92" s="675"/>
      <c r="BV92" s="240"/>
      <c r="BW92" s="238"/>
      <c r="BX92" s="238"/>
      <c r="BY92" s="238"/>
      <c r="BZ92" s="238"/>
      <c r="CA92" s="241"/>
      <c r="CB92" s="675" t="str">
        <f>IF($F96="","",SUM(CB108:CD108)-CD94)</f>
        <v/>
      </c>
      <c r="CC92" s="675"/>
      <c r="CD92" s="675"/>
      <c r="CE92" s="240"/>
      <c r="CF92" s="238"/>
      <c r="CG92" s="238"/>
      <c r="CH92" s="238"/>
      <c r="CI92" s="238"/>
      <c r="CJ92" s="234"/>
      <c r="CK92" s="675" t="str">
        <f>IF($F96="","",SUM(CK108:CM108))</f>
        <v/>
      </c>
      <c r="CL92" s="675"/>
      <c r="CM92" s="675"/>
      <c r="CN92" s="240"/>
      <c r="CO92" s="238"/>
      <c r="CP92" s="238"/>
      <c r="CQ92" s="238"/>
      <c r="CR92" s="238"/>
      <c r="CS92" s="234"/>
      <c r="CT92" s="234"/>
      <c r="CU92" s="251"/>
      <c r="CV92" s="209"/>
      <c r="CW92" s="218"/>
    </row>
    <row r="93" spans="1:101" ht="12.75" customHeight="1" x14ac:dyDescent="0.2">
      <c r="A93" s="219"/>
      <c r="B93" s="219"/>
      <c r="C93" s="174"/>
      <c r="D93" s="779"/>
      <c r="E93" s="543">
        <f>E71+7</f>
        <v>46277</v>
      </c>
      <c r="F93" s="178"/>
      <c r="G93" s="179"/>
      <c r="H93" s="179"/>
      <c r="I93" s="876"/>
      <c r="J93" s="876"/>
      <c r="K93" s="876"/>
      <c r="L93" s="254"/>
      <c r="M93" s="329"/>
      <c r="N93" s="208"/>
      <c r="O93" s="180"/>
      <c r="P93" s="180"/>
      <c r="Q93" s="584" t="str">
        <f>IF(Q92="","",Q92/Data!$X$1)</f>
        <v/>
      </c>
      <c r="R93" s="584"/>
      <c r="S93" s="585" t="str">
        <f>IF(SUM(X96:X107)=0,"",SUM(X96:X107))</f>
        <v/>
      </c>
      <c r="T93" s="181"/>
      <c r="U93" s="182"/>
      <c r="V93" s="182"/>
      <c r="W93" s="182"/>
      <c r="X93" s="182"/>
      <c r="Y93" s="180"/>
      <c r="Z93" s="584" t="str">
        <f>IF(Z92="","",Z92/Data!$X$1)</f>
        <v/>
      </c>
      <c r="AA93" s="584"/>
      <c r="AB93" s="585" t="str">
        <f>IF(SUM(AG96:AG107)=0,"",SUM(AG96:AG107))</f>
        <v/>
      </c>
      <c r="AC93" s="181"/>
      <c r="AD93" s="182"/>
      <c r="AE93" s="182"/>
      <c r="AF93" s="182"/>
      <c r="AG93" s="182"/>
      <c r="AH93" s="180"/>
      <c r="AI93" s="584" t="str">
        <f>IF(AI92="","",AI92/Data!$X$1)</f>
        <v/>
      </c>
      <c r="AJ93" s="584"/>
      <c r="AK93" s="585" t="str">
        <f>IF(SUM(AP96:AP107)=0,"",SUM(AP96:AP107))</f>
        <v/>
      </c>
      <c r="AL93" s="181"/>
      <c r="AM93" s="182"/>
      <c r="AN93" s="182"/>
      <c r="AO93" s="182"/>
      <c r="AP93" s="182"/>
      <c r="AQ93" s="180"/>
      <c r="AR93" s="584" t="str">
        <f>IF(AR92="","",AR92/Data!$X$1)</f>
        <v/>
      </c>
      <c r="AS93" s="584"/>
      <c r="AT93" s="585" t="str">
        <f>IF(SUM(AY96:AY107)=0,"",SUM(AY96:AY107))</f>
        <v/>
      </c>
      <c r="AU93" s="183"/>
      <c r="AV93" s="182"/>
      <c r="AW93" s="182"/>
      <c r="AX93" s="182"/>
      <c r="AY93" s="182"/>
      <c r="AZ93" s="184"/>
      <c r="BA93" s="584" t="str">
        <f>IF(BA92="","",BA92/Data!$X$1)</f>
        <v/>
      </c>
      <c r="BB93" s="584"/>
      <c r="BC93" s="585" t="str">
        <f>IF(SUM(BH96:BH107)=0,"",SUM(BH96:BH107))</f>
        <v/>
      </c>
      <c r="BD93" s="183"/>
      <c r="BE93" s="182"/>
      <c r="BF93" s="182"/>
      <c r="BG93" s="182"/>
      <c r="BH93" s="182"/>
      <c r="BI93" s="184"/>
      <c r="BJ93" s="584" t="str">
        <f>IF(BJ92="","",BJ92/Data!$X$1)</f>
        <v/>
      </c>
      <c r="BK93" s="584"/>
      <c r="BL93" s="585" t="str">
        <f>IF(SUM(BQ96:BQ107)=0,"",SUM(BQ96:BQ107))</f>
        <v/>
      </c>
      <c r="BM93" s="183"/>
      <c r="BN93" s="182"/>
      <c r="BO93" s="182"/>
      <c r="BP93" s="182"/>
      <c r="BQ93" s="182"/>
      <c r="BR93" s="185"/>
      <c r="BS93" s="584" t="str">
        <f>IF(BS92="","",BS92/Data!$X$1)</f>
        <v/>
      </c>
      <c r="BT93" s="584"/>
      <c r="BU93" s="585" t="str">
        <f>IF(SUM(BZ96:BZ107)=0,"",SUM(BZ96:BZ107))</f>
        <v/>
      </c>
      <c r="BV93" s="184"/>
      <c r="BW93" s="182"/>
      <c r="BX93" s="182"/>
      <c r="BY93" s="182"/>
      <c r="BZ93" s="182"/>
      <c r="CA93" s="185"/>
      <c r="CB93" s="584" t="str">
        <f>IF(CB92="","",CB92/Data!$X$1)</f>
        <v/>
      </c>
      <c r="CC93" s="584"/>
      <c r="CD93" s="585" t="str">
        <f>IF(SUM(CI96:CI107)=0,"",SUM(CI96:CI107))</f>
        <v/>
      </c>
      <c r="CE93" s="184"/>
      <c r="CF93" s="182"/>
      <c r="CG93" s="182"/>
      <c r="CH93" s="182"/>
      <c r="CI93" s="182"/>
      <c r="CJ93" s="182"/>
      <c r="CK93" s="584" t="str">
        <f>IF(CK92="","",CK92/Data!$X$1)</f>
        <v/>
      </c>
      <c r="CL93" s="584"/>
      <c r="CM93" s="585" t="str">
        <f>IF(SUM(CR96:CR107)=0,"",SUM(CR96:CR107))</f>
        <v/>
      </c>
      <c r="CN93" s="184"/>
      <c r="CO93" s="182"/>
      <c r="CP93" s="182"/>
      <c r="CQ93" s="182"/>
      <c r="CR93" s="182"/>
      <c r="CS93" s="182"/>
      <c r="CT93" s="182"/>
      <c r="CU93" s="255"/>
      <c r="CV93" s="209"/>
      <c r="CW93" s="218"/>
    </row>
    <row r="94" spans="1:101" ht="13.5" thickBot="1" x14ac:dyDescent="0.25">
      <c r="A94" s="219"/>
      <c r="B94" s="219"/>
      <c r="C94" s="174"/>
      <c r="D94" s="230"/>
      <c r="E94" s="359"/>
      <c r="F94" s="186"/>
      <c r="G94" s="187"/>
      <c r="H94" s="187"/>
      <c r="I94" s="673"/>
      <c r="J94" s="674"/>
      <c r="K94" s="674"/>
      <c r="L94" s="256"/>
      <c r="M94" s="330"/>
      <c r="N94" s="334"/>
      <c r="O94" s="187"/>
      <c r="P94" s="187"/>
      <c r="Q94" s="342" t="str">
        <f>Data!$E$11</f>
        <v>AHH</v>
      </c>
      <c r="R94" s="343" t="str">
        <f>IF($F107="","",RANK(Q92,$Q92:$CL92))</f>
        <v/>
      </c>
      <c r="S94" s="466"/>
      <c r="T94" s="181"/>
      <c r="U94" s="182"/>
      <c r="V94" s="182"/>
      <c r="W94" s="182"/>
      <c r="X94" s="197">
        <f>COUNTIF(U96:W107,"&gt;0")</f>
        <v>12</v>
      </c>
      <c r="Y94" s="180"/>
      <c r="Z94" s="342" t="str">
        <f>Data!$E$12</f>
        <v>RB</v>
      </c>
      <c r="AA94" s="343" t="str">
        <f>IF($F107="","",RANK(Z92,$Q92:$CL92))</f>
        <v/>
      </c>
      <c r="AB94" s="466"/>
      <c r="AC94" s="181"/>
      <c r="AD94" s="182"/>
      <c r="AE94" s="182"/>
      <c r="AF94" s="182"/>
      <c r="AG94" s="197">
        <f>COUNTIF(AD96:AF107,"&gt;0")</f>
        <v>12</v>
      </c>
      <c r="AH94" s="180"/>
      <c r="AI94" s="342" t="str">
        <f>Data!$E$13</f>
        <v>EB</v>
      </c>
      <c r="AJ94" s="343" t="str">
        <f>IF($F107="","",RANK(AI92,$Q92:$CL92))</f>
        <v/>
      </c>
      <c r="AK94" s="466"/>
      <c r="AL94" s="181"/>
      <c r="AM94" s="182"/>
      <c r="AN94" s="182"/>
      <c r="AO94" s="182"/>
      <c r="AP94" s="197">
        <f>COUNTIF(AM96:AO107,"&gt;0")</f>
        <v>12</v>
      </c>
      <c r="AQ94" s="180"/>
      <c r="AR94" s="305" t="str">
        <f>Data!$E$14</f>
        <v>KAF</v>
      </c>
      <c r="AS94" s="343" t="str">
        <f>IF($F107="","",RANK(AR92,$Q92:$CL92))</f>
        <v/>
      </c>
      <c r="AT94" s="466"/>
      <c r="AU94" s="181"/>
      <c r="AV94" s="182"/>
      <c r="AW94" s="182"/>
      <c r="AX94" s="182"/>
      <c r="AY94" s="197">
        <f>COUNTIF(AV96:AX107,"&gt;0")</f>
        <v>12</v>
      </c>
      <c r="AZ94" s="180"/>
      <c r="BA94" s="305" t="str">
        <f>Data!$E$15</f>
        <v>ØG</v>
      </c>
      <c r="BB94" s="343" t="str">
        <f>IF($F107="","",RANK(BA92,$Q92:$CL92))</f>
        <v/>
      </c>
      <c r="BC94" s="466"/>
      <c r="BD94" s="181"/>
      <c r="BE94" s="182"/>
      <c r="BF94" s="182"/>
      <c r="BG94" s="182"/>
      <c r="BH94" s="197">
        <f>COUNTIF(BE96:BG107,"&gt;0")</f>
        <v>12</v>
      </c>
      <c r="BI94" s="180"/>
      <c r="BJ94" s="305" t="str">
        <f>Data!$E$16</f>
        <v>JH</v>
      </c>
      <c r="BK94" s="343" t="str">
        <f>IF($F107="","",RANK(BJ92,$Q92:$CL92))</f>
        <v/>
      </c>
      <c r="BL94" s="466"/>
      <c r="BM94" s="181"/>
      <c r="BN94" s="182"/>
      <c r="BO94" s="182"/>
      <c r="BP94" s="182"/>
      <c r="BQ94" s="197">
        <f>COUNTIF(BN96:BP107,"&gt;0")</f>
        <v>12</v>
      </c>
      <c r="BR94" s="188"/>
      <c r="BS94" s="305" t="str">
        <f>Data!$E$17</f>
        <v>TOH</v>
      </c>
      <c r="BT94" s="343" t="str">
        <f>IF($F107="","",RANK(BS92,$Q92:$CL92))</f>
        <v/>
      </c>
      <c r="BU94" s="466"/>
      <c r="BV94" s="180"/>
      <c r="BW94" s="182"/>
      <c r="BX94" s="182"/>
      <c r="BY94" s="182"/>
      <c r="BZ94" s="197">
        <f>COUNTIF(BW96:BY107,"&gt;0")</f>
        <v>12</v>
      </c>
      <c r="CA94" s="188"/>
      <c r="CB94" s="305" t="s">
        <v>26</v>
      </c>
      <c r="CC94" s="343" t="str">
        <f>IF($F107="","",RANK(CB92,$Q92:$CM92))</f>
        <v/>
      </c>
      <c r="CD94" s="467"/>
      <c r="CE94" s="180"/>
      <c r="CF94" s="182"/>
      <c r="CG94" s="182"/>
      <c r="CH94" s="182"/>
      <c r="CI94" s="197">
        <f>COUNTIF(CF96:CH107,"&gt;0")</f>
        <v>12</v>
      </c>
      <c r="CJ94" s="182"/>
      <c r="CK94" s="305" t="s">
        <v>27</v>
      </c>
      <c r="CL94" s="343" t="str">
        <f>IF($F107="","",RANK(CK92,$Q92:$CM92))</f>
        <v/>
      </c>
      <c r="CM94" s="669"/>
      <c r="CN94" s="180"/>
      <c r="CO94" s="182"/>
      <c r="CP94" s="182"/>
      <c r="CQ94" s="182"/>
      <c r="CR94" s="197">
        <f>COUNTIF(CO96:CQ107,"&gt;0")</f>
        <v>12</v>
      </c>
      <c r="CS94" s="182"/>
      <c r="CT94" s="182"/>
      <c r="CU94" s="255"/>
      <c r="CV94" s="209"/>
      <c r="CW94" s="218"/>
    </row>
    <row r="95" spans="1:101" ht="13.5" thickBot="1" x14ac:dyDescent="0.25">
      <c r="A95" s="227"/>
      <c r="B95" s="227"/>
      <c r="C95" s="168"/>
      <c r="D95" s="231"/>
      <c r="E95" s="189"/>
      <c r="F95" s="190"/>
      <c r="G95" s="191"/>
      <c r="H95" s="191"/>
      <c r="I95" s="192" t="s">
        <v>47</v>
      </c>
      <c r="J95" s="193" t="s">
        <v>48</v>
      </c>
      <c r="K95" s="194" t="s">
        <v>49</v>
      </c>
      <c r="L95" s="257"/>
      <c r="M95" s="331"/>
      <c r="N95" s="335"/>
      <c r="O95" s="195"/>
      <c r="P95" s="195"/>
      <c r="Q95" s="192" t="s">
        <v>47</v>
      </c>
      <c r="R95" s="193" t="s">
        <v>48</v>
      </c>
      <c r="S95" s="194" t="s">
        <v>49</v>
      </c>
      <c r="T95" s="196"/>
      <c r="U95" s="197"/>
      <c r="V95" s="197"/>
      <c r="W95" s="197"/>
      <c r="X95" s="197"/>
      <c r="Y95" s="195"/>
      <c r="Z95" s="192" t="s">
        <v>47</v>
      </c>
      <c r="AA95" s="193" t="s">
        <v>48</v>
      </c>
      <c r="AB95" s="194" t="s">
        <v>49</v>
      </c>
      <c r="AC95" s="196"/>
      <c r="AD95" s="197"/>
      <c r="AE95" s="197"/>
      <c r="AF95" s="197"/>
      <c r="AG95" s="197"/>
      <c r="AH95" s="195"/>
      <c r="AI95" s="192" t="s">
        <v>47</v>
      </c>
      <c r="AJ95" s="193" t="s">
        <v>48</v>
      </c>
      <c r="AK95" s="194" t="s">
        <v>49</v>
      </c>
      <c r="AL95" s="196"/>
      <c r="AM95" s="197"/>
      <c r="AN95" s="197"/>
      <c r="AO95" s="197"/>
      <c r="AP95" s="197"/>
      <c r="AQ95" s="195"/>
      <c r="AR95" s="192" t="s">
        <v>47</v>
      </c>
      <c r="AS95" s="193" t="s">
        <v>48</v>
      </c>
      <c r="AT95" s="194" t="s">
        <v>49</v>
      </c>
      <c r="AU95" s="196"/>
      <c r="AV95" s="197"/>
      <c r="AW95" s="197"/>
      <c r="AX95" s="197"/>
      <c r="AY95" s="197"/>
      <c r="AZ95" s="195"/>
      <c r="BA95" s="192" t="s">
        <v>47</v>
      </c>
      <c r="BB95" s="193" t="s">
        <v>48</v>
      </c>
      <c r="BC95" s="194" t="s">
        <v>49</v>
      </c>
      <c r="BD95" s="196"/>
      <c r="BE95" s="197"/>
      <c r="BF95" s="197"/>
      <c r="BG95" s="197"/>
      <c r="BH95" s="197"/>
      <c r="BI95" s="195"/>
      <c r="BJ95" s="192" t="s">
        <v>47</v>
      </c>
      <c r="BK95" s="193" t="s">
        <v>48</v>
      </c>
      <c r="BL95" s="194" t="s">
        <v>49</v>
      </c>
      <c r="BM95" s="196"/>
      <c r="BN95" s="197"/>
      <c r="BO95" s="197"/>
      <c r="BP95" s="197"/>
      <c r="BQ95" s="197"/>
      <c r="BR95" s="195"/>
      <c r="BS95" s="192" t="s">
        <v>47</v>
      </c>
      <c r="BT95" s="193" t="s">
        <v>48</v>
      </c>
      <c r="BU95" s="194" t="s">
        <v>49</v>
      </c>
      <c r="BV95" s="196"/>
      <c r="BW95" s="197"/>
      <c r="BX95" s="197"/>
      <c r="BY95" s="197"/>
      <c r="BZ95" s="197"/>
      <c r="CA95" s="195"/>
      <c r="CB95" s="192" t="s">
        <v>47</v>
      </c>
      <c r="CC95" s="193" t="s">
        <v>48</v>
      </c>
      <c r="CD95" s="194" t="s">
        <v>49</v>
      </c>
      <c r="CE95" s="196"/>
      <c r="CF95" s="197"/>
      <c r="CG95" s="197"/>
      <c r="CH95" s="197"/>
      <c r="CI95" s="197"/>
      <c r="CJ95" s="197"/>
      <c r="CK95" s="192" t="s">
        <v>47</v>
      </c>
      <c r="CL95" s="193" t="s">
        <v>48</v>
      </c>
      <c r="CM95" s="194" t="s">
        <v>49</v>
      </c>
      <c r="CN95" s="196"/>
      <c r="CO95" s="197"/>
      <c r="CP95" s="197"/>
      <c r="CQ95" s="197"/>
      <c r="CR95" s="197"/>
      <c r="CS95" s="197"/>
      <c r="CT95" s="198"/>
      <c r="CU95" s="255"/>
      <c r="CV95" s="209"/>
      <c r="CW95" s="228"/>
    </row>
    <row r="96" spans="1:101" x14ac:dyDescent="0.2">
      <c r="A96" s="227"/>
      <c r="B96" s="227"/>
      <c r="C96" s="168"/>
      <c r="D96" s="232"/>
      <c r="E96" s="134" t="s">
        <v>101</v>
      </c>
      <c r="F96" s="424"/>
      <c r="G96" s="428" t="s">
        <v>51</v>
      </c>
      <c r="H96" s="429">
        <v>1</v>
      </c>
      <c r="I96" s="138" t="str">
        <f t="shared" ref="I96:I107" si="128">IF($F96&gt;$H96,"x","")</f>
        <v/>
      </c>
      <c r="J96" s="344" t="str">
        <f t="shared" ref="J96:J107" si="129">IF(F96&lt;&gt;"",IF(H96&lt;&gt;"",IF(F96=H96,"x",""),""),"")</f>
        <v/>
      </c>
      <c r="K96" s="345" t="str">
        <f t="shared" ref="K96:K107" si="130">IF($F96&lt;$H96,"x","")</f>
        <v>x</v>
      </c>
      <c r="L96" s="258"/>
      <c r="M96" s="332"/>
      <c r="N96" s="336"/>
      <c r="O96" s="200"/>
      <c r="P96" s="200"/>
      <c r="Q96" s="436">
        <v>40</v>
      </c>
      <c r="R96" s="437">
        <v>10</v>
      </c>
      <c r="S96" s="438">
        <f t="shared" ref="S96:S107" si="131">IF(Q96="","",100-SUM(Q96:R96))</f>
        <v>50</v>
      </c>
      <c r="T96" s="328"/>
      <c r="U96" s="197" t="str">
        <f>IF(AND($I96="x",AND(MAX(Q96:S96)=Q96,Q96&gt;=0)),Data!$BI$2,"")</f>
        <v/>
      </c>
      <c r="V96" s="197" t="str">
        <f>IF(AND($J96="x",AND(MAX(Q96:S96)=R96,R96&gt;=0)),Data!$BJ$2,"")</f>
        <v/>
      </c>
      <c r="W96" s="197">
        <f>IF(AND($K96="x",AND(MAX(Q96:S96)=S96,S96&gt;=0)),Data!$BK$2,"")</f>
        <v>71</v>
      </c>
      <c r="X96" s="197"/>
      <c r="Y96" s="328"/>
      <c r="Z96" s="451">
        <v>40</v>
      </c>
      <c r="AA96" s="452">
        <v>10</v>
      </c>
      <c r="AB96" s="438">
        <f t="shared" ref="AB96:AB107" si="132">IF(Z96="","",100-SUM(Z96:AA96))</f>
        <v>50</v>
      </c>
      <c r="AC96" s="328"/>
      <c r="AD96" s="197" t="str">
        <f>IF(AND($I96="x",AND(MAX(Z96:AB96)=Z96,Z96&lt;&gt;"")),Data!$BI$2,"")</f>
        <v/>
      </c>
      <c r="AE96" s="197" t="str">
        <f>IF(AND($J96="x",AND(MAX(Z96:AB96)=AA96,AA96&lt;&gt;"")),Data!$BJ$2,"")</f>
        <v/>
      </c>
      <c r="AF96" s="197">
        <f>IF(AND($K96="x",AND(MAX(Z96:AB96)=AB96,AB96&lt;&gt;"")),Data!$BK$2,"")</f>
        <v>71</v>
      </c>
      <c r="AG96" s="197"/>
      <c r="AH96" s="328"/>
      <c r="AI96" s="451">
        <v>40</v>
      </c>
      <c r="AJ96" s="452">
        <v>10</v>
      </c>
      <c r="AK96" s="438">
        <f t="shared" ref="AK96:AK107" si="133">IF(AI96="","",100-SUM(AI96:AJ96))</f>
        <v>50</v>
      </c>
      <c r="AL96" s="328"/>
      <c r="AM96" s="197" t="str">
        <f>IF(AND($I96="x",AND(MAX(AI96:AK96)=AI96,AI96&lt;&gt;"")),Data!$BI$2,"")</f>
        <v/>
      </c>
      <c r="AN96" s="197" t="str">
        <f>IF(AND($J96="x",AND(MAX(AI96:AK96)=AJ96,AJ96&lt;&gt;"")),Data!$BJ$2,"")</f>
        <v/>
      </c>
      <c r="AO96" s="197">
        <f>IF(AND($K96="x",AND(MAX(AI96:AK96)=AK96,AK96&lt;&gt;"")),Data!$BK$2,"")</f>
        <v>71</v>
      </c>
      <c r="AP96" s="197"/>
      <c r="AQ96" s="328"/>
      <c r="AR96" s="451">
        <v>40</v>
      </c>
      <c r="AS96" s="452">
        <v>10</v>
      </c>
      <c r="AT96" s="438">
        <f t="shared" ref="AT96:AT107" si="134">IF(AR96="","",100-SUM(AR96:AS96))</f>
        <v>50</v>
      </c>
      <c r="AU96" s="328"/>
      <c r="AV96" s="197" t="str">
        <f>IF(AND($I96="x",AND(MAX(AR96:AT96)=AR96,AR96&lt;&gt;"")),Data!$BI$2,"")</f>
        <v/>
      </c>
      <c r="AW96" s="197" t="str">
        <f>IF(AND($J96="x",AND(MAX(AR96:AT96)=AS96,AS96&lt;&gt;"")),Data!$BJ$2,"")</f>
        <v/>
      </c>
      <c r="AX96" s="197">
        <f>IF(AND($K96="x",AND(MAX(AR96:AT96)=AT96,AT96&lt;&gt;"")),Data!$BK$2,"")</f>
        <v>71</v>
      </c>
      <c r="AY96" s="197"/>
      <c r="AZ96" s="328"/>
      <c r="BA96" s="451">
        <v>40</v>
      </c>
      <c r="BB96" s="452">
        <v>10</v>
      </c>
      <c r="BC96" s="438">
        <f t="shared" ref="BC96:BC107" si="135">IF(BA96="","",100-SUM(BA96:BB96))</f>
        <v>50</v>
      </c>
      <c r="BD96" s="328"/>
      <c r="BE96" s="197" t="str">
        <f>IF(AND($I96="x",AND(MAX(BA96:BC96)=BA96,BA96&lt;&gt;"")),Data!$BI$2,"")</f>
        <v/>
      </c>
      <c r="BF96" s="197" t="str">
        <f>IF(AND($J96="x",AND(MAX(BA96:BC96)=BB96,BB96&lt;&gt;"")),Data!$BJ$2,"")</f>
        <v/>
      </c>
      <c r="BG96" s="197">
        <f>IF(AND($K96="x",AND(MAX(BA96:BC96)=BC96,BC96&lt;&gt;"")),Data!$BK$2,"")</f>
        <v>71</v>
      </c>
      <c r="BH96" s="197"/>
      <c r="BI96" s="328"/>
      <c r="BJ96" s="451">
        <v>40</v>
      </c>
      <c r="BK96" s="452">
        <v>10</v>
      </c>
      <c r="BL96" s="438">
        <f t="shared" ref="BL96:BL107" si="136">IF(BJ96="","",100-SUM(BJ96:BK96))</f>
        <v>50</v>
      </c>
      <c r="BM96" s="328"/>
      <c r="BN96" s="197" t="str">
        <f>IF(AND($I96="x",AND(MAX(BJ96:BL96)=BJ96,BJ96&lt;&gt;"")),Data!$BI$2,"")</f>
        <v/>
      </c>
      <c r="BO96" s="197" t="str">
        <f>IF(AND($J96="x",AND(MAX(BJ96:BL96)=BK96,BK96&lt;&gt;"")),Data!$BJ$2,"")</f>
        <v/>
      </c>
      <c r="BP96" s="197">
        <f>IF(AND($K96="x",AND(MAX(BJ96:BL96)=BL96,BL96&lt;&gt;"")),Data!$BK$2,"")</f>
        <v>71</v>
      </c>
      <c r="BQ96" s="197"/>
      <c r="BR96" s="328"/>
      <c r="BS96" s="451">
        <v>40</v>
      </c>
      <c r="BT96" s="452">
        <v>10</v>
      </c>
      <c r="BU96" s="438">
        <f t="shared" ref="BU96:BU107" si="137">IF(BS96="","",100-SUM(BS96:BT96))</f>
        <v>50</v>
      </c>
      <c r="BV96" s="328"/>
      <c r="BW96" s="197" t="str">
        <f>IF(AND($I96="x",AND(MAX(BS96:BU96)=BS96,BS96&lt;&gt;"")),Data!$BI$2,"")</f>
        <v/>
      </c>
      <c r="BX96" s="197" t="str">
        <f>IF(AND($J96="x",AND(MAX(BS96:BU96)=BT96,BT96&lt;&gt;"")),Data!$BJ$2,"")</f>
        <v/>
      </c>
      <c r="BY96" s="197">
        <f>IF(AND($K96="x",AND(MAX(BS96:BU96)=BU96,BU96&lt;&gt;"")),Data!$BK$2,"")</f>
        <v>71</v>
      </c>
      <c r="BZ96" s="197"/>
      <c r="CA96" s="328"/>
      <c r="CB96" s="457">
        <f t="shared" ref="CB96:CB107" si="138">IFERROR(ROUNDUP((SUM(Q96,Z96,AI96,AR96,BA96,BJ96,BS96)/SUM($Q96:$S96,$Z96:$AB96,$AI96:$AK96,$AR96:$AT96,$BA96:$BC96,$BJ96:$BL96,$BS96:$BU96))*100,-1),"")</f>
        <v>40</v>
      </c>
      <c r="CC96" s="458">
        <f t="shared" ref="CC96:CC107" si="139">IFERROR(ROUNDDOWN((SUM(R96,AA96,AJ96,AS96,BB96,BK96,BT96)/SUM($Q96:$S96,$Z96:$AB96,$AI96:$AK96,$AR96:$AT96,$BA96:$BC96,$BJ96:$BL96,$BS96:$BU96))*100,-1),"")</f>
        <v>10</v>
      </c>
      <c r="CD96" s="459">
        <f t="shared" ref="CD96:CD107" si="140">IF(CB96="","",100-SUM(CB96:CC96))</f>
        <v>50</v>
      </c>
      <c r="CE96" s="328"/>
      <c r="CF96" s="197" t="str">
        <f>IF(AND($I96="x",AND(MAX(CB96:CD96)=CB96,CB96&lt;&gt;"")),Data!$BI$2,"")</f>
        <v/>
      </c>
      <c r="CG96" s="197" t="str">
        <f>IF(AND($J96="x",AND(MAX(CB96:CD96)=CC96,CC96&lt;&gt;"")),Data!$BJ$2,"")</f>
        <v/>
      </c>
      <c r="CH96" s="197">
        <f>IF(AND($K96="x",AND(MAX(CB96:CD96)=CD96,CD96&lt;&gt;"")),Data!$BK$2,"")</f>
        <v>71</v>
      </c>
      <c r="CI96" s="197"/>
      <c r="CJ96" s="197"/>
      <c r="CK96" s="451">
        <v>40</v>
      </c>
      <c r="CL96" s="452">
        <v>10</v>
      </c>
      <c r="CM96" s="438">
        <f t="shared" ref="CM96:CM107" si="141">IF(CK96="","",100-SUM(CK96:CL96))</f>
        <v>50</v>
      </c>
      <c r="CN96" s="328"/>
      <c r="CO96" s="197" t="str">
        <f>IF(AND($I96="x",AND(MAX(CK96:CM96)=CK96,CK96&lt;&gt;"")),Data!$BI$2,"")</f>
        <v/>
      </c>
      <c r="CP96" s="197" t="str">
        <f>IF(AND($J96="x",AND(MAX(CK96:CM96)=CL96,CL96&lt;&gt;"")),Data!$BJ$2,"")</f>
        <v/>
      </c>
      <c r="CQ96" s="197">
        <f>IF(AND($K96="x",AND(MAX(CK96:CM96)=CM96,CM96&lt;&gt;"")),Data!$BK$2,"")</f>
        <v>71</v>
      </c>
      <c r="CR96" s="197"/>
      <c r="CS96" s="197"/>
      <c r="CT96" s="328"/>
      <c r="CU96" s="255"/>
      <c r="CV96" s="209"/>
      <c r="CW96" s="227"/>
    </row>
    <row r="97" spans="1:101" x14ac:dyDescent="0.2">
      <c r="A97" s="227"/>
      <c r="B97" s="227"/>
      <c r="C97" s="168"/>
      <c r="D97" s="232"/>
      <c r="E97" s="135" t="s">
        <v>102</v>
      </c>
      <c r="F97" s="425"/>
      <c r="G97" s="430" t="s">
        <v>51</v>
      </c>
      <c r="H97" s="431">
        <v>1</v>
      </c>
      <c r="I97" s="346" t="str">
        <f t="shared" si="128"/>
        <v/>
      </c>
      <c r="J97" s="347" t="str">
        <f t="shared" si="129"/>
        <v/>
      </c>
      <c r="K97" s="348" t="str">
        <f t="shared" si="130"/>
        <v>x</v>
      </c>
      <c r="L97" s="258"/>
      <c r="M97" s="332"/>
      <c r="N97" s="336"/>
      <c r="O97" s="200"/>
      <c r="P97" s="200"/>
      <c r="Q97" s="439">
        <v>40</v>
      </c>
      <c r="R97" s="440">
        <v>10</v>
      </c>
      <c r="S97" s="441">
        <f t="shared" si="131"/>
        <v>50</v>
      </c>
      <c r="T97" s="328"/>
      <c r="U97" s="197" t="str">
        <f>IF(AND($I97="x",AND(MAX(Q97:S97)=Q97,Q97&gt;=0)),Data!$BI$2,"")</f>
        <v/>
      </c>
      <c r="V97" s="197" t="str">
        <f>IF(AND($J97="x",AND(MAX(Q97:S97)=R97,R97&gt;=0)),Data!$BJ$2,"")</f>
        <v/>
      </c>
      <c r="W97" s="197">
        <f>IF(AND($K97="x",AND(MAX(Q97:S97)=S97,S97&gt;=0)),Data!$BK$2,"")</f>
        <v>71</v>
      </c>
      <c r="X97" s="197"/>
      <c r="Y97" s="328"/>
      <c r="Z97" s="453">
        <v>40</v>
      </c>
      <c r="AA97" s="454">
        <v>10</v>
      </c>
      <c r="AB97" s="441">
        <f t="shared" si="132"/>
        <v>50</v>
      </c>
      <c r="AC97" s="328"/>
      <c r="AD97" s="197" t="str">
        <f>IF(AND($I97="x",AND(MAX(Z97:AB97)=Z97,Z97&lt;&gt;"")),Data!$BI$2,"")</f>
        <v/>
      </c>
      <c r="AE97" s="197" t="str">
        <f>IF(AND($J97="x",AND(MAX(Z97:AB97)=AA97,AA97&lt;&gt;"")),Data!$BJ$2,"")</f>
        <v/>
      </c>
      <c r="AF97" s="197">
        <f>IF(AND($K97="x",AND(MAX(Z97:AB97)=AB97,AB97&lt;&gt;"")),Data!$BK$2,"")</f>
        <v>71</v>
      </c>
      <c r="AG97" s="197"/>
      <c r="AH97" s="328"/>
      <c r="AI97" s="453">
        <v>40</v>
      </c>
      <c r="AJ97" s="454">
        <v>10</v>
      </c>
      <c r="AK97" s="441">
        <f t="shared" si="133"/>
        <v>50</v>
      </c>
      <c r="AL97" s="328"/>
      <c r="AM97" s="197" t="str">
        <f>IF(AND($I97="x",AND(MAX(AI97:AK97)=AI97,AI97&lt;&gt;"")),Data!$BI$2,"")</f>
        <v/>
      </c>
      <c r="AN97" s="197" t="str">
        <f>IF(AND($J97="x",AND(MAX(AI97:AK97)=AJ97,AJ97&lt;&gt;"")),Data!$BJ$2,"")</f>
        <v/>
      </c>
      <c r="AO97" s="197">
        <f>IF(AND($K97="x",AND(MAX(AI97:AK97)=AK97,AK97&lt;&gt;"")),Data!$BK$2,"")</f>
        <v>71</v>
      </c>
      <c r="AP97" s="197"/>
      <c r="AQ97" s="328"/>
      <c r="AR97" s="453">
        <v>40</v>
      </c>
      <c r="AS97" s="454">
        <v>10</v>
      </c>
      <c r="AT97" s="441">
        <f t="shared" si="134"/>
        <v>50</v>
      </c>
      <c r="AU97" s="328"/>
      <c r="AV97" s="197" t="str">
        <f>IF(AND($I97="x",AND(MAX(AR97:AT97)=AR97,AR97&lt;&gt;"")),Data!$BI$2,"")</f>
        <v/>
      </c>
      <c r="AW97" s="197" t="str">
        <f>IF(AND($J97="x",AND(MAX(AR97:AT97)=AS97,AS97&lt;&gt;"")),Data!$BJ$2,"")</f>
        <v/>
      </c>
      <c r="AX97" s="197">
        <f>IF(AND($K97="x",AND(MAX(AR97:AT97)=AT97,AT97&lt;&gt;"")),Data!$BK$2,"")</f>
        <v>71</v>
      </c>
      <c r="AY97" s="197"/>
      <c r="AZ97" s="328"/>
      <c r="BA97" s="453">
        <v>40</v>
      </c>
      <c r="BB97" s="454">
        <v>10</v>
      </c>
      <c r="BC97" s="441">
        <f t="shared" si="135"/>
        <v>50</v>
      </c>
      <c r="BD97" s="328"/>
      <c r="BE97" s="197" t="str">
        <f>IF(AND($I97="x",AND(MAX(BA97:BC97)=BA97,BA97&lt;&gt;"")),Data!$BI$2,"")</f>
        <v/>
      </c>
      <c r="BF97" s="197" t="str">
        <f>IF(AND($J97="x",AND(MAX(BA97:BC97)=BB97,BB97&lt;&gt;"")),Data!$BJ$2,"")</f>
        <v/>
      </c>
      <c r="BG97" s="197">
        <f>IF(AND($K97="x",AND(MAX(BA97:BC97)=BC97,BC97&lt;&gt;"")),Data!$BK$2,"")</f>
        <v>71</v>
      </c>
      <c r="BH97" s="197"/>
      <c r="BI97" s="328"/>
      <c r="BJ97" s="453">
        <v>40</v>
      </c>
      <c r="BK97" s="454">
        <v>10</v>
      </c>
      <c r="BL97" s="441">
        <f t="shared" si="136"/>
        <v>50</v>
      </c>
      <c r="BM97" s="328"/>
      <c r="BN97" s="197" t="str">
        <f>IF(AND($I97="x",AND(MAX(BJ97:BL97)=BJ97,BJ97&lt;&gt;"")),Data!$BI$2,"")</f>
        <v/>
      </c>
      <c r="BO97" s="197" t="str">
        <f>IF(AND($J97="x",AND(MAX(BJ97:BL97)=BK97,BK97&lt;&gt;"")),Data!$BJ$2,"")</f>
        <v/>
      </c>
      <c r="BP97" s="197">
        <f>IF(AND($K97="x",AND(MAX(BJ97:BL97)=BL97,BL97&lt;&gt;"")),Data!$BK$2,"")</f>
        <v>71</v>
      </c>
      <c r="BQ97" s="197"/>
      <c r="BR97" s="328"/>
      <c r="BS97" s="453">
        <v>40</v>
      </c>
      <c r="BT97" s="454">
        <v>10</v>
      </c>
      <c r="BU97" s="441">
        <f t="shared" si="137"/>
        <v>50</v>
      </c>
      <c r="BV97" s="328"/>
      <c r="BW97" s="197" t="str">
        <f>IF(AND($I97="x",AND(MAX(BS97:BU97)=BS97,BS97&lt;&gt;"")),Data!$BI$2,"")</f>
        <v/>
      </c>
      <c r="BX97" s="197" t="str">
        <f>IF(AND($J97="x",AND(MAX(BS97:BU97)=BT97,BT97&lt;&gt;"")),Data!$BJ$2,"")</f>
        <v/>
      </c>
      <c r="BY97" s="197">
        <f>IF(AND($K97="x",AND(MAX(BS97:BU97)=BU97,BU97&lt;&gt;"")),Data!$BK$2,"")</f>
        <v>71</v>
      </c>
      <c r="BZ97" s="197"/>
      <c r="CA97" s="328"/>
      <c r="CB97" s="460">
        <f t="shared" si="138"/>
        <v>40</v>
      </c>
      <c r="CC97" s="461">
        <f t="shared" si="139"/>
        <v>10</v>
      </c>
      <c r="CD97" s="462">
        <f t="shared" si="140"/>
        <v>50</v>
      </c>
      <c r="CE97" s="328"/>
      <c r="CF97" s="197" t="str">
        <f>IF(AND($I97="x",AND(MAX(CB97:CD97)=CB97,CB97&lt;&gt;"")),Data!$BI$2,"")</f>
        <v/>
      </c>
      <c r="CG97" s="197" t="str">
        <f>IF(AND($J97="x",AND(MAX(CB97:CD97)=CC97,CC97&lt;&gt;"")),Data!$BJ$2,"")</f>
        <v/>
      </c>
      <c r="CH97" s="197">
        <f>IF(AND($K97="x",AND(MAX(CB97:CD97)=CD97,CD97&lt;&gt;"")),Data!$BK$2,"")</f>
        <v>71</v>
      </c>
      <c r="CI97" s="197"/>
      <c r="CJ97" s="197"/>
      <c r="CK97" s="453">
        <v>40</v>
      </c>
      <c r="CL97" s="454">
        <v>10</v>
      </c>
      <c r="CM97" s="441">
        <f t="shared" si="141"/>
        <v>50</v>
      </c>
      <c r="CN97" s="328"/>
      <c r="CO97" s="197" t="str">
        <f>IF(AND($I97="x",AND(MAX(CK97:CM97)=CK97,CK97&lt;&gt;"")),Data!$BI$2,"")</f>
        <v/>
      </c>
      <c r="CP97" s="197" t="str">
        <f>IF(AND($J97="x",AND(MAX(CK97:CM97)=CL97,CL97&lt;&gt;"")),Data!$BJ$2,"")</f>
        <v/>
      </c>
      <c r="CQ97" s="197">
        <f>IF(AND($K97="x",AND(MAX(CK97:CM97)=CM97,CM97&lt;&gt;"")),Data!$BK$2,"")</f>
        <v>71</v>
      </c>
      <c r="CR97" s="197"/>
      <c r="CS97" s="197"/>
      <c r="CT97" s="328"/>
      <c r="CU97" s="255"/>
      <c r="CV97" s="209"/>
      <c r="CW97" s="227"/>
    </row>
    <row r="98" spans="1:101" x14ac:dyDescent="0.2">
      <c r="A98" s="227"/>
      <c r="B98" s="227"/>
      <c r="C98" s="168"/>
      <c r="D98" s="232"/>
      <c r="E98" s="136" t="s">
        <v>103</v>
      </c>
      <c r="F98" s="426"/>
      <c r="G98" s="432" t="s">
        <v>51</v>
      </c>
      <c r="H98" s="433">
        <v>1</v>
      </c>
      <c r="I98" s="349" t="str">
        <f t="shared" si="128"/>
        <v/>
      </c>
      <c r="J98" s="350" t="str">
        <f t="shared" si="129"/>
        <v/>
      </c>
      <c r="K98" s="351" t="str">
        <f t="shared" si="130"/>
        <v>x</v>
      </c>
      <c r="L98" s="258"/>
      <c r="M98" s="332"/>
      <c r="N98" s="336"/>
      <c r="O98" s="200"/>
      <c r="P98" s="200"/>
      <c r="Q98" s="442">
        <v>40</v>
      </c>
      <c r="R98" s="443">
        <v>10</v>
      </c>
      <c r="S98" s="444">
        <f t="shared" si="131"/>
        <v>50</v>
      </c>
      <c r="T98" s="328"/>
      <c r="U98" s="197" t="str">
        <f>IF(AND($I98="x",AND(MAX(Q98:S98)=Q98,Q98&gt;=0)),Data!$BI$2,"")</f>
        <v/>
      </c>
      <c r="V98" s="197" t="str">
        <f>IF(AND($J98="x",AND(MAX(Q98:S98)=R98,R98&gt;=0)),Data!$BJ$2,"")</f>
        <v/>
      </c>
      <c r="W98" s="197">
        <f>IF(AND($K98="x",AND(MAX(Q98:S98)=S98,S98&gt;=0)),Data!$BK$2,"")</f>
        <v>71</v>
      </c>
      <c r="X98" s="197"/>
      <c r="Y98" s="328"/>
      <c r="Z98" s="455">
        <v>40</v>
      </c>
      <c r="AA98" s="456">
        <v>10</v>
      </c>
      <c r="AB98" s="444">
        <f t="shared" si="132"/>
        <v>50</v>
      </c>
      <c r="AC98" s="328"/>
      <c r="AD98" s="197" t="str">
        <f>IF(AND($I98="x",AND(MAX(Z98:AB98)=Z98,Z98&lt;&gt;"")),Data!$BI$2,"")</f>
        <v/>
      </c>
      <c r="AE98" s="197" t="str">
        <f>IF(AND($J98="x",AND(MAX(Z98:AB98)=AA98,AA98&lt;&gt;"")),Data!$BJ$2,"")</f>
        <v/>
      </c>
      <c r="AF98" s="197">
        <f>IF(AND($K98="x",AND(MAX(Z98:AB98)=AB98,AB98&lt;&gt;"")),Data!$BK$2,"")</f>
        <v>71</v>
      </c>
      <c r="AG98" s="197"/>
      <c r="AH98" s="328"/>
      <c r="AI98" s="455">
        <v>40</v>
      </c>
      <c r="AJ98" s="456">
        <v>10</v>
      </c>
      <c r="AK98" s="444">
        <f t="shared" si="133"/>
        <v>50</v>
      </c>
      <c r="AL98" s="328"/>
      <c r="AM98" s="197" t="str">
        <f>IF(AND($I98="x",AND(MAX(AI98:AK98)=AI98,AI98&lt;&gt;"")),Data!$BI$2,"")</f>
        <v/>
      </c>
      <c r="AN98" s="197" t="str">
        <f>IF(AND($J98="x",AND(MAX(AI98:AK98)=AJ98,AJ98&lt;&gt;"")),Data!$BJ$2,"")</f>
        <v/>
      </c>
      <c r="AO98" s="197">
        <f>IF(AND($K98="x",AND(MAX(AI98:AK98)=AK98,AK98&lt;&gt;"")),Data!$BK$2,"")</f>
        <v>71</v>
      </c>
      <c r="AP98" s="197"/>
      <c r="AQ98" s="328"/>
      <c r="AR98" s="455">
        <v>40</v>
      </c>
      <c r="AS98" s="456">
        <v>10</v>
      </c>
      <c r="AT98" s="444">
        <f t="shared" si="134"/>
        <v>50</v>
      </c>
      <c r="AU98" s="328"/>
      <c r="AV98" s="197" t="str">
        <f>IF(AND($I98="x",AND(MAX(AR98:AT98)=AR98,AR98&lt;&gt;"")),Data!$BI$2,"")</f>
        <v/>
      </c>
      <c r="AW98" s="197" t="str">
        <f>IF(AND($J98="x",AND(MAX(AR98:AT98)=AS98,AS98&lt;&gt;"")),Data!$BJ$2,"")</f>
        <v/>
      </c>
      <c r="AX98" s="197">
        <f>IF(AND($K98="x",AND(MAX(AR98:AT98)=AT98,AT98&lt;&gt;"")),Data!$BK$2,"")</f>
        <v>71</v>
      </c>
      <c r="AY98" s="197"/>
      <c r="AZ98" s="328"/>
      <c r="BA98" s="455">
        <v>40</v>
      </c>
      <c r="BB98" s="456">
        <v>10</v>
      </c>
      <c r="BC98" s="444">
        <f t="shared" si="135"/>
        <v>50</v>
      </c>
      <c r="BD98" s="328"/>
      <c r="BE98" s="197" t="str">
        <f>IF(AND($I98="x",AND(MAX(BA98:BC98)=BA98,BA98&lt;&gt;"")),Data!$BI$2,"")</f>
        <v/>
      </c>
      <c r="BF98" s="197" t="str">
        <f>IF(AND($J98="x",AND(MAX(BA98:BC98)=BB98,BB98&lt;&gt;"")),Data!$BJ$2,"")</f>
        <v/>
      </c>
      <c r="BG98" s="197">
        <f>IF(AND($K98="x",AND(MAX(BA98:BC98)=BC98,BC98&lt;&gt;"")),Data!$BK$2,"")</f>
        <v>71</v>
      </c>
      <c r="BH98" s="197"/>
      <c r="BI98" s="328"/>
      <c r="BJ98" s="455">
        <v>40</v>
      </c>
      <c r="BK98" s="456">
        <v>10</v>
      </c>
      <c r="BL98" s="444">
        <f t="shared" si="136"/>
        <v>50</v>
      </c>
      <c r="BM98" s="328"/>
      <c r="BN98" s="197" t="str">
        <f>IF(AND($I98="x",AND(MAX(BJ98:BL98)=BJ98,BJ98&lt;&gt;"")),Data!$BI$2,"")</f>
        <v/>
      </c>
      <c r="BO98" s="197" t="str">
        <f>IF(AND($J98="x",AND(MAX(BJ98:BL98)=BK98,BK98&lt;&gt;"")),Data!$BJ$2,"")</f>
        <v/>
      </c>
      <c r="BP98" s="197">
        <f>IF(AND($K98="x",AND(MAX(BJ98:BL98)=BL98,BL98&lt;&gt;"")),Data!$BK$2,"")</f>
        <v>71</v>
      </c>
      <c r="BQ98" s="197"/>
      <c r="BR98" s="328"/>
      <c r="BS98" s="455">
        <v>40</v>
      </c>
      <c r="BT98" s="456">
        <v>10</v>
      </c>
      <c r="BU98" s="444">
        <f t="shared" si="137"/>
        <v>50</v>
      </c>
      <c r="BV98" s="328"/>
      <c r="BW98" s="197" t="str">
        <f>IF(AND($I98="x",AND(MAX(BS98:BU98)=BS98,BS98&lt;&gt;"")),Data!$BI$2,"")</f>
        <v/>
      </c>
      <c r="BX98" s="197" t="str">
        <f>IF(AND($J98="x",AND(MAX(BS98:BU98)=BT98,BT98&lt;&gt;"")),Data!$BJ$2,"")</f>
        <v/>
      </c>
      <c r="BY98" s="197">
        <f>IF(AND($K98="x",AND(MAX(BS98:BU98)=BU98,BU98&lt;&gt;"")),Data!$BK$2,"")</f>
        <v>71</v>
      </c>
      <c r="BZ98" s="197"/>
      <c r="CA98" s="328"/>
      <c r="CB98" s="463">
        <f t="shared" si="138"/>
        <v>40</v>
      </c>
      <c r="CC98" s="464">
        <f t="shared" si="139"/>
        <v>10</v>
      </c>
      <c r="CD98" s="465">
        <f t="shared" si="140"/>
        <v>50</v>
      </c>
      <c r="CE98" s="328"/>
      <c r="CF98" s="197" t="str">
        <f>IF(AND($I98="x",AND(MAX(CB98:CD98)=CB98,CB98&lt;&gt;"")),Data!$BI$2,"")</f>
        <v/>
      </c>
      <c r="CG98" s="197" t="str">
        <f>IF(AND($J98="x",AND(MAX(CB98:CD98)=CC98,CC98&lt;&gt;"")),Data!$BJ$2,"")</f>
        <v/>
      </c>
      <c r="CH98" s="197">
        <f>IF(AND($K98="x",AND(MAX(CB98:CD98)=CD98,CD98&lt;&gt;"")),Data!$BK$2,"")</f>
        <v>71</v>
      </c>
      <c r="CI98" s="197"/>
      <c r="CJ98" s="197"/>
      <c r="CK98" s="455">
        <v>40</v>
      </c>
      <c r="CL98" s="456">
        <v>10</v>
      </c>
      <c r="CM98" s="444">
        <f t="shared" si="141"/>
        <v>50</v>
      </c>
      <c r="CN98" s="328"/>
      <c r="CO98" s="197" t="str">
        <f>IF(AND($I98="x",AND(MAX(CK98:CM98)=CK98,CK98&lt;&gt;"")),Data!$BI$2,"")</f>
        <v/>
      </c>
      <c r="CP98" s="197" t="str">
        <f>IF(AND($J98="x",AND(MAX(CK98:CM98)=CL98,CL98&lt;&gt;"")),Data!$BJ$2,"")</f>
        <v/>
      </c>
      <c r="CQ98" s="197">
        <f>IF(AND($K98="x",AND(MAX(CK98:CM98)=CM98,CM98&lt;&gt;"")),Data!$BK$2,"")</f>
        <v>71</v>
      </c>
      <c r="CR98" s="197"/>
      <c r="CS98" s="197"/>
      <c r="CT98" s="328"/>
      <c r="CU98" s="255"/>
      <c r="CV98" s="209"/>
      <c r="CW98" s="227"/>
    </row>
    <row r="99" spans="1:101" x14ac:dyDescent="0.2">
      <c r="A99" s="227"/>
      <c r="B99" s="227"/>
      <c r="C99" s="168"/>
      <c r="D99" s="232"/>
      <c r="E99" s="134" t="s">
        <v>104</v>
      </c>
      <c r="F99" s="424"/>
      <c r="G99" s="428"/>
      <c r="H99" s="429">
        <v>1</v>
      </c>
      <c r="I99" s="138" t="str">
        <f t="shared" si="128"/>
        <v/>
      </c>
      <c r="J99" s="344" t="str">
        <f t="shared" si="129"/>
        <v/>
      </c>
      <c r="K99" s="345" t="str">
        <f t="shared" si="130"/>
        <v>x</v>
      </c>
      <c r="L99" s="258"/>
      <c r="M99" s="332"/>
      <c r="N99" s="336"/>
      <c r="O99" s="200"/>
      <c r="P99" s="200"/>
      <c r="Q99" s="436">
        <v>40</v>
      </c>
      <c r="R99" s="437">
        <v>10</v>
      </c>
      <c r="S99" s="438">
        <f t="shared" si="131"/>
        <v>50</v>
      </c>
      <c r="T99" s="328"/>
      <c r="U99" s="197" t="str">
        <f>IF(AND($I99="x",AND(MAX(Q99:S99)=Q99,Q99&gt;=0)),Data!$BI$2,"")</f>
        <v/>
      </c>
      <c r="V99" s="197" t="str">
        <f>IF(AND($J99="x",AND(MAX(Q99:S99)=R99,R99&gt;=0)),Data!$BJ$2,"")</f>
        <v/>
      </c>
      <c r="W99" s="197">
        <f>IF(AND($K99="x",AND(MAX(Q99:S99)=S99,S99&gt;=0)),Data!$BK$2,"")</f>
        <v>71</v>
      </c>
      <c r="X99" s="197"/>
      <c r="Y99" s="328"/>
      <c r="Z99" s="451">
        <v>40</v>
      </c>
      <c r="AA99" s="452">
        <v>10</v>
      </c>
      <c r="AB99" s="438">
        <f t="shared" si="132"/>
        <v>50</v>
      </c>
      <c r="AC99" s="328"/>
      <c r="AD99" s="197" t="str">
        <f>IF(AND($I99="x",AND(MAX(Z99:AB99)=Z99,Z99&lt;&gt;"")),Data!$BI$2,"")</f>
        <v/>
      </c>
      <c r="AE99" s="197" t="str">
        <f>IF(AND($J99="x",AND(MAX(Z99:AB99)=AA99,AA99&lt;&gt;"")),Data!$BJ$2,"")</f>
        <v/>
      </c>
      <c r="AF99" s="197">
        <f>IF(AND($K99="x",AND(MAX(Z99:AB99)=AB99,AB99&lt;&gt;"")),Data!$BK$2,"")</f>
        <v>71</v>
      </c>
      <c r="AG99" s="197"/>
      <c r="AH99" s="328"/>
      <c r="AI99" s="451">
        <v>40</v>
      </c>
      <c r="AJ99" s="452">
        <v>10</v>
      </c>
      <c r="AK99" s="438">
        <f t="shared" si="133"/>
        <v>50</v>
      </c>
      <c r="AL99" s="328"/>
      <c r="AM99" s="197" t="str">
        <f>IF(AND($I99="x",AND(MAX(AI99:AK99)=AI99,AI99&lt;&gt;"")),Data!$BI$2,"")</f>
        <v/>
      </c>
      <c r="AN99" s="197" t="str">
        <f>IF(AND($J99="x",AND(MAX(AI99:AK99)=AJ99,AJ99&lt;&gt;"")),Data!$BJ$2,"")</f>
        <v/>
      </c>
      <c r="AO99" s="197">
        <f>IF(AND($K99="x",AND(MAX(AI99:AK99)=AK99,AK99&lt;&gt;"")),Data!$BK$2,"")</f>
        <v>71</v>
      </c>
      <c r="AP99" s="197"/>
      <c r="AQ99" s="328"/>
      <c r="AR99" s="451">
        <v>40</v>
      </c>
      <c r="AS99" s="452">
        <v>10</v>
      </c>
      <c r="AT99" s="438">
        <f t="shared" si="134"/>
        <v>50</v>
      </c>
      <c r="AU99" s="328"/>
      <c r="AV99" s="197" t="str">
        <f>IF(AND($I99="x",AND(MAX(AR99:AT99)=AR99,AR99&lt;&gt;"")),Data!$BI$2,"")</f>
        <v/>
      </c>
      <c r="AW99" s="197" t="str">
        <f>IF(AND($J99="x",AND(MAX(AR99:AT99)=AS99,AS99&lt;&gt;"")),Data!$BJ$2,"")</f>
        <v/>
      </c>
      <c r="AX99" s="197">
        <f>IF(AND($K99="x",AND(MAX(AR99:AT99)=AT99,AT99&lt;&gt;"")),Data!$BK$2,"")</f>
        <v>71</v>
      </c>
      <c r="AY99" s="197"/>
      <c r="AZ99" s="328"/>
      <c r="BA99" s="451">
        <v>40</v>
      </c>
      <c r="BB99" s="452">
        <v>10</v>
      </c>
      <c r="BC99" s="438">
        <f t="shared" si="135"/>
        <v>50</v>
      </c>
      <c r="BD99" s="328"/>
      <c r="BE99" s="197" t="str">
        <f>IF(AND($I99="x",AND(MAX(BA99:BC99)=BA99,BA99&lt;&gt;"")),Data!$BI$2,"")</f>
        <v/>
      </c>
      <c r="BF99" s="197" t="str">
        <f>IF(AND($J99="x",AND(MAX(BA99:BC99)=BB99,BB99&lt;&gt;"")),Data!$BJ$2,"")</f>
        <v/>
      </c>
      <c r="BG99" s="197">
        <f>IF(AND($K99="x",AND(MAX(BA99:BC99)=BC99,BC99&lt;&gt;"")),Data!$BK$2,"")</f>
        <v>71</v>
      </c>
      <c r="BH99" s="197"/>
      <c r="BI99" s="328"/>
      <c r="BJ99" s="451">
        <v>40</v>
      </c>
      <c r="BK99" s="452">
        <v>10</v>
      </c>
      <c r="BL99" s="438">
        <f t="shared" si="136"/>
        <v>50</v>
      </c>
      <c r="BM99" s="328"/>
      <c r="BN99" s="197" t="str">
        <f>IF(AND($I99="x",AND(MAX(BJ99:BL99)=BJ99,BJ99&lt;&gt;"")),Data!$BI$2,"")</f>
        <v/>
      </c>
      <c r="BO99" s="197" t="str">
        <f>IF(AND($J99="x",AND(MAX(BJ99:BL99)=BK99,BK99&lt;&gt;"")),Data!$BJ$2,"")</f>
        <v/>
      </c>
      <c r="BP99" s="197">
        <f>IF(AND($K99="x",AND(MAX(BJ99:BL99)=BL99,BL99&lt;&gt;"")),Data!$BK$2,"")</f>
        <v>71</v>
      </c>
      <c r="BQ99" s="197"/>
      <c r="BR99" s="328"/>
      <c r="BS99" s="451">
        <v>40</v>
      </c>
      <c r="BT99" s="452">
        <v>10</v>
      </c>
      <c r="BU99" s="438">
        <f t="shared" si="137"/>
        <v>50</v>
      </c>
      <c r="BV99" s="328"/>
      <c r="BW99" s="197" t="str">
        <f>IF(AND($I99="x",AND(MAX(BS99:BU99)=BS99,BS99&lt;&gt;"")),Data!$BI$2,"")</f>
        <v/>
      </c>
      <c r="BX99" s="197" t="str">
        <f>IF(AND($J99="x",AND(MAX(BS99:BU99)=BT99,BT99&lt;&gt;"")),Data!$BJ$2,"")</f>
        <v/>
      </c>
      <c r="BY99" s="197">
        <f>IF(AND($K99="x",AND(MAX(BS99:BU99)=BU99,BU99&lt;&gt;"")),Data!$BK$2,"")</f>
        <v>71</v>
      </c>
      <c r="BZ99" s="197"/>
      <c r="CA99" s="328"/>
      <c r="CB99" s="457">
        <f t="shared" si="138"/>
        <v>40</v>
      </c>
      <c r="CC99" s="458">
        <f t="shared" si="139"/>
        <v>10</v>
      </c>
      <c r="CD99" s="459">
        <f t="shared" si="140"/>
        <v>50</v>
      </c>
      <c r="CE99" s="328"/>
      <c r="CF99" s="197" t="str">
        <f>IF(AND($I99="x",AND(MAX(CB99:CD99)=CB99,CB99&lt;&gt;"")),Data!$BI$2,"")</f>
        <v/>
      </c>
      <c r="CG99" s="197" t="str">
        <f>IF(AND($J99="x",AND(MAX(CB99:CD99)=CC99,CC99&lt;&gt;"")),Data!$BJ$2,"")</f>
        <v/>
      </c>
      <c r="CH99" s="197">
        <f>IF(AND($K99="x",AND(MAX(CB99:CD99)=CD99,CD99&lt;&gt;"")),Data!$BK$2,"")</f>
        <v>71</v>
      </c>
      <c r="CI99" s="197"/>
      <c r="CJ99" s="197"/>
      <c r="CK99" s="451">
        <v>40</v>
      </c>
      <c r="CL99" s="452">
        <v>10</v>
      </c>
      <c r="CM99" s="438">
        <f t="shared" si="141"/>
        <v>50</v>
      </c>
      <c r="CN99" s="328"/>
      <c r="CO99" s="197" t="str">
        <f>IF(AND($I99="x",AND(MAX(CK99:CM99)=CK99,CK99&lt;&gt;"")),Data!$BI$2,"")</f>
        <v/>
      </c>
      <c r="CP99" s="197" t="str">
        <f>IF(AND($J99="x",AND(MAX(CK99:CM99)=CL99,CL99&lt;&gt;"")),Data!$BJ$2,"")</f>
        <v/>
      </c>
      <c r="CQ99" s="197">
        <f>IF(AND($K99="x",AND(MAX(CK99:CM99)=CM99,CM99&lt;&gt;"")),Data!$BK$2,"")</f>
        <v>71</v>
      </c>
      <c r="CR99" s="197"/>
      <c r="CS99" s="197"/>
      <c r="CT99" s="328"/>
      <c r="CU99" s="255"/>
      <c r="CV99" s="209"/>
      <c r="CW99" s="227"/>
    </row>
    <row r="100" spans="1:101" x14ac:dyDescent="0.2">
      <c r="A100" s="227"/>
      <c r="B100" s="227"/>
      <c r="C100" s="168"/>
      <c r="D100" s="232"/>
      <c r="E100" s="135" t="s">
        <v>105</v>
      </c>
      <c r="F100" s="425"/>
      <c r="G100" s="430" t="s">
        <v>51</v>
      </c>
      <c r="H100" s="431">
        <v>1</v>
      </c>
      <c r="I100" s="346" t="str">
        <f t="shared" si="128"/>
        <v/>
      </c>
      <c r="J100" s="347" t="str">
        <f t="shared" si="129"/>
        <v/>
      </c>
      <c r="K100" s="348" t="str">
        <f t="shared" si="130"/>
        <v>x</v>
      </c>
      <c r="L100" s="258"/>
      <c r="M100" s="332"/>
      <c r="N100" s="336"/>
      <c r="O100" s="200"/>
      <c r="P100" s="200"/>
      <c r="Q100" s="439">
        <v>40</v>
      </c>
      <c r="R100" s="440">
        <v>10</v>
      </c>
      <c r="S100" s="441">
        <f t="shared" si="131"/>
        <v>50</v>
      </c>
      <c r="T100" s="328"/>
      <c r="U100" s="197" t="str">
        <f>IF(AND($I100="x",AND(MAX(Q100:S100)=Q100,Q100&gt;=0)),Data!$BI$2,"")</f>
        <v/>
      </c>
      <c r="V100" s="197" t="str">
        <f>IF(AND($J100="x",AND(MAX(Q100:S100)=R100,R100&gt;=0)),Data!$BJ$2,"")</f>
        <v/>
      </c>
      <c r="W100" s="197">
        <f>IF(AND($K100="x",AND(MAX(Q100:S100)=S100,S100&gt;=0)),Data!$BK$2,"")</f>
        <v>71</v>
      </c>
      <c r="X100" s="197"/>
      <c r="Y100" s="328"/>
      <c r="Z100" s="453">
        <v>40</v>
      </c>
      <c r="AA100" s="454">
        <v>10</v>
      </c>
      <c r="AB100" s="441">
        <f t="shared" si="132"/>
        <v>50</v>
      </c>
      <c r="AC100" s="328"/>
      <c r="AD100" s="197" t="str">
        <f>IF(AND($I100="x",AND(MAX(Z100:AB100)=Z100,Z100&lt;&gt;"")),Data!$BI$2,"")</f>
        <v/>
      </c>
      <c r="AE100" s="197" t="str">
        <f>IF(AND($J100="x",AND(MAX(Z100:AB100)=AA100,AA100&lt;&gt;"")),Data!$BJ$2,"")</f>
        <v/>
      </c>
      <c r="AF100" s="197">
        <f>IF(AND($K100="x",AND(MAX(Z100:AB100)=AB100,AB100&lt;&gt;"")),Data!$BK$2,"")</f>
        <v>71</v>
      </c>
      <c r="AG100" s="197"/>
      <c r="AH100" s="328"/>
      <c r="AI100" s="453">
        <v>40</v>
      </c>
      <c r="AJ100" s="454">
        <v>10</v>
      </c>
      <c r="AK100" s="441">
        <f t="shared" si="133"/>
        <v>50</v>
      </c>
      <c r="AL100" s="328"/>
      <c r="AM100" s="197" t="str">
        <f>IF(AND($I100="x",AND(MAX(AI100:AK100)=AI100,AI100&lt;&gt;"")),Data!$BI$2,"")</f>
        <v/>
      </c>
      <c r="AN100" s="197" t="str">
        <f>IF(AND($J100="x",AND(MAX(AI100:AK100)=AJ100,AJ100&lt;&gt;"")),Data!$BJ$2,"")</f>
        <v/>
      </c>
      <c r="AO100" s="197">
        <f>IF(AND($K100="x",AND(MAX(AI100:AK100)=AK100,AK100&lt;&gt;"")),Data!$BK$2,"")</f>
        <v>71</v>
      </c>
      <c r="AP100" s="197"/>
      <c r="AQ100" s="328"/>
      <c r="AR100" s="453">
        <v>40</v>
      </c>
      <c r="AS100" s="454">
        <v>10</v>
      </c>
      <c r="AT100" s="441">
        <f t="shared" si="134"/>
        <v>50</v>
      </c>
      <c r="AU100" s="328"/>
      <c r="AV100" s="197" t="str">
        <f>IF(AND($I100="x",AND(MAX(AR100:AT100)=AR100,AR100&lt;&gt;"")),Data!$BI$2,"")</f>
        <v/>
      </c>
      <c r="AW100" s="197" t="str">
        <f>IF(AND($J100="x",AND(MAX(AR100:AT100)=AS100,AS100&lt;&gt;"")),Data!$BJ$2,"")</f>
        <v/>
      </c>
      <c r="AX100" s="197">
        <f>IF(AND($K100="x",AND(MAX(AR100:AT100)=AT100,AT100&lt;&gt;"")),Data!$BK$2,"")</f>
        <v>71</v>
      </c>
      <c r="AY100" s="197"/>
      <c r="AZ100" s="328"/>
      <c r="BA100" s="453">
        <v>40</v>
      </c>
      <c r="BB100" s="454">
        <v>10</v>
      </c>
      <c r="BC100" s="441">
        <f t="shared" si="135"/>
        <v>50</v>
      </c>
      <c r="BD100" s="328"/>
      <c r="BE100" s="197" t="str">
        <f>IF(AND($I100="x",AND(MAX(BA100:BC100)=BA100,BA100&lt;&gt;"")),Data!$BI$2,"")</f>
        <v/>
      </c>
      <c r="BF100" s="197" t="str">
        <f>IF(AND($J100="x",AND(MAX(BA100:BC100)=BB100,BB100&lt;&gt;"")),Data!$BJ$2,"")</f>
        <v/>
      </c>
      <c r="BG100" s="197">
        <f>IF(AND($K100="x",AND(MAX(BA100:BC100)=BC100,BC100&lt;&gt;"")),Data!$BK$2,"")</f>
        <v>71</v>
      </c>
      <c r="BH100" s="197"/>
      <c r="BI100" s="328"/>
      <c r="BJ100" s="453">
        <v>40</v>
      </c>
      <c r="BK100" s="454">
        <v>10</v>
      </c>
      <c r="BL100" s="441">
        <f t="shared" si="136"/>
        <v>50</v>
      </c>
      <c r="BM100" s="328"/>
      <c r="BN100" s="197" t="str">
        <f>IF(AND($I100="x",AND(MAX(BJ100:BL100)=BJ100,BJ100&lt;&gt;"")),Data!$BI$2,"")</f>
        <v/>
      </c>
      <c r="BO100" s="197" t="str">
        <f>IF(AND($J100="x",AND(MAX(BJ100:BL100)=BK100,BK100&lt;&gt;"")),Data!$BJ$2,"")</f>
        <v/>
      </c>
      <c r="BP100" s="197">
        <f>IF(AND($K100="x",AND(MAX(BJ100:BL100)=BL100,BL100&lt;&gt;"")),Data!$BK$2,"")</f>
        <v>71</v>
      </c>
      <c r="BQ100" s="197"/>
      <c r="BR100" s="328"/>
      <c r="BS100" s="453">
        <v>40</v>
      </c>
      <c r="BT100" s="454">
        <v>10</v>
      </c>
      <c r="BU100" s="441">
        <f t="shared" si="137"/>
        <v>50</v>
      </c>
      <c r="BV100" s="328"/>
      <c r="BW100" s="197" t="str">
        <f>IF(AND($I100="x",AND(MAX(BS100:BU100)=BS100,BS100&lt;&gt;"")),Data!$BI$2,"")</f>
        <v/>
      </c>
      <c r="BX100" s="197" t="str">
        <f>IF(AND($J100="x",AND(MAX(BS100:BU100)=BT100,BT100&lt;&gt;"")),Data!$BJ$2,"")</f>
        <v/>
      </c>
      <c r="BY100" s="197">
        <f>IF(AND($K100="x",AND(MAX(BS100:BU100)=BU100,BU100&lt;&gt;"")),Data!$BK$2,"")</f>
        <v>71</v>
      </c>
      <c r="BZ100" s="197"/>
      <c r="CA100" s="328"/>
      <c r="CB100" s="460">
        <f t="shared" si="138"/>
        <v>40</v>
      </c>
      <c r="CC100" s="461">
        <f t="shared" si="139"/>
        <v>10</v>
      </c>
      <c r="CD100" s="462">
        <f t="shared" si="140"/>
        <v>50</v>
      </c>
      <c r="CE100" s="328"/>
      <c r="CF100" s="197" t="str">
        <f>IF(AND($I100="x",AND(MAX(CB100:CD100)=CB100,CB100&lt;&gt;"")),Data!$BI$2,"")</f>
        <v/>
      </c>
      <c r="CG100" s="197" t="str">
        <f>IF(AND($J100="x",AND(MAX(CB100:CD100)=CC100,CC100&lt;&gt;"")),Data!$BJ$2,"")</f>
        <v/>
      </c>
      <c r="CH100" s="197">
        <f>IF(AND($K100="x",AND(MAX(CB100:CD100)=CD100,CD100&lt;&gt;"")),Data!$BK$2,"")</f>
        <v>71</v>
      </c>
      <c r="CI100" s="197"/>
      <c r="CJ100" s="197"/>
      <c r="CK100" s="453">
        <v>40</v>
      </c>
      <c r="CL100" s="454">
        <v>10</v>
      </c>
      <c r="CM100" s="441">
        <f t="shared" si="141"/>
        <v>50</v>
      </c>
      <c r="CN100" s="328"/>
      <c r="CO100" s="197" t="str">
        <f>IF(AND($I100="x",AND(MAX(CK100:CM100)=CK100,CK100&lt;&gt;"")),Data!$BI$2,"")</f>
        <v/>
      </c>
      <c r="CP100" s="197" t="str">
        <f>IF(AND($J100="x",AND(MAX(CK100:CM100)=CL100,CL100&lt;&gt;"")),Data!$BJ$2,"")</f>
        <v/>
      </c>
      <c r="CQ100" s="197">
        <f>IF(AND($K100="x",AND(MAX(CK100:CM100)=CM100,CM100&lt;&gt;"")),Data!$BK$2,"")</f>
        <v>71</v>
      </c>
      <c r="CR100" s="197"/>
      <c r="CS100" s="197"/>
      <c r="CT100" s="328"/>
      <c r="CU100" s="255"/>
      <c r="CV100" s="209"/>
      <c r="CW100" s="227"/>
    </row>
    <row r="101" spans="1:101" x14ac:dyDescent="0.2">
      <c r="A101" s="227"/>
      <c r="B101" s="227"/>
      <c r="C101" s="168"/>
      <c r="D101" s="232"/>
      <c r="E101" s="136" t="s">
        <v>106</v>
      </c>
      <c r="F101" s="426"/>
      <c r="G101" s="432" t="s">
        <v>51</v>
      </c>
      <c r="H101" s="433">
        <v>1</v>
      </c>
      <c r="I101" s="349" t="str">
        <f t="shared" si="128"/>
        <v/>
      </c>
      <c r="J101" s="350" t="str">
        <f t="shared" si="129"/>
        <v/>
      </c>
      <c r="K101" s="351" t="str">
        <f t="shared" si="130"/>
        <v>x</v>
      </c>
      <c r="L101" s="258"/>
      <c r="M101" s="332"/>
      <c r="N101" s="336"/>
      <c r="O101" s="200"/>
      <c r="P101" s="200"/>
      <c r="Q101" s="445">
        <v>40</v>
      </c>
      <c r="R101" s="446">
        <v>10</v>
      </c>
      <c r="S101" s="447">
        <f t="shared" si="131"/>
        <v>50</v>
      </c>
      <c r="T101" s="328"/>
      <c r="U101" s="197" t="str">
        <f>IF(AND($I101="x",AND(MAX(Q101:S101)=Q101,Q101&gt;=0)),Data!$BI$2,"")</f>
        <v/>
      </c>
      <c r="V101" s="197" t="str">
        <f>IF(AND($J101="x",AND(MAX(Q101:S101)=R101,R101&gt;=0)),Data!$BJ$2,"")</f>
        <v/>
      </c>
      <c r="W101" s="197">
        <f>IF(AND($K101="x",AND(MAX(Q101:S101)=S101,S101&gt;=0)),Data!$BK$2,"")</f>
        <v>71</v>
      </c>
      <c r="X101" s="197"/>
      <c r="Y101" s="328"/>
      <c r="Z101" s="455">
        <v>40</v>
      </c>
      <c r="AA101" s="456">
        <v>10</v>
      </c>
      <c r="AB101" s="447">
        <f t="shared" si="132"/>
        <v>50</v>
      </c>
      <c r="AC101" s="328"/>
      <c r="AD101" s="197" t="str">
        <f>IF(AND($I101="x",AND(MAX(Z101:AB101)=Z101,Z101&lt;&gt;"")),Data!$BI$2,"")</f>
        <v/>
      </c>
      <c r="AE101" s="197" t="str">
        <f>IF(AND($J101="x",AND(MAX(Z101:AB101)=AA101,AA101&lt;&gt;"")),Data!$BJ$2,"")</f>
        <v/>
      </c>
      <c r="AF101" s="197">
        <f>IF(AND($K101="x",AND(MAX(Z101:AB101)=AB101,AB101&lt;&gt;"")),Data!$BK$2,"")</f>
        <v>71</v>
      </c>
      <c r="AG101" s="197"/>
      <c r="AH101" s="328"/>
      <c r="AI101" s="455">
        <v>40</v>
      </c>
      <c r="AJ101" s="456">
        <v>10</v>
      </c>
      <c r="AK101" s="447">
        <f t="shared" si="133"/>
        <v>50</v>
      </c>
      <c r="AL101" s="328"/>
      <c r="AM101" s="197" t="str">
        <f>IF(AND($I101="x",AND(MAX(AI101:AK101)=AI101,AI101&lt;&gt;"")),Data!$BI$2,"")</f>
        <v/>
      </c>
      <c r="AN101" s="197" t="str">
        <f>IF(AND($J101="x",AND(MAX(AI101:AK101)=AJ101,AJ101&lt;&gt;"")),Data!$BJ$2,"")</f>
        <v/>
      </c>
      <c r="AO101" s="197">
        <f>IF(AND($K101="x",AND(MAX(AI101:AK101)=AK101,AK101&lt;&gt;"")),Data!$BK$2,"")</f>
        <v>71</v>
      </c>
      <c r="AP101" s="197"/>
      <c r="AQ101" s="328"/>
      <c r="AR101" s="455">
        <v>40</v>
      </c>
      <c r="AS101" s="456">
        <v>10</v>
      </c>
      <c r="AT101" s="447">
        <f t="shared" si="134"/>
        <v>50</v>
      </c>
      <c r="AU101" s="328"/>
      <c r="AV101" s="197" t="str">
        <f>IF(AND($I101="x",AND(MAX(AR101:AT101)=AR101,AR101&lt;&gt;"")),Data!$BI$2,"")</f>
        <v/>
      </c>
      <c r="AW101" s="197" t="str">
        <f>IF(AND($J101="x",AND(MAX(AR101:AT101)=AS101,AS101&lt;&gt;"")),Data!$BJ$2,"")</f>
        <v/>
      </c>
      <c r="AX101" s="197">
        <f>IF(AND($K101="x",AND(MAX(AR101:AT101)=AT101,AT101&lt;&gt;"")),Data!$BK$2,"")</f>
        <v>71</v>
      </c>
      <c r="AY101" s="197"/>
      <c r="AZ101" s="328"/>
      <c r="BA101" s="455">
        <v>40</v>
      </c>
      <c r="BB101" s="456">
        <v>10</v>
      </c>
      <c r="BC101" s="447">
        <f t="shared" si="135"/>
        <v>50</v>
      </c>
      <c r="BD101" s="328"/>
      <c r="BE101" s="197" t="str">
        <f>IF(AND($I101="x",AND(MAX(BA101:BC101)=BA101,BA101&lt;&gt;"")),Data!$BI$2,"")</f>
        <v/>
      </c>
      <c r="BF101" s="197" t="str">
        <f>IF(AND($J101="x",AND(MAX(BA101:BC101)=BB101,BB101&lt;&gt;"")),Data!$BJ$2,"")</f>
        <v/>
      </c>
      <c r="BG101" s="197">
        <f>IF(AND($K101="x",AND(MAX(BA101:BC101)=BC101,BC101&lt;&gt;"")),Data!$BK$2,"")</f>
        <v>71</v>
      </c>
      <c r="BH101" s="197"/>
      <c r="BI101" s="328"/>
      <c r="BJ101" s="455">
        <v>40</v>
      </c>
      <c r="BK101" s="456">
        <v>10</v>
      </c>
      <c r="BL101" s="447">
        <f t="shared" si="136"/>
        <v>50</v>
      </c>
      <c r="BM101" s="328"/>
      <c r="BN101" s="197" t="str">
        <f>IF(AND($I101="x",AND(MAX(BJ101:BL101)=BJ101,BJ101&lt;&gt;"")),Data!$BI$2,"")</f>
        <v/>
      </c>
      <c r="BO101" s="197" t="str">
        <f>IF(AND($J101="x",AND(MAX(BJ101:BL101)=BK101,BK101&lt;&gt;"")),Data!$BJ$2,"")</f>
        <v/>
      </c>
      <c r="BP101" s="197">
        <f>IF(AND($K101="x",AND(MAX(BJ101:BL101)=BL101,BL101&lt;&gt;"")),Data!$BK$2,"")</f>
        <v>71</v>
      </c>
      <c r="BQ101" s="197"/>
      <c r="BR101" s="328"/>
      <c r="BS101" s="455">
        <v>40</v>
      </c>
      <c r="BT101" s="456">
        <v>10</v>
      </c>
      <c r="BU101" s="447">
        <f t="shared" si="137"/>
        <v>50</v>
      </c>
      <c r="BV101" s="328"/>
      <c r="BW101" s="197" t="str">
        <f>IF(AND($I101="x",AND(MAX(BS101:BU101)=BS101,BS101&lt;&gt;"")),Data!$BI$2,"")</f>
        <v/>
      </c>
      <c r="BX101" s="197" t="str">
        <f>IF(AND($J101="x",AND(MAX(BS101:BU101)=BT101,BT101&lt;&gt;"")),Data!$BJ$2,"")</f>
        <v/>
      </c>
      <c r="BY101" s="197">
        <f>IF(AND($K101="x",AND(MAX(BS101:BU101)=BU101,BU101&lt;&gt;"")),Data!$BK$2,"")</f>
        <v>71</v>
      </c>
      <c r="BZ101" s="197"/>
      <c r="CA101" s="328"/>
      <c r="CB101" s="463">
        <f t="shared" si="138"/>
        <v>40</v>
      </c>
      <c r="CC101" s="464">
        <f t="shared" si="139"/>
        <v>10</v>
      </c>
      <c r="CD101" s="465">
        <f t="shared" si="140"/>
        <v>50</v>
      </c>
      <c r="CE101" s="328"/>
      <c r="CF101" s="197" t="str">
        <f>IF(AND($I101="x",AND(MAX(CB101:CD101)=CB101,CB101&lt;&gt;"")),Data!$BI$2,"")</f>
        <v/>
      </c>
      <c r="CG101" s="197" t="str">
        <f>IF(AND($J101="x",AND(MAX(CB101:CD101)=CC101,CC101&lt;&gt;"")),Data!$BJ$2,"")</f>
        <v/>
      </c>
      <c r="CH101" s="197">
        <f>IF(AND($K101="x",AND(MAX(CB101:CD101)=CD101,CD101&lt;&gt;"")),Data!$BK$2,"")</f>
        <v>71</v>
      </c>
      <c r="CI101" s="197"/>
      <c r="CJ101" s="197"/>
      <c r="CK101" s="455">
        <v>40</v>
      </c>
      <c r="CL101" s="456">
        <v>10</v>
      </c>
      <c r="CM101" s="447">
        <f t="shared" si="141"/>
        <v>50</v>
      </c>
      <c r="CN101" s="328"/>
      <c r="CO101" s="197" t="str">
        <f>IF(AND($I101="x",AND(MAX(CK101:CM101)=CK101,CK101&lt;&gt;"")),Data!$BI$2,"")</f>
        <v/>
      </c>
      <c r="CP101" s="197" t="str">
        <f>IF(AND($J101="x",AND(MAX(CK101:CM101)=CL101,CL101&lt;&gt;"")),Data!$BJ$2,"")</f>
        <v/>
      </c>
      <c r="CQ101" s="197">
        <f>IF(AND($K101="x",AND(MAX(CK101:CM101)=CM101,CM101&lt;&gt;"")),Data!$BK$2,"")</f>
        <v>71</v>
      </c>
      <c r="CR101" s="197"/>
      <c r="CS101" s="197"/>
      <c r="CT101" s="328"/>
      <c r="CU101" s="255"/>
      <c r="CV101" s="209"/>
      <c r="CW101" s="227"/>
    </row>
    <row r="102" spans="1:101" x14ac:dyDescent="0.2">
      <c r="A102" s="227"/>
      <c r="B102" s="227"/>
      <c r="C102" s="168"/>
      <c r="D102" s="232"/>
      <c r="E102" s="134" t="s">
        <v>107</v>
      </c>
      <c r="F102" s="424"/>
      <c r="G102" s="428" t="s">
        <v>51</v>
      </c>
      <c r="H102" s="429">
        <v>1</v>
      </c>
      <c r="I102" s="138" t="str">
        <f t="shared" si="128"/>
        <v/>
      </c>
      <c r="J102" s="344" t="str">
        <f t="shared" si="129"/>
        <v/>
      </c>
      <c r="K102" s="345" t="str">
        <f t="shared" si="130"/>
        <v>x</v>
      </c>
      <c r="L102" s="258"/>
      <c r="M102" s="332"/>
      <c r="N102" s="336"/>
      <c r="O102" s="200"/>
      <c r="P102" s="200"/>
      <c r="Q102" s="436">
        <v>40</v>
      </c>
      <c r="R102" s="437">
        <v>10</v>
      </c>
      <c r="S102" s="438">
        <f t="shared" si="131"/>
        <v>50</v>
      </c>
      <c r="T102" s="328"/>
      <c r="U102" s="197" t="str">
        <f>IF(AND($I102="x",AND(MAX(Q102:S102)=Q102,Q102&gt;=0)),Data!$BI$2,"")</f>
        <v/>
      </c>
      <c r="V102" s="197" t="str">
        <f>IF(AND($J102="x",AND(MAX(Q102:S102)=R102,R102&gt;=0)),Data!$BJ$2,"")</f>
        <v/>
      </c>
      <c r="W102" s="197">
        <f>IF(AND($K102="x",AND(MAX(Q102:S102)=S102,S102&gt;=0)),Data!$BK$2,"")</f>
        <v>71</v>
      </c>
      <c r="X102" s="197"/>
      <c r="Y102" s="328"/>
      <c r="Z102" s="451">
        <v>40</v>
      </c>
      <c r="AA102" s="452">
        <v>10</v>
      </c>
      <c r="AB102" s="438">
        <f t="shared" si="132"/>
        <v>50</v>
      </c>
      <c r="AC102" s="328"/>
      <c r="AD102" s="197" t="str">
        <f>IF(AND($I102="x",AND(MAX(Z102:AB102)=Z102,Z102&lt;&gt;"")),Data!$BI$2,"")</f>
        <v/>
      </c>
      <c r="AE102" s="197" t="str">
        <f>IF(AND($J102="x",AND(MAX(Z102:AB102)=AA102,AA102&lt;&gt;"")),Data!$BJ$2,"")</f>
        <v/>
      </c>
      <c r="AF102" s="197">
        <f>IF(AND($K102="x",AND(MAX(Z102:AB102)=AB102,AB102&lt;&gt;"")),Data!$BK$2,"")</f>
        <v>71</v>
      </c>
      <c r="AG102" s="197"/>
      <c r="AH102" s="328"/>
      <c r="AI102" s="451">
        <v>40</v>
      </c>
      <c r="AJ102" s="452">
        <v>10</v>
      </c>
      <c r="AK102" s="438">
        <f t="shared" si="133"/>
        <v>50</v>
      </c>
      <c r="AL102" s="328"/>
      <c r="AM102" s="197" t="str">
        <f>IF(AND($I102="x",AND(MAX(AI102:AK102)=AI102,AI102&lt;&gt;"")),Data!$BI$2,"")</f>
        <v/>
      </c>
      <c r="AN102" s="197" t="str">
        <f>IF(AND($J102="x",AND(MAX(AI102:AK102)=AJ102,AJ102&lt;&gt;"")),Data!$BJ$2,"")</f>
        <v/>
      </c>
      <c r="AO102" s="197">
        <f>IF(AND($K102="x",AND(MAX(AI102:AK102)=AK102,AK102&lt;&gt;"")),Data!$BK$2,"")</f>
        <v>71</v>
      </c>
      <c r="AP102" s="197"/>
      <c r="AQ102" s="328"/>
      <c r="AR102" s="451">
        <v>40</v>
      </c>
      <c r="AS102" s="452">
        <v>10</v>
      </c>
      <c r="AT102" s="438">
        <f t="shared" si="134"/>
        <v>50</v>
      </c>
      <c r="AU102" s="328"/>
      <c r="AV102" s="197" t="str">
        <f>IF(AND($I102="x",AND(MAX(AR102:AT102)=AR102,AR102&lt;&gt;"")),Data!$BI$2,"")</f>
        <v/>
      </c>
      <c r="AW102" s="197" t="str">
        <f>IF(AND($J102="x",AND(MAX(AR102:AT102)=AS102,AS102&lt;&gt;"")),Data!$BJ$2,"")</f>
        <v/>
      </c>
      <c r="AX102" s="197">
        <f>IF(AND($K102="x",AND(MAX(AR102:AT102)=AT102,AT102&lt;&gt;"")),Data!$BK$2,"")</f>
        <v>71</v>
      </c>
      <c r="AY102" s="197"/>
      <c r="AZ102" s="328"/>
      <c r="BA102" s="451">
        <v>40</v>
      </c>
      <c r="BB102" s="452">
        <v>10</v>
      </c>
      <c r="BC102" s="438">
        <f t="shared" si="135"/>
        <v>50</v>
      </c>
      <c r="BD102" s="328"/>
      <c r="BE102" s="197" t="str">
        <f>IF(AND($I102="x",AND(MAX(BA102:BC102)=BA102,BA102&lt;&gt;"")),Data!$BI$2,"")</f>
        <v/>
      </c>
      <c r="BF102" s="197" t="str">
        <f>IF(AND($J102="x",AND(MAX(BA102:BC102)=BB102,BB102&lt;&gt;"")),Data!$BJ$2,"")</f>
        <v/>
      </c>
      <c r="BG102" s="197">
        <f>IF(AND($K102="x",AND(MAX(BA102:BC102)=BC102,BC102&lt;&gt;"")),Data!$BK$2,"")</f>
        <v>71</v>
      </c>
      <c r="BH102" s="197"/>
      <c r="BI102" s="328"/>
      <c r="BJ102" s="451">
        <v>40</v>
      </c>
      <c r="BK102" s="452">
        <v>10</v>
      </c>
      <c r="BL102" s="438">
        <f t="shared" si="136"/>
        <v>50</v>
      </c>
      <c r="BM102" s="328"/>
      <c r="BN102" s="197" t="str">
        <f>IF(AND($I102="x",AND(MAX(BJ102:BL102)=BJ102,BJ102&lt;&gt;"")),Data!$BI$2,"")</f>
        <v/>
      </c>
      <c r="BO102" s="197" t="str">
        <f>IF(AND($J102="x",AND(MAX(BJ102:BL102)=BK102,BK102&lt;&gt;"")),Data!$BJ$2,"")</f>
        <v/>
      </c>
      <c r="BP102" s="197">
        <f>IF(AND($K102="x",AND(MAX(BJ102:BL102)=BL102,BL102&lt;&gt;"")),Data!$BK$2,"")</f>
        <v>71</v>
      </c>
      <c r="BQ102" s="197"/>
      <c r="BR102" s="328"/>
      <c r="BS102" s="451">
        <v>40</v>
      </c>
      <c r="BT102" s="452">
        <v>10</v>
      </c>
      <c r="BU102" s="438">
        <f t="shared" si="137"/>
        <v>50</v>
      </c>
      <c r="BV102" s="328"/>
      <c r="BW102" s="197" t="str">
        <f>IF(AND($I102="x",AND(MAX(BS102:BU102)=BS102,BS102&lt;&gt;"")),Data!$BI$2,"")</f>
        <v/>
      </c>
      <c r="BX102" s="197" t="str">
        <f>IF(AND($J102="x",AND(MAX(BS102:BU102)=BT102,BT102&lt;&gt;"")),Data!$BJ$2,"")</f>
        <v/>
      </c>
      <c r="BY102" s="197">
        <f>IF(AND($K102="x",AND(MAX(BS102:BU102)=BU102,BU102&lt;&gt;"")),Data!$BK$2,"")</f>
        <v>71</v>
      </c>
      <c r="BZ102" s="197"/>
      <c r="CA102" s="328"/>
      <c r="CB102" s="457">
        <f t="shared" si="138"/>
        <v>40</v>
      </c>
      <c r="CC102" s="458">
        <f t="shared" si="139"/>
        <v>10</v>
      </c>
      <c r="CD102" s="459">
        <f t="shared" si="140"/>
        <v>50</v>
      </c>
      <c r="CE102" s="328"/>
      <c r="CF102" s="197" t="str">
        <f>IF(AND($I102="x",AND(MAX(CB102:CD102)=CB102,CB102&lt;&gt;"")),Data!$BI$2,"")</f>
        <v/>
      </c>
      <c r="CG102" s="197" t="str">
        <f>IF(AND($J102="x",AND(MAX(CB102:CD102)=CC102,CC102&lt;&gt;"")),Data!$BJ$2,"")</f>
        <v/>
      </c>
      <c r="CH102" s="197">
        <f>IF(AND($K102="x",AND(MAX(CB102:CD102)=CD102,CD102&lt;&gt;"")),Data!$BK$2,"")</f>
        <v>71</v>
      </c>
      <c r="CI102" s="197"/>
      <c r="CJ102" s="197"/>
      <c r="CK102" s="451">
        <v>40</v>
      </c>
      <c r="CL102" s="452">
        <v>10</v>
      </c>
      <c r="CM102" s="438">
        <f t="shared" si="141"/>
        <v>50</v>
      </c>
      <c r="CN102" s="328"/>
      <c r="CO102" s="197" t="str">
        <f>IF(AND($I102="x",AND(MAX(CK102:CM102)=CK102,CK102&lt;&gt;"")),Data!$BI$2,"")</f>
        <v/>
      </c>
      <c r="CP102" s="197" t="str">
        <f>IF(AND($J102="x",AND(MAX(CK102:CM102)=CL102,CL102&lt;&gt;"")),Data!$BJ$2,"")</f>
        <v/>
      </c>
      <c r="CQ102" s="197">
        <f>IF(AND($K102="x",AND(MAX(CK102:CM102)=CM102,CM102&lt;&gt;"")),Data!$BK$2,"")</f>
        <v>71</v>
      </c>
      <c r="CR102" s="197"/>
      <c r="CS102" s="197"/>
      <c r="CT102" s="328"/>
      <c r="CU102" s="259"/>
      <c r="CV102" s="209"/>
      <c r="CW102" s="227"/>
    </row>
    <row r="103" spans="1:101" x14ac:dyDescent="0.2">
      <c r="A103" s="227"/>
      <c r="B103" s="227"/>
      <c r="C103" s="168"/>
      <c r="D103" s="232"/>
      <c r="E103" s="135" t="s">
        <v>108</v>
      </c>
      <c r="F103" s="425"/>
      <c r="G103" s="430" t="s">
        <v>51</v>
      </c>
      <c r="H103" s="431">
        <v>1</v>
      </c>
      <c r="I103" s="346" t="str">
        <f t="shared" si="128"/>
        <v/>
      </c>
      <c r="J103" s="347" t="str">
        <f t="shared" si="129"/>
        <v/>
      </c>
      <c r="K103" s="348" t="str">
        <f t="shared" si="130"/>
        <v>x</v>
      </c>
      <c r="L103" s="258"/>
      <c r="M103" s="332"/>
      <c r="N103" s="336"/>
      <c r="O103" s="200"/>
      <c r="P103" s="200"/>
      <c r="Q103" s="439">
        <v>40</v>
      </c>
      <c r="R103" s="440">
        <v>10</v>
      </c>
      <c r="S103" s="441">
        <f t="shared" si="131"/>
        <v>50</v>
      </c>
      <c r="T103" s="328"/>
      <c r="U103" s="197" t="str">
        <f>IF(AND($I103="x",AND(MAX(Q103:S103)=Q103,Q103&gt;=0)),Data!$BI$2,"")</f>
        <v/>
      </c>
      <c r="V103" s="197" t="str">
        <f>IF(AND($J103="x",AND(MAX(Q103:S103)=R103,R103&gt;=0)),Data!$BJ$2,"")</f>
        <v/>
      </c>
      <c r="W103" s="197">
        <f>IF(AND($K103="x",AND(MAX(Q103:S103)=S103,S103&gt;=0)),Data!$BK$2,"")</f>
        <v>71</v>
      </c>
      <c r="X103" s="197"/>
      <c r="Y103" s="328"/>
      <c r="Z103" s="453">
        <v>40</v>
      </c>
      <c r="AA103" s="454">
        <v>10</v>
      </c>
      <c r="AB103" s="441">
        <f t="shared" si="132"/>
        <v>50</v>
      </c>
      <c r="AC103" s="328"/>
      <c r="AD103" s="197" t="str">
        <f>IF(AND($I103="x",AND(MAX(Z103:AB103)=Z103,Z103&lt;&gt;"")),Data!$BI$2,"")</f>
        <v/>
      </c>
      <c r="AE103" s="197" t="str">
        <f>IF(AND($J103="x",AND(MAX(Z103:AB103)=AA103,AA103&lt;&gt;"")),Data!$BJ$2,"")</f>
        <v/>
      </c>
      <c r="AF103" s="197">
        <f>IF(AND($K103="x",AND(MAX(Z103:AB103)=AB103,AB103&lt;&gt;"")),Data!$BK$2,"")</f>
        <v>71</v>
      </c>
      <c r="AG103" s="197"/>
      <c r="AH103" s="328"/>
      <c r="AI103" s="453">
        <v>40</v>
      </c>
      <c r="AJ103" s="454">
        <v>10</v>
      </c>
      <c r="AK103" s="441">
        <f t="shared" si="133"/>
        <v>50</v>
      </c>
      <c r="AL103" s="328"/>
      <c r="AM103" s="197" t="str">
        <f>IF(AND($I103="x",AND(MAX(AI103:AK103)=AI103,AI103&lt;&gt;"")),Data!$BI$2,"")</f>
        <v/>
      </c>
      <c r="AN103" s="197" t="str">
        <f>IF(AND($J103="x",AND(MAX(AI103:AK103)=AJ103,AJ103&lt;&gt;"")),Data!$BJ$2,"")</f>
        <v/>
      </c>
      <c r="AO103" s="197">
        <f>IF(AND($K103="x",AND(MAX(AI103:AK103)=AK103,AK103&lt;&gt;"")),Data!$BK$2,"")</f>
        <v>71</v>
      </c>
      <c r="AP103" s="197"/>
      <c r="AQ103" s="328"/>
      <c r="AR103" s="453">
        <v>40</v>
      </c>
      <c r="AS103" s="454">
        <v>10</v>
      </c>
      <c r="AT103" s="441">
        <f t="shared" si="134"/>
        <v>50</v>
      </c>
      <c r="AU103" s="328"/>
      <c r="AV103" s="197" t="str">
        <f>IF(AND($I103="x",AND(MAX(AR103:AT103)=AR103,AR103&lt;&gt;"")),Data!$BI$2,"")</f>
        <v/>
      </c>
      <c r="AW103" s="197" t="str">
        <f>IF(AND($J103="x",AND(MAX(AR103:AT103)=AS103,AS103&lt;&gt;"")),Data!$BJ$2,"")</f>
        <v/>
      </c>
      <c r="AX103" s="197">
        <f>IF(AND($K103="x",AND(MAX(AR103:AT103)=AT103,AT103&lt;&gt;"")),Data!$BK$2,"")</f>
        <v>71</v>
      </c>
      <c r="AY103" s="197"/>
      <c r="AZ103" s="328"/>
      <c r="BA103" s="453">
        <v>40</v>
      </c>
      <c r="BB103" s="454">
        <v>10</v>
      </c>
      <c r="BC103" s="441">
        <f t="shared" si="135"/>
        <v>50</v>
      </c>
      <c r="BD103" s="328"/>
      <c r="BE103" s="197" t="str">
        <f>IF(AND($I103="x",AND(MAX(BA103:BC103)=BA103,BA103&lt;&gt;"")),Data!$BI$2,"")</f>
        <v/>
      </c>
      <c r="BF103" s="197" t="str">
        <f>IF(AND($J103="x",AND(MAX(BA103:BC103)=BB103,BB103&lt;&gt;"")),Data!$BJ$2,"")</f>
        <v/>
      </c>
      <c r="BG103" s="197">
        <f>IF(AND($K103="x",AND(MAX(BA103:BC103)=BC103,BC103&lt;&gt;"")),Data!$BK$2,"")</f>
        <v>71</v>
      </c>
      <c r="BH103" s="197"/>
      <c r="BI103" s="328"/>
      <c r="BJ103" s="453">
        <v>40</v>
      </c>
      <c r="BK103" s="454">
        <v>10</v>
      </c>
      <c r="BL103" s="441">
        <f t="shared" si="136"/>
        <v>50</v>
      </c>
      <c r="BM103" s="328"/>
      <c r="BN103" s="197" t="str">
        <f>IF(AND($I103="x",AND(MAX(BJ103:BL103)=BJ103,BJ103&lt;&gt;"")),Data!$BI$2,"")</f>
        <v/>
      </c>
      <c r="BO103" s="197" t="str">
        <f>IF(AND($J103="x",AND(MAX(BJ103:BL103)=BK103,BK103&lt;&gt;"")),Data!$BJ$2,"")</f>
        <v/>
      </c>
      <c r="BP103" s="197">
        <f>IF(AND($K103="x",AND(MAX(BJ103:BL103)=BL103,BL103&lt;&gt;"")),Data!$BK$2,"")</f>
        <v>71</v>
      </c>
      <c r="BQ103" s="197"/>
      <c r="BR103" s="328"/>
      <c r="BS103" s="453">
        <v>40</v>
      </c>
      <c r="BT103" s="454">
        <v>10</v>
      </c>
      <c r="BU103" s="441">
        <f t="shared" si="137"/>
        <v>50</v>
      </c>
      <c r="BV103" s="328"/>
      <c r="BW103" s="197" t="str">
        <f>IF(AND($I103="x",AND(MAX(BS103:BU103)=BS103,BS103&lt;&gt;"")),Data!$BI$2,"")</f>
        <v/>
      </c>
      <c r="BX103" s="197" t="str">
        <f>IF(AND($J103="x",AND(MAX(BS103:BU103)=BT103,BT103&lt;&gt;"")),Data!$BJ$2,"")</f>
        <v/>
      </c>
      <c r="BY103" s="197">
        <f>IF(AND($K103="x",AND(MAX(BS103:BU103)=BU103,BU103&lt;&gt;"")),Data!$BK$2,"")</f>
        <v>71</v>
      </c>
      <c r="BZ103" s="197"/>
      <c r="CA103" s="328"/>
      <c r="CB103" s="460">
        <f t="shared" si="138"/>
        <v>40</v>
      </c>
      <c r="CC103" s="461">
        <f t="shared" si="139"/>
        <v>10</v>
      </c>
      <c r="CD103" s="462">
        <f t="shared" si="140"/>
        <v>50</v>
      </c>
      <c r="CE103" s="328"/>
      <c r="CF103" s="197" t="str">
        <f>IF(AND($I103="x",AND(MAX(CB103:CD103)=CB103,CB103&lt;&gt;"")),Data!$BI$2,"")</f>
        <v/>
      </c>
      <c r="CG103" s="197" t="str">
        <f>IF(AND($J103="x",AND(MAX(CB103:CD103)=CC103,CC103&lt;&gt;"")),Data!$BJ$2,"")</f>
        <v/>
      </c>
      <c r="CH103" s="197">
        <f>IF(AND($K103="x",AND(MAX(CB103:CD103)=CD103,CD103&lt;&gt;"")),Data!$BK$2,"")</f>
        <v>71</v>
      </c>
      <c r="CI103" s="197"/>
      <c r="CJ103" s="197"/>
      <c r="CK103" s="453">
        <v>40</v>
      </c>
      <c r="CL103" s="454">
        <v>10</v>
      </c>
      <c r="CM103" s="441">
        <f t="shared" si="141"/>
        <v>50</v>
      </c>
      <c r="CN103" s="328"/>
      <c r="CO103" s="197" t="str">
        <f>IF(AND($I103="x",AND(MAX(CK103:CM103)=CK103,CK103&lt;&gt;"")),Data!$BI$2,"")</f>
        <v/>
      </c>
      <c r="CP103" s="197" t="str">
        <f>IF(AND($J103="x",AND(MAX(CK103:CM103)=CL103,CL103&lt;&gt;"")),Data!$BJ$2,"")</f>
        <v/>
      </c>
      <c r="CQ103" s="197">
        <f>IF(AND($K103="x",AND(MAX(CK103:CM103)=CM103,CM103&lt;&gt;"")),Data!$BK$2,"")</f>
        <v>71</v>
      </c>
      <c r="CR103" s="197"/>
      <c r="CS103" s="197"/>
      <c r="CT103" s="328"/>
      <c r="CU103" s="259"/>
      <c r="CV103" s="209"/>
      <c r="CW103" s="227"/>
    </row>
    <row r="104" spans="1:101" x14ac:dyDescent="0.2">
      <c r="A104" s="227"/>
      <c r="B104" s="227"/>
      <c r="C104" s="168"/>
      <c r="D104" s="232"/>
      <c r="E104" s="136" t="s">
        <v>109</v>
      </c>
      <c r="F104" s="426"/>
      <c r="G104" s="432" t="s">
        <v>51</v>
      </c>
      <c r="H104" s="433">
        <v>1</v>
      </c>
      <c r="I104" s="349" t="str">
        <f t="shared" si="128"/>
        <v/>
      </c>
      <c r="J104" s="350" t="str">
        <f t="shared" si="129"/>
        <v/>
      </c>
      <c r="K104" s="351" t="str">
        <f t="shared" si="130"/>
        <v>x</v>
      </c>
      <c r="L104" s="258"/>
      <c r="M104" s="332"/>
      <c r="N104" s="336"/>
      <c r="O104" s="200"/>
      <c r="P104" s="200"/>
      <c r="Q104" s="445">
        <v>40</v>
      </c>
      <c r="R104" s="446">
        <v>10</v>
      </c>
      <c r="S104" s="447">
        <f t="shared" si="131"/>
        <v>50</v>
      </c>
      <c r="T104" s="328"/>
      <c r="U104" s="197" t="str">
        <f>IF(AND($I104="x",AND(MAX(Q104:S104)=Q104,Q104&gt;=0)),Data!$BI$2,"")</f>
        <v/>
      </c>
      <c r="V104" s="197" t="str">
        <f>IF(AND($J104="x",AND(MAX(Q104:S104)=R104,R104&gt;=0)),Data!$BJ$2,"")</f>
        <v/>
      </c>
      <c r="W104" s="197">
        <f>IF(AND($K104="x",AND(MAX(Q104:S104)=S104,S104&gt;=0)),Data!$BK$2,"")</f>
        <v>71</v>
      </c>
      <c r="X104" s="197"/>
      <c r="Y104" s="328"/>
      <c r="Z104" s="455">
        <v>40</v>
      </c>
      <c r="AA104" s="456">
        <v>10</v>
      </c>
      <c r="AB104" s="447">
        <f t="shared" si="132"/>
        <v>50</v>
      </c>
      <c r="AC104" s="328"/>
      <c r="AD104" s="197" t="str">
        <f>IF(AND($I104="x",AND(MAX(Z104:AB104)=Z104,Z104&lt;&gt;"")),Data!$BI$2,"")</f>
        <v/>
      </c>
      <c r="AE104" s="197" t="str">
        <f>IF(AND($J104="x",AND(MAX(Z104:AB104)=AA104,AA104&lt;&gt;"")),Data!$BJ$2,"")</f>
        <v/>
      </c>
      <c r="AF104" s="197">
        <f>IF(AND($K104="x",AND(MAX(Z104:AB104)=AB104,AB104&lt;&gt;"")),Data!$BK$2,"")</f>
        <v>71</v>
      </c>
      <c r="AG104" s="197"/>
      <c r="AH104" s="328"/>
      <c r="AI104" s="455">
        <v>40</v>
      </c>
      <c r="AJ104" s="456">
        <v>10</v>
      </c>
      <c r="AK104" s="447">
        <f t="shared" si="133"/>
        <v>50</v>
      </c>
      <c r="AL104" s="328"/>
      <c r="AM104" s="197" t="str">
        <f>IF(AND($I104="x",AND(MAX(AI104:AK104)=AI104,AI104&lt;&gt;"")),Data!$BI$2,"")</f>
        <v/>
      </c>
      <c r="AN104" s="197" t="str">
        <f>IF(AND($J104="x",AND(MAX(AI104:AK104)=AJ104,AJ104&lt;&gt;"")),Data!$BJ$2,"")</f>
        <v/>
      </c>
      <c r="AO104" s="197">
        <f>IF(AND($K104="x",AND(MAX(AI104:AK104)=AK104,AK104&lt;&gt;"")),Data!$BK$2,"")</f>
        <v>71</v>
      </c>
      <c r="AP104" s="197"/>
      <c r="AQ104" s="328"/>
      <c r="AR104" s="455">
        <v>40</v>
      </c>
      <c r="AS104" s="456">
        <v>10</v>
      </c>
      <c r="AT104" s="447">
        <f t="shared" si="134"/>
        <v>50</v>
      </c>
      <c r="AU104" s="328"/>
      <c r="AV104" s="197" t="str">
        <f>IF(AND($I104="x",AND(MAX(AR104:AT104)=AR104,AR104&lt;&gt;"")),Data!$BI$2,"")</f>
        <v/>
      </c>
      <c r="AW104" s="197" t="str">
        <f>IF(AND($J104="x",AND(MAX(AR104:AT104)=AS104,AS104&lt;&gt;"")),Data!$BJ$2,"")</f>
        <v/>
      </c>
      <c r="AX104" s="197">
        <f>IF(AND($K104="x",AND(MAX(AR104:AT104)=AT104,AT104&lt;&gt;"")),Data!$BK$2,"")</f>
        <v>71</v>
      </c>
      <c r="AY104" s="197"/>
      <c r="AZ104" s="328"/>
      <c r="BA104" s="455">
        <v>40</v>
      </c>
      <c r="BB104" s="456">
        <v>10</v>
      </c>
      <c r="BC104" s="447">
        <f t="shared" si="135"/>
        <v>50</v>
      </c>
      <c r="BD104" s="328"/>
      <c r="BE104" s="197" t="str">
        <f>IF(AND($I104="x",AND(MAX(BA104:BC104)=BA104,BA104&lt;&gt;"")),Data!$BI$2,"")</f>
        <v/>
      </c>
      <c r="BF104" s="197" t="str">
        <f>IF(AND($J104="x",AND(MAX(BA104:BC104)=BB104,BB104&lt;&gt;"")),Data!$BJ$2,"")</f>
        <v/>
      </c>
      <c r="BG104" s="197">
        <f>IF(AND($K104="x",AND(MAX(BA104:BC104)=BC104,BC104&lt;&gt;"")),Data!$BK$2,"")</f>
        <v>71</v>
      </c>
      <c r="BH104" s="197"/>
      <c r="BI104" s="328"/>
      <c r="BJ104" s="455">
        <v>40</v>
      </c>
      <c r="BK104" s="456">
        <v>10</v>
      </c>
      <c r="BL104" s="447">
        <f t="shared" si="136"/>
        <v>50</v>
      </c>
      <c r="BM104" s="328"/>
      <c r="BN104" s="197" t="str">
        <f>IF(AND($I104="x",AND(MAX(BJ104:BL104)=BJ104,BJ104&lt;&gt;"")),Data!$BI$2,"")</f>
        <v/>
      </c>
      <c r="BO104" s="197" t="str">
        <f>IF(AND($J104="x",AND(MAX(BJ104:BL104)=BK104,BK104&lt;&gt;"")),Data!$BJ$2,"")</f>
        <v/>
      </c>
      <c r="BP104" s="197">
        <f>IF(AND($K104="x",AND(MAX(BJ104:BL104)=BL104,BL104&lt;&gt;"")),Data!$BK$2,"")</f>
        <v>71</v>
      </c>
      <c r="BQ104" s="197"/>
      <c r="BR104" s="328"/>
      <c r="BS104" s="455">
        <v>40</v>
      </c>
      <c r="BT104" s="456">
        <v>10</v>
      </c>
      <c r="BU104" s="447">
        <f t="shared" si="137"/>
        <v>50</v>
      </c>
      <c r="BV104" s="328"/>
      <c r="BW104" s="197" t="str">
        <f>IF(AND($I104="x",AND(MAX(BS104:BU104)=BS104,BS104&lt;&gt;"")),Data!$BI$2,"")</f>
        <v/>
      </c>
      <c r="BX104" s="197" t="str">
        <f>IF(AND($J104="x",AND(MAX(BS104:BU104)=BT104,BT104&lt;&gt;"")),Data!$BJ$2,"")</f>
        <v/>
      </c>
      <c r="BY104" s="197">
        <f>IF(AND($K104="x",AND(MAX(BS104:BU104)=BU104,BU104&lt;&gt;"")),Data!$BK$2,"")</f>
        <v>71</v>
      </c>
      <c r="BZ104" s="197"/>
      <c r="CA104" s="328"/>
      <c r="CB104" s="463">
        <f t="shared" si="138"/>
        <v>40</v>
      </c>
      <c r="CC104" s="464">
        <f t="shared" si="139"/>
        <v>10</v>
      </c>
      <c r="CD104" s="465">
        <f t="shared" si="140"/>
        <v>50</v>
      </c>
      <c r="CE104" s="328"/>
      <c r="CF104" s="197" t="str">
        <f>IF(AND($I104="x",AND(MAX(CB104:CD104)=CB104,CB104&lt;&gt;"")),Data!$BI$2,"")</f>
        <v/>
      </c>
      <c r="CG104" s="197" t="str">
        <f>IF(AND($J104="x",AND(MAX(CB104:CD104)=CC104,CC104&lt;&gt;"")),Data!$BJ$2,"")</f>
        <v/>
      </c>
      <c r="CH104" s="197">
        <f>IF(AND($K104="x",AND(MAX(CB104:CD104)=CD104,CD104&lt;&gt;"")),Data!$BK$2,"")</f>
        <v>71</v>
      </c>
      <c r="CI104" s="197"/>
      <c r="CJ104" s="197"/>
      <c r="CK104" s="455">
        <v>40</v>
      </c>
      <c r="CL104" s="456">
        <v>10</v>
      </c>
      <c r="CM104" s="447">
        <f t="shared" si="141"/>
        <v>50</v>
      </c>
      <c r="CN104" s="328"/>
      <c r="CO104" s="197" t="str">
        <f>IF(AND($I104="x",AND(MAX(CK104:CM104)=CK104,CK104&lt;&gt;"")),Data!$BI$2,"")</f>
        <v/>
      </c>
      <c r="CP104" s="197" t="str">
        <f>IF(AND($J104="x",AND(MAX(CK104:CM104)=CL104,CL104&lt;&gt;"")),Data!$BJ$2,"")</f>
        <v/>
      </c>
      <c r="CQ104" s="197">
        <f>IF(AND($K104="x",AND(MAX(CK104:CM104)=CM104,CM104&lt;&gt;"")),Data!$BK$2,"")</f>
        <v>71</v>
      </c>
      <c r="CR104" s="197"/>
      <c r="CS104" s="197"/>
      <c r="CT104" s="328"/>
      <c r="CU104" s="259"/>
      <c r="CV104" s="209"/>
      <c r="CW104" s="227"/>
    </row>
    <row r="105" spans="1:101" x14ac:dyDescent="0.2">
      <c r="A105" s="227"/>
      <c r="B105" s="227"/>
      <c r="C105" s="168"/>
      <c r="D105" s="232"/>
      <c r="E105" s="137" t="s">
        <v>110</v>
      </c>
      <c r="F105" s="427"/>
      <c r="G105" s="434" t="s">
        <v>51</v>
      </c>
      <c r="H105" s="435">
        <v>1</v>
      </c>
      <c r="I105" s="138" t="str">
        <f t="shared" si="128"/>
        <v/>
      </c>
      <c r="J105" s="344" t="str">
        <f t="shared" si="129"/>
        <v/>
      </c>
      <c r="K105" s="345" t="str">
        <f t="shared" si="130"/>
        <v>x</v>
      </c>
      <c r="L105" s="258"/>
      <c r="M105" s="332"/>
      <c r="N105" s="336"/>
      <c r="O105" s="200"/>
      <c r="P105" s="200"/>
      <c r="Q105" s="448">
        <v>40</v>
      </c>
      <c r="R105" s="449">
        <v>10</v>
      </c>
      <c r="S105" s="450">
        <f t="shared" si="131"/>
        <v>50</v>
      </c>
      <c r="T105" s="328"/>
      <c r="U105" s="197" t="str">
        <f>IF(AND($I105="x",AND(MAX(Q105:S105)=Q105,Q105&gt;=0)),Data!$BI$2,"")</f>
        <v/>
      </c>
      <c r="V105" s="197" t="str">
        <f>IF(AND($J105="x",AND(MAX(Q105:S105)=R105,R105&gt;=0)),Data!$BJ$2,"")</f>
        <v/>
      </c>
      <c r="W105" s="197">
        <f>IF(AND($K105="x",AND(MAX(Q105:S105)=S105,S105&gt;=0)),Data!$BK$2,"")</f>
        <v>71</v>
      </c>
      <c r="X105" s="197"/>
      <c r="Y105" s="328"/>
      <c r="Z105" s="451">
        <v>40</v>
      </c>
      <c r="AA105" s="452">
        <v>10</v>
      </c>
      <c r="AB105" s="450">
        <f t="shared" si="132"/>
        <v>50</v>
      </c>
      <c r="AC105" s="328"/>
      <c r="AD105" s="197" t="str">
        <f>IF(AND($I105="x",AND(MAX(Z105:AB105)=Z105,Z105&lt;&gt;"")),Data!$BI$2,"")</f>
        <v/>
      </c>
      <c r="AE105" s="197" t="str">
        <f>IF(AND($J105="x",AND(MAX(Z105:AB105)=AA105,AA105&lt;&gt;"")),Data!$BJ$2,"")</f>
        <v/>
      </c>
      <c r="AF105" s="197">
        <f>IF(AND($K105="x",AND(MAX(Z105:AB105)=AB105,AB105&lt;&gt;"")),Data!$BK$2,"")</f>
        <v>71</v>
      </c>
      <c r="AG105" s="197"/>
      <c r="AH105" s="328"/>
      <c r="AI105" s="451">
        <v>40</v>
      </c>
      <c r="AJ105" s="452">
        <v>10</v>
      </c>
      <c r="AK105" s="450">
        <f t="shared" si="133"/>
        <v>50</v>
      </c>
      <c r="AL105" s="328"/>
      <c r="AM105" s="197" t="str">
        <f>IF(AND($I105="x",AND(MAX(AI105:AK105)=AI105,AI105&lt;&gt;"")),Data!$BI$2,"")</f>
        <v/>
      </c>
      <c r="AN105" s="197" t="str">
        <f>IF(AND($J105="x",AND(MAX(AI105:AK105)=AJ105,AJ105&lt;&gt;"")),Data!$BJ$2,"")</f>
        <v/>
      </c>
      <c r="AO105" s="197">
        <f>IF(AND($K105="x",AND(MAX(AI105:AK105)=AK105,AK105&lt;&gt;"")),Data!$BK$2,"")</f>
        <v>71</v>
      </c>
      <c r="AP105" s="197"/>
      <c r="AQ105" s="328"/>
      <c r="AR105" s="451">
        <v>40</v>
      </c>
      <c r="AS105" s="452">
        <v>10</v>
      </c>
      <c r="AT105" s="450">
        <f t="shared" si="134"/>
        <v>50</v>
      </c>
      <c r="AU105" s="328"/>
      <c r="AV105" s="197" t="str">
        <f>IF(AND($I105="x",AND(MAX(AR105:AT105)=AR105,AR105&lt;&gt;"")),Data!$BI$2,"")</f>
        <v/>
      </c>
      <c r="AW105" s="197" t="str">
        <f>IF(AND($J105="x",AND(MAX(AR105:AT105)=AS105,AS105&lt;&gt;"")),Data!$BJ$2,"")</f>
        <v/>
      </c>
      <c r="AX105" s="197">
        <f>IF(AND($K105="x",AND(MAX(AR105:AT105)=AT105,AT105&lt;&gt;"")),Data!$BK$2,"")</f>
        <v>71</v>
      </c>
      <c r="AY105" s="197"/>
      <c r="AZ105" s="328"/>
      <c r="BA105" s="451">
        <v>40</v>
      </c>
      <c r="BB105" s="452">
        <v>10</v>
      </c>
      <c r="BC105" s="450">
        <f t="shared" si="135"/>
        <v>50</v>
      </c>
      <c r="BD105" s="328"/>
      <c r="BE105" s="197" t="str">
        <f>IF(AND($I105="x",AND(MAX(BA105:BC105)=BA105,BA105&lt;&gt;"")),Data!$BI$2,"")</f>
        <v/>
      </c>
      <c r="BF105" s="197" t="str">
        <f>IF(AND($J105="x",AND(MAX(BA105:BC105)=BB105,BB105&lt;&gt;"")),Data!$BJ$2,"")</f>
        <v/>
      </c>
      <c r="BG105" s="197">
        <f>IF(AND($K105="x",AND(MAX(BA105:BC105)=BC105,BC105&lt;&gt;"")),Data!$BK$2,"")</f>
        <v>71</v>
      </c>
      <c r="BH105" s="197"/>
      <c r="BI105" s="328"/>
      <c r="BJ105" s="451">
        <v>40</v>
      </c>
      <c r="BK105" s="452">
        <v>10</v>
      </c>
      <c r="BL105" s="450">
        <f t="shared" si="136"/>
        <v>50</v>
      </c>
      <c r="BM105" s="328"/>
      <c r="BN105" s="197" t="str">
        <f>IF(AND($I105="x",AND(MAX(BJ105:BL105)=BJ105,BJ105&lt;&gt;"")),Data!$BI$2,"")</f>
        <v/>
      </c>
      <c r="BO105" s="197" t="str">
        <f>IF(AND($J105="x",AND(MAX(BJ105:BL105)=BK105,BK105&lt;&gt;"")),Data!$BJ$2,"")</f>
        <v/>
      </c>
      <c r="BP105" s="197">
        <f>IF(AND($K105="x",AND(MAX(BJ105:BL105)=BL105,BL105&lt;&gt;"")),Data!$BK$2,"")</f>
        <v>71</v>
      </c>
      <c r="BQ105" s="197"/>
      <c r="BR105" s="328"/>
      <c r="BS105" s="451">
        <v>40</v>
      </c>
      <c r="BT105" s="452">
        <v>10</v>
      </c>
      <c r="BU105" s="450">
        <f t="shared" si="137"/>
        <v>50</v>
      </c>
      <c r="BV105" s="328"/>
      <c r="BW105" s="197" t="str">
        <f>IF(AND($I105="x",AND(MAX(BS105:BU105)=BS105,BS105&lt;&gt;"")),Data!$BI$2,"")</f>
        <v/>
      </c>
      <c r="BX105" s="197" t="str">
        <f>IF(AND($J105="x",AND(MAX(BS105:BU105)=BT105,BT105&lt;&gt;"")),Data!$BJ$2,"")</f>
        <v/>
      </c>
      <c r="BY105" s="197">
        <f>IF(AND($K105="x",AND(MAX(BS105:BU105)=BU105,BU105&lt;&gt;"")),Data!$BK$2,"")</f>
        <v>71</v>
      </c>
      <c r="BZ105" s="197"/>
      <c r="CA105" s="328"/>
      <c r="CB105" s="457">
        <f t="shared" si="138"/>
        <v>40</v>
      </c>
      <c r="CC105" s="458">
        <f t="shared" si="139"/>
        <v>10</v>
      </c>
      <c r="CD105" s="459">
        <f t="shared" si="140"/>
        <v>50</v>
      </c>
      <c r="CE105" s="328"/>
      <c r="CF105" s="197" t="str">
        <f>IF(AND($I105="x",AND(MAX(CB105:CD105)=CB105,CB105&lt;&gt;"")),Data!$BI$2,"")</f>
        <v/>
      </c>
      <c r="CG105" s="197" t="str">
        <f>IF(AND($J105="x",AND(MAX(CB105:CD105)=CC105,CC105&lt;&gt;"")),Data!$BJ$2,"")</f>
        <v/>
      </c>
      <c r="CH105" s="197">
        <f>IF(AND($K105="x",AND(MAX(CB105:CD105)=CD105,CD105&lt;&gt;"")),Data!$BK$2,"")</f>
        <v>71</v>
      </c>
      <c r="CI105" s="197"/>
      <c r="CJ105" s="197"/>
      <c r="CK105" s="451">
        <v>40</v>
      </c>
      <c r="CL105" s="452">
        <v>10</v>
      </c>
      <c r="CM105" s="450">
        <f t="shared" si="141"/>
        <v>50</v>
      </c>
      <c r="CN105" s="328"/>
      <c r="CO105" s="197" t="str">
        <f>IF(AND($I105="x",AND(MAX(CK105:CM105)=CK105,CK105&lt;&gt;"")),Data!$BI$2,"")</f>
        <v/>
      </c>
      <c r="CP105" s="197" t="str">
        <f>IF(AND($J105="x",AND(MAX(CK105:CM105)=CL105,CL105&lt;&gt;"")),Data!$BJ$2,"")</f>
        <v/>
      </c>
      <c r="CQ105" s="197">
        <f>IF(AND($K105="x",AND(MAX(CK105:CM105)=CM105,CM105&lt;&gt;"")),Data!$BK$2,"")</f>
        <v>71</v>
      </c>
      <c r="CR105" s="197"/>
      <c r="CS105" s="197"/>
      <c r="CT105" s="328"/>
      <c r="CU105" s="259"/>
      <c r="CV105" s="209"/>
      <c r="CW105" s="227"/>
    </row>
    <row r="106" spans="1:101" x14ac:dyDescent="0.2">
      <c r="A106" s="227"/>
      <c r="B106" s="227"/>
      <c r="C106" s="168"/>
      <c r="D106" s="232"/>
      <c r="E106" s="135" t="s">
        <v>111</v>
      </c>
      <c r="F106" s="425"/>
      <c r="G106" s="430" t="s">
        <v>51</v>
      </c>
      <c r="H106" s="431">
        <v>1</v>
      </c>
      <c r="I106" s="346" t="str">
        <f t="shared" si="128"/>
        <v/>
      </c>
      <c r="J106" s="347" t="str">
        <f t="shared" si="129"/>
        <v/>
      </c>
      <c r="K106" s="348" t="str">
        <f t="shared" si="130"/>
        <v>x</v>
      </c>
      <c r="L106" s="258"/>
      <c r="M106" s="332"/>
      <c r="N106" s="336"/>
      <c r="O106" s="200"/>
      <c r="P106" s="200"/>
      <c r="Q106" s="439">
        <v>40</v>
      </c>
      <c r="R106" s="440">
        <v>10</v>
      </c>
      <c r="S106" s="441">
        <f t="shared" si="131"/>
        <v>50</v>
      </c>
      <c r="T106" s="328"/>
      <c r="U106" s="197" t="str">
        <f>IF(AND($I106="x",AND(MAX(Q106:S106)=Q106,Q106&gt;=0)),Data!$BI$2,"")</f>
        <v/>
      </c>
      <c r="V106" s="197" t="str">
        <f>IF(AND($J106="x",AND(MAX(Q106:S106)=R106,R106&gt;=0)),Data!$BJ$2,"")</f>
        <v/>
      </c>
      <c r="W106" s="197">
        <f>IF(AND($K106="x",AND(MAX(Q106:S106)=S106,S106&gt;=0)),Data!$BK$2,"")</f>
        <v>71</v>
      </c>
      <c r="X106" s="197"/>
      <c r="Y106" s="328"/>
      <c r="Z106" s="453">
        <v>40</v>
      </c>
      <c r="AA106" s="454">
        <v>10</v>
      </c>
      <c r="AB106" s="441">
        <f t="shared" si="132"/>
        <v>50</v>
      </c>
      <c r="AC106" s="328"/>
      <c r="AD106" s="197" t="str">
        <f>IF(AND($I106="x",AND(MAX(Z106:AB106)=Z106,Z106&lt;&gt;"")),Data!$BI$2,"")</f>
        <v/>
      </c>
      <c r="AE106" s="197" t="str">
        <f>IF(AND($J106="x",AND(MAX(Z106:AB106)=AA106,AA106&lt;&gt;"")),Data!$BJ$2,"")</f>
        <v/>
      </c>
      <c r="AF106" s="197">
        <f>IF(AND($K106="x",AND(MAX(Z106:AB106)=AB106,AB106&lt;&gt;"")),Data!$BK$2,"")</f>
        <v>71</v>
      </c>
      <c r="AG106" s="197"/>
      <c r="AH106" s="328"/>
      <c r="AI106" s="453">
        <v>40</v>
      </c>
      <c r="AJ106" s="454">
        <v>10</v>
      </c>
      <c r="AK106" s="441">
        <f t="shared" si="133"/>
        <v>50</v>
      </c>
      <c r="AL106" s="328"/>
      <c r="AM106" s="197" t="str">
        <f>IF(AND($I106="x",AND(MAX(AI106:AK106)=AI106,AI106&lt;&gt;"")),Data!$BI$2,"")</f>
        <v/>
      </c>
      <c r="AN106" s="197" t="str">
        <f>IF(AND($J106="x",AND(MAX(AI106:AK106)=AJ106,AJ106&lt;&gt;"")),Data!$BJ$2,"")</f>
        <v/>
      </c>
      <c r="AO106" s="197">
        <f>IF(AND($K106="x",AND(MAX(AI106:AK106)=AK106,AK106&lt;&gt;"")),Data!$BK$2,"")</f>
        <v>71</v>
      </c>
      <c r="AP106" s="197"/>
      <c r="AQ106" s="328"/>
      <c r="AR106" s="453">
        <v>40</v>
      </c>
      <c r="AS106" s="454">
        <v>10</v>
      </c>
      <c r="AT106" s="441">
        <f t="shared" si="134"/>
        <v>50</v>
      </c>
      <c r="AU106" s="328"/>
      <c r="AV106" s="197" t="str">
        <f>IF(AND($I106="x",AND(MAX(AR106:AT106)=AR106,AR106&lt;&gt;"")),Data!$BI$2,"")</f>
        <v/>
      </c>
      <c r="AW106" s="197" t="str">
        <f>IF(AND($J106="x",AND(MAX(AR106:AT106)=AS106,AS106&lt;&gt;"")),Data!$BJ$2,"")</f>
        <v/>
      </c>
      <c r="AX106" s="197">
        <f>IF(AND($K106="x",AND(MAX(AR106:AT106)=AT106,AT106&lt;&gt;"")),Data!$BK$2,"")</f>
        <v>71</v>
      </c>
      <c r="AY106" s="197"/>
      <c r="AZ106" s="328"/>
      <c r="BA106" s="453">
        <v>40</v>
      </c>
      <c r="BB106" s="454">
        <v>10</v>
      </c>
      <c r="BC106" s="441">
        <f t="shared" si="135"/>
        <v>50</v>
      </c>
      <c r="BD106" s="328"/>
      <c r="BE106" s="197" t="str">
        <f>IF(AND($I106="x",AND(MAX(BA106:BC106)=BA106,BA106&lt;&gt;"")),Data!$BI$2,"")</f>
        <v/>
      </c>
      <c r="BF106" s="197" t="str">
        <f>IF(AND($J106="x",AND(MAX(BA106:BC106)=BB106,BB106&lt;&gt;"")),Data!$BJ$2,"")</f>
        <v/>
      </c>
      <c r="BG106" s="197">
        <f>IF(AND($K106="x",AND(MAX(BA106:BC106)=BC106,BC106&lt;&gt;"")),Data!$BK$2,"")</f>
        <v>71</v>
      </c>
      <c r="BH106" s="197"/>
      <c r="BI106" s="328"/>
      <c r="BJ106" s="453">
        <v>40</v>
      </c>
      <c r="BK106" s="454">
        <v>10</v>
      </c>
      <c r="BL106" s="441">
        <f t="shared" si="136"/>
        <v>50</v>
      </c>
      <c r="BM106" s="328"/>
      <c r="BN106" s="197" t="str">
        <f>IF(AND($I106="x",AND(MAX(BJ106:BL106)=BJ106,BJ106&lt;&gt;"")),Data!$BI$2,"")</f>
        <v/>
      </c>
      <c r="BO106" s="197" t="str">
        <f>IF(AND($J106="x",AND(MAX(BJ106:BL106)=BK106,BK106&lt;&gt;"")),Data!$BJ$2,"")</f>
        <v/>
      </c>
      <c r="BP106" s="197">
        <f>IF(AND($K106="x",AND(MAX(BJ106:BL106)=BL106,BL106&lt;&gt;"")),Data!$BK$2,"")</f>
        <v>71</v>
      </c>
      <c r="BQ106" s="197"/>
      <c r="BR106" s="328"/>
      <c r="BS106" s="453">
        <v>40</v>
      </c>
      <c r="BT106" s="454">
        <v>10</v>
      </c>
      <c r="BU106" s="441">
        <f t="shared" si="137"/>
        <v>50</v>
      </c>
      <c r="BV106" s="328"/>
      <c r="BW106" s="197" t="str">
        <f>IF(AND($I106="x",AND(MAX(BS106:BU106)=BS106,BS106&lt;&gt;"")),Data!$BI$2,"")</f>
        <v/>
      </c>
      <c r="BX106" s="197" t="str">
        <f>IF(AND($J106="x",AND(MAX(BS106:BU106)=BT106,BT106&lt;&gt;"")),Data!$BJ$2,"")</f>
        <v/>
      </c>
      <c r="BY106" s="197">
        <f>IF(AND($K106="x",AND(MAX(BS106:BU106)=BU106,BU106&lt;&gt;"")),Data!$BK$2,"")</f>
        <v>71</v>
      </c>
      <c r="BZ106" s="197"/>
      <c r="CA106" s="328"/>
      <c r="CB106" s="460">
        <f t="shared" si="138"/>
        <v>40</v>
      </c>
      <c r="CC106" s="461">
        <f t="shared" si="139"/>
        <v>10</v>
      </c>
      <c r="CD106" s="462">
        <f t="shared" si="140"/>
        <v>50</v>
      </c>
      <c r="CE106" s="328"/>
      <c r="CF106" s="197" t="str">
        <f>IF(AND($I106="x",AND(MAX(CB106:CD106)=CB106,CB106&lt;&gt;"")),Data!$BI$2,"")</f>
        <v/>
      </c>
      <c r="CG106" s="197" t="str">
        <f>IF(AND($J106="x",AND(MAX(CB106:CD106)=CC106,CC106&lt;&gt;"")),Data!$BJ$2,"")</f>
        <v/>
      </c>
      <c r="CH106" s="197">
        <f>IF(AND($K106="x",AND(MAX(CB106:CD106)=CD106,CD106&lt;&gt;"")),Data!$BK$2,"")</f>
        <v>71</v>
      </c>
      <c r="CI106" s="197"/>
      <c r="CJ106" s="197"/>
      <c r="CK106" s="453">
        <v>40</v>
      </c>
      <c r="CL106" s="454">
        <v>10</v>
      </c>
      <c r="CM106" s="441">
        <f t="shared" si="141"/>
        <v>50</v>
      </c>
      <c r="CN106" s="328"/>
      <c r="CO106" s="197" t="str">
        <f>IF(AND($I106="x",AND(MAX(CK106:CM106)=CK106,CK106&lt;&gt;"")),Data!$BI$2,"")</f>
        <v/>
      </c>
      <c r="CP106" s="197" t="str">
        <f>IF(AND($J106="x",AND(MAX(CK106:CM106)=CL106,CL106&lt;&gt;"")),Data!$BJ$2,"")</f>
        <v/>
      </c>
      <c r="CQ106" s="197">
        <f>IF(AND($K106="x",AND(MAX(CK106:CM106)=CM106,CM106&lt;&gt;"")),Data!$BK$2,"")</f>
        <v>71</v>
      </c>
      <c r="CR106" s="197"/>
      <c r="CS106" s="197"/>
      <c r="CT106" s="328"/>
      <c r="CU106" s="259"/>
      <c r="CV106" s="209"/>
      <c r="CW106" s="227"/>
    </row>
    <row r="107" spans="1:101" x14ac:dyDescent="0.2">
      <c r="A107" s="227"/>
      <c r="B107" s="227"/>
      <c r="C107" s="168"/>
      <c r="D107" s="232"/>
      <c r="E107" s="136" t="s">
        <v>112</v>
      </c>
      <c r="F107" s="426"/>
      <c r="G107" s="432" t="s">
        <v>51</v>
      </c>
      <c r="H107" s="433">
        <v>1</v>
      </c>
      <c r="I107" s="349" t="str">
        <f t="shared" si="128"/>
        <v/>
      </c>
      <c r="J107" s="350" t="str">
        <f t="shared" si="129"/>
        <v/>
      </c>
      <c r="K107" s="351" t="str">
        <f t="shared" si="130"/>
        <v>x</v>
      </c>
      <c r="L107" s="258"/>
      <c r="M107" s="332"/>
      <c r="N107" s="336"/>
      <c r="O107" s="200"/>
      <c r="P107" s="200"/>
      <c r="Q107" s="445">
        <v>40</v>
      </c>
      <c r="R107" s="446">
        <v>10</v>
      </c>
      <c r="S107" s="447">
        <f t="shared" si="131"/>
        <v>50</v>
      </c>
      <c r="T107" s="328"/>
      <c r="U107" s="197" t="str">
        <f>IF(AND($I107="x",AND(MAX(Q107:S107)=Q107,Q107&gt;=0)),Data!$BI$2,"")</f>
        <v/>
      </c>
      <c r="V107" s="197" t="str">
        <f>IF(AND($J107="x",AND(MAX(Q107:S107)=R107,R107&gt;=0)),Data!$BJ$2,"")</f>
        <v/>
      </c>
      <c r="W107" s="197">
        <f>IF(AND($K107="x",AND(MAX(Q107:S107)=S107,S107&gt;=0)),Data!$BK$2,"")</f>
        <v>71</v>
      </c>
      <c r="X107" s="197"/>
      <c r="Y107" s="328"/>
      <c r="Z107" s="455">
        <v>40</v>
      </c>
      <c r="AA107" s="456">
        <v>10</v>
      </c>
      <c r="AB107" s="447">
        <f t="shared" si="132"/>
        <v>50</v>
      </c>
      <c r="AC107" s="328"/>
      <c r="AD107" s="197" t="str">
        <f>IF(AND($I107="x",AND(MAX(Z107:AB107)=Z107,Z107&lt;&gt;"")),Data!$BI$2,"")</f>
        <v/>
      </c>
      <c r="AE107" s="197" t="str">
        <f>IF(AND($J107="x",AND(MAX(Z107:AB107)=AA107,AA107&lt;&gt;"")),Data!$BJ$2,"")</f>
        <v/>
      </c>
      <c r="AF107" s="197">
        <f>IF(AND($K107="x",AND(MAX(Z107:AB107)=AB107,AB107&lt;&gt;"")),Data!$BK$2,"")</f>
        <v>71</v>
      </c>
      <c r="AG107" s="197"/>
      <c r="AH107" s="328"/>
      <c r="AI107" s="455">
        <v>40</v>
      </c>
      <c r="AJ107" s="456">
        <v>10</v>
      </c>
      <c r="AK107" s="447">
        <f t="shared" si="133"/>
        <v>50</v>
      </c>
      <c r="AL107" s="328"/>
      <c r="AM107" s="197" t="str">
        <f>IF(AND($I107="x",AND(MAX(AI107:AK107)=AI107,AI107&lt;&gt;"")),Data!$BI$2,"")</f>
        <v/>
      </c>
      <c r="AN107" s="197" t="str">
        <f>IF(AND($J107="x",AND(MAX(AI107:AK107)=AJ107,AJ107&lt;&gt;"")),Data!$BJ$2,"")</f>
        <v/>
      </c>
      <c r="AO107" s="197">
        <f>IF(AND($K107="x",AND(MAX(AI107:AK107)=AK107,AK107&lt;&gt;"")),Data!$BK$2,"")</f>
        <v>71</v>
      </c>
      <c r="AP107" s="197"/>
      <c r="AQ107" s="328"/>
      <c r="AR107" s="455">
        <v>40</v>
      </c>
      <c r="AS107" s="456">
        <v>10</v>
      </c>
      <c r="AT107" s="447">
        <f t="shared" si="134"/>
        <v>50</v>
      </c>
      <c r="AU107" s="328"/>
      <c r="AV107" s="197" t="str">
        <f>IF(AND($I107="x",AND(MAX(AR107:AT107)=AR107,AR107&lt;&gt;"")),Data!$BI$2,"")</f>
        <v/>
      </c>
      <c r="AW107" s="197" t="str">
        <f>IF(AND($J107="x",AND(MAX(AR107:AT107)=AS107,AS107&lt;&gt;"")),Data!$BJ$2,"")</f>
        <v/>
      </c>
      <c r="AX107" s="197">
        <f>IF(AND($K107="x",AND(MAX(AR107:AT107)=AT107,AT107&lt;&gt;"")),Data!$BK$2,"")</f>
        <v>71</v>
      </c>
      <c r="AY107" s="197"/>
      <c r="AZ107" s="328"/>
      <c r="BA107" s="455">
        <v>40</v>
      </c>
      <c r="BB107" s="456">
        <v>10</v>
      </c>
      <c r="BC107" s="447">
        <f t="shared" si="135"/>
        <v>50</v>
      </c>
      <c r="BD107" s="328"/>
      <c r="BE107" s="197" t="str">
        <f>IF(AND($I107="x",AND(MAX(BA107:BC107)=BA107,BA107&lt;&gt;"")),Data!$BI$2,"")</f>
        <v/>
      </c>
      <c r="BF107" s="197" t="str">
        <f>IF(AND($J107="x",AND(MAX(BA107:BC107)=BB107,BB107&lt;&gt;"")),Data!$BJ$2,"")</f>
        <v/>
      </c>
      <c r="BG107" s="197">
        <f>IF(AND($K107="x",AND(MAX(BA107:BC107)=BC107,BC107&lt;&gt;"")),Data!$BK$2,"")</f>
        <v>71</v>
      </c>
      <c r="BH107" s="197"/>
      <c r="BI107" s="328"/>
      <c r="BJ107" s="455">
        <v>40</v>
      </c>
      <c r="BK107" s="456">
        <v>10</v>
      </c>
      <c r="BL107" s="447">
        <f t="shared" si="136"/>
        <v>50</v>
      </c>
      <c r="BM107" s="328"/>
      <c r="BN107" s="197" t="str">
        <f>IF(AND($I107="x",AND(MAX(BJ107:BL107)=BJ107,BJ107&lt;&gt;"")),Data!$BI$2,"")</f>
        <v/>
      </c>
      <c r="BO107" s="197" t="str">
        <f>IF(AND($J107="x",AND(MAX(BJ107:BL107)=BK107,BK107&lt;&gt;"")),Data!$BJ$2,"")</f>
        <v/>
      </c>
      <c r="BP107" s="197">
        <f>IF(AND($K107="x",AND(MAX(BJ107:BL107)=BL107,BL107&lt;&gt;"")),Data!$BK$2,"")</f>
        <v>71</v>
      </c>
      <c r="BQ107" s="197"/>
      <c r="BR107" s="328"/>
      <c r="BS107" s="455">
        <v>40</v>
      </c>
      <c r="BT107" s="456">
        <v>10</v>
      </c>
      <c r="BU107" s="447">
        <f t="shared" si="137"/>
        <v>50</v>
      </c>
      <c r="BV107" s="328"/>
      <c r="BW107" s="197" t="str">
        <f>IF(AND($I107="x",AND(MAX(BS107:BU107)=BS107,BS107&lt;&gt;"")),Data!$BI$2,"")</f>
        <v/>
      </c>
      <c r="BX107" s="197" t="str">
        <f>IF(AND($J107="x",AND(MAX(BS107:BU107)=BT107,BT107&lt;&gt;"")),Data!$BJ$2,"")</f>
        <v/>
      </c>
      <c r="BY107" s="197">
        <f>IF(AND($K107="x",AND(MAX(BS107:BU107)=BU107,BU107&lt;&gt;"")),Data!$BK$2,"")</f>
        <v>71</v>
      </c>
      <c r="BZ107" s="197"/>
      <c r="CA107" s="328"/>
      <c r="CB107" s="463">
        <f t="shared" si="138"/>
        <v>40</v>
      </c>
      <c r="CC107" s="464">
        <f t="shared" si="139"/>
        <v>10</v>
      </c>
      <c r="CD107" s="465">
        <f t="shared" si="140"/>
        <v>50</v>
      </c>
      <c r="CE107" s="328"/>
      <c r="CF107" s="197" t="str">
        <f>IF(AND($I107="x",AND(MAX(CB107:CD107)=CB107,CB107&lt;&gt;"")),Data!$BI$2,"")</f>
        <v/>
      </c>
      <c r="CG107" s="197" t="str">
        <f>IF(AND($J107="x",AND(MAX(CB107:CD107)=CC107,CC107&lt;&gt;"")),Data!$BJ$2,"")</f>
        <v/>
      </c>
      <c r="CH107" s="197">
        <f>IF(AND($K107="x",AND(MAX(CB107:CD107)=CD107,CD107&lt;&gt;"")),Data!$BK$2,"")</f>
        <v>71</v>
      </c>
      <c r="CI107" s="197"/>
      <c r="CJ107" s="197"/>
      <c r="CK107" s="455">
        <v>40</v>
      </c>
      <c r="CL107" s="456">
        <v>10</v>
      </c>
      <c r="CM107" s="447">
        <f t="shared" si="141"/>
        <v>50</v>
      </c>
      <c r="CN107" s="328"/>
      <c r="CO107" s="197" t="str">
        <f>IF(AND($I107="x",AND(MAX(CK107:CM107)=CK107,CK107&lt;&gt;"")),Data!$BI$2,"")</f>
        <v/>
      </c>
      <c r="CP107" s="197" t="str">
        <f>IF(AND($J107="x",AND(MAX(CK107:CM107)=CL107,CL107&lt;&gt;"")),Data!$BJ$2,"")</f>
        <v/>
      </c>
      <c r="CQ107" s="197">
        <f>IF(AND($K107="x",AND(MAX(CK107:CM107)=CM107,CM107&lt;&gt;"")),Data!$BK$2,"")</f>
        <v>71</v>
      </c>
      <c r="CR107" s="197"/>
      <c r="CS107" s="197"/>
      <c r="CT107" s="328"/>
      <c r="CU107" s="259"/>
      <c r="CV107" s="209"/>
      <c r="CW107" s="227"/>
    </row>
    <row r="108" spans="1:101" x14ac:dyDescent="0.2">
      <c r="A108" s="227"/>
      <c r="B108" s="227"/>
      <c r="C108" s="168"/>
      <c r="D108" s="233"/>
      <c r="E108" s="199"/>
      <c r="F108" s="352" t="str">
        <f>IF(SUM(F96:F107)=0,"",SUM(F96:F107))</f>
        <v/>
      </c>
      <c r="G108" s="327" t="s">
        <v>51</v>
      </c>
      <c r="H108" s="353">
        <f>IF(SUM(H96:H107)=0,"",SUM(H96:H107))</f>
        <v>12</v>
      </c>
      <c r="I108" s="354" t="str">
        <f>IF(COUNTIF(I96:I107,"=x")=0,"",COUNTIF(I96:I107,"=x"))</f>
        <v/>
      </c>
      <c r="J108" s="355" t="str">
        <f>IF(COUNTIF(J96:J107,"=x")=0,"",COUNTIF(J96:J107,"=x"))</f>
        <v/>
      </c>
      <c r="K108" s="356">
        <f>IF(COUNTIF(K96:K107,"=x")=0,"",COUNTIF(K96:K107,"=x"))</f>
        <v>12</v>
      </c>
      <c r="L108" s="258"/>
      <c r="M108" s="332"/>
      <c r="N108" s="336"/>
      <c r="O108" s="200"/>
      <c r="P108" s="326"/>
      <c r="Q108" s="422">
        <f>SUM(U96:U107)</f>
        <v>0</v>
      </c>
      <c r="R108" s="422">
        <f t="shared" ref="R108:S108" si="142">SUM(V96:V107)</f>
        <v>0</v>
      </c>
      <c r="S108" s="422">
        <f t="shared" si="142"/>
        <v>852</v>
      </c>
      <c r="T108" s="325"/>
      <c r="U108" s="197">
        <f>SUM(U96:U107)</f>
        <v>0</v>
      </c>
      <c r="V108" s="197">
        <f t="shared" ref="V108:W108" si="143">SUM(V96:V107)</f>
        <v>0</v>
      </c>
      <c r="W108" s="197">
        <f t="shared" si="143"/>
        <v>852</v>
      </c>
      <c r="X108" s="197"/>
      <c r="Y108" s="324"/>
      <c r="Z108" s="422">
        <f>SUM(AD96:AD107)</f>
        <v>0</v>
      </c>
      <c r="AA108" s="422">
        <f t="shared" ref="AA108:AB108" si="144">SUM(AE96:AE107)</f>
        <v>0</v>
      </c>
      <c r="AB108" s="422">
        <f t="shared" si="144"/>
        <v>852</v>
      </c>
      <c r="AC108" s="325"/>
      <c r="AD108" s="197">
        <f>SUM(AD96:AD107)</f>
        <v>0</v>
      </c>
      <c r="AE108" s="197">
        <f t="shared" ref="AE108:AF108" si="145">SUM(AE96:AE107)</f>
        <v>0</v>
      </c>
      <c r="AF108" s="197">
        <f t="shared" si="145"/>
        <v>852</v>
      </c>
      <c r="AG108" s="197"/>
      <c r="AH108" s="324"/>
      <c r="AI108" s="422">
        <f>SUM(AM96:AM107)</f>
        <v>0</v>
      </c>
      <c r="AJ108" s="422">
        <f t="shared" ref="AJ108:AK108" si="146">SUM(AN96:AN107)</f>
        <v>0</v>
      </c>
      <c r="AK108" s="422">
        <f t="shared" si="146"/>
        <v>852</v>
      </c>
      <c r="AL108" s="325"/>
      <c r="AM108" s="197">
        <f>SUM(AM96:AM107)</f>
        <v>0</v>
      </c>
      <c r="AN108" s="197">
        <f t="shared" ref="AN108:AO108" si="147">SUM(AN96:AN107)</f>
        <v>0</v>
      </c>
      <c r="AO108" s="197">
        <f t="shared" si="147"/>
        <v>852</v>
      </c>
      <c r="AP108" s="197"/>
      <c r="AQ108" s="324"/>
      <c r="AR108" s="422">
        <f>SUM(AV96:AV107)</f>
        <v>0</v>
      </c>
      <c r="AS108" s="422">
        <f t="shared" ref="AS108:AT108" si="148">SUM(AW96:AW107)</f>
        <v>0</v>
      </c>
      <c r="AT108" s="422">
        <f t="shared" si="148"/>
        <v>852</v>
      </c>
      <c r="AU108" s="325"/>
      <c r="AV108" s="197">
        <f>SUM(AV96:AV107)</f>
        <v>0</v>
      </c>
      <c r="AW108" s="197">
        <f t="shared" ref="AW108:AX108" si="149">SUM(AW96:AW107)</f>
        <v>0</v>
      </c>
      <c r="AX108" s="197">
        <f t="shared" si="149"/>
        <v>852</v>
      </c>
      <c r="AY108" s="197"/>
      <c r="AZ108" s="324"/>
      <c r="BA108" s="422">
        <f>SUM(BE96:BE107)</f>
        <v>0</v>
      </c>
      <c r="BB108" s="422">
        <f t="shared" ref="BB108:BC108" si="150">SUM(BF96:BF107)</f>
        <v>0</v>
      </c>
      <c r="BC108" s="422">
        <f t="shared" si="150"/>
        <v>852</v>
      </c>
      <c r="BD108" s="325"/>
      <c r="BE108" s="197">
        <f>SUM(BE96:BE107)</f>
        <v>0</v>
      </c>
      <c r="BF108" s="197">
        <f t="shared" ref="BF108:BG108" si="151">SUM(BF96:BF107)</f>
        <v>0</v>
      </c>
      <c r="BG108" s="197">
        <f t="shared" si="151"/>
        <v>852</v>
      </c>
      <c r="BH108" s="197"/>
      <c r="BI108" s="324"/>
      <c r="BJ108" s="422">
        <f>SUM(BN96:BN107)</f>
        <v>0</v>
      </c>
      <c r="BK108" s="422">
        <f t="shared" ref="BK108" si="152">SUM(BO96:BO107)</f>
        <v>0</v>
      </c>
      <c r="BL108" s="422">
        <f t="shared" ref="BL108" si="153">SUM(BP96:BP107)</f>
        <v>852</v>
      </c>
      <c r="BM108" s="325"/>
      <c r="BN108" s="197">
        <f>SUM(BN96:BN107)</f>
        <v>0</v>
      </c>
      <c r="BO108" s="197">
        <f t="shared" ref="BO108:BP108" si="154">SUM(BO96:BO107)</f>
        <v>0</v>
      </c>
      <c r="BP108" s="197">
        <f t="shared" si="154"/>
        <v>852</v>
      </c>
      <c r="BQ108" s="197"/>
      <c r="BR108" s="324"/>
      <c r="BS108" s="422">
        <f>SUM(BW96:BW107)</f>
        <v>0</v>
      </c>
      <c r="BT108" s="422">
        <f t="shared" ref="BT108:BU108" si="155">SUM(BX96:BX107)</f>
        <v>0</v>
      </c>
      <c r="BU108" s="422">
        <f t="shared" si="155"/>
        <v>852</v>
      </c>
      <c r="BV108" s="325"/>
      <c r="BW108" s="197">
        <f>SUM(BW96:BW107)</f>
        <v>0</v>
      </c>
      <c r="BX108" s="197">
        <f t="shared" ref="BX108:BY108" si="156">SUM(BX96:BX107)</f>
        <v>0</v>
      </c>
      <c r="BY108" s="197">
        <f t="shared" si="156"/>
        <v>852</v>
      </c>
      <c r="BZ108" s="197"/>
      <c r="CA108" s="326"/>
      <c r="CB108" s="422">
        <f>SUM(CF96:CF107)</f>
        <v>0</v>
      </c>
      <c r="CC108" s="422">
        <f t="shared" ref="CC108:CD108" si="157">SUM(CG96:CG107)</f>
        <v>0</v>
      </c>
      <c r="CD108" s="422">
        <f t="shared" si="157"/>
        <v>852</v>
      </c>
      <c r="CE108" s="325"/>
      <c r="CF108" s="197">
        <f>SUM(CF96:CF107)</f>
        <v>0</v>
      </c>
      <c r="CG108" s="197">
        <f t="shared" ref="CG108:CH108" si="158">SUM(CG96:CG107)</f>
        <v>0</v>
      </c>
      <c r="CH108" s="197">
        <f t="shared" si="158"/>
        <v>852</v>
      </c>
      <c r="CI108" s="197"/>
      <c r="CJ108" s="197"/>
      <c r="CK108" s="422">
        <f>SUM(CO96:CO107)</f>
        <v>0</v>
      </c>
      <c r="CL108" s="422">
        <f t="shared" ref="CL108:CM108" si="159">SUM(CP96:CP107)</f>
        <v>0</v>
      </c>
      <c r="CM108" s="422">
        <f t="shared" si="159"/>
        <v>852</v>
      </c>
      <c r="CN108" s="325"/>
      <c r="CO108" s="197">
        <f>SUM(CO96:CO107)</f>
        <v>0</v>
      </c>
      <c r="CP108" s="197">
        <f t="shared" ref="CP108:CQ108" si="160">SUM(CP96:CP107)</f>
        <v>0</v>
      </c>
      <c r="CQ108" s="197">
        <f t="shared" si="160"/>
        <v>852</v>
      </c>
      <c r="CR108" s="197"/>
      <c r="CS108" s="197"/>
      <c r="CT108" s="197"/>
      <c r="CU108" s="259"/>
      <c r="CV108" s="209"/>
      <c r="CW108" s="228"/>
    </row>
    <row r="109" spans="1:101" x14ac:dyDescent="0.2">
      <c r="A109" s="227"/>
      <c r="B109" s="227"/>
      <c r="C109" s="168"/>
      <c r="D109" s="249"/>
      <c r="E109" s="242"/>
      <c r="F109" s="243"/>
      <c r="G109" s="242"/>
      <c r="H109" s="242"/>
      <c r="I109" s="242"/>
      <c r="J109" s="242"/>
      <c r="K109" s="242"/>
      <c r="L109" s="252"/>
      <c r="M109" s="260"/>
      <c r="N109" s="337"/>
      <c r="O109" s="333"/>
      <c r="P109" s="244"/>
      <c r="Q109" s="245"/>
      <c r="R109" s="245"/>
      <c r="S109" s="245"/>
      <c r="T109" s="246"/>
      <c r="U109" s="247"/>
      <c r="V109" s="247"/>
      <c r="W109" s="247"/>
      <c r="X109" s="247"/>
      <c r="Y109" s="244"/>
      <c r="Z109" s="245"/>
      <c r="AA109" s="245"/>
      <c r="AB109" s="245"/>
      <c r="AC109" s="246"/>
      <c r="AD109" s="247"/>
      <c r="AE109" s="247"/>
      <c r="AF109" s="247"/>
      <c r="AG109" s="247"/>
      <c r="AH109" s="244"/>
      <c r="AI109" s="245"/>
      <c r="AJ109" s="245"/>
      <c r="AK109" s="245"/>
      <c r="AL109" s="246"/>
      <c r="AM109" s="247"/>
      <c r="AN109" s="247"/>
      <c r="AO109" s="247"/>
      <c r="AP109" s="247"/>
      <c r="AQ109" s="244"/>
      <c r="AR109" s="245"/>
      <c r="AS109" s="245"/>
      <c r="AT109" s="245"/>
      <c r="AU109" s="246"/>
      <c r="AV109" s="247"/>
      <c r="AW109" s="247"/>
      <c r="AX109" s="247"/>
      <c r="AY109" s="247"/>
      <c r="AZ109" s="244"/>
      <c r="BA109" s="245"/>
      <c r="BB109" s="245"/>
      <c r="BC109" s="245"/>
      <c r="BD109" s="246"/>
      <c r="BE109" s="247"/>
      <c r="BF109" s="247"/>
      <c r="BG109" s="247"/>
      <c r="BH109" s="247"/>
      <c r="BI109" s="244"/>
      <c r="BJ109" s="244"/>
      <c r="BK109" s="244"/>
      <c r="BL109" s="244"/>
      <c r="BM109" s="244"/>
      <c r="BN109" s="247"/>
      <c r="BO109" s="247"/>
      <c r="BP109" s="247"/>
      <c r="BQ109" s="247"/>
      <c r="BR109" s="244"/>
      <c r="BS109" s="244"/>
      <c r="BT109" s="244"/>
      <c r="BU109" s="244"/>
      <c r="BV109" s="244"/>
      <c r="BW109" s="247"/>
      <c r="BX109" s="247"/>
      <c r="BY109" s="247"/>
      <c r="BZ109" s="247"/>
      <c r="CA109" s="244"/>
      <c r="CB109" s="244"/>
      <c r="CC109" s="244"/>
      <c r="CD109" s="244"/>
      <c r="CE109" s="244"/>
      <c r="CF109" s="247"/>
      <c r="CG109" s="247"/>
      <c r="CH109" s="247"/>
      <c r="CI109" s="247"/>
      <c r="CJ109" s="248"/>
      <c r="CK109" s="248"/>
      <c r="CL109" s="248"/>
      <c r="CM109" s="248"/>
      <c r="CN109" s="248"/>
      <c r="CO109" s="247"/>
      <c r="CP109" s="247"/>
      <c r="CQ109" s="247"/>
      <c r="CR109" s="247"/>
      <c r="CS109" s="248"/>
      <c r="CT109" s="242"/>
      <c r="CU109" s="253"/>
      <c r="CV109" s="209"/>
      <c r="CW109" s="228"/>
    </row>
    <row r="110" spans="1:101" x14ac:dyDescent="0.2">
      <c r="A110" s="219"/>
      <c r="B110" s="219"/>
      <c r="C110" s="175"/>
      <c r="D110" s="176"/>
      <c r="E110" s="210"/>
      <c r="F110" s="211"/>
      <c r="G110" s="210"/>
      <c r="H110" s="210"/>
      <c r="I110" s="210"/>
      <c r="J110" s="210"/>
      <c r="K110" s="210"/>
      <c r="L110" s="212"/>
      <c r="M110" s="213"/>
      <c r="N110" s="213"/>
      <c r="O110" s="213"/>
      <c r="P110" s="213"/>
      <c r="Q110" s="210"/>
      <c r="R110" s="210"/>
      <c r="S110" s="210"/>
      <c r="T110" s="214"/>
      <c r="U110" s="215"/>
      <c r="V110" s="215"/>
      <c r="W110" s="215"/>
      <c r="X110" s="215"/>
      <c r="Y110" s="213"/>
      <c r="Z110" s="210"/>
      <c r="AA110" s="210"/>
      <c r="AB110" s="210"/>
      <c r="AC110" s="214"/>
      <c r="AD110" s="215"/>
      <c r="AE110" s="215"/>
      <c r="AF110" s="215"/>
      <c r="AG110" s="215"/>
      <c r="AH110" s="213"/>
      <c r="AI110" s="210"/>
      <c r="AJ110" s="210"/>
      <c r="AK110" s="210"/>
      <c r="AL110" s="214"/>
      <c r="AM110" s="215"/>
      <c r="AN110" s="215"/>
      <c r="AO110" s="215"/>
      <c r="AP110" s="215"/>
      <c r="AQ110" s="213"/>
      <c r="AR110" s="210"/>
      <c r="AS110" s="210"/>
      <c r="AT110" s="210"/>
      <c r="AU110" s="214"/>
      <c r="AV110" s="215"/>
      <c r="AW110" s="215"/>
      <c r="AX110" s="215"/>
      <c r="AY110" s="215"/>
      <c r="AZ110" s="213"/>
      <c r="BA110" s="210"/>
      <c r="BB110" s="210"/>
      <c r="BC110" s="210"/>
      <c r="BD110" s="214"/>
      <c r="BE110" s="215"/>
      <c r="BF110" s="215"/>
      <c r="BG110" s="215"/>
      <c r="BH110" s="215"/>
      <c r="BI110" s="213"/>
      <c r="BJ110" s="210"/>
      <c r="BK110" s="210"/>
      <c r="BL110" s="210"/>
      <c r="BM110" s="214"/>
      <c r="BN110" s="215"/>
      <c r="BO110" s="215"/>
      <c r="BP110" s="215"/>
      <c r="BQ110" s="215"/>
      <c r="BR110" s="177"/>
      <c r="BS110" s="210"/>
      <c r="BT110" s="210"/>
      <c r="BU110" s="210"/>
      <c r="BV110" s="213"/>
      <c r="BW110" s="215"/>
      <c r="BX110" s="215"/>
      <c r="BY110" s="215"/>
      <c r="BZ110" s="215"/>
      <c r="CA110" s="210"/>
      <c r="CB110" s="216"/>
      <c r="CC110" s="216"/>
      <c r="CD110" s="216"/>
      <c r="CE110" s="216"/>
      <c r="CF110" s="215"/>
      <c r="CG110" s="215"/>
      <c r="CH110" s="215"/>
      <c r="CI110" s="215"/>
      <c r="CJ110" s="210"/>
      <c r="CK110" s="210"/>
      <c r="CL110" s="210"/>
      <c r="CM110" s="210"/>
      <c r="CN110" s="210"/>
      <c r="CO110" s="215"/>
      <c r="CP110" s="215"/>
      <c r="CQ110" s="215"/>
      <c r="CR110" s="215"/>
      <c r="CS110" s="210"/>
      <c r="CT110" s="210"/>
      <c r="CU110" s="210"/>
      <c r="CV110" s="217"/>
      <c r="CW110" s="218"/>
    </row>
    <row r="111" spans="1:101" ht="14.25" thickTop="1" thickBot="1" x14ac:dyDescent="0.25">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392"/>
      <c r="CC111" s="392"/>
      <c r="CD111" s="392"/>
      <c r="CE111" s="392"/>
      <c r="CF111" s="218"/>
      <c r="CG111" s="218"/>
      <c r="CH111" s="218"/>
      <c r="CI111" s="218"/>
      <c r="CJ111" s="218"/>
      <c r="CK111" s="218"/>
      <c r="CL111" s="218"/>
      <c r="CM111" s="218"/>
      <c r="CN111" s="218"/>
      <c r="CO111" s="218"/>
      <c r="CP111" s="218"/>
      <c r="CQ111" s="218"/>
      <c r="CR111" s="218"/>
      <c r="CS111" s="218"/>
      <c r="CT111" s="218"/>
      <c r="CU111" s="218"/>
      <c r="CV111" s="218"/>
      <c r="CW111" s="218"/>
    </row>
    <row r="112" spans="1:101" ht="21" thickTop="1" x14ac:dyDescent="0.3">
      <c r="A112" s="219"/>
      <c r="B112" s="219"/>
      <c r="C112" s="157"/>
      <c r="D112" s="158"/>
      <c r="E112" s="731" t="s">
        <v>44</v>
      </c>
      <c r="F112" s="229"/>
      <c r="G112" s="229"/>
      <c r="H112" s="229"/>
      <c r="I112" s="877" t="e" vm="1">
        <v>#VALUE!</v>
      </c>
      <c r="J112" s="877"/>
      <c r="K112" s="877"/>
      <c r="L112" s="877"/>
      <c r="M112" s="159"/>
      <c r="N112" s="159"/>
      <c r="O112" s="159"/>
      <c r="P112" s="160"/>
      <c r="Q112" s="159"/>
      <c r="R112" s="159"/>
      <c r="S112" s="159"/>
      <c r="T112" s="161"/>
      <c r="U112" s="162"/>
      <c r="V112" s="162"/>
      <c r="W112" s="162"/>
      <c r="X112" s="162"/>
      <c r="Y112" s="160"/>
      <c r="Z112" s="159"/>
      <c r="AA112" s="159"/>
      <c r="AB112" s="159"/>
      <c r="AC112" s="161"/>
      <c r="AD112" s="162"/>
      <c r="AE112" s="162"/>
      <c r="AF112" s="162"/>
      <c r="AG112" s="162"/>
      <c r="AH112" s="160"/>
      <c r="AI112" s="159"/>
      <c r="AJ112" s="201"/>
      <c r="AK112" s="201"/>
      <c r="AL112" s="164"/>
      <c r="AM112" s="162"/>
      <c r="AN112" s="162"/>
      <c r="AO112" s="162"/>
      <c r="AP112" s="162"/>
      <c r="AQ112" s="202"/>
      <c r="AR112" s="203"/>
      <c r="AS112" s="165"/>
      <c r="AT112" s="166"/>
      <c r="AU112" s="164"/>
      <c r="AV112" s="162"/>
      <c r="AW112" s="162"/>
      <c r="AX112" s="162"/>
      <c r="AY112" s="162"/>
      <c r="AZ112" s="202"/>
      <c r="BA112" s="203"/>
      <c r="BB112" s="166"/>
      <c r="BC112" s="201"/>
      <c r="BD112" s="204"/>
      <c r="BE112" s="162"/>
      <c r="BF112" s="162"/>
      <c r="BG112" s="162"/>
      <c r="BH112" s="162"/>
      <c r="BI112" s="205"/>
      <c r="BJ112" s="201"/>
      <c r="BK112" s="201"/>
      <c r="BL112" s="201"/>
      <c r="BM112" s="204"/>
      <c r="BN112" s="162"/>
      <c r="BO112" s="162"/>
      <c r="BP112" s="162"/>
      <c r="BQ112" s="162"/>
      <c r="BR112" s="167"/>
      <c r="BS112" s="201"/>
      <c r="BT112" s="201"/>
      <c r="BU112" s="201"/>
      <c r="BV112" s="205"/>
      <c r="BW112" s="162"/>
      <c r="BX112" s="162"/>
      <c r="BY112" s="162"/>
      <c r="BZ112" s="162"/>
      <c r="CA112" s="201"/>
      <c r="CB112" s="393"/>
      <c r="CC112" s="393"/>
      <c r="CD112" s="393"/>
      <c r="CE112" s="393"/>
      <c r="CF112" s="162"/>
      <c r="CG112" s="162"/>
      <c r="CH112" s="162"/>
      <c r="CI112" s="162"/>
      <c r="CJ112" s="163"/>
      <c r="CK112" s="163"/>
      <c r="CL112" s="163"/>
      <c r="CM112" s="163"/>
      <c r="CN112" s="163"/>
      <c r="CO112" s="162"/>
      <c r="CP112" s="162"/>
      <c r="CQ112" s="162"/>
      <c r="CR112" s="162"/>
      <c r="CS112" s="163"/>
      <c r="CT112" s="358"/>
      <c r="CU112" s="201"/>
      <c r="CV112" s="206"/>
      <c r="CW112" s="218"/>
    </row>
    <row r="113" spans="1:101" ht="15.75" customHeight="1" thickBot="1" x14ac:dyDescent="0.25">
      <c r="A113" s="219"/>
      <c r="B113" s="219"/>
      <c r="C113" s="168"/>
      <c r="D113" s="785"/>
      <c r="E113" s="869" t="s">
        <v>45</v>
      </c>
      <c r="F113" s="363"/>
      <c r="G113" s="363"/>
      <c r="H113" s="363"/>
      <c r="I113" s="878"/>
      <c r="J113" s="878"/>
      <c r="K113" s="878"/>
      <c r="L113" s="878"/>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H113" s="363"/>
      <c r="BI113" s="363"/>
      <c r="BJ113" s="363"/>
      <c r="BK113" s="363"/>
      <c r="BL113" s="363"/>
      <c r="BM113" s="363"/>
      <c r="BN113" s="363"/>
      <c r="BO113" s="363"/>
      <c r="BP113" s="363"/>
      <c r="BQ113" s="363"/>
      <c r="BR113" s="363"/>
      <c r="BS113" s="363"/>
      <c r="BT113" s="363"/>
      <c r="BU113" s="363"/>
      <c r="BV113" s="363"/>
      <c r="BW113" s="363"/>
      <c r="BX113" s="363"/>
      <c r="BY113" s="363"/>
      <c r="BZ113" s="363"/>
      <c r="CA113" s="363"/>
      <c r="CB113" s="394"/>
      <c r="CC113" s="394"/>
      <c r="CD113" s="394"/>
      <c r="CE113" s="394"/>
      <c r="CF113" s="363"/>
      <c r="CG113" s="363"/>
      <c r="CH113" s="363"/>
      <c r="CI113" s="363"/>
      <c r="CJ113" s="363"/>
      <c r="CK113" s="363"/>
      <c r="CL113" s="363"/>
      <c r="CM113" s="363"/>
      <c r="CN113" s="323"/>
      <c r="CO113" s="363"/>
      <c r="CP113" s="363"/>
      <c r="CQ113" s="363"/>
      <c r="CR113" s="363"/>
      <c r="CS113" s="323"/>
      <c r="CT113" s="155"/>
      <c r="CU113" s="269"/>
      <c r="CV113" s="209"/>
      <c r="CW113" s="218"/>
    </row>
    <row r="114" spans="1:101" ht="18.75" customHeight="1" thickTop="1" x14ac:dyDescent="0.2">
      <c r="A114" s="219"/>
      <c r="B114" s="219"/>
      <c r="C114" s="174"/>
      <c r="D114" s="778"/>
      <c r="E114" s="777"/>
      <c r="F114" s="235"/>
      <c r="G114" s="234"/>
      <c r="H114" s="234"/>
      <c r="I114" s="875">
        <f>WEEKNUM(E115)</f>
        <v>38</v>
      </c>
      <c r="J114" s="875"/>
      <c r="K114" s="875"/>
      <c r="L114" s="250"/>
      <c r="M114" s="261"/>
      <c r="N114" s="205"/>
      <c r="O114" s="236"/>
      <c r="P114" s="236"/>
      <c r="Q114" s="675" t="str">
        <f>IF($F118="","",SUM(Q130:S130)-S116)</f>
        <v/>
      </c>
      <c r="R114" s="675"/>
      <c r="S114" s="675"/>
      <c r="T114" s="237"/>
      <c r="U114" s="238"/>
      <c r="V114" s="238"/>
      <c r="W114" s="238"/>
      <c r="X114" s="238"/>
      <c r="Y114" s="236"/>
      <c r="Z114" s="675" t="str">
        <f>IF($F118="","",SUM(Z130:AB130)-AB116)</f>
        <v/>
      </c>
      <c r="AA114" s="675"/>
      <c r="AB114" s="675"/>
      <c r="AC114" s="237"/>
      <c r="AD114" s="238"/>
      <c r="AE114" s="238"/>
      <c r="AF114" s="238"/>
      <c r="AG114" s="238"/>
      <c r="AH114" s="236"/>
      <c r="AI114" s="675" t="str">
        <f>IF($F118="","",SUM(AI130:AK130)-AK116)</f>
        <v/>
      </c>
      <c r="AJ114" s="675"/>
      <c r="AK114" s="675"/>
      <c r="AL114" s="237"/>
      <c r="AM114" s="238"/>
      <c r="AN114" s="238"/>
      <c r="AO114" s="238"/>
      <c r="AP114" s="238"/>
      <c r="AQ114" s="236"/>
      <c r="AR114" s="675" t="str">
        <f>IF($F118="","",SUM(AR130:AT130)-AT116)</f>
        <v/>
      </c>
      <c r="AS114" s="675"/>
      <c r="AT114" s="675"/>
      <c r="AU114" s="239"/>
      <c r="AV114" s="238"/>
      <c r="AW114" s="238"/>
      <c r="AX114" s="238"/>
      <c r="AY114" s="238"/>
      <c r="AZ114" s="240"/>
      <c r="BA114" s="675" t="str">
        <f>IF($F118="","",SUM(BA130:BC130)-BC116)</f>
        <v/>
      </c>
      <c r="BB114" s="675"/>
      <c r="BC114" s="675"/>
      <c r="BD114" s="239"/>
      <c r="BE114" s="238"/>
      <c r="BF114" s="238"/>
      <c r="BG114" s="238"/>
      <c r="BH114" s="238"/>
      <c r="BI114" s="240"/>
      <c r="BJ114" s="675" t="str">
        <f>IF($F118="","",SUM(BJ130:BL130)-BL116)</f>
        <v/>
      </c>
      <c r="BK114" s="675"/>
      <c r="BL114" s="675"/>
      <c r="BM114" s="239"/>
      <c r="BN114" s="238"/>
      <c r="BO114" s="238"/>
      <c r="BP114" s="238"/>
      <c r="BQ114" s="238"/>
      <c r="BR114" s="241"/>
      <c r="BS114" s="675" t="str">
        <f>IF($F118="","",SUM(BS130:BU130)-BU116)</f>
        <v/>
      </c>
      <c r="BT114" s="675"/>
      <c r="BU114" s="675"/>
      <c r="BV114" s="240"/>
      <c r="BW114" s="238"/>
      <c r="BX114" s="238"/>
      <c r="BY114" s="238"/>
      <c r="BZ114" s="238"/>
      <c r="CA114" s="241"/>
      <c r="CB114" s="675" t="str">
        <f>IF($F118="","",SUM(CB130:CD130)-CD116)</f>
        <v/>
      </c>
      <c r="CC114" s="675"/>
      <c r="CD114" s="675"/>
      <c r="CE114" s="240"/>
      <c r="CF114" s="238"/>
      <c r="CG114" s="238"/>
      <c r="CH114" s="238"/>
      <c r="CI114" s="238"/>
      <c r="CJ114" s="234"/>
      <c r="CK114" s="675" t="str">
        <f>IF($F118="","",SUM(CK130:CM130))</f>
        <v/>
      </c>
      <c r="CL114" s="675"/>
      <c r="CM114" s="675"/>
      <c r="CN114" s="240"/>
      <c r="CO114" s="238"/>
      <c r="CP114" s="238"/>
      <c r="CQ114" s="238"/>
      <c r="CR114" s="238"/>
      <c r="CS114" s="234"/>
      <c r="CT114" s="234"/>
      <c r="CU114" s="251"/>
      <c r="CV114" s="209"/>
      <c r="CW114" s="218"/>
    </row>
    <row r="115" spans="1:101" ht="12.75" customHeight="1" x14ac:dyDescent="0.2">
      <c r="A115" s="219"/>
      <c r="B115" s="219"/>
      <c r="C115" s="174"/>
      <c r="D115" s="779"/>
      <c r="E115" s="543">
        <f>E93+7</f>
        <v>46284</v>
      </c>
      <c r="F115" s="178"/>
      <c r="G115" s="179"/>
      <c r="H115" s="179"/>
      <c r="I115" s="876"/>
      <c r="J115" s="876"/>
      <c r="K115" s="876"/>
      <c r="L115" s="254"/>
      <c r="M115" s="329"/>
      <c r="N115" s="208"/>
      <c r="O115" s="180"/>
      <c r="P115" s="180"/>
      <c r="Q115" s="584" t="str">
        <f>IF(Q114="","",Q114/Data!$X$1)</f>
        <v/>
      </c>
      <c r="R115" s="584"/>
      <c r="S115" s="585" t="str">
        <f>IF(SUM(X118:X129)=0,"",SUM(X118:X129))</f>
        <v/>
      </c>
      <c r="T115" s="181"/>
      <c r="U115" s="182"/>
      <c r="V115" s="182"/>
      <c r="W115" s="182"/>
      <c r="X115" s="182"/>
      <c r="Y115" s="180"/>
      <c r="Z115" s="584" t="str">
        <f>IF(Z114="","",Z114/Data!$X$1)</f>
        <v/>
      </c>
      <c r="AA115" s="584"/>
      <c r="AB115" s="585" t="str">
        <f>IF(SUM(AG118:AG129)=0,"",SUM(AG118:AG129))</f>
        <v/>
      </c>
      <c r="AC115" s="181"/>
      <c r="AD115" s="182"/>
      <c r="AE115" s="182"/>
      <c r="AF115" s="182"/>
      <c r="AG115" s="182"/>
      <c r="AH115" s="180"/>
      <c r="AI115" s="584" t="str">
        <f>IF(AI114="","",AI114/Data!$X$1)</f>
        <v/>
      </c>
      <c r="AJ115" s="584"/>
      <c r="AK115" s="585" t="str">
        <f>IF(SUM(AP118:AP129)=0,"",SUM(AP118:AP129))</f>
        <v/>
      </c>
      <c r="AL115" s="181"/>
      <c r="AM115" s="182"/>
      <c r="AN115" s="182"/>
      <c r="AO115" s="182"/>
      <c r="AP115" s="182"/>
      <c r="AQ115" s="180"/>
      <c r="AR115" s="584" t="str">
        <f>IF(AR114="","",AR114/Data!$X$1)</f>
        <v/>
      </c>
      <c r="AS115" s="584"/>
      <c r="AT115" s="585" t="str">
        <f>IF(SUM(AY118:AY129)=0,"",SUM(AY118:AY129))</f>
        <v/>
      </c>
      <c r="AU115" s="183"/>
      <c r="AV115" s="182"/>
      <c r="AW115" s="182"/>
      <c r="AX115" s="182"/>
      <c r="AY115" s="182"/>
      <c r="AZ115" s="184"/>
      <c r="BA115" s="584" t="str">
        <f>IF(BA114="","",BA114/Data!$X$1)</f>
        <v/>
      </c>
      <c r="BB115" s="584"/>
      <c r="BC115" s="585" t="str">
        <f>IF(SUM(BH118:BH129)=0,"",SUM(BH118:BH129))</f>
        <v/>
      </c>
      <c r="BD115" s="183"/>
      <c r="BE115" s="182"/>
      <c r="BF115" s="182"/>
      <c r="BG115" s="182"/>
      <c r="BH115" s="182"/>
      <c r="BI115" s="184"/>
      <c r="BJ115" s="584" t="str">
        <f>IF(BJ114="","",BJ114/Data!$X$1)</f>
        <v/>
      </c>
      <c r="BK115" s="584"/>
      <c r="BL115" s="585" t="str">
        <f>IF(SUM(BQ118:BQ129)=0,"",SUM(BQ118:BQ129))</f>
        <v/>
      </c>
      <c r="BM115" s="183"/>
      <c r="BN115" s="182"/>
      <c r="BO115" s="182"/>
      <c r="BP115" s="182"/>
      <c r="BQ115" s="182"/>
      <c r="BR115" s="185"/>
      <c r="BS115" s="584" t="str">
        <f>IF(BS114="","",BS114/Data!$X$1)</f>
        <v/>
      </c>
      <c r="BT115" s="584"/>
      <c r="BU115" s="585" t="str">
        <f>IF(SUM(BZ118:BZ129)=0,"",SUM(BZ118:BZ129))</f>
        <v/>
      </c>
      <c r="BV115" s="184"/>
      <c r="BW115" s="182"/>
      <c r="BX115" s="182"/>
      <c r="BY115" s="182"/>
      <c r="BZ115" s="182"/>
      <c r="CA115" s="185"/>
      <c r="CB115" s="584" t="str">
        <f>IF(CB114="","",CB114/Data!$X$1)</f>
        <v/>
      </c>
      <c r="CC115" s="584"/>
      <c r="CD115" s="585" t="str">
        <f>IF(SUM(CI118:CI129)=0,"",SUM(CI118:CI129))</f>
        <v/>
      </c>
      <c r="CE115" s="184"/>
      <c r="CF115" s="182"/>
      <c r="CG115" s="182"/>
      <c r="CH115" s="182"/>
      <c r="CI115" s="182"/>
      <c r="CJ115" s="182"/>
      <c r="CK115" s="584" t="str">
        <f>IF(CK114="","",CK114/Data!$X$1)</f>
        <v/>
      </c>
      <c r="CL115" s="584"/>
      <c r="CM115" s="585" t="str">
        <f>IF(SUM(CR118:CR129)=0,"",SUM(CR118:CR129))</f>
        <v/>
      </c>
      <c r="CN115" s="184"/>
      <c r="CO115" s="182"/>
      <c r="CP115" s="182"/>
      <c r="CQ115" s="182"/>
      <c r="CR115" s="182"/>
      <c r="CS115" s="182"/>
      <c r="CT115" s="182"/>
      <c r="CU115" s="255"/>
      <c r="CV115" s="209"/>
      <c r="CW115" s="218"/>
    </row>
    <row r="116" spans="1:101" ht="14.25" customHeight="1" thickBot="1" x14ac:dyDescent="0.25">
      <c r="A116" s="219"/>
      <c r="B116" s="219"/>
      <c r="C116" s="174"/>
      <c r="D116" s="230"/>
      <c r="E116" s="359"/>
      <c r="F116" s="186"/>
      <c r="G116" s="187"/>
      <c r="H116" s="187"/>
      <c r="I116" s="673"/>
      <c r="J116" s="674"/>
      <c r="K116" s="674"/>
      <c r="L116" s="256"/>
      <c r="M116" s="330"/>
      <c r="N116" s="334"/>
      <c r="O116" s="187"/>
      <c r="P116" s="187"/>
      <c r="Q116" s="342" t="str">
        <f>Data!$E$11</f>
        <v>AHH</v>
      </c>
      <c r="R116" s="343" t="str">
        <f>IF($F129="","",RANK(Q114,$Q114:$CL114))</f>
        <v/>
      </c>
      <c r="S116" s="466"/>
      <c r="T116" s="181"/>
      <c r="U116" s="182"/>
      <c r="V116" s="182"/>
      <c r="W116" s="182"/>
      <c r="X116" s="197">
        <f>COUNTIF(U118:W129,"&gt;0")</f>
        <v>12</v>
      </c>
      <c r="Y116" s="180"/>
      <c r="Z116" s="342" t="str">
        <f>Data!$E$12</f>
        <v>RB</v>
      </c>
      <c r="AA116" s="343" t="str">
        <f>IF($F129="","",RANK(Z114,$Q114:$CL114))</f>
        <v/>
      </c>
      <c r="AB116" s="466"/>
      <c r="AC116" s="181"/>
      <c r="AD116" s="182"/>
      <c r="AE116" s="182"/>
      <c r="AF116" s="182"/>
      <c r="AG116" s="197">
        <f>COUNTIF(AD118:AF129,"&gt;0")</f>
        <v>12</v>
      </c>
      <c r="AH116" s="180"/>
      <c r="AI116" s="342" t="str">
        <f>Data!$E$13</f>
        <v>EB</v>
      </c>
      <c r="AJ116" s="343" t="str">
        <f>IF($F129="","",RANK(AI114,$Q114:$CL114))</f>
        <v/>
      </c>
      <c r="AK116" s="466"/>
      <c r="AL116" s="181"/>
      <c r="AM116" s="182"/>
      <c r="AN116" s="182"/>
      <c r="AO116" s="182"/>
      <c r="AP116" s="197">
        <f>COUNTIF(AM118:AO129,"&gt;0")</f>
        <v>12</v>
      </c>
      <c r="AQ116" s="180"/>
      <c r="AR116" s="305" t="str">
        <f>Data!$E$14</f>
        <v>KAF</v>
      </c>
      <c r="AS116" s="343" t="str">
        <f>IF($F129="","",RANK(AR114,$Q114:$CL114))</f>
        <v/>
      </c>
      <c r="AT116" s="466"/>
      <c r="AU116" s="181"/>
      <c r="AV116" s="182"/>
      <c r="AW116" s="182"/>
      <c r="AX116" s="182"/>
      <c r="AY116" s="197">
        <f>COUNTIF(AV118:AX129,"&gt;0")</f>
        <v>12</v>
      </c>
      <c r="AZ116" s="180"/>
      <c r="BA116" s="305" t="str">
        <f>Data!$E$15</f>
        <v>ØG</v>
      </c>
      <c r="BB116" s="343" t="str">
        <f>IF($F129="","",RANK(BA114,$Q114:$CL114))</f>
        <v/>
      </c>
      <c r="BC116" s="466"/>
      <c r="BD116" s="181"/>
      <c r="BE116" s="182"/>
      <c r="BF116" s="182"/>
      <c r="BG116" s="182"/>
      <c r="BH116" s="197">
        <f>COUNTIF(BE118:BG129,"&gt;0")</f>
        <v>12</v>
      </c>
      <c r="BI116" s="180"/>
      <c r="BJ116" s="305" t="str">
        <f>Data!$E$16</f>
        <v>JH</v>
      </c>
      <c r="BK116" s="343" t="str">
        <f>IF($F129="","",RANK(BJ114,$Q114:$CL114))</f>
        <v/>
      </c>
      <c r="BL116" s="466"/>
      <c r="BM116" s="181"/>
      <c r="BN116" s="182"/>
      <c r="BO116" s="182"/>
      <c r="BP116" s="182"/>
      <c r="BQ116" s="197">
        <f>COUNTIF(BN118:BP129,"&gt;0")</f>
        <v>12</v>
      </c>
      <c r="BR116" s="188"/>
      <c r="BS116" s="305" t="str">
        <f>Data!$E$17</f>
        <v>TOH</v>
      </c>
      <c r="BT116" s="343" t="str">
        <f>IF($F129="","",RANK(BS114,$Q114:$CL114))</f>
        <v/>
      </c>
      <c r="BU116" s="466"/>
      <c r="BV116" s="180"/>
      <c r="BW116" s="182"/>
      <c r="BX116" s="182"/>
      <c r="BY116" s="182"/>
      <c r="BZ116" s="197">
        <f>COUNTIF(BW118:BY129,"&gt;0")</f>
        <v>12</v>
      </c>
      <c r="CA116" s="188"/>
      <c r="CB116" s="305" t="s">
        <v>26</v>
      </c>
      <c r="CC116" s="343" t="str">
        <f>IF($F129="","",RANK(CB114,$Q114:$CM114))</f>
        <v/>
      </c>
      <c r="CD116" s="467"/>
      <c r="CE116" s="180"/>
      <c r="CF116" s="182"/>
      <c r="CG116" s="182"/>
      <c r="CH116" s="182"/>
      <c r="CI116" s="197">
        <f>COUNTIF(CF118:CH129,"&gt;0")</f>
        <v>12</v>
      </c>
      <c r="CJ116" s="182"/>
      <c r="CK116" s="305" t="s">
        <v>27</v>
      </c>
      <c r="CL116" s="343" t="str">
        <f>IF($F129="","",RANK(CK114,$Q114:$CM114))</f>
        <v/>
      </c>
      <c r="CM116" s="669"/>
      <c r="CN116" s="180"/>
      <c r="CO116" s="182"/>
      <c r="CP116" s="182"/>
      <c r="CQ116" s="182"/>
      <c r="CR116" s="197">
        <f>COUNTIF(CO118:CQ129,"&gt;0")</f>
        <v>12</v>
      </c>
      <c r="CS116" s="182"/>
      <c r="CT116" s="182"/>
      <c r="CU116" s="255"/>
      <c r="CV116" s="209"/>
      <c r="CW116" s="218"/>
    </row>
    <row r="117" spans="1:101" ht="13.5" customHeight="1" thickBot="1" x14ac:dyDescent="0.25">
      <c r="A117" s="227"/>
      <c r="B117" s="227"/>
      <c r="C117" s="168"/>
      <c r="D117" s="231"/>
      <c r="E117" s="189"/>
      <c r="F117" s="190"/>
      <c r="G117" s="191"/>
      <c r="H117" s="191"/>
      <c r="I117" s="192" t="s">
        <v>47</v>
      </c>
      <c r="J117" s="193" t="s">
        <v>48</v>
      </c>
      <c r="K117" s="194" t="s">
        <v>49</v>
      </c>
      <c r="L117" s="257"/>
      <c r="M117" s="331"/>
      <c r="N117" s="335"/>
      <c r="O117" s="195"/>
      <c r="P117" s="195"/>
      <c r="Q117" s="192" t="s">
        <v>47</v>
      </c>
      <c r="R117" s="193" t="s">
        <v>48</v>
      </c>
      <c r="S117" s="194" t="s">
        <v>49</v>
      </c>
      <c r="T117" s="196"/>
      <c r="U117" s="197"/>
      <c r="V117" s="197"/>
      <c r="W117" s="197"/>
      <c r="X117" s="197"/>
      <c r="Y117" s="195"/>
      <c r="Z117" s="192" t="s">
        <v>47</v>
      </c>
      <c r="AA117" s="193" t="s">
        <v>48</v>
      </c>
      <c r="AB117" s="194" t="s">
        <v>49</v>
      </c>
      <c r="AC117" s="196"/>
      <c r="AD117" s="197"/>
      <c r="AE117" s="197"/>
      <c r="AF117" s="197"/>
      <c r="AG117" s="197"/>
      <c r="AH117" s="195"/>
      <c r="AI117" s="192" t="s">
        <v>47</v>
      </c>
      <c r="AJ117" s="193" t="s">
        <v>48</v>
      </c>
      <c r="AK117" s="194" t="s">
        <v>49</v>
      </c>
      <c r="AL117" s="196"/>
      <c r="AM117" s="197"/>
      <c r="AN117" s="197"/>
      <c r="AO117" s="197"/>
      <c r="AP117" s="197"/>
      <c r="AQ117" s="195"/>
      <c r="AR117" s="192" t="s">
        <v>47</v>
      </c>
      <c r="AS117" s="193" t="s">
        <v>48</v>
      </c>
      <c r="AT117" s="194" t="s">
        <v>49</v>
      </c>
      <c r="AU117" s="196"/>
      <c r="AV117" s="197"/>
      <c r="AW117" s="197"/>
      <c r="AX117" s="197"/>
      <c r="AY117" s="197"/>
      <c r="AZ117" s="195"/>
      <c r="BA117" s="192" t="s">
        <v>47</v>
      </c>
      <c r="BB117" s="193" t="s">
        <v>48</v>
      </c>
      <c r="BC117" s="194" t="s">
        <v>49</v>
      </c>
      <c r="BD117" s="196"/>
      <c r="BE117" s="197"/>
      <c r="BF117" s="197"/>
      <c r="BG117" s="197"/>
      <c r="BH117" s="197"/>
      <c r="BI117" s="195"/>
      <c r="BJ117" s="192" t="s">
        <v>47</v>
      </c>
      <c r="BK117" s="193" t="s">
        <v>48</v>
      </c>
      <c r="BL117" s="194" t="s">
        <v>49</v>
      </c>
      <c r="BM117" s="196"/>
      <c r="BN117" s="197"/>
      <c r="BO117" s="197"/>
      <c r="BP117" s="197"/>
      <c r="BQ117" s="197"/>
      <c r="BR117" s="195"/>
      <c r="BS117" s="192" t="s">
        <v>47</v>
      </c>
      <c r="BT117" s="193" t="s">
        <v>48</v>
      </c>
      <c r="BU117" s="194" t="s">
        <v>49</v>
      </c>
      <c r="BV117" s="196"/>
      <c r="BW117" s="197"/>
      <c r="BX117" s="197"/>
      <c r="BY117" s="197"/>
      <c r="BZ117" s="197"/>
      <c r="CA117" s="195"/>
      <c r="CB117" s="192" t="s">
        <v>47</v>
      </c>
      <c r="CC117" s="193" t="s">
        <v>48</v>
      </c>
      <c r="CD117" s="194" t="s">
        <v>49</v>
      </c>
      <c r="CE117" s="196"/>
      <c r="CF117" s="197"/>
      <c r="CG117" s="197"/>
      <c r="CH117" s="197"/>
      <c r="CI117" s="197"/>
      <c r="CJ117" s="197"/>
      <c r="CK117" s="192" t="s">
        <v>47</v>
      </c>
      <c r="CL117" s="193" t="s">
        <v>48</v>
      </c>
      <c r="CM117" s="194" t="s">
        <v>49</v>
      </c>
      <c r="CN117" s="196"/>
      <c r="CO117" s="197"/>
      <c r="CP117" s="197"/>
      <c r="CQ117" s="197"/>
      <c r="CR117" s="197"/>
      <c r="CS117" s="197"/>
      <c r="CT117" s="198"/>
      <c r="CU117" s="255"/>
      <c r="CV117" s="209"/>
      <c r="CW117" s="228"/>
    </row>
    <row r="118" spans="1:101" x14ac:dyDescent="0.2">
      <c r="A118" s="227"/>
      <c r="B118" s="227"/>
      <c r="C118" s="168"/>
      <c r="D118" s="232"/>
      <c r="E118" s="134" t="s">
        <v>113</v>
      </c>
      <c r="F118" s="424"/>
      <c r="G118" s="428" t="s">
        <v>51</v>
      </c>
      <c r="H118" s="429">
        <v>1</v>
      </c>
      <c r="I118" s="138" t="str">
        <f t="shared" ref="I118:I129" si="161">IF($F118&gt;$H118,"x","")</f>
        <v/>
      </c>
      <c r="J118" s="344" t="str">
        <f t="shared" ref="J118:J129" si="162">IF(F118&lt;&gt;"",IF(H118&lt;&gt;"",IF(F118=H118,"x",""),""),"")</f>
        <v/>
      </c>
      <c r="K118" s="345" t="str">
        <f t="shared" ref="K118:K129" si="163">IF($F118&lt;$H118,"x","")</f>
        <v>x</v>
      </c>
      <c r="L118" s="258"/>
      <c r="M118" s="332"/>
      <c r="N118" s="336"/>
      <c r="O118" s="200"/>
      <c r="P118" s="200"/>
      <c r="Q118" s="436">
        <v>30</v>
      </c>
      <c r="R118" s="437">
        <v>10</v>
      </c>
      <c r="S118" s="438">
        <f t="shared" ref="S118:S129" si="164">IF(Q118="","",100-SUM(Q118:R118))</f>
        <v>60</v>
      </c>
      <c r="T118" s="328"/>
      <c r="U118" s="197" t="str">
        <f>IF(AND($I118="x",AND(MAX(Q118:S118)=Q118,Q118&gt;=0)),Data!$BI$2,"")</f>
        <v/>
      </c>
      <c r="V118" s="197" t="str">
        <f>IF(AND($J118="x",AND(MAX(Q118:S118)=R118,R118&gt;=0)),Data!$BJ$2,"")</f>
        <v/>
      </c>
      <c r="W118" s="197">
        <f>IF(AND($K118="x",AND(MAX(Q118:S118)=S118,S118&gt;=0)),Data!$BK$2,"")</f>
        <v>71</v>
      </c>
      <c r="X118" s="197"/>
      <c r="Y118" s="328"/>
      <c r="Z118" s="451">
        <v>30</v>
      </c>
      <c r="AA118" s="452">
        <v>10</v>
      </c>
      <c r="AB118" s="438">
        <f t="shared" ref="AB118:AB129" si="165">IF(Z118="","",100-SUM(Z118:AA118))</f>
        <v>60</v>
      </c>
      <c r="AC118" s="328"/>
      <c r="AD118" s="197" t="str">
        <f>IF(AND($I118="x",AND(MAX(Z118:AB118)=Z118,Z118&lt;&gt;"")),Data!$BI$2,"")</f>
        <v/>
      </c>
      <c r="AE118" s="197" t="str">
        <f>IF(AND($J118="x",AND(MAX(Z118:AB118)=AA118,AA118&lt;&gt;"")),Data!$BJ$2,"")</f>
        <v/>
      </c>
      <c r="AF118" s="197">
        <f>IF(AND($K118="x",AND(MAX(Z118:AB118)=AB118,AB118&lt;&gt;"")),Data!$BK$2,"")</f>
        <v>71</v>
      </c>
      <c r="AG118" s="197"/>
      <c r="AH118" s="328"/>
      <c r="AI118" s="451">
        <v>30</v>
      </c>
      <c r="AJ118" s="452">
        <v>10</v>
      </c>
      <c r="AK118" s="438">
        <f t="shared" ref="AK118:AK129" si="166">IF(AI118="","",100-SUM(AI118:AJ118))</f>
        <v>60</v>
      </c>
      <c r="AL118" s="328"/>
      <c r="AM118" s="197" t="str">
        <f>IF(AND($I118="x",AND(MAX(AI118:AK118)=AI118,AI118&lt;&gt;"")),Data!$BI$2,"")</f>
        <v/>
      </c>
      <c r="AN118" s="197" t="str">
        <f>IF(AND($J118="x",AND(MAX(AI118:AK118)=AJ118,AJ118&lt;&gt;"")),Data!$BJ$2,"")</f>
        <v/>
      </c>
      <c r="AO118" s="197">
        <f>IF(AND($K118="x",AND(MAX(AI118:AK118)=AK118,AK118&lt;&gt;"")),Data!$BK$2,"")</f>
        <v>71</v>
      </c>
      <c r="AP118" s="197"/>
      <c r="AQ118" s="328"/>
      <c r="AR118" s="451">
        <v>30</v>
      </c>
      <c r="AS118" s="452">
        <v>10</v>
      </c>
      <c r="AT118" s="438">
        <f t="shared" ref="AT118:AT129" si="167">IF(AR118="","",100-SUM(AR118:AS118))</f>
        <v>60</v>
      </c>
      <c r="AU118" s="328"/>
      <c r="AV118" s="197" t="str">
        <f>IF(AND($I118="x",AND(MAX(AR118:AT118)=AR118,AR118&lt;&gt;"")),Data!$BI$2,"")</f>
        <v/>
      </c>
      <c r="AW118" s="197" t="str">
        <f>IF(AND($J118="x",AND(MAX(AR118:AT118)=AS118,AS118&lt;&gt;"")),Data!$BJ$2,"")</f>
        <v/>
      </c>
      <c r="AX118" s="197">
        <f>IF(AND($K118="x",AND(MAX(AR118:AT118)=AT118,AT118&lt;&gt;"")),Data!$BK$2,"")</f>
        <v>71</v>
      </c>
      <c r="AY118" s="197"/>
      <c r="AZ118" s="328"/>
      <c r="BA118" s="451">
        <v>30</v>
      </c>
      <c r="BB118" s="452">
        <v>10</v>
      </c>
      <c r="BC118" s="438">
        <f t="shared" ref="BC118:BC129" si="168">IF(BA118="","",100-SUM(BA118:BB118))</f>
        <v>60</v>
      </c>
      <c r="BD118" s="328"/>
      <c r="BE118" s="197" t="str">
        <f>IF(AND($I118="x",AND(MAX(BA118:BC118)=BA118,BA118&lt;&gt;"")),Data!$BI$2,"")</f>
        <v/>
      </c>
      <c r="BF118" s="197" t="str">
        <f>IF(AND($J118="x",AND(MAX(BA118:BC118)=BB118,BB118&lt;&gt;"")),Data!$BJ$2,"")</f>
        <v/>
      </c>
      <c r="BG118" s="197">
        <f>IF(AND($K118="x",AND(MAX(BA118:BC118)=BC118,BC118&lt;&gt;"")),Data!$BK$2,"")</f>
        <v>71</v>
      </c>
      <c r="BH118" s="197"/>
      <c r="BI118" s="328"/>
      <c r="BJ118" s="451">
        <v>30</v>
      </c>
      <c r="BK118" s="452">
        <v>10</v>
      </c>
      <c r="BL118" s="438">
        <f t="shared" ref="BL118:BL129" si="169">IF(BJ118="","",100-SUM(BJ118:BK118))</f>
        <v>60</v>
      </c>
      <c r="BM118" s="328"/>
      <c r="BN118" s="197" t="str">
        <f>IF(AND($I118="x",AND(MAX(BJ118:BL118)=BJ118,BJ118&lt;&gt;"")),Data!$BI$2,"")</f>
        <v/>
      </c>
      <c r="BO118" s="197" t="str">
        <f>IF(AND($J118="x",AND(MAX(BJ118:BL118)=BK118,BK118&lt;&gt;"")),Data!$BJ$2,"")</f>
        <v/>
      </c>
      <c r="BP118" s="197">
        <f>IF(AND($K118="x",AND(MAX(BJ118:BL118)=BL118,BL118&lt;&gt;"")),Data!$BK$2,"")</f>
        <v>71</v>
      </c>
      <c r="BQ118" s="197"/>
      <c r="BR118" s="328"/>
      <c r="BS118" s="451">
        <v>30</v>
      </c>
      <c r="BT118" s="452">
        <v>10</v>
      </c>
      <c r="BU118" s="438">
        <f t="shared" ref="BU118:BU129" si="170">IF(BS118="","",100-SUM(BS118:BT118))</f>
        <v>60</v>
      </c>
      <c r="BV118" s="328"/>
      <c r="BW118" s="197" t="str">
        <f>IF(AND($I118="x",AND(MAX(BS118:BU118)=BS118,BS118&lt;&gt;"")),Data!$BI$2,"")</f>
        <v/>
      </c>
      <c r="BX118" s="197" t="str">
        <f>IF(AND($J118="x",AND(MAX(BS118:BU118)=BT118,BT118&lt;&gt;"")),Data!$BJ$2,"")</f>
        <v/>
      </c>
      <c r="BY118" s="197">
        <f>IF(AND($K118="x",AND(MAX(BS118:BU118)=BU118,BU118&lt;&gt;"")),Data!$BK$2,"")</f>
        <v>71</v>
      </c>
      <c r="BZ118" s="197"/>
      <c r="CA118" s="328"/>
      <c r="CB118" s="460">
        <f t="shared" ref="CB118:CB129" si="171">IFERROR(ROUNDUP((SUM(Q118,Z118,AI118,AR118,BA118,BJ118,BS118)/SUM($Q118:$S118,$Z118:$AB118,$AI118:$AK118,$AR118:$AT118,$BA118:$BC118,$BJ118:$BL118,$BS118:$BU118))*100,-1),"")</f>
        <v>30</v>
      </c>
      <c r="CC118" s="458">
        <f t="shared" ref="CC118:CC129" si="172">IFERROR(ROUNDDOWN((SUM(R118,AA118,AJ118,AS118,BB118,BK118,BT118)/SUM($Q118:$S118,$Z118:$AB118,$AI118:$AK118,$AR118:$AT118,$BA118:$BC118,$BJ118:$BL118,$BS118:$BU118))*100,-1),"")</f>
        <v>10</v>
      </c>
      <c r="CD118" s="459">
        <f t="shared" ref="CD118:CD129" si="173">IF(CB118="","",100-SUM(CB118:CC118))</f>
        <v>60</v>
      </c>
      <c r="CE118" s="328"/>
      <c r="CF118" s="197" t="str">
        <f>IF(AND($I118="x",AND(MAX(CB118:CD118)=CB118,CB118&lt;&gt;"")),Data!$BI$2,"")</f>
        <v/>
      </c>
      <c r="CG118" s="197" t="str">
        <f>IF(AND($J118="x",AND(MAX(CB118:CD118)=CC118,CC118&lt;&gt;"")),Data!$BJ$2,"")</f>
        <v/>
      </c>
      <c r="CH118" s="197">
        <f>IF(AND($K118="x",AND(MAX(CB118:CD118)=CD118,CD118&lt;&gt;"")),Data!$BK$2,"")</f>
        <v>71</v>
      </c>
      <c r="CI118" s="197"/>
      <c r="CJ118" s="197"/>
      <c r="CK118" s="451">
        <v>30</v>
      </c>
      <c r="CL118" s="452">
        <v>10</v>
      </c>
      <c r="CM118" s="438">
        <f t="shared" ref="CM118:CM129" si="174">IF(CK118="","",100-SUM(CK118:CL118))</f>
        <v>60</v>
      </c>
      <c r="CN118" s="328"/>
      <c r="CO118" s="197" t="str">
        <f>IF(AND($I118="x",AND(MAX(CK118:CM118)=CK118,CK118&lt;&gt;"")),Data!$BI$2,"")</f>
        <v/>
      </c>
      <c r="CP118" s="197" t="str">
        <f>IF(AND($J118="x",AND(MAX(CK118:CM118)=CL118,CL118&lt;&gt;"")),Data!$BJ$2,"")</f>
        <v/>
      </c>
      <c r="CQ118" s="197">
        <f>IF(AND($K118="x",AND(MAX(CK118:CM118)=CM118,CM118&lt;&gt;"")),Data!$BK$2,"")</f>
        <v>71</v>
      </c>
      <c r="CR118" s="197"/>
      <c r="CS118" s="197"/>
      <c r="CT118" s="328"/>
      <c r="CU118" s="255"/>
      <c r="CV118" s="209"/>
      <c r="CW118" s="227"/>
    </row>
    <row r="119" spans="1:101" x14ac:dyDescent="0.2">
      <c r="A119" s="227"/>
      <c r="B119" s="227"/>
      <c r="C119" s="168"/>
      <c r="D119" s="232"/>
      <c r="E119" s="135" t="s">
        <v>114</v>
      </c>
      <c r="F119" s="425"/>
      <c r="G119" s="430" t="s">
        <v>51</v>
      </c>
      <c r="H119" s="431">
        <v>1</v>
      </c>
      <c r="I119" s="346" t="str">
        <f t="shared" si="161"/>
        <v/>
      </c>
      <c r="J119" s="347" t="str">
        <f t="shared" si="162"/>
        <v/>
      </c>
      <c r="K119" s="348" t="str">
        <f t="shared" si="163"/>
        <v>x</v>
      </c>
      <c r="L119" s="258"/>
      <c r="M119" s="332"/>
      <c r="N119" s="336"/>
      <c r="O119" s="200"/>
      <c r="P119" s="200"/>
      <c r="Q119" s="439">
        <v>30</v>
      </c>
      <c r="R119" s="440">
        <v>10</v>
      </c>
      <c r="S119" s="441">
        <f t="shared" si="164"/>
        <v>60</v>
      </c>
      <c r="T119" s="328"/>
      <c r="U119" s="197" t="str">
        <f>IF(AND($I119="x",AND(MAX(Q119:S119)=Q119,Q119&gt;=0)),Data!$BI$2,"")</f>
        <v/>
      </c>
      <c r="V119" s="197" t="str">
        <f>IF(AND($J119="x",AND(MAX(Q119:S119)=R119,R119&gt;=0)),Data!$BJ$2,"")</f>
        <v/>
      </c>
      <c r="W119" s="197">
        <f>IF(AND($K119="x",AND(MAX(Q119:S119)=S119,S119&gt;=0)),Data!$BK$2,"")</f>
        <v>71</v>
      </c>
      <c r="X119" s="197"/>
      <c r="Y119" s="328"/>
      <c r="Z119" s="453">
        <v>30</v>
      </c>
      <c r="AA119" s="454">
        <v>10</v>
      </c>
      <c r="AB119" s="441">
        <f t="shared" si="165"/>
        <v>60</v>
      </c>
      <c r="AC119" s="328"/>
      <c r="AD119" s="197" t="str">
        <f>IF(AND($I119="x",AND(MAX(Z119:AB119)=Z119,Z119&lt;&gt;"")),Data!$BI$2,"")</f>
        <v/>
      </c>
      <c r="AE119" s="197" t="str">
        <f>IF(AND($J119="x",AND(MAX(Z119:AB119)=AA119,AA119&lt;&gt;"")),Data!$BJ$2,"")</f>
        <v/>
      </c>
      <c r="AF119" s="197">
        <f>IF(AND($K119="x",AND(MAX(Z119:AB119)=AB119,AB119&lt;&gt;"")),Data!$BK$2,"")</f>
        <v>71</v>
      </c>
      <c r="AG119" s="197"/>
      <c r="AH119" s="328"/>
      <c r="AI119" s="453">
        <v>30</v>
      </c>
      <c r="AJ119" s="454">
        <v>10</v>
      </c>
      <c r="AK119" s="441">
        <f t="shared" si="166"/>
        <v>60</v>
      </c>
      <c r="AL119" s="328"/>
      <c r="AM119" s="197" t="str">
        <f>IF(AND($I119="x",AND(MAX(AI119:AK119)=AI119,AI119&lt;&gt;"")),Data!$BI$2,"")</f>
        <v/>
      </c>
      <c r="AN119" s="197" t="str">
        <f>IF(AND($J119="x",AND(MAX(AI119:AK119)=AJ119,AJ119&lt;&gt;"")),Data!$BJ$2,"")</f>
        <v/>
      </c>
      <c r="AO119" s="197">
        <f>IF(AND($K119="x",AND(MAX(AI119:AK119)=AK119,AK119&lt;&gt;"")),Data!$BK$2,"")</f>
        <v>71</v>
      </c>
      <c r="AP119" s="197"/>
      <c r="AQ119" s="328"/>
      <c r="AR119" s="453">
        <v>30</v>
      </c>
      <c r="AS119" s="454">
        <v>10</v>
      </c>
      <c r="AT119" s="441">
        <f t="shared" si="167"/>
        <v>60</v>
      </c>
      <c r="AU119" s="328"/>
      <c r="AV119" s="197" t="str">
        <f>IF(AND($I119="x",AND(MAX(AR119:AT119)=AR119,AR119&lt;&gt;"")),Data!$BI$2,"")</f>
        <v/>
      </c>
      <c r="AW119" s="197" t="str">
        <f>IF(AND($J119="x",AND(MAX(AR119:AT119)=AS119,AS119&lt;&gt;"")),Data!$BJ$2,"")</f>
        <v/>
      </c>
      <c r="AX119" s="197">
        <f>IF(AND($K119="x",AND(MAX(AR119:AT119)=AT119,AT119&lt;&gt;"")),Data!$BK$2,"")</f>
        <v>71</v>
      </c>
      <c r="AY119" s="197"/>
      <c r="AZ119" s="328"/>
      <c r="BA119" s="453">
        <v>30</v>
      </c>
      <c r="BB119" s="454">
        <v>10</v>
      </c>
      <c r="BC119" s="441">
        <f t="shared" si="168"/>
        <v>60</v>
      </c>
      <c r="BD119" s="328"/>
      <c r="BE119" s="197" t="str">
        <f>IF(AND($I119="x",AND(MAX(BA119:BC119)=BA119,BA119&lt;&gt;"")),Data!$BI$2,"")</f>
        <v/>
      </c>
      <c r="BF119" s="197" t="str">
        <f>IF(AND($J119="x",AND(MAX(BA119:BC119)=BB119,BB119&lt;&gt;"")),Data!$BJ$2,"")</f>
        <v/>
      </c>
      <c r="BG119" s="197">
        <f>IF(AND($K119="x",AND(MAX(BA119:BC119)=BC119,BC119&lt;&gt;"")),Data!$BK$2,"")</f>
        <v>71</v>
      </c>
      <c r="BH119" s="197"/>
      <c r="BI119" s="328"/>
      <c r="BJ119" s="453">
        <v>30</v>
      </c>
      <c r="BK119" s="454">
        <v>10</v>
      </c>
      <c r="BL119" s="441">
        <f t="shared" si="169"/>
        <v>60</v>
      </c>
      <c r="BM119" s="328"/>
      <c r="BN119" s="197" t="str">
        <f>IF(AND($I119="x",AND(MAX(BJ119:BL119)=BJ119,BJ119&lt;&gt;"")),Data!$BI$2,"")</f>
        <v/>
      </c>
      <c r="BO119" s="197" t="str">
        <f>IF(AND($J119="x",AND(MAX(BJ119:BL119)=BK119,BK119&lt;&gt;"")),Data!$BJ$2,"")</f>
        <v/>
      </c>
      <c r="BP119" s="197">
        <f>IF(AND($K119="x",AND(MAX(BJ119:BL119)=BL119,BL119&lt;&gt;"")),Data!$BK$2,"")</f>
        <v>71</v>
      </c>
      <c r="BQ119" s="197"/>
      <c r="BR119" s="328"/>
      <c r="BS119" s="453">
        <v>30</v>
      </c>
      <c r="BT119" s="454">
        <v>10</v>
      </c>
      <c r="BU119" s="441">
        <f t="shared" si="170"/>
        <v>60</v>
      </c>
      <c r="BV119" s="328"/>
      <c r="BW119" s="197" t="str">
        <f>IF(AND($I119="x",AND(MAX(BS119:BU119)=BS119,BS119&lt;&gt;"")),Data!$BI$2,"")</f>
        <v/>
      </c>
      <c r="BX119" s="197" t="str">
        <f>IF(AND($J119="x",AND(MAX(BS119:BU119)=BT119,BT119&lt;&gt;"")),Data!$BJ$2,"")</f>
        <v/>
      </c>
      <c r="BY119" s="197">
        <f>IF(AND($K119="x",AND(MAX(BS119:BU119)=BU119,BU119&lt;&gt;"")),Data!$BK$2,"")</f>
        <v>71</v>
      </c>
      <c r="BZ119" s="197"/>
      <c r="CA119" s="328"/>
      <c r="CB119" s="460">
        <f t="shared" si="171"/>
        <v>30</v>
      </c>
      <c r="CC119" s="461">
        <f t="shared" si="172"/>
        <v>10</v>
      </c>
      <c r="CD119" s="462">
        <f t="shared" si="173"/>
        <v>60</v>
      </c>
      <c r="CE119" s="328"/>
      <c r="CF119" s="197" t="str">
        <f>IF(AND($I119="x",AND(MAX(CB119:CD119)=CB119,CB119&lt;&gt;"")),Data!$BI$2,"")</f>
        <v/>
      </c>
      <c r="CG119" s="197" t="str">
        <f>IF(AND($J119="x",AND(MAX(CB119:CD119)=CC119,CC119&lt;&gt;"")),Data!$BJ$2,"")</f>
        <v/>
      </c>
      <c r="CH119" s="197">
        <f>IF(AND($K119="x",AND(MAX(CB119:CD119)=CD119,CD119&lt;&gt;"")),Data!$BK$2,"")</f>
        <v>71</v>
      </c>
      <c r="CI119" s="197"/>
      <c r="CJ119" s="197"/>
      <c r="CK119" s="453">
        <v>30</v>
      </c>
      <c r="CL119" s="454">
        <v>10</v>
      </c>
      <c r="CM119" s="441">
        <f t="shared" si="174"/>
        <v>60</v>
      </c>
      <c r="CN119" s="328"/>
      <c r="CO119" s="197" t="str">
        <f>IF(AND($I119="x",AND(MAX(CK119:CM119)=CK119,CK119&lt;&gt;"")),Data!$BI$2,"")</f>
        <v/>
      </c>
      <c r="CP119" s="197" t="str">
        <f>IF(AND($J119="x",AND(MAX(CK119:CM119)=CL119,CL119&lt;&gt;"")),Data!$BJ$2,"")</f>
        <v/>
      </c>
      <c r="CQ119" s="197">
        <f>IF(AND($K119="x",AND(MAX(CK119:CM119)=CM119,CM119&lt;&gt;"")),Data!$BK$2,"")</f>
        <v>71</v>
      </c>
      <c r="CR119" s="197"/>
      <c r="CS119" s="197"/>
      <c r="CT119" s="328"/>
      <c r="CU119" s="255"/>
      <c r="CV119" s="209"/>
      <c r="CW119" s="227"/>
    </row>
    <row r="120" spans="1:101" x14ac:dyDescent="0.2">
      <c r="A120" s="227"/>
      <c r="B120" s="227"/>
      <c r="C120" s="168"/>
      <c r="D120" s="232"/>
      <c r="E120" s="136" t="s">
        <v>115</v>
      </c>
      <c r="F120" s="426"/>
      <c r="G120" s="432" t="s">
        <v>51</v>
      </c>
      <c r="H120" s="433">
        <v>1</v>
      </c>
      <c r="I120" s="349" t="str">
        <f t="shared" si="161"/>
        <v/>
      </c>
      <c r="J120" s="350" t="str">
        <f t="shared" si="162"/>
        <v/>
      </c>
      <c r="K120" s="351" t="str">
        <f t="shared" si="163"/>
        <v>x</v>
      </c>
      <c r="L120" s="258"/>
      <c r="M120" s="332"/>
      <c r="N120" s="336"/>
      <c r="O120" s="200"/>
      <c r="P120" s="200"/>
      <c r="Q120" s="442">
        <v>30</v>
      </c>
      <c r="R120" s="443">
        <v>10</v>
      </c>
      <c r="S120" s="444">
        <f t="shared" si="164"/>
        <v>60</v>
      </c>
      <c r="T120" s="328"/>
      <c r="U120" s="197" t="str">
        <f>IF(AND($I120="x",AND(MAX(Q120:S120)=Q120,Q120&gt;=0)),Data!$BI$2,"")</f>
        <v/>
      </c>
      <c r="V120" s="197" t="str">
        <f>IF(AND($J120="x",AND(MAX(Q120:S120)=R120,R120&gt;=0)),Data!$BJ$2,"")</f>
        <v/>
      </c>
      <c r="W120" s="197">
        <f>IF(AND($K120="x",AND(MAX(Q120:S120)=S120,S120&gt;=0)),Data!$BK$2,"")</f>
        <v>71</v>
      </c>
      <c r="X120" s="197"/>
      <c r="Y120" s="328"/>
      <c r="Z120" s="455">
        <v>30</v>
      </c>
      <c r="AA120" s="456">
        <v>10</v>
      </c>
      <c r="AB120" s="444">
        <f t="shared" si="165"/>
        <v>60</v>
      </c>
      <c r="AC120" s="328"/>
      <c r="AD120" s="197" t="str">
        <f>IF(AND($I120="x",AND(MAX(Z120:AB120)=Z120,Z120&lt;&gt;"")),Data!$BI$2,"")</f>
        <v/>
      </c>
      <c r="AE120" s="197" t="str">
        <f>IF(AND($J120="x",AND(MAX(Z120:AB120)=AA120,AA120&lt;&gt;"")),Data!$BJ$2,"")</f>
        <v/>
      </c>
      <c r="AF120" s="197">
        <f>IF(AND($K120="x",AND(MAX(Z120:AB120)=AB120,AB120&lt;&gt;"")),Data!$BK$2,"")</f>
        <v>71</v>
      </c>
      <c r="AG120" s="197"/>
      <c r="AH120" s="328"/>
      <c r="AI120" s="455">
        <v>30</v>
      </c>
      <c r="AJ120" s="456">
        <v>10</v>
      </c>
      <c r="AK120" s="444">
        <f t="shared" si="166"/>
        <v>60</v>
      </c>
      <c r="AL120" s="328"/>
      <c r="AM120" s="197" t="str">
        <f>IF(AND($I120="x",AND(MAX(AI120:AK120)=AI120,AI120&lt;&gt;"")),Data!$BI$2,"")</f>
        <v/>
      </c>
      <c r="AN120" s="197" t="str">
        <f>IF(AND($J120="x",AND(MAX(AI120:AK120)=AJ120,AJ120&lt;&gt;"")),Data!$BJ$2,"")</f>
        <v/>
      </c>
      <c r="AO120" s="197">
        <f>IF(AND($K120="x",AND(MAX(AI120:AK120)=AK120,AK120&lt;&gt;"")),Data!$BK$2,"")</f>
        <v>71</v>
      </c>
      <c r="AP120" s="197"/>
      <c r="AQ120" s="328"/>
      <c r="AR120" s="455">
        <v>30</v>
      </c>
      <c r="AS120" s="456">
        <v>10</v>
      </c>
      <c r="AT120" s="444">
        <f t="shared" si="167"/>
        <v>60</v>
      </c>
      <c r="AU120" s="328"/>
      <c r="AV120" s="197" t="str">
        <f>IF(AND($I120="x",AND(MAX(AR120:AT120)=AR120,AR120&lt;&gt;"")),Data!$BI$2,"")</f>
        <v/>
      </c>
      <c r="AW120" s="197" t="str">
        <f>IF(AND($J120="x",AND(MAX(AR120:AT120)=AS120,AS120&lt;&gt;"")),Data!$BJ$2,"")</f>
        <v/>
      </c>
      <c r="AX120" s="197">
        <f>IF(AND($K120="x",AND(MAX(AR120:AT120)=AT120,AT120&lt;&gt;"")),Data!$BK$2,"")</f>
        <v>71</v>
      </c>
      <c r="AY120" s="197"/>
      <c r="AZ120" s="328"/>
      <c r="BA120" s="455">
        <v>30</v>
      </c>
      <c r="BB120" s="456">
        <v>10</v>
      </c>
      <c r="BC120" s="444">
        <f t="shared" si="168"/>
        <v>60</v>
      </c>
      <c r="BD120" s="328"/>
      <c r="BE120" s="197" t="str">
        <f>IF(AND($I120="x",AND(MAX(BA120:BC120)=BA120,BA120&lt;&gt;"")),Data!$BI$2,"")</f>
        <v/>
      </c>
      <c r="BF120" s="197" t="str">
        <f>IF(AND($J120="x",AND(MAX(BA120:BC120)=BB120,BB120&lt;&gt;"")),Data!$BJ$2,"")</f>
        <v/>
      </c>
      <c r="BG120" s="197">
        <f>IF(AND($K120="x",AND(MAX(BA120:BC120)=BC120,BC120&lt;&gt;"")),Data!$BK$2,"")</f>
        <v>71</v>
      </c>
      <c r="BH120" s="197"/>
      <c r="BI120" s="328"/>
      <c r="BJ120" s="455">
        <v>30</v>
      </c>
      <c r="BK120" s="456">
        <v>10</v>
      </c>
      <c r="BL120" s="444">
        <f t="shared" si="169"/>
        <v>60</v>
      </c>
      <c r="BM120" s="328"/>
      <c r="BN120" s="197" t="str">
        <f>IF(AND($I120="x",AND(MAX(BJ120:BL120)=BJ120,BJ120&lt;&gt;"")),Data!$BI$2,"")</f>
        <v/>
      </c>
      <c r="BO120" s="197" t="str">
        <f>IF(AND($J120="x",AND(MAX(BJ120:BL120)=BK120,BK120&lt;&gt;"")),Data!$BJ$2,"")</f>
        <v/>
      </c>
      <c r="BP120" s="197">
        <f>IF(AND($K120="x",AND(MAX(BJ120:BL120)=BL120,BL120&lt;&gt;"")),Data!$BK$2,"")</f>
        <v>71</v>
      </c>
      <c r="BQ120" s="197"/>
      <c r="BR120" s="328"/>
      <c r="BS120" s="455">
        <v>30</v>
      </c>
      <c r="BT120" s="456">
        <v>10</v>
      </c>
      <c r="BU120" s="444">
        <f t="shared" si="170"/>
        <v>60</v>
      </c>
      <c r="BV120" s="328"/>
      <c r="BW120" s="197" t="str">
        <f>IF(AND($I120="x",AND(MAX(BS120:BU120)=BS120,BS120&lt;&gt;"")),Data!$BI$2,"")</f>
        <v/>
      </c>
      <c r="BX120" s="197" t="str">
        <f>IF(AND($J120="x",AND(MAX(BS120:BU120)=BT120,BT120&lt;&gt;"")),Data!$BJ$2,"")</f>
        <v/>
      </c>
      <c r="BY120" s="197">
        <f>IF(AND($K120="x",AND(MAX(BS120:BU120)=BU120,BU120&lt;&gt;"")),Data!$BK$2,"")</f>
        <v>71</v>
      </c>
      <c r="BZ120" s="197"/>
      <c r="CA120" s="328"/>
      <c r="CB120" s="463">
        <f t="shared" si="171"/>
        <v>30</v>
      </c>
      <c r="CC120" s="464">
        <f t="shared" si="172"/>
        <v>10</v>
      </c>
      <c r="CD120" s="465">
        <f t="shared" si="173"/>
        <v>60</v>
      </c>
      <c r="CE120" s="328"/>
      <c r="CF120" s="197" t="str">
        <f>IF(AND($I120="x",AND(MAX(CB120:CD120)=CB120,CB120&lt;&gt;"")),Data!$BI$2,"")</f>
        <v/>
      </c>
      <c r="CG120" s="197" t="str">
        <f>IF(AND($J120="x",AND(MAX(CB120:CD120)=CC120,CC120&lt;&gt;"")),Data!$BJ$2,"")</f>
        <v/>
      </c>
      <c r="CH120" s="197">
        <f>IF(AND($K120="x",AND(MAX(CB120:CD120)=CD120,CD120&lt;&gt;"")),Data!$BK$2,"")</f>
        <v>71</v>
      </c>
      <c r="CI120" s="197"/>
      <c r="CJ120" s="197"/>
      <c r="CK120" s="455">
        <v>30</v>
      </c>
      <c r="CL120" s="456">
        <v>10</v>
      </c>
      <c r="CM120" s="444">
        <f t="shared" si="174"/>
        <v>60</v>
      </c>
      <c r="CN120" s="328"/>
      <c r="CO120" s="197" t="str">
        <f>IF(AND($I120="x",AND(MAX(CK120:CM120)=CK120,CK120&lt;&gt;"")),Data!$BI$2,"")</f>
        <v/>
      </c>
      <c r="CP120" s="197" t="str">
        <f>IF(AND($J120="x",AND(MAX(CK120:CM120)=CL120,CL120&lt;&gt;"")),Data!$BJ$2,"")</f>
        <v/>
      </c>
      <c r="CQ120" s="197">
        <f>IF(AND($K120="x",AND(MAX(CK120:CM120)=CM120,CM120&lt;&gt;"")),Data!$BK$2,"")</f>
        <v>71</v>
      </c>
      <c r="CR120" s="197"/>
      <c r="CS120" s="197"/>
      <c r="CT120" s="328"/>
      <c r="CU120" s="255"/>
      <c r="CV120" s="209"/>
      <c r="CW120" s="227"/>
    </row>
    <row r="121" spans="1:101" x14ac:dyDescent="0.2">
      <c r="A121" s="227"/>
      <c r="B121" s="227"/>
      <c r="C121" s="168"/>
      <c r="D121" s="232"/>
      <c r="E121" s="134" t="s">
        <v>116</v>
      </c>
      <c r="F121" s="424"/>
      <c r="G121" s="428" t="s">
        <v>51</v>
      </c>
      <c r="H121" s="429">
        <v>1</v>
      </c>
      <c r="I121" s="138" t="str">
        <f t="shared" si="161"/>
        <v/>
      </c>
      <c r="J121" s="344" t="str">
        <f t="shared" si="162"/>
        <v/>
      </c>
      <c r="K121" s="345" t="str">
        <f t="shared" si="163"/>
        <v>x</v>
      </c>
      <c r="L121" s="258"/>
      <c r="M121" s="332"/>
      <c r="N121" s="336"/>
      <c r="O121" s="200"/>
      <c r="P121" s="200"/>
      <c r="Q121" s="436">
        <v>30</v>
      </c>
      <c r="R121" s="437">
        <v>10</v>
      </c>
      <c r="S121" s="438">
        <f t="shared" si="164"/>
        <v>60</v>
      </c>
      <c r="T121" s="328"/>
      <c r="U121" s="197" t="str">
        <f>IF(AND($I121="x",AND(MAX(Q121:S121)=Q121,Q121&gt;=0)),Data!$BI$2,"")</f>
        <v/>
      </c>
      <c r="V121" s="197" t="str">
        <f>IF(AND($J121="x",AND(MAX(Q121:S121)=R121,R121&gt;=0)),Data!$BJ$2,"")</f>
        <v/>
      </c>
      <c r="W121" s="197">
        <f>IF(AND($K121="x",AND(MAX(Q121:S121)=S121,S121&gt;=0)),Data!$BK$2,"")</f>
        <v>71</v>
      </c>
      <c r="X121" s="197"/>
      <c r="Y121" s="328"/>
      <c r="Z121" s="451">
        <v>30</v>
      </c>
      <c r="AA121" s="452">
        <v>10</v>
      </c>
      <c r="AB121" s="438">
        <f t="shared" si="165"/>
        <v>60</v>
      </c>
      <c r="AC121" s="328"/>
      <c r="AD121" s="197" t="str">
        <f>IF(AND($I121="x",AND(MAX(Z121:AB121)=Z121,Z121&lt;&gt;"")),Data!$BI$2,"")</f>
        <v/>
      </c>
      <c r="AE121" s="197" t="str">
        <f>IF(AND($J121="x",AND(MAX(Z121:AB121)=AA121,AA121&lt;&gt;"")),Data!$BJ$2,"")</f>
        <v/>
      </c>
      <c r="AF121" s="197">
        <f>IF(AND($K121="x",AND(MAX(Z121:AB121)=AB121,AB121&lt;&gt;"")),Data!$BK$2,"")</f>
        <v>71</v>
      </c>
      <c r="AG121" s="197"/>
      <c r="AH121" s="328"/>
      <c r="AI121" s="451">
        <v>30</v>
      </c>
      <c r="AJ121" s="452">
        <v>10</v>
      </c>
      <c r="AK121" s="438">
        <f t="shared" si="166"/>
        <v>60</v>
      </c>
      <c r="AL121" s="328"/>
      <c r="AM121" s="197" t="str">
        <f>IF(AND($I121="x",AND(MAX(AI121:AK121)=AI121,AI121&lt;&gt;"")),Data!$BI$2,"")</f>
        <v/>
      </c>
      <c r="AN121" s="197" t="str">
        <f>IF(AND($J121="x",AND(MAX(AI121:AK121)=AJ121,AJ121&lt;&gt;"")),Data!$BJ$2,"")</f>
        <v/>
      </c>
      <c r="AO121" s="197">
        <f>IF(AND($K121="x",AND(MAX(AI121:AK121)=AK121,AK121&lt;&gt;"")),Data!$BK$2,"")</f>
        <v>71</v>
      </c>
      <c r="AP121" s="197"/>
      <c r="AQ121" s="328"/>
      <c r="AR121" s="451">
        <v>30</v>
      </c>
      <c r="AS121" s="452">
        <v>10</v>
      </c>
      <c r="AT121" s="438">
        <f t="shared" si="167"/>
        <v>60</v>
      </c>
      <c r="AU121" s="328"/>
      <c r="AV121" s="197" t="str">
        <f>IF(AND($I121="x",AND(MAX(AR121:AT121)=AR121,AR121&lt;&gt;"")),Data!$BI$2,"")</f>
        <v/>
      </c>
      <c r="AW121" s="197" t="str">
        <f>IF(AND($J121="x",AND(MAX(AR121:AT121)=AS121,AS121&lt;&gt;"")),Data!$BJ$2,"")</f>
        <v/>
      </c>
      <c r="AX121" s="197">
        <f>IF(AND($K121="x",AND(MAX(AR121:AT121)=AT121,AT121&lt;&gt;"")),Data!$BK$2,"")</f>
        <v>71</v>
      </c>
      <c r="AY121" s="197"/>
      <c r="AZ121" s="328"/>
      <c r="BA121" s="451">
        <v>30</v>
      </c>
      <c r="BB121" s="452">
        <v>10</v>
      </c>
      <c r="BC121" s="438">
        <f t="shared" si="168"/>
        <v>60</v>
      </c>
      <c r="BD121" s="328"/>
      <c r="BE121" s="197" t="str">
        <f>IF(AND($I121="x",AND(MAX(BA121:BC121)=BA121,BA121&lt;&gt;"")),Data!$BI$2,"")</f>
        <v/>
      </c>
      <c r="BF121" s="197" t="str">
        <f>IF(AND($J121="x",AND(MAX(BA121:BC121)=BB121,BB121&lt;&gt;"")),Data!$BJ$2,"")</f>
        <v/>
      </c>
      <c r="BG121" s="197">
        <f>IF(AND($K121="x",AND(MAX(BA121:BC121)=BC121,BC121&lt;&gt;"")),Data!$BK$2,"")</f>
        <v>71</v>
      </c>
      <c r="BH121" s="197"/>
      <c r="BI121" s="328"/>
      <c r="BJ121" s="451">
        <v>30</v>
      </c>
      <c r="BK121" s="452">
        <v>10</v>
      </c>
      <c r="BL121" s="438">
        <f t="shared" si="169"/>
        <v>60</v>
      </c>
      <c r="BM121" s="328"/>
      <c r="BN121" s="197" t="str">
        <f>IF(AND($I121="x",AND(MAX(BJ121:BL121)=BJ121,BJ121&lt;&gt;"")),Data!$BI$2,"")</f>
        <v/>
      </c>
      <c r="BO121" s="197" t="str">
        <f>IF(AND($J121="x",AND(MAX(BJ121:BL121)=BK121,BK121&lt;&gt;"")),Data!$BJ$2,"")</f>
        <v/>
      </c>
      <c r="BP121" s="197">
        <f>IF(AND($K121="x",AND(MAX(BJ121:BL121)=BL121,BL121&lt;&gt;"")),Data!$BK$2,"")</f>
        <v>71</v>
      </c>
      <c r="BQ121" s="197"/>
      <c r="BR121" s="328"/>
      <c r="BS121" s="451">
        <v>30</v>
      </c>
      <c r="BT121" s="452">
        <v>10</v>
      </c>
      <c r="BU121" s="438">
        <f t="shared" si="170"/>
        <v>60</v>
      </c>
      <c r="BV121" s="328"/>
      <c r="BW121" s="197" t="str">
        <f>IF(AND($I121="x",AND(MAX(BS121:BU121)=BS121,BS121&lt;&gt;"")),Data!$BI$2,"")</f>
        <v/>
      </c>
      <c r="BX121" s="197" t="str">
        <f>IF(AND($J121="x",AND(MAX(BS121:BU121)=BT121,BT121&lt;&gt;"")),Data!$BJ$2,"")</f>
        <v/>
      </c>
      <c r="BY121" s="197">
        <f>IF(AND($K121="x",AND(MAX(BS121:BU121)=BU121,BU121&lt;&gt;"")),Data!$BK$2,"")</f>
        <v>71</v>
      </c>
      <c r="BZ121" s="197"/>
      <c r="CA121" s="328"/>
      <c r="CB121" s="457">
        <f t="shared" si="171"/>
        <v>30</v>
      </c>
      <c r="CC121" s="458">
        <f t="shared" si="172"/>
        <v>10</v>
      </c>
      <c r="CD121" s="459">
        <f t="shared" si="173"/>
        <v>60</v>
      </c>
      <c r="CE121" s="328"/>
      <c r="CF121" s="197" t="str">
        <f>IF(AND($I121="x",AND(MAX(CB121:CD121)=CB121,CB121&lt;&gt;"")),Data!$BI$2,"")</f>
        <v/>
      </c>
      <c r="CG121" s="197" t="str">
        <f>IF(AND($J121="x",AND(MAX(CB121:CD121)=CC121,CC121&lt;&gt;"")),Data!$BJ$2,"")</f>
        <v/>
      </c>
      <c r="CH121" s="197">
        <f>IF(AND($K121="x",AND(MAX(CB121:CD121)=CD121,CD121&lt;&gt;"")),Data!$BK$2,"")</f>
        <v>71</v>
      </c>
      <c r="CI121" s="197"/>
      <c r="CJ121" s="197"/>
      <c r="CK121" s="451">
        <v>30</v>
      </c>
      <c r="CL121" s="452">
        <v>10</v>
      </c>
      <c r="CM121" s="438">
        <f t="shared" si="174"/>
        <v>60</v>
      </c>
      <c r="CN121" s="328"/>
      <c r="CO121" s="197" t="str">
        <f>IF(AND($I121="x",AND(MAX(CK121:CM121)=CK121,CK121&lt;&gt;"")),Data!$BI$2,"")</f>
        <v/>
      </c>
      <c r="CP121" s="197" t="str">
        <f>IF(AND($J121="x",AND(MAX(CK121:CM121)=CL121,CL121&lt;&gt;"")),Data!$BJ$2,"")</f>
        <v/>
      </c>
      <c r="CQ121" s="197">
        <f>IF(AND($K121="x",AND(MAX(CK121:CM121)=CM121,CM121&lt;&gt;"")),Data!$BK$2,"")</f>
        <v>71</v>
      </c>
      <c r="CR121" s="197"/>
      <c r="CS121" s="197"/>
      <c r="CT121" s="328"/>
      <c r="CU121" s="255"/>
      <c r="CV121" s="209"/>
      <c r="CW121" s="227"/>
    </row>
    <row r="122" spans="1:101" x14ac:dyDescent="0.2">
      <c r="A122" s="227"/>
      <c r="B122" s="227"/>
      <c r="C122" s="168"/>
      <c r="D122" s="232"/>
      <c r="E122" s="135" t="s">
        <v>117</v>
      </c>
      <c r="F122" s="425"/>
      <c r="G122" s="430" t="s">
        <v>51</v>
      </c>
      <c r="H122" s="431">
        <v>1</v>
      </c>
      <c r="I122" s="346" t="str">
        <f t="shared" si="161"/>
        <v/>
      </c>
      <c r="J122" s="347" t="str">
        <f t="shared" si="162"/>
        <v/>
      </c>
      <c r="K122" s="348" t="str">
        <f t="shared" si="163"/>
        <v>x</v>
      </c>
      <c r="L122" s="258"/>
      <c r="M122" s="332"/>
      <c r="N122" s="336"/>
      <c r="O122" s="200"/>
      <c r="P122" s="200"/>
      <c r="Q122" s="439">
        <v>30</v>
      </c>
      <c r="R122" s="440">
        <v>10</v>
      </c>
      <c r="S122" s="441">
        <f t="shared" si="164"/>
        <v>60</v>
      </c>
      <c r="T122" s="328"/>
      <c r="U122" s="197" t="str">
        <f>IF(AND($I122="x",AND(MAX(Q122:S122)=Q122,Q122&gt;=0)),Data!$BI$2,"")</f>
        <v/>
      </c>
      <c r="V122" s="197" t="str">
        <f>IF(AND($J122="x",AND(MAX(Q122:S122)=R122,R122&gt;=0)),Data!$BJ$2,"")</f>
        <v/>
      </c>
      <c r="W122" s="197">
        <f>IF(AND($K122="x",AND(MAX(Q122:S122)=S122,S122&gt;=0)),Data!$BK$2,"")</f>
        <v>71</v>
      </c>
      <c r="X122" s="197"/>
      <c r="Y122" s="328"/>
      <c r="Z122" s="453">
        <v>30</v>
      </c>
      <c r="AA122" s="454">
        <v>10</v>
      </c>
      <c r="AB122" s="441">
        <f t="shared" si="165"/>
        <v>60</v>
      </c>
      <c r="AC122" s="328"/>
      <c r="AD122" s="197" t="str">
        <f>IF(AND($I122="x",AND(MAX(Z122:AB122)=Z122,Z122&lt;&gt;"")),Data!$BI$2,"")</f>
        <v/>
      </c>
      <c r="AE122" s="197" t="str">
        <f>IF(AND($J122="x",AND(MAX(Z122:AB122)=AA122,AA122&lt;&gt;"")),Data!$BJ$2,"")</f>
        <v/>
      </c>
      <c r="AF122" s="197">
        <f>IF(AND($K122="x",AND(MAX(Z122:AB122)=AB122,AB122&lt;&gt;"")),Data!$BK$2,"")</f>
        <v>71</v>
      </c>
      <c r="AG122" s="197"/>
      <c r="AH122" s="328"/>
      <c r="AI122" s="453">
        <v>30</v>
      </c>
      <c r="AJ122" s="454">
        <v>10</v>
      </c>
      <c r="AK122" s="441">
        <f t="shared" si="166"/>
        <v>60</v>
      </c>
      <c r="AL122" s="328"/>
      <c r="AM122" s="197" t="str">
        <f>IF(AND($I122="x",AND(MAX(AI122:AK122)=AI122,AI122&lt;&gt;"")),Data!$BI$2,"")</f>
        <v/>
      </c>
      <c r="AN122" s="197" t="str">
        <f>IF(AND($J122="x",AND(MAX(AI122:AK122)=AJ122,AJ122&lt;&gt;"")),Data!$BJ$2,"")</f>
        <v/>
      </c>
      <c r="AO122" s="197">
        <f>IF(AND($K122="x",AND(MAX(AI122:AK122)=AK122,AK122&lt;&gt;"")),Data!$BK$2,"")</f>
        <v>71</v>
      </c>
      <c r="AP122" s="197"/>
      <c r="AQ122" s="328"/>
      <c r="AR122" s="453">
        <v>30</v>
      </c>
      <c r="AS122" s="454">
        <v>10</v>
      </c>
      <c r="AT122" s="441">
        <f t="shared" si="167"/>
        <v>60</v>
      </c>
      <c r="AU122" s="328"/>
      <c r="AV122" s="197" t="str">
        <f>IF(AND($I122="x",AND(MAX(AR122:AT122)=AR122,AR122&lt;&gt;"")),Data!$BI$2,"")</f>
        <v/>
      </c>
      <c r="AW122" s="197" t="str">
        <f>IF(AND($J122="x",AND(MAX(AR122:AT122)=AS122,AS122&lt;&gt;"")),Data!$BJ$2,"")</f>
        <v/>
      </c>
      <c r="AX122" s="197">
        <f>IF(AND($K122="x",AND(MAX(AR122:AT122)=AT122,AT122&lt;&gt;"")),Data!$BK$2,"")</f>
        <v>71</v>
      </c>
      <c r="AY122" s="197"/>
      <c r="AZ122" s="328"/>
      <c r="BA122" s="453">
        <v>30</v>
      </c>
      <c r="BB122" s="454">
        <v>10</v>
      </c>
      <c r="BC122" s="441">
        <f t="shared" si="168"/>
        <v>60</v>
      </c>
      <c r="BD122" s="328"/>
      <c r="BE122" s="197" t="str">
        <f>IF(AND($I122="x",AND(MAX(BA122:BC122)=BA122,BA122&lt;&gt;"")),Data!$BI$2,"")</f>
        <v/>
      </c>
      <c r="BF122" s="197" t="str">
        <f>IF(AND($J122="x",AND(MAX(BA122:BC122)=BB122,BB122&lt;&gt;"")),Data!$BJ$2,"")</f>
        <v/>
      </c>
      <c r="BG122" s="197">
        <f>IF(AND($K122="x",AND(MAX(BA122:BC122)=BC122,BC122&lt;&gt;"")),Data!$BK$2,"")</f>
        <v>71</v>
      </c>
      <c r="BH122" s="197"/>
      <c r="BI122" s="328"/>
      <c r="BJ122" s="453">
        <v>30</v>
      </c>
      <c r="BK122" s="454">
        <v>10</v>
      </c>
      <c r="BL122" s="441">
        <f t="shared" si="169"/>
        <v>60</v>
      </c>
      <c r="BM122" s="328"/>
      <c r="BN122" s="197" t="str">
        <f>IF(AND($I122="x",AND(MAX(BJ122:BL122)=BJ122,BJ122&lt;&gt;"")),Data!$BI$2,"")</f>
        <v/>
      </c>
      <c r="BO122" s="197" t="str">
        <f>IF(AND($J122="x",AND(MAX(BJ122:BL122)=BK122,BK122&lt;&gt;"")),Data!$BJ$2,"")</f>
        <v/>
      </c>
      <c r="BP122" s="197">
        <f>IF(AND($K122="x",AND(MAX(BJ122:BL122)=BL122,BL122&lt;&gt;"")),Data!$BK$2,"")</f>
        <v>71</v>
      </c>
      <c r="BQ122" s="197"/>
      <c r="BR122" s="328"/>
      <c r="BS122" s="453">
        <v>30</v>
      </c>
      <c r="BT122" s="454">
        <v>10</v>
      </c>
      <c r="BU122" s="441">
        <f t="shared" si="170"/>
        <v>60</v>
      </c>
      <c r="BV122" s="328"/>
      <c r="BW122" s="197" t="str">
        <f>IF(AND($I122="x",AND(MAX(BS122:BU122)=BS122,BS122&lt;&gt;"")),Data!$BI$2,"")</f>
        <v/>
      </c>
      <c r="BX122" s="197" t="str">
        <f>IF(AND($J122="x",AND(MAX(BS122:BU122)=BT122,BT122&lt;&gt;"")),Data!$BJ$2,"")</f>
        <v/>
      </c>
      <c r="BY122" s="197">
        <f>IF(AND($K122="x",AND(MAX(BS122:BU122)=BU122,BU122&lt;&gt;"")),Data!$BK$2,"")</f>
        <v>71</v>
      </c>
      <c r="BZ122" s="197"/>
      <c r="CA122" s="328"/>
      <c r="CB122" s="460">
        <f t="shared" si="171"/>
        <v>30</v>
      </c>
      <c r="CC122" s="461">
        <f t="shared" si="172"/>
        <v>10</v>
      </c>
      <c r="CD122" s="462">
        <f t="shared" si="173"/>
        <v>60</v>
      </c>
      <c r="CE122" s="328"/>
      <c r="CF122" s="197" t="str">
        <f>IF(AND($I122="x",AND(MAX(CB122:CD122)=CB122,CB122&lt;&gt;"")),Data!$BI$2,"")</f>
        <v/>
      </c>
      <c r="CG122" s="197" t="str">
        <f>IF(AND($J122="x",AND(MAX(CB122:CD122)=CC122,CC122&lt;&gt;"")),Data!$BJ$2,"")</f>
        <v/>
      </c>
      <c r="CH122" s="197">
        <f>IF(AND($K122="x",AND(MAX(CB122:CD122)=CD122,CD122&lt;&gt;"")),Data!$BK$2,"")</f>
        <v>71</v>
      </c>
      <c r="CI122" s="197"/>
      <c r="CJ122" s="197"/>
      <c r="CK122" s="453">
        <v>30</v>
      </c>
      <c r="CL122" s="454">
        <v>10</v>
      </c>
      <c r="CM122" s="441">
        <f t="shared" si="174"/>
        <v>60</v>
      </c>
      <c r="CN122" s="328"/>
      <c r="CO122" s="197" t="str">
        <f>IF(AND($I122="x",AND(MAX(CK122:CM122)=CK122,CK122&lt;&gt;"")),Data!$BI$2,"")</f>
        <v/>
      </c>
      <c r="CP122" s="197" t="str">
        <f>IF(AND($J122="x",AND(MAX(CK122:CM122)=CL122,CL122&lt;&gt;"")),Data!$BJ$2,"")</f>
        <v/>
      </c>
      <c r="CQ122" s="197">
        <f>IF(AND($K122="x",AND(MAX(CK122:CM122)=CM122,CM122&lt;&gt;"")),Data!$BK$2,"")</f>
        <v>71</v>
      </c>
      <c r="CR122" s="197"/>
      <c r="CS122" s="197"/>
      <c r="CT122" s="328"/>
      <c r="CU122" s="255"/>
      <c r="CV122" s="209"/>
      <c r="CW122" s="227"/>
    </row>
    <row r="123" spans="1:101" x14ac:dyDescent="0.2">
      <c r="A123" s="227"/>
      <c r="B123" s="227"/>
      <c r="C123" s="168"/>
      <c r="D123" s="232"/>
      <c r="E123" s="136" t="s">
        <v>118</v>
      </c>
      <c r="F123" s="426"/>
      <c r="G123" s="432" t="s">
        <v>51</v>
      </c>
      <c r="H123" s="433">
        <v>1</v>
      </c>
      <c r="I123" s="349" t="str">
        <f t="shared" si="161"/>
        <v/>
      </c>
      <c r="J123" s="350" t="str">
        <f t="shared" si="162"/>
        <v/>
      </c>
      <c r="K123" s="351" t="str">
        <f t="shared" si="163"/>
        <v>x</v>
      </c>
      <c r="L123" s="258"/>
      <c r="M123" s="332"/>
      <c r="N123" s="336"/>
      <c r="O123" s="200"/>
      <c r="P123" s="200"/>
      <c r="Q123" s="445">
        <v>30</v>
      </c>
      <c r="R123" s="446">
        <v>10</v>
      </c>
      <c r="S123" s="447">
        <f t="shared" si="164"/>
        <v>60</v>
      </c>
      <c r="T123" s="328"/>
      <c r="U123" s="197" t="str">
        <f>IF(AND($I123="x",AND(MAX(Q123:S123)=Q123,Q123&gt;=0)),Data!$BI$2,"")</f>
        <v/>
      </c>
      <c r="V123" s="197" t="str">
        <f>IF(AND($J123="x",AND(MAX(Q123:S123)=R123,R123&gt;=0)),Data!$BJ$2,"")</f>
        <v/>
      </c>
      <c r="W123" s="197">
        <f>IF(AND($K123="x",AND(MAX(Q123:S123)=S123,S123&gt;=0)),Data!$BK$2,"")</f>
        <v>71</v>
      </c>
      <c r="X123" s="197"/>
      <c r="Y123" s="328"/>
      <c r="Z123" s="455">
        <v>30</v>
      </c>
      <c r="AA123" s="456">
        <v>10</v>
      </c>
      <c r="AB123" s="447">
        <f t="shared" si="165"/>
        <v>60</v>
      </c>
      <c r="AC123" s="328"/>
      <c r="AD123" s="197" t="str">
        <f>IF(AND($I123="x",AND(MAX(Z123:AB123)=Z123,Z123&lt;&gt;"")),Data!$BI$2,"")</f>
        <v/>
      </c>
      <c r="AE123" s="197" t="str">
        <f>IF(AND($J123="x",AND(MAX(Z123:AB123)=AA123,AA123&lt;&gt;"")),Data!$BJ$2,"")</f>
        <v/>
      </c>
      <c r="AF123" s="197">
        <f>IF(AND($K123="x",AND(MAX(Z123:AB123)=AB123,AB123&lt;&gt;"")),Data!$BK$2,"")</f>
        <v>71</v>
      </c>
      <c r="AG123" s="197"/>
      <c r="AH123" s="328"/>
      <c r="AI123" s="455">
        <v>30</v>
      </c>
      <c r="AJ123" s="456">
        <v>10</v>
      </c>
      <c r="AK123" s="447">
        <f t="shared" si="166"/>
        <v>60</v>
      </c>
      <c r="AL123" s="328"/>
      <c r="AM123" s="197" t="str">
        <f>IF(AND($I123="x",AND(MAX(AI123:AK123)=AI123,AI123&lt;&gt;"")),Data!$BI$2,"")</f>
        <v/>
      </c>
      <c r="AN123" s="197" t="str">
        <f>IF(AND($J123="x",AND(MAX(AI123:AK123)=AJ123,AJ123&lt;&gt;"")),Data!$BJ$2,"")</f>
        <v/>
      </c>
      <c r="AO123" s="197">
        <f>IF(AND($K123="x",AND(MAX(AI123:AK123)=AK123,AK123&lt;&gt;"")),Data!$BK$2,"")</f>
        <v>71</v>
      </c>
      <c r="AP123" s="197"/>
      <c r="AQ123" s="328"/>
      <c r="AR123" s="455">
        <v>30</v>
      </c>
      <c r="AS123" s="456">
        <v>10</v>
      </c>
      <c r="AT123" s="447">
        <f t="shared" si="167"/>
        <v>60</v>
      </c>
      <c r="AU123" s="328"/>
      <c r="AV123" s="197" t="str">
        <f>IF(AND($I123="x",AND(MAX(AR123:AT123)=AR123,AR123&lt;&gt;"")),Data!$BI$2,"")</f>
        <v/>
      </c>
      <c r="AW123" s="197" t="str">
        <f>IF(AND($J123="x",AND(MAX(AR123:AT123)=AS123,AS123&lt;&gt;"")),Data!$BJ$2,"")</f>
        <v/>
      </c>
      <c r="AX123" s="197">
        <f>IF(AND($K123="x",AND(MAX(AR123:AT123)=AT123,AT123&lt;&gt;"")),Data!$BK$2,"")</f>
        <v>71</v>
      </c>
      <c r="AY123" s="197"/>
      <c r="AZ123" s="328"/>
      <c r="BA123" s="455">
        <v>30</v>
      </c>
      <c r="BB123" s="456">
        <v>10</v>
      </c>
      <c r="BC123" s="447">
        <f t="shared" si="168"/>
        <v>60</v>
      </c>
      <c r="BD123" s="328"/>
      <c r="BE123" s="197" t="str">
        <f>IF(AND($I123="x",AND(MAX(BA123:BC123)=BA123,BA123&lt;&gt;"")),Data!$BI$2,"")</f>
        <v/>
      </c>
      <c r="BF123" s="197" t="str">
        <f>IF(AND($J123="x",AND(MAX(BA123:BC123)=BB123,BB123&lt;&gt;"")),Data!$BJ$2,"")</f>
        <v/>
      </c>
      <c r="BG123" s="197">
        <f>IF(AND($K123="x",AND(MAX(BA123:BC123)=BC123,BC123&lt;&gt;"")),Data!$BK$2,"")</f>
        <v>71</v>
      </c>
      <c r="BH123" s="197"/>
      <c r="BI123" s="328"/>
      <c r="BJ123" s="455">
        <v>30</v>
      </c>
      <c r="BK123" s="456">
        <v>10</v>
      </c>
      <c r="BL123" s="447">
        <f t="shared" si="169"/>
        <v>60</v>
      </c>
      <c r="BM123" s="328"/>
      <c r="BN123" s="197" t="str">
        <f>IF(AND($I123="x",AND(MAX(BJ123:BL123)=BJ123,BJ123&lt;&gt;"")),Data!$BI$2,"")</f>
        <v/>
      </c>
      <c r="BO123" s="197" t="str">
        <f>IF(AND($J123="x",AND(MAX(BJ123:BL123)=BK123,BK123&lt;&gt;"")),Data!$BJ$2,"")</f>
        <v/>
      </c>
      <c r="BP123" s="197">
        <f>IF(AND($K123="x",AND(MAX(BJ123:BL123)=BL123,BL123&lt;&gt;"")),Data!$BK$2,"")</f>
        <v>71</v>
      </c>
      <c r="BQ123" s="197"/>
      <c r="BR123" s="328"/>
      <c r="BS123" s="455">
        <v>30</v>
      </c>
      <c r="BT123" s="456">
        <v>10</v>
      </c>
      <c r="BU123" s="447">
        <f t="shared" si="170"/>
        <v>60</v>
      </c>
      <c r="BV123" s="328"/>
      <c r="BW123" s="197" t="str">
        <f>IF(AND($I123="x",AND(MAX(BS123:BU123)=BS123,BS123&lt;&gt;"")),Data!$BI$2,"")</f>
        <v/>
      </c>
      <c r="BX123" s="197" t="str">
        <f>IF(AND($J123="x",AND(MAX(BS123:BU123)=BT123,BT123&lt;&gt;"")),Data!$BJ$2,"")</f>
        <v/>
      </c>
      <c r="BY123" s="197">
        <f>IF(AND($K123="x",AND(MAX(BS123:BU123)=BU123,BU123&lt;&gt;"")),Data!$BK$2,"")</f>
        <v>71</v>
      </c>
      <c r="BZ123" s="197"/>
      <c r="CA123" s="328"/>
      <c r="CB123" s="463">
        <f t="shared" si="171"/>
        <v>30</v>
      </c>
      <c r="CC123" s="464">
        <f t="shared" si="172"/>
        <v>10</v>
      </c>
      <c r="CD123" s="465">
        <f t="shared" si="173"/>
        <v>60</v>
      </c>
      <c r="CE123" s="328"/>
      <c r="CF123" s="197" t="str">
        <f>IF(AND($I123="x",AND(MAX(CB123:CD123)=CB123,CB123&lt;&gt;"")),Data!$BI$2,"")</f>
        <v/>
      </c>
      <c r="CG123" s="197" t="str">
        <f>IF(AND($J123="x",AND(MAX(CB123:CD123)=CC123,CC123&lt;&gt;"")),Data!$BJ$2,"")</f>
        <v/>
      </c>
      <c r="CH123" s="197">
        <f>IF(AND($K123="x",AND(MAX(CB123:CD123)=CD123,CD123&lt;&gt;"")),Data!$BK$2,"")</f>
        <v>71</v>
      </c>
      <c r="CI123" s="197"/>
      <c r="CJ123" s="197"/>
      <c r="CK123" s="455">
        <v>30</v>
      </c>
      <c r="CL123" s="456">
        <v>10</v>
      </c>
      <c r="CM123" s="447">
        <f t="shared" si="174"/>
        <v>60</v>
      </c>
      <c r="CN123" s="328"/>
      <c r="CO123" s="197" t="str">
        <f>IF(AND($I123="x",AND(MAX(CK123:CM123)=CK123,CK123&lt;&gt;"")),Data!$BI$2,"")</f>
        <v/>
      </c>
      <c r="CP123" s="197" t="str">
        <f>IF(AND($J123="x",AND(MAX(CK123:CM123)=CL123,CL123&lt;&gt;"")),Data!$BJ$2,"")</f>
        <v/>
      </c>
      <c r="CQ123" s="197">
        <f>IF(AND($K123="x",AND(MAX(CK123:CM123)=CM123,CM123&lt;&gt;"")),Data!$BK$2,"")</f>
        <v>71</v>
      </c>
      <c r="CR123" s="197"/>
      <c r="CS123" s="197"/>
      <c r="CT123" s="328"/>
      <c r="CU123" s="255"/>
      <c r="CV123" s="209"/>
      <c r="CW123" s="227"/>
    </row>
    <row r="124" spans="1:101" x14ac:dyDescent="0.2">
      <c r="A124" s="227"/>
      <c r="B124" s="227"/>
      <c r="C124" s="168"/>
      <c r="D124" s="232"/>
      <c r="E124" s="134" t="s">
        <v>119</v>
      </c>
      <c r="F124" s="424"/>
      <c r="G124" s="428" t="s">
        <v>51</v>
      </c>
      <c r="H124" s="429">
        <v>1</v>
      </c>
      <c r="I124" s="138" t="str">
        <f t="shared" si="161"/>
        <v/>
      </c>
      <c r="J124" s="344" t="str">
        <f t="shared" si="162"/>
        <v/>
      </c>
      <c r="K124" s="345" t="str">
        <f t="shared" si="163"/>
        <v>x</v>
      </c>
      <c r="L124" s="258"/>
      <c r="M124" s="332"/>
      <c r="N124" s="336"/>
      <c r="O124" s="200"/>
      <c r="P124" s="200"/>
      <c r="Q124" s="436">
        <v>30</v>
      </c>
      <c r="R124" s="437">
        <v>10</v>
      </c>
      <c r="S124" s="438">
        <f t="shared" si="164"/>
        <v>60</v>
      </c>
      <c r="T124" s="328"/>
      <c r="U124" s="197" t="str">
        <f>IF(AND($I124="x",AND(MAX(Q124:S124)=Q124,Q124&gt;=0)),Data!$BI$2,"")</f>
        <v/>
      </c>
      <c r="V124" s="197" t="str">
        <f>IF(AND($J124="x",AND(MAX(Q124:S124)=R124,R124&gt;=0)),Data!$BJ$2,"")</f>
        <v/>
      </c>
      <c r="W124" s="197">
        <f>IF(AND($K124="x",AND(MAX(Q124:S124)=S124,S124&gt;=0)),Data!$BK$2,"")</f>
        <v>71</v>
      </c>
      <c r="X124" s="197"/>
      <c r="Y124" s="328"/>
      <c r="Z124" s="451">
        <v>30</v>
      </c>
      <c r="AA124" s="452">
        <v>10</v>
      </c>
      <c r="AB124" s="438">
        <f t="shared" si="165"/>
        <v>60</v>
      </c>
      <c r="AC124" s="328"/>
      <c r="AD124" s="197" t="str">
        <f>IF(AND($I124="x",AND(MAX(Z124:AB124)=Z124,Z124&lt;&gt;"")),Data!$BI$2,"")</f>
        <v/>
      </c>
      <c r="AE124" s="197" t="str">
        <f>IF(AND($J124="x",AND(MAX(Z124:AB124)=AA124,AA124&lt;&gt;"")),Data!$BJ$2,"")</f>
        <v/>
      </c>
      <c r="AF124" s="197">
        <f>IF(AND($K124="x",AND(MAX(Z124:AB124)=AB124,AB124&lt;&gt;"")),Data!$BK$2,"")</f>
        <v>71</v>
      </c>
      <c r="AG124" s="197"/>
      <c r="AH124" s="328"/>
      <c r="AI124" s="451">
        <v>30</v>
      </c>
      <c r="AJ124" s="452">
        <v>10</v>
      </c>
      <c r="AK124" s="438">
        <f t="shared" si="166"/>
        <v>60</v>
      </c>
      <c r="AL124" s="328"/>
      <c r="AM124" s="197" t="str">
        <f>IF(AND($I124="x",AND(MAX(AI124:AK124)=AI124,AI124&lt;&gt;"")),Data!$BI$2,"")</f>
        <v/>
      </c>
      <c r="AN124" s="197" t="str">
        <f>IF(AND($J124="x",AND(MAX(AI124:AK124)=AJ124,AJ124&lt;&gt;"")),Data!$BJ$2,"")</f>
        <v/>
      </c>
      <c r="AO124" s="197">
        <f>IF(AND($K124="x",AND(MAX(AI124:AK124)=AK124,AK124&lt;&gt;"")),Data!$BK$2,"")</f>
        <v>71</v>
      </c>
      <c r="AP124" s="197"/>
      <c r="AQ124" s="328"/>
      <c r="AR124" s="451">
        <v>30</v>
      </c>
      <c r="AS124" s="452">
        <v>10</v>
      </c>
      <c r="AT124" s="438">
        <f t="shared" si="167"/>
        <v>60</v>
      </c>
      <c r="AU124" s="328"/>
      <c r="AV124" s="197" t="str">
        <f>IF(AND($I124="x",AND(MAX(AR124:AT124)=AR124,AR124&lt;&gt;"")),Data!$BI$2,"")</f>
        <v/>
      </c>
      <c r="AW124" s="197" t="str">
        <f>IF(AND($J124="x",AND(MAX(AR124:AT124)=AS124,AS124&lt;&gt;"")),Data!$BJ$2,"")</f>
        <v/>
      </c>
      <c r="AX124" s="197">
        <f>IF(AND($K124="x",AND(MAX(AR124:AT124)=AT124,AT124&lt;&gt;"")),Data!$BK$2,"")</f>
        <v>71</v>
      </c>
      <c r="AY124" s="197"/>
      <c r="AZ124" s="328"/>
      <c r="BA124" s="451">
        <v>30</v>
      </c>
      <c r="BB124" s="452">
        <v>10</v>
      </c>
      <c r="BC124" s="438">
        <f t="shared" si="168"/>
        <v>60</v>
      </c>
      <c r="BD124" s="328"/>
      <c r="BE124" s="197" t="str">
        <f>IF(AND($I124="x",AND(MAX(BA124:BC124)=BA124,BA124&lt;&gt;"")),Data!$BI$2,"")</f>
        <v/>
      </c>
      <c r="BF124" s="197" t="str">
        <f>IF(AND($J124="x",AND(MAX(BA124:BC124)=BB124,BB124&lt;&gt;"")),Data!$BJ$2,"")</f>
        <v/>
      </c>
      <c r="BG124" s="197">
        <f>IF(AND($K124="x",AND(MAX(BA124:BC124)=BC124,BC124&lt;&gt;"")),Data!$BK$2,"")</f>
        <v>71</v>
      </c>
      <c r="BH124" s="197"/>
      <c r="BI124" s="328"/>
      <c r="BJ124" s="451">
        <v>30</v>
      </c>
      <c r="BK124" s="452">
        <v>10</v>
      </c>
      <c r="BL124" s="438">
        <f t="shared" si="169"/>
        <v>60</v>
      </c>
      <c r="BM124" s="328"/>
      <c r="BN124" s="197" t="str">
        <f>IF(AND($I124="x",AND(MAX(BJ124:BL124)=BJ124,BJ124&lt;&gt;"")),Data!$BI$2,"")</f>
        <v/>
      </c>
      <c r="BO124" s="197" t="str">
        <f>IF(AND($J124="x",AND(MAX(BJ124:BL124)=BK124,BK124&lt;&gt;"")),Data!$BJ$2,"")</f>
        <v/>
      </c>
      <c r="BP124" s="197">
        <f>IF(AND($K124="x",AND(MAX(BJ124:BL124)=BL124,BL124&lt;&gt;"")),Data!$BK$2,"")</f>
        <v>71</v>
      </c>
      <c r="BQ124" s="197"/>
      <c r="BR124" s="328"/>
      <c r="BS124" s="451">
        <v>30</v>
      </c>
      <c r="BT124" s="452">
        <v>10</v>
      </c>
      <c r="BU124" s="438">
        <f t="shared" si="170"/>
        <v>60</v>
      </c>
      <c r="BV124" s="328"/>
      <c r="BW124" s="197" t="str">
        <f>IF(AND($I124="x",AND(MAX(BS124:BU124)=BS124,BS124&lt;&gt;"")),Data!$BI$2,"")</f>
        <v/>
      </c>
      <c r="BX124" s="197" t="str">
        <f>IF(AND($J124="x",AND(MAX(BS124:BU124)=BT124,BT124&lt;&gt;"")),Data!$BJ$2,"")</f>
        <v/>
      </c>
      <c r="BY124" s="197">
        <f>IF(AND($K124="x",AND(MAX(BS124:BU124)=BU124,BU124&lt;&gt;"")),Data!$BK$2,"")</f>
        <v>71</v>
      </c>
      <c r="BZ124" s="197"/>
      <c r="CA124" s="328"/>
      <c r="CB124" s="457">
        <f t="shared" si="171"/>
        <v>30</v>
      </c>
      <c r="CC124" s="458">
        <f t="shared" si="172"/>
        <v>10</v>
      </c>
      <c r="CD124" s="459">
        <f t="shared" si="173"/>
        <v>60</v>
      </c>
      <c r="CE124" s="328"/>
      <c r="CF124" s="197" t="str">
        <f>IF(AND($I124="x",AND(MAX(CB124:CD124)=CB124,CB124&lt;&gt;"")),Data!$BI$2,"")</f>
        <v/>
      </c>
      <c r="CG124" s="197" t="str">
        <f>IF(AND($J124="x",AND(MAX(CB124:CD124)=CC124,CC124&lt;&gt;"")),Data!$BJ$2,"")</f>
        <v/>
      </c>
      <c r="CH124" s="197">
        <f>IF(AND($K124="x",AND(MAX(CB124:CD124)=CD124,CD124&lt;&gt;"")),Data!$BK$2,"")</f>
        <v>71</v>
      </c>
      <c r="CI124" s="197"/>
      <c r="CJ124" s="197"/>
      <c r="CK124" s="451">
        <v>30</v>
      </c>
      <c r="CL124" s="452">
        <v>10</v>
      </c>
      <c r="CM124" s="438">
        <f t="shared" si="174"/>
        <v>60</v>
      </c>
      <c r="CN124" s="328"/>
      <c r="CO124" s="197" t="str">
        <f>IF(AND($I124="x",AND(MAX(CK124:CM124)=CK124,CK124&lt;&gt;"")),Data!$BI$2,"")</f>
        <v/>
      </c>
      <c r="CP124" s="197" t="str">
        <f>IF(AND($J124="x",AND(MAX(CK124:CM124)=CL124,CL124&lt;&gt;"")),Data!$BJ$2,"")</f>
        <v/>
      </c>
      <c r="CQ124" s="197">
        <f>IF(AND($K124="x",AND(MAX(CK124:CM124)=CM124,CM124&lt;&gt;"")),Data!$BK$2,"")</f>
        <v>71</v>
      </c>
      <c r="CR124" s="197"/>
      <c r="CS124" s="197"/>
      <c r="CT124" s="328"/>
      <c r="CU124" s="259"/>
      <c r="CV124" s="209"/>
      <c r="CW124" s="227"/>
    </row>
    <row r="125" spans="1:101" x14ac:dyDescent="0.2">
      <c r="A125" s="227"/>
      <c r="B125" s="227"/>
      <c r="C125" s="168"/>
      <c r="D125" s="232"/>
      <c r="E125" s="135" t="s">
        <v>120</v>
      </c>
      <c r="F125" s="425"/>
      <c r="G125" s="430" t="s">
        <v>51</v>
      </c>
      <c r="H125" s="431">
        <v>1</v>
      </c>
      <c r="I125" s="346" t="str">
        <f t="shared" si="161"/>
        <v/>
      </c>
      <c r="J125" s="347" t="str">
        <f t="shared" si="162"/>
        <v/>
      </c>
      <c r="K125" s="348" t="str">
        <f t="shared" si="163"/>
        <v>x</v>
      </c>
      <c r="L125" s="258"/>
      <c r="M125" s="332"/>
      <c r="N125" s="336"/>
      <c r="O125" s="200"/>
      <c r="P125" s="200"/>
      <c r="Q125" s="439">
        <v>30</v>
      </c>
      <c r="R125" s="440">
        <v>10</v>
      </c>
      <c r="S125" s="441">
        <f t="shared" si="164"/>
        <v>60</v>
      </c>
      <c r="T125" s="328"/>
      <c r="U125" s="197" t="str">
        <f>IF(AND($I125="x",AND(MAX(Q125:S125)=Q125,Q125&gt;=0)),Data!$BI$2,"")</f>
        <v/>
      </c>
      <c r="V125" s="197" t="str">
        <f>IF(AND($J125="x",AND(MAX(Q125:S125)=R125,R125&gt;=0)),Data!$BJ$2,"")</f>
        <v/>
      </c>
      <c r="W125" s="197">
        <f>IF(AND($K125="x",AND(MAX(Q125:S125)=S125,S125&gt;=0)),Data!$BK$2,"")</f>
        <v>71</v>
      </c>
      <c r="X125" s="197"/>
      <c r="Y125" s="328"/>
      <c r="Z125" s="453">
        <v>30</v>
      </c>
      <c r="AA125" s="454">
        <v>10</v>
      </c>
      <c r="AB125" s="441">
        <f t="shared" si="165"/>
        <v>60</v>
      </c>
      <c r="AC125" s="328"/>
      <c r="AD125" s="197" t="str">
        <f>IF(AND($I125="x",AND(MAX(Z125:AB125)=Z125,Z125&lt;&gt;"")),Data!$BI$2,"")</f>
        <v/>
      </c>
      <c r="AE125" s="197" t="str">
        <f>IF(AND($J125="x",AND(MAX(Z125:AB125)=AA125,AA125&lt;&gt;"")),Data!$BJ$2,"")</f>
        <v/>
      </c>
      <c r="AF125" s="197">
        <f>IF(AND($K125="x",AND(MAX(Z125:AB125)=AB125,AB125&lt;&gt;"")),Data!$BK$2,"")</f>
        <v>71</v>
      </c>
      <c r="AG125" s="197"/>
      <c r="AH125" s="328"/>
      <c r="AI125" s="453">
        <v>30</v>
      </c>
      <c r="AJ125" s="454">
        <v>10</v>
      </c>
      <c r="AK125" s="441">
        <f t="shared" si="166"/>
        <v>60</v>
      </c>
      <c r="AL125" s="328"/>
      <c r="AM125" s="197" t="str">
        <f>IF(AND($I125="x",AND(MAX(AI125:AK125)=AI125,AI125&lt;&gt;"")),Data!$BI$2,"")</f>
        <v/>
      </c>
      <c r="AN125" s="197" t="str">
        <f>IF(AND($J125="x",AND(MAX(AI125:AK125)=AJ125,AJ125&lt;&gt;"")),Data!$BJ$2,"")</f>
        <v/>
      </c>
      <c r="AO125" s="197">
        <f>IF(AND($K125="x",AND(MAX(AI125:AK125)=AK125,AK125&lt;&gt;"")),Data!$BK$2,"")</f>
        <v>71</v>
      </c>
      <c r="AP125" s="197"/>
      <c r="AQ125" s="328"/>
      <c r="AR125" s="453">
        <v>30</v>
      </c>
      <c r="AS125" s="454">
        <v>10</v>
      </c>
      <c r="AT125" s="441">
        <f t="shared" si="167"/>
        <v>60</v>
      </c>
      <c r="AU125" s="328"/>
      <c r="AV125" s="197" t="str">
        <f>IF(AND($I125="x",AND(MAX(AR125:AT125)=AR125,AR125&lt;&gt;"")),Data!$BI$2,"")</f>
        <v/>
      </c>
      <c r="AW125" s="197" t="str">
        <f>IF(AND($J125="x",AND(MAX(AR125:AT125)=AS125,AS125&lt;&gt;"")),Data!$BJ$2,"")</f>
        <v/>
      </c>
      <c r="AX125" s="197">
        <f>IF(AND($K125="x",AND(MAX(AR125:AT125)=AT125,AT125&lt;&gt;"")),Data!$BK$2,"")</f>
        <v>71</v>
      </c>
      <c r="AY125" s="197"/>
      <c r="AZ125" s="328"/>
      <c r="BA125" s="453">
        <v>30</v>
      </c>
      <c r="BB125" s="454">
        <v>10</v>
      </c>
      <c r="BC125" s="441">
        <f t="shared" si="168"/>
        <v>60</v>
      </c>
      <c r="BD125" s="328"/>
      <c r="BE125" s="197" t="str">
        <f>IF(AND($I125="x",AND(MAX(BA125:BC125)=BA125,BA125&lt;&gt;"")),Data!$BI$2,"")</f>
        <v/>
      </c>
      <c r="BF125" s="197" t="str">
        <f>IF(AND($J125="x",AND(MAX(BA125:BC125)=BB125,BB125&lt;&gt;"")),Data!$BJ$2,"")</f>
        <v/>
      </c>
      <c r="BG125" s="197">
        <f>IF(AND($K125="x",AND(MAX(BA125:BC125)=BC125,BC125&lt;&gt;"")),Data!$BK$2,"")</f>
        <v>71</v>
      </c>
      <c r="BH125" s="197"/>
      <c r="BI125" s="328"/>
      <c r="BJ125" s="453">
        <v>30</v>
      </c>
      <c r="BK125" s="454">
        <v>10</v>
      </c>
      <c r="BL125" s="441">
        <f t="shared" si="169"/>
        <v>60</v>
      </c>
      <c r="BM125" s="328"/>
      <c r="BN125" s="197" t="str">
        <f>IF(AND($I125="x",AND(MAX(BJ125:BL125)=BJ125,BJ125&lt;&gt;"")),Data!$BI$2,"")</f>
        <v/>
      </c>
      <c r="BO125" s="197" t="str">
        <f>IF(AND($J125="x",AND(MAX(BJ125:BL125)=BK125,BK125&lt;&gt;"")),Data!$BJ$2,"")</f>
        <v/>
      </c>
      <c r="BP125" s="197">
        <f>IF(AND($K125="x",AND(MAX(BJ125:BL125)=BL125,BL125&lt;&gt;"")),Data!$BK$2,"")</f>
        <v>71</v>
      </c>
      <c r="BQ125" s="197"/>
      <c r="BR125" s="328"/>
      <c r="BS125" s="453">
        <v>30</v>
      </c>
      <c r="BT125" s="454">
        <v>10</v>
      </c>
      <c r="BU125" s="441">
        <f t="shared" si="170"/>
        <v>60</v>
      </c>
      <c r="BV125" s="328"/>
      <c r="BW125" s="197" t="str">
        <f>IF(AND($I125="x",AND(MAX(BS125:BU125)=BS125,BS125&lt;&gt;"")),Data!$BI$2,"")</f>
        <v/>
      </c>
      <c r="BX125" s="197" t="str">
        <f>IF(AND($J125="x",AND(MAX(BS125:BU125)=BT125,BT125&lt;&gt;"")),Data!$BJ$2,"")</f>
        <v/>
      </c>
      <c r="BY125" s="197">
        <f>IF(AND($K125="x",AND(MAX(BS125:BU125)=BU125,BU125&lt;&gt;"")),Data!$BK$2,"")</f>
        <v>71</v>
      </c>
      <c r="BZ125" s="197"/>
      <c r="CA125" s="328"/>
      <c r="CB125" s="460">
        <f t="shared" si="171"/>
        <v>30</v>
      </c>
      <c r="CC125" s="461">
        <f t="shared" si="172"/>
        <v>10</v>
      </c>
      <c r="CD125" s="462">
        <f t="shared" si="173"/>
        <v>60</v>
      </c>
      <c r="CE125" s="328"/>
      <c r="CF125" s="197" t="str">
        <f>IF(AND($I125="x",AND(MAX(CB125:CD125)=CB125,CB125&lt;&gt;"")),Data!$BI$2,"")</f>
        <v/>
      </c>
      <c r="CG125" s="197" t="str">
        <f>IF(AND($J125="x",AND(MAX(CB125:CD125)=CC125,CC125&lt;&gt;"")),Data!$BJ$2,"")</f>
        <v/>
      </c>
      <c r="CH125" s="197">
        <f>IF(AND($K125="x",AND(MAX(CB125:CD125)=CD125,CD125&lt;&gt;"")),Data!$BK$2,"")</f>
        <v>71</v>
      </c>
      <c r="CI125" s="197"/>
      <c r="CJ125" s="197"/>
      <c r="CK125" s="453">
        <v>30</v>
      </c>
      <c r="CL125" s="454">
        <v>10</v>
      </c>
      <c r="CM125" s="441">
        <f t="shared" si="174"/>
        <v>60</v>
      </c>
      <c r="CN125" s="328"/>
      <c r="CO125" s="197" t="str">
        <f>IF(AND($I125="x",AND(MAX(CK125:CM125)=CK125,CK125&lt;&gt;"")),Data!$BI$2,"")</f>
        <v/>
      </c>
      <c r="CP125" s="197" t="str">
        <f>IF(AND($J125="x",AND(MAX(CK125:CM125)=CL125,CL125&lt;&gt;"")),Data!$BJ$2,"")</f>
        <v/>
      </c>
      <c r="CQ125" s="197">
        <f>IF(AND($K125="x",AND(MAX(CK125:CM125)=CM125,CM125&lt;&gt;"")),Data!$BK$2,"")</f>
        <v>71</v>
      </c>
      <c r="CR125" s="197"/>
      <c r="CS125" s="197"/>
      <c r="CT125" s="328"/>
      <c r="CU125" s="259"/>
      <c r="CV125" s="209"/>
      <c r="CW125" s="227"/>
    </row>
    <row r="126" spans="1:101" x14ac:dyDescent="0.2">
      <c r="A126" s="227"/>
      <c r="B126" s="227"/>
      <c r="C126" s="168"/>
      <c r="D126" s="232"/>
      <c r="E126" s="136" t="s">
        <v>121</v>
      </c>
      <c r="F126" s="426"/>
      <c r="G126" s="432" t="s">
        <v>51</v>
      </c>
      <c r="H126" s="433">
        <v>1</v>
      </c>
      <c r="I126" s="349" t="str">
        <f t="shared" si="161"/>
        <v/>
      </c>
      <c r="J126" s="350" t="str">
        <f t="shared" si="162"/>
        <v/>
      </c>
      <c r="K126" s="351" t="str">
        <f t="shared" si="163"/>
        <v>x</v>
      </c>
      <c r="L126" s="258"/>
      <c r="M126" s="332"/>
      <c r="N126" s="336"/>
      <c r="O126" s="200"/>
      <c r="P126" s="200"/>
      <c r="Q126" s="445">
        <v>30</v>
      </c>
      <c r="R126" s="446">
        <v>10</v>
      </c>
      <c r="S126" s="447">
        <f t="shared" si="164"/>
        <v>60</v>
      </c>
      <c r="T126" s="328"/>
      <c r="U126" s="197" t="str">
        <f>IF(AND($I126="x",AND(MAX(Q126:S126)=Q126,Q126&gt;=0)),Data!$BI$2,"")</f>
        <v/>
      </c>
      <c r="V126" s="197" t="str">
        <f>IF(AND($J126="x",AND(MAX(Q126:S126)=R126,R126&gt;=0)),Data!$BJ$2,"")</f>
        <v/>
      </c>
      <c r="W126" s="197">
        <f>IF(AND($K126="x",AND(MAX(Q126:S126)=S126,S126&gt;=0)),Data!$BK$2,"")</f>
        <v>71</v>
      </c>
      <c r="X126" s="197"/>
      <c r="Y126" s="328"/>
      <c r="Z126" s="455">
        <v>30</v>
      </c>
      <c r="AA126" s="456">
        <v>10</v>
      </c>
      <c r="AB126" s="447">
        <f t="shared" si="165"/>
        <v>60</v>
      </c>
      <c r="AC126" s="328"/>
      <c r="AD126" s="197" t="str">
        <f>IF(AND($I126="x",AND(MAX(Z126:AB126)=Z126,Z126&lt;&gt;"")),Data!$BI$2,"")</f>
        <v/>
      </c>
      <c r="AE126" s="197" t="str">
        <f>IF(AND($J126="x",AND(MAX(Z126:AB126)=AA126,AA126&lt;&gt;"")),Data!$BJ$2,"")</f>
        <v/>
      </c>
      <c r="AF126" s="197">
        <f>IF(AND($K126="x",AND(MAX(Z126:AB126)=AB126,AB126&lt;&gt;"")),Data!$BK$2,"")</f>
        <v>71</v>
      </c>
      <c r="AG126" s="197"/>
      <c r="AH126" s="328"/>
      <c r="AI126" s="455">
        <v>30</v>
      </c>
      <c r="AJ126" s="456">
        <v>10</v>
      </c>
      <c r="AK126" s="447">
        <f t="shared" si="166"/>
        <v>60</v>
      </c>
      <c r="AL126" s="328"/>
      <c r="AM126" s="197" t="str">
        <f>IF(AND($I126="x",AND(MAX(AI126:AK126)=AI126,AI126&lt;&gt;"")),Data!$BI$2,"")</f>
        <v/>
      </c>
      <c r="AN126" s="197" t="str">
        <f>IF(AND($J126="x",AND(MAX(AI126:AK126)=AJ126,AJ126&lt;&gt;"")),Data!$BJ$2,"")</f>
        <v/>
      </c>
      <c r="AO126" s="197">
        <f>IF(AND($K126="x",AND(MAX(AI126:AK126)=AK126,AK126&lt;&gt;"")),Data!$BK$2,"")</f>
        <v>71</v>
      </c>
      <c r="AP126" s="197"/>
      <c r="AQ126" s="328"/>
      <c r="AR126" s="455">
        <v>30</v>
      </c>
      <c r="AS126" s="456">
        <v>10</v>
      </c>
      <c r="AT126" s="447">
        <f t="shared" si="167"/>
        <v>60</v>
      </c>
      <c r="AU126" s="328"/>
      <c r="AV126" s="197" t="str">
        <f>IF(AND($I126="x",AND(MAX(AR126:AT126)=AR126,AR126&lt;&gt;"")),Data!$BI$2,"")</f>
        <v/>
      </c>
      <c r="AW126" s="197" t="str">
        <f>IF(AND($J126="x",AND(MAX(AR126:AT126)=AS126,AS126&lt;&gt;"")),Data!$BJ$2,"")</f>
        <v/>
      </c>
      <c r="AX126" s="197">
        <f>IF(AND($K126="x",AND(MAX(AR126:AT126)=AT126,AT126&lt;&gt;"")),Data!$BK$2,"")</f>
        <v>71</v>
      </c>
      <c r="AY126" s="197"/>
      <c r="AZ126" s="328"/>
      <c r="BA126" s="455">
        <v>30</v>
      </c>
      <c r="BB126" s="456">
        <v>10</v>
      </c>
      <c r="BC126" s="447">
        <f t="shared" si="168"/>
        <v>60</v>
      </c>
      <c r="BD126" s="328"/>
      <c r="BE126" s="197" t="str">
        <f>IF(AND($I126="x",AND(MAX(BA126:BC126)=BA126,BA126&lt;&gt;"")),Data!$BI$2,"")</f>
        <v/>
      </c>
      <c r="BF126" s="197" t="str">
        <f>IF(AND($J126="x",AND(MAX(BA126:BC126)=BB126,BB126&lt;&gt;"")),Data!$BJ$2,"")</f>
        <v/>
      </c>
      <c r="BG126" s="197">
        <f>IF(AND($K126="x",AND(MAX(BA126:BC126)=BC126,BC126&lt;&gt;"")),Data!$BK$2,"")</f>
        <v>71</v>
      </c>
      <c r="BH126" s="197"/>
      <c r="BI126" s="328"/>
      <c r="BJ126" s="455">
        <v>30</v>
      </c>
      <c r="BK126" s="456">
        <v>10</v>
      </c>
      <c r="BL126" s="447">
        <f t="shared" si="169"/>
        <v>60</v>
      </c>
      <c r="BM126" s="328"/>
      <c r="BN126" s="197" t="str">
        <f>IF(AND($I126="x",AND(MAX(BJ126:BL126)=BJ126,BJ126&lt;&gt;"")),Data!$BI$2,"")</f>
        <v/>
      </c>
      <c r="BO126" s="197" t="str">
        <f>IF(AND($J126="x",AND(MAX(BJ126:BL126)=BK126,BK126&lt;&gt;"")),Data!$BJ$2,"")</f>
        <v/>
      </c>
      <c r="BP126" s="197">
        <f>IF(AND($K126="x",AND(MAX(BJ126:BL126)=BL126,BL126&lt;&gt;"")),Data!$BK$2,"")</f>
        <v>71</v>
      </c>
      <c r="BQ126" s="197"/>
      <c r="BR126" s="328"/>
      <c r="BS126" s="455">
        <v>30</v>
      </c>
      <c r="BT126" s="456">
        <v>10</v>
      </c>
      <c r="BU126" s="447">
        <f t="shared" si="170"/>
        <v>60</v>
      </c>
      <c r="BV126" s="328"/>
      <c r="BW126" s="197" t="str">
        <f>IF(AND($I126="x",AND(MAX(BS126:BU126)=BS126,BS126&lt;&gt;"")),Data!$BI$2,"")</f>
        <v/>
      </c>
      <c r="BX126" s="197" t="str">
        <f>IF(AND($J126="x",AND(MAX(BS126:BU126)=BT126,BT126&lt;&gt;"")),Data!$BJ$2,"")</f>
        <v/>
      </c>
      <c r="BY126" s="197">
        <f>IF(AND($K126="x",AND(MAX(BS126:BU126)=BU126,BU126&lt;&gt;"")),Data!$BK$2,"")</f>
        <v>71</v>
      </c>
      <c r="BZ126" s="197"/>
      <c r="CA126" s="328"/>
      <c r="CB126" s="463">
        <f t="shared" si="171"/>
        <v>30</v>
      </c>
      <c r="CC126" s="464">
        <f t="shared" si="172"/>
        <v>10</v>
      </c>
      <c r="CD126" s="465">
        <f t="shared" si="173"/>
        <v>60</v>
      </c>
      <c r="CE126" s="328"/>
      <c r="CF126" s="197" t="str">
        <f>IF(AND($I126="x",AND(MAX(CB126:CD126)=CB126,CB126&lt;&gt;"")),Data!$BI$2,"")</f>
        <v/>
      </c>
      <c r="CG126" s="197" t="str">
        <f>IF(AND($J126="x",AND(MAX(CB126:CD126)=CC126,CC126&lt;&gt;"")),Data!$BJ$2,"")</f>
        <v/>
      </c>
      <c r="CH126" s="197">
        <f>IF(AND($K126="x",AND(MAX(CB126:CD126)=CD126,CD126&lt;&gt;"")),Data!$BK$2,"")</f>
        <v>71</v>
      </c>
      <c r="CI126" s="197"/>
      <c r="CJ126" s="197"/>
      <c r="CK126" s="455">
        <v>30</v>
      </c>
      <c r="CL126" s="456">
        <v>10</v>
      </c>
      <c r="CM126" s="447">
        <f t="shared" si="174"/>
        <v>60</v>
      </c>
      <c r="CN126" s="328"/>
      <c r="CO126" s="197" t="str">
        <f>IF(AND($I126="x",AND(MAX(CK126:CM126)=CK126,CK126&lt;&gt;"")),Data!$BI$2,"")</f>
        <v/>
      </c>
      <c r="CP126" s="197" t="str">
        <f>IF(AND($J126="x",AND(MAX(CK126:CM126)=CL126,CL126&lt;&gt;"")),Data!$BJ$2,"")</f>
        <v/>
      </c>
      <c r="CQ126" s="197">
        <f>IF(AND($K126="x",AND(MAX(CK126:CM126)=CM126,CM126&lt;&gt;"")),Data!$BK$2,"")</f>
        <v>71</v>
      </c>
      <c r="CR126" s="197"/>
      <c r="CS126" s="197"/>
      <c r="CT126" s="328"/>
      <c r="CU126" s="259"/>
      <c r="CV126" s="209"/>
      <c r="CW126" s="227"/>
    </row>
    <row r="127" spans="1:101" x14ac:dyDescent="0.2">
      <c r="A127" s="227"/>
      <c r="B127" s="227"/>
      <c r="C127" s="168"/>
      <c r="D127" s="232"/>
      <c r="E127" s="137" t="s">
        <v>122</v>
      </c>
      <c r="F127" s="427"/>
      <c r="G127" s="434" t="s">
        <v>51</v>
      </c>
      <c r="H127" s="435">
        <v>1</v>
      </c>
      <c r="I127" s="138" t="str">
        <f t="shared" si="161"/>
        <v/>
      </c>
      <c r="J127" s="344" t="str">
        <f t="shared" si="162"/>
        <v/>
      </c>
      <c r="K127" s="345" t="str">
        <f t="shared" si="163"/>
        <v>x</v>
      </c>
      <c r="L127" s="258"/>
      <c r="M127" s="332"/>
      <c r="N127" s="336"/>
      <c r="O127" s="200"/>
      <c r="P127" s="200"/>
      <c r="Q127" s="448">
        <v>30</v>
      </c>
      <c r="R127" s="449">
        <v>10</v>
      </c>
      <c r="S127" s="450">
        <f t="shared" si="164"/>
        <v>60</v>
      </c>
      <c r="T127" s="328"/>
      <c r="U127" s="197" t="str">
        <f>IF(AND($I127="x",AND(MAX(Q127:S127)=Q127,Q127&gt;=0)),Data!$BI$2,"")</f>
        <v/>
      </c>
      <c r="V127" s="197" t="str">
        <f>IF(AND($J127="x",AND(MAX(Q127:S127)=R127,R127&gt;=0)),Data!$BJ$2,"")</f>
        <v/>
      </c>
      <c r="W127" s="197">
        <f>IF(AND($K127="x",AND(MAX(Q127:S127)=S127,S127&gt;=0)),Data!$BK$2,"")</f>
        <v>71</v>
      </c>
      <c r="X127" s="197"/>
      <c r="Y127" s="328"/>
      <c r="Z127" s="451">
        <v>30</v>
      </c>
      <c r="AA127" s="452">
        <v>10</v>
      </c>
      <c r="AB127" s="450">
        <f t="shared" si="165"/>
        <v>60</v>
      </c>
      <c r="AC127" s="328"/>
      <c r="AD127" s="197" t="str">
        <f>IF(AND($I127="x",AND(MAX(Z127:AB127)=Z127,Z127&lt;&gt;"")),Data!$BI$2,"")</f>
        <v/>
      </c>
      <c r="AE127" s="197" t="str">
        <f>IF(AND($J127="x",AND(MAX(Z127:AB127)=AA127,AA127&lt;&gt;"")),Data!$BJ$2,"")</f>
        <v/>
      </c>
      <c r="AF127" s="197">
        <f>IF(AND($K127="x",AND(MAX(Z127:AB127)=AB127,AB127&lt;&gt;"")),Data!$BK$2,"")</f>
        <v>71</v>
      </c>
      <c r="AG127" s="197"/>
      <c r="AH127" s="328"/>
      <c r="AI127" s="451">
        <v>30</v>
      </c>
      <c r="AJ127" s="452">
        <v>10</v>
      </c>
      <c r="AK127" s="450">
        <f t="shared" si="166"/>
        <v>60</v>
      </c>
      <c r="AL127" s="328"/>
      <c r="AM127" s="197" t="str">
        <f>IF(AND($I127="x",AND(MAX(AI127:AK127)=AI127,AI127&lt;&gt;"")),Data!$BI$2,"")</f>
        <v/>
      </c>
      <c r="AN127" s="197" t="str">
        <f>IF(AND($J127="x",AND(MAX(AI127:AK127)=AJ127,AJ127&lt;&gt;"")),Data!$BJ$2,"")</f>
        <v/>
      </c>
      <c r="AO127" s="197">
        <f>IF(AND($K127="x",AND(MAX(AI127:AK127)=AK127,AK127&lt;&gt;"")),Data!$BK$2,"")</f>
        <v>71</v>
      </c>
      <c r="AP127" s="197"/>
      <c r="AQ127" s="328"/>
      <c r="AR127" s="451">
        <v>30</v>
      </c>
      <c r="AS127" s="452">
        <v>10</v>
      </c>
      <c r="AT127" s="450">
        <f t="shared" si="167"/>
        <v>60</v>
      </c>
      <c r="AU127" s="328"/>
      <c r="AV127" s="197" t="str">
        <f>IF(AND($I127="x",AND(MAX(AR127:AT127)=AR127,AR127&lt;&gt;"")),Data!$BI$2,"")</f>
        <v/>
      </c>
      <c r="AW127" s="197" t="str">
        <f>IF(AND($J127="x",AND(MAX(AR127:AT127)=AS127,AS127&lt;&gt;"")),Data!$BJ$2,"")</f>
        <v/>
      </c>
      <c r="AX127" s="197">
        <f>IF(AND($K127="x",AND(MAX(AR127:AT127)=AT127,AT127&lt;&gt;"")),Data!$BK$2,"")</f>
        <v>71</v>
      </c>
      <c r="AY127" s="197"/>
      <c r="AZ127" s="328"/>
      <c r="BA127" s="451">
        <v>30</v>
      </c>
      <c r="BB127" s="452">
        <v>10</v>
      </c>
      <c r="BC127" s="450">
        <f t="shared" si="168"/>
        <v>60</v>
      </c>
      <c r="BD127" s="328"/>
      <c r="BE127" s="197" t="str">
        <f>IF(AND($I127="x",AND(MAX(BA127:BC127)=BA127,BA127&lt;&gt;"")),Data!$BI$2,"")</f>
        <v/>
      </c>
      <c r="BF127" s="197" t="str">
        <f>IF(AND($J127="x",AND(MAX(BA127:BC127)=BB127,BB127&lt;&gt;"")),Data!$BJ$2,"")</f>
        <v/>
      </c>
      <c r="BG127" s="197">
        <f>IF(AND($K127="x",AND(MAX(BA127:BC127)=BC127,BC127&lt;&gt;"")),Data!$BK$2,"")</f>
        <v>71</v>
      </c>
      <c r="BH127" s="197"/>
      <c r="BI127" s="328"/>
      <c r="BJ127" s="451">
        <v>30</v>
      </c>
      <c r="BK127" s="452">
        <v>10</v>
      </c>
      <c r="BL127" s="450">
        <f t="shared" si="169"/>
        <v>60</v>
      </c>
      <c r="BM127" s="328"/>
      <c r="BN127" s="197" t="str">
        <f>IF(AND($I127="x",AND(MAX(BJ127:BL127)=BJ127,BJ127&lt;&gt;"")),Data!$BI$2,"")</f>
        <v/>
      </c>
      <c r="BO127" s="197" t="str">
        <f>IF(AND($J127="x",AND(MAX(BJ127:BL127)=BK127,BK127&lt;&gt;"")),Data!$BJ$2,"")</f>
        <v/>
      </c>
      <c r="BP127" s="197">
        <f>IF(AND($K127="x",AND(MAX(BJ127:BL127)=BL127,BL127&lt;&gt;"")),Data!$BK$2,"")</f>
        <v>71</v>
      </c>
      <c r="BQ127" s="197"/>
      <c r="BR127" s="328"/>
      <c r="BS127" s="451">
        <v>30</v>
      </c>
      <c r="BT127" s="452">
        <v>10</v>
      </c>
      <c r="BU127" s="450">
        <f t="shared" si="170"/>
        <v>60</v>
      </c>
      <c r="BV127" s="328"/>
      <c r="BW127" s="197" t="str">
        <f>IF(AND($I127="x",AND(MAX(BS127:BU127)=BS127,BS127&lt;&gt;"")),Data!$BI$2,"")</f>
        <v/>
      </c>
      <c r="BX127" s="197" t="str">
        <f>IF(AND($J127="x",AND(MAX(BS127:BU127)=BT127,BT127&lt;&gt;"")),Data!$BJ$2,"")</f>
        <v/>
      </c>
      <c r="BY127" s="197">
        <f>IF(AND($K127="x",AND(MAX(BS127:BU127)=BU127,BU127&lt;&gt;"")),Data!$BK$2,"")</f>
        <v>71</v>
      </c>
      <c r="BZ127" s="197"/>
      <c r="CA127" s="328"/>
      <c r="CB127" s="457">
        <f t="shared" si="171"/>
        <v>30</v>
      </c>
      <c r="CC127" s="458">
        <f t="shared" si="172"/>
        <v>10</v>
      </c>
      <c r="CD127" s="459">
        <f t="shared" si="173"/>
        <v>60</v>
      </c>
      <c r="CE127" s="328"/>
      <c r="CF127" s="197" t="str">
        <f>IF(AND($I127="x",AND(MAX(CB127:CD127)=CB127,CB127&lt;&gt;"")),Data!$BI$2,"")</f>
        <v/>
      </c>
      <c r="CG127" s="197" t="str">
        <f>IF(AND($J127="x",AND(MAX(CB127:CD127)=CC127,CC127&lt;&gt;"")),Data!$BJ$2,"")</f>
        <v/>
      </c>
      <c r="CH127" s="197">
        <f>IF(AND($K127="x",AND(MAX(CB127:CD127)=CD127,CD127&lt;&gt;"")),Data!$BK$2,"")</f>
        <v>71</v>
      </c>
      <c r="CI127" s="197"/>
      <c r="CJ127" s="197"/>
      <c r="CK127" s="451">
        <v>30</v>
      </c>
      <c r="CL127" s="452">
        <v>10</v>
      </c>
      <c r="CM127" s="450">
        <f t="shared" si="174"/>
        <v>60</v>
      </c>
      <c r="CN127" s="328"/>
      <c r="CO127" s="197" t="str">
        <f>IF(AND($I127="x",AND(MAX(CK127:CM127)=CK127,CK127&lt;&gt;"")),Data!$BI$2,"")</f>
        <v/>
      </c>
      <c r="CP127" s="197" t="str">
        <f>IF(AND($J127="x",AND(MAX(CK127:CM127)=CL127,CL127&lt;&gt;"")),Data!$BJ$2,"")</f>
        <v/>
      </c>
      <c r="CQ127" s="197">
        <f>IF(AND($K127="x",AND(MAX(CK127:CM127)=CM127,CM127&lt;&gt;"")),Data!$BK$2,"")</f>
        <v>71</v>
      </c>
      <c r="CR127" s="197"/>
      <c r="CS127" s="197"/>
      <c r="CT127" s="328"/>
      <c r="CU127" s="259"/>
      <c r="CV127" s="209"/>
      <c r="CW127" s="227"/>
    </row>
    <row r="128" spans="1:101" x14ac:dyDescent="0.2">
      <c r="A128" s="227"/>
      <c r="B128" s="227"/>
      <c r="C128" s="168"/>
      <c r="D128" s="232"/>
      <c r="E128" s="135" t="s">
        <v>123</v>
      </c>
      <c r="F128" s="425"/>
      <c r="G128" s="430" t="s">
        <v>51</v>
      </c>
      <c r="H128" s="431">
        <v>1</v>
      </c>
      <c r="I128" s="346" t="str">
        <f t="shared" si="161"/>
        <v/>
      </c>
      <c r="J128" s="347" t="str">
        <f t="shared" si="162"/>
        <v/>
      </c>
      <c r="K128" s="348" t="str">
        <f t="shared" si="163"/>
        <v>x</v>
      </c>
      <c r="L128" s="258"/>
      <c r="M128" s="332"/>
      <c r="N128" s="336"/>
      <c r="O128" s="200"/>
      <c r="P128" s="200"/>
      <c r="Q128" s="439">
        <v>30</v>
      </c>
      <c r="R128" s="440">
        <v>10</v>
      </c>
      <c r="S128" s="441">
        <f t="shared" si="164"/>
        <v>60</v>
      </c>
      <c r="T128" s="328"/>
      <c r="U128" s="197" t="str">
        <f>IF(AND($I128="x",AND(MAX(Q128:S128)=Q128,Q128&gt;=0)),Data!$BI$2,"")</f>
        <v/>
      </c>
      <c r="V128" s="197" t="str">
        <f>IF(AND($J128="x",AND(MAX(Q128:S128)=R128,R128&gt;=0)),Data!$BJ$2,"")</f>
        <v/>
      </c>
      <c r="W128" s="197">
        <f>IF(AND($K128="x",AND(MAX(Q128:S128)=S128,S128&gt;=0)),Data!$BK$2,"")</f>
        <v>71</v>
      </c>
      <c r="X128" s="197"/>
      <c r="Y128" s="328"/>
      <c r="Z128" s="453">
        <v>30</v>
      </c>
      <c r="AA128" s="454">
        <v>10</v>
      </c>
      <c r="AB128" s="441">
        <f t="shared" si="165"/>
        <v>60</v>
      </c>
      <c r="AC128" s="328"/>
      <c r="AD128" s="197" t="str">
        <f>IF(AND($I128="x",AND(MAX(Z128:AB128)=Z128,Z128&lt;&gt;"")),Data!$BI$2,"")</f>
        <v/>
      </c>
      <c r="AE128" s="197" t="str">
        <f>IF(AND($J128="x",AND(MAX(Z128:AB128)=AA128,AA128&lt;&gt;"")),Data!$BJ$2,"")</f>
        <v/>
      </c>
      <c r="AF128" s="197">
        <f>IF(AND($K128="x",AND(MAX(Z128:AB128)=AB128,AB128&lt;&gt;"")),Data!$BK$2,"")</f>
        <v>71</v>
      </c>
      <c r="AG128" s="197"/>
      <c r="AH128" s="328"/>
      <c r="AI128" s="453">
        <v>30</v>
      </c>
      <c r="AJ128" s="454">
        <v>10</v>
      </c>
      <c r="AK128" s="441">
        <f t="shared" si="166"/>
        <v>60</v>
      </c>
      <c r="AL128" s="328"/>
      <c r="AM128" s="197" t="str">
        <f>IF(AND($I128="x",AND(MAX(AI128:AK128)=AI128,AI128&lt;&gt;"")),Data!$BI$2,"")</f>
        <v/>
      </c>
      <c r="AN128" s="197" t="str">
        <f>IF(AND($J128="x",AND(MAX(AI128:AK128)=AJ128,AJ128&lt;&gt;"")),Data!$BJ$2,"")</f>
        <v/>
      </c>
      <c r="AO128" s="197">
        <f>IF(AND($K128="x",AND(MAX(AI128:AK128)=AK128,AK128&lt;&gt;"")),Data!$BK$2,"")</f>
        <v>71</v>
      </c>
      <c r="AP128" s="197"/>
      <c r="AQ128" s="328"/>
      <c r="AR128" s="453">
        <v>30</v>
      </c>
      <c r="AS128" s="454">
        <v>10</v>
      </c>
      <c r="AT128" s="441">
        <f t="shared" si="167"/>
        <v>60</v>
      </c>
      <c r="AU128" s="328"/>
      <c r="AV128" s="197" t="str">
        <f>IF(AND($I128="x",AND(MAX(AR128:AT128)=AR128,AR128&lt;&gt;"")),Data!$BI$2,"")</f>
        <v/>
      </c>
      <c r="AW128" s="197" t="str">
        <f>IF(AND($J128="x",AND(MAX(AR128:AT128)=AS128,AS128&lt;&gt;"")),Data!$BJ$2,"")</f>
        <v/>
      </c>
      <c r="AX128" s="197">
        <f>IF(AND($K128="x",AND(MAX(AR128:AT128)=AT128,AT128&lt;&gt;"")),Data!$BK$2,"")</f>
        <v>71</v>
      </c>
      <c r="AY128" s="197"/>
      <c r="AZ128" s="328"/>
      <c r="BA128" s="453">
        <v>30</v>
      </c>
      <c r="BB128" s="454">
        <v>10</v>
      </c>
      <c r="BC128" s="441">
        <f t="shared" si="168"/>
        <v>60</v>
      </c>
      <c r="BD128" s="328"/>
      <c r="BE128" s="197" t="str">
        <f>IF(AND($I128="x",AND(MAX(BA128:BC128)=BA128,BA128&lt;&gt;"")),Data!$BI$2,"")</f>
        <v/>
      </c>
      <c r="BF128" s="197" t="str">
        <f>IF(AND($J128="x",AND(MAX(BA128:BC128)=BB128,BB128&lt;&gt;"")),Data!$BJ$2,"")</f>
        <v/>
      </c>
      <c r="BG128" s="197">
        <f>IF(AND($K128="x",AND(MAX(BA128:BC128)=BC128,BC128&lt;&gt;"")),Data!$BK$2,"")</f>
        <v>71</v>
      </c>
      <c r="BH128" s="197"/>
      <c r="BI128" s="328"/>
      <c r="BJ128" s="453">
        <v>30</v>
      </c>
      <c r="BK128" s="454">
        <v>10</v>
      </c>
      <c r="BL128" s="441">
        <f t="shared" si="169"/>
        <v>60</v>
      </c>
      <c r="BM128" s="328"/>
      <c r="BN128" s="197" t="str">
        <f>IF(AND($I128="x",AND(MAX(BJ128:BL128)=BJ128,BJ128&lt;&gt;"")),Data!$BI$2,"")</f>
        <v/>
      </c>
      <c r="BO128" s="197" t="str">
        <f>IF(AND($J128="x",AND(MAX(BJ128:BL128)=BK128,BK128&lt;&gt;"")),Data!$BJ$2,"")</f>
        <v/>
      </c>
      <c r="BP128" s="197">
        <f>IF(AND($K128="x",AND(MAX(BJ128:BL128)=BL128,BL128&lt;&gt;"")),Data!$BK$2,"")</f>
        <v>71</v>
      </c>
      <c r="BQ128" s="197"/>
      <c r="BR128" s="328"/>
      <c r="BS128" s="453">
        <v>30</v>
      </c>
      <c r="BT128" s="454">
        <v>10</v>
      </c>
      <c r="BU128" s="441">
        <f t="shared" si="170"/>
        <v>60</v>
      </c>
      <c r="BV128" s="328"/>
      <c r="BW128" s="197" t="str">
        <f>IF(AND($I128="x",AND(MAX(BS128:BU128)=BS128,BS128&lt;&gt;"")),Data!$BI$2,"")</f>
        <v/>
      </c>
      <c r="BX128" s="197" t="str">
        <f>IF(AND($J128="x",AND(MAX(BS128:BU128)=BT128,BT128&lt;&gt;"")),Data!$BJ$2,"")</f>
        <v/>
      </c>
      <c r="BY128" s="197">
        <f>IF(AND($K128="x",AND(MAX(BS128:BU128)=BU128,BU128&lt;&gt;"")),Data!$BK$2,"")</f>
        <v>71</v>
      </c>
      <c r="BZ128" s="197"/>
      <c r="CA128" s="328"/>
      <c r="CB128" s="460">
        <f t="shared" si="171"/>
        <v>30</v>
      </c>
      <c r="CC128" s="461">
        <f t="shared" si="172"/>
        <v>10</v>
      </c>
      <c r="CD128" s="462">
        <f t="shared" si="173"/>
        <v>60</v>
      </c>
      <c r="CE128" s="328"/>
      <c r="CF128" s="197" t="str">
        <f>IF(AND($I128="x",AND(MAX(CB128:CD128)=CB128,CB128&lt;&gt;"")),Data!$BI$2,"")</f>
        <v/>
      </c>
      <c r="CG128" s="197" t="str">
        <f>IF(AND($J128="x",AND(MAX(CB128:CD128)=CC128,CC128&lt;&gt;"")),Data!$BJ$2,"")</f>
        <v/>
      </c>
      <c r="CH128" s="197">
        <f>IF(AND($K128="x",AND(MAX(CB128:CD128)=CD128,CD128&lt;&gt;"")),Data!$BK$2,"")</f>
        <v>71</v>
      </c>
      <c r="CI128" s="197"/>
      <c r="CJ128" s="197"/>
      <c r="CK128" s="453">
        <v>30</v>
      </c>
      <c r="CL128" s="454">
        <v>10</v>
      </c>
      <c r="CM128" s="441">
        <f t="shared" si="174"/>
        <v>60</v>
      </c>
      <c r="CN128" s="328"/>
      <c r="CO128" s="197" t="str">
        <f>IF(AND($I128="x",AND(MAX(CK128:CM128)=CK128,CK128&lt;&gt;"")),Data!$BI$2,"")</f>
        <v/>
      </c>
      <c r="CP128" s="197" t="str">
        <f>IF(AND($J128="x",AND(MAX(CK128:CM128)=CL128,CL128&lt;&gt;"")),Data!$BJ$2,"")</f>
        <v/>
      </c>
      <c r="CQ128" s="197">
        <f>IF(AND($K128="x",AND(MAX(CK128:CM128)=CM128,CM128&lt;&gt;"")),Data!$BK$2,"")</f>
        <v>71</v>
      </c>
      <c r="CR128" s="197"/>
      <c r="CS128" s="197"/>
      <c r="CT128" s="328"/>
      <c r="CU128" s="259"/>
      <c r="CV128" s="209"/>
      <c r="CW128" s="227"/>
    </row>
    <row r="129" spans="1:101" x14ac:dyDescent="0.2">
      <c r="A129" s="227"/>
      <c r="B129" s="227"/>
      <c r="C129" s="168"/>
      <c r="D129" s="232"/>
      <c r="E129" s="136" t="s">
        <v>124</v>
      </c>
      <c r="F129" s="426"/>
      <c r="G129" s="432" t="s">
        <v>51</v>
      </c>
      <c r="H129" s="433">
        <v>1</v>
      </c>
      <c r="I129" s="349" t="str">
        <f t="shared" si="161"/>
        <v/>
      </c>
      <c r="J129" s="350" t="str">
        <f t="shared" si="162"/>
        <v/>
      </c>
      <c r="K129" s="351" t="str">
        <f t="shared" si="163"/>
        <v>x</v>
      </c>
      <c r="L129" s="258"/>
      <c r="M129" s="332"/>
      <c r="N129" s="336"/>
      <c r="O129" s="200"/>
      <c r="P129" s="200"/>
      <c r="Q129" s="445">
        <v>30</v>
      </c>
      <c r="R129" s="446">
        <v>10</v>
      </c>
      <c r="S129" s="447">
        <f t="shared" si="164"/>
        <v>60</v>
      </c>
      <c r="T129" s="328"/>
      <c r="U129" s="197" t="str">
        <f>IF(AND($I129="x",AND(MAX(Q129:S129)=Q129,Q129&gt;=0)),Data!$BI$2,"")</f>
        <v/>
      </c>
      <c r="V129" s="197" t="str">
        <f>IF(AND($J129="x",AND(MAX(Q129:S129)=R129,R129&gt;=0)),Data!$BJ$2,"")</f>
        <v/>
      </c>
      <c r="W129" s="197">
        <f>IF(AND($K129="x",AND(MAX(Q129:S129)=S129,S129&gt;=0)),Data!$BK$2,"")</f>
        <v>71</v>
      </c>
      <c r="X129" s="197"/>
      <c r="Y129" s="328"/>
      <c r="Z129" s="455">
        <v>30</v>
      </c>
      <c r="AA129" s="456">
        <v>10</v>
      </c>
      <c r="AB129" s="447">
        <f t="shared" si="165"/>
        <v>60</v>
      </c>
      <c r="AC129" s="328"/>
      <c r="AD129" s="197" t="str">
        <f>IF(AND($I129="x",AND(MAX(Z129:AB129)=Z129,Z129&lt;&gt;"")),Data!$BI$2,"")</f>
        <v/>
      </c>
      <c r="AE129" s="197" t="str">
        <f>IF(AND($J129="x",AND(MAX(Z129:AB129)=AA129,AA129&lt;&gt;"")),Data!$BJ$2,"")</f>
        <v/>
      </c>
      <c r="AF129" s="197">
        <f>IF(AND($K129="x",AND(MAX(Z129:AB129)=AB129,AB129&lt;&gt;"")),Data!$BK$2,"")</f>
        <v>71</v>
      </c>
      <c r="AG129" s="197"/>
      <c r="AH129" s="328"/>
      <c r="AI129" s="455">
        <v>30</v>
      </c>
      <c r="AJ129" s="456">
        <v>10</v>
      </c>
      <c r="AK129" s="447">
        <f t="shared" si="166"/>
        <v>60</v>
      </c>
      <c r="AL129" s="328"/>
      <c r="AM129" s="197" t="str">
        <f>IF(AND($I129="x",AND(MAX(AI129:AK129)=AI129,AI129&lt;&gt;"")),Data!$BI$2,"")</f>
        <v/>
      </c>
      <c r="AN129" s="197" t="str">
        <f>IF(AND($J129="x",AND(MAX(AI129:AK129)=AJ129,AJ129&lt;&gt;"")),Data!$BJ$2,"")</f>
        <v/>
      </c>
      <c r="AO129" s="197">
        <f>IF(AND($K129="x",AND(MAX(AI129:AK129)=AK129,AK129&lt;&gt;"")),Data!$BK$2,"")</f>
        <v>71</v>
      </c>
      <c r="AP129" s="197"/>
      <c r="AQ129" s="328"/>
      <c r="AR129" s="455">
        <v>30</v>
      </c>
      <c r="AS129" s="456">
        <v>10</v>
      </c>
      <c r="AT129" s="447">
        <f t="shared" si="167"/>
        <v>60</v>
      </c>
      <c r="AU129" s="328"/>
      <c r="AV129" s="197" t="str">
        <f>IF(AND($I129="x",AND(MAX(AR129:AT129)=AR129,AR129&lt;&gt;"")),Data!$BI$2,"")</f>
        <v/>
      </c>
      <c r="AW129" s="197" t="str">
        <f>IF(AND($J129="x",AND(MAX(AR129:AT129)=AS129,AS129&lt;&gt;"")),Data!$BJ$2,"")</f>
        <v/>
      </c>
      <c r="AX129" s="197">
        <f>IF(AND($K129="x",AND(MAX(AR129:AT129)=AT129,AT129&lt;&gt;"")),Data!$BK$2,"")</f>
        <v>71</v>
      </c>
      <c r="AY129" s="197"/>
      <c r="AZ129" s="328"/>
      <c r="BA129" s="455">
        <v>30</v>
      </c>
      <c r="BB129" s="456">
        <v>10</v>
      </c>
      <c r="BC129" s="447">
        <f t="shared" si="168"/>
        <v>60</v>
      </c>
      <c r="BD129" s="328"/>
      <c r="BE129" s="197" t="str">
        <f>IF(AND($I129="x",AND(MAX(BA129:BC129)=BA129,BA129&lt;&gt;"")),Data!$BI$2,"")</f>
        <v/>
      </c>
      <c r="BF129" s="197" t="str">
        <f>IF(AND($J129="x",AND(MAX(BA129:BC129)=BB129,BB129&lt;&gt;"")),Data!$BJ$2,"")</f>
        <v/>
      </c>
      <c r="BG129" s="197">
        <f>IF(AND($K129="x",AND(MAX(BA129:BC129)=BC129,BC129&lt;&gt;"")),Data!$BK$2,"")</f>
        <v>71</v>
      </c>
      <c r="BH129" s="197"/>
      <c r="BI129" s="328"/>
      <c r="BJ129" s="455">
        <v>30</v>
      </c>
      <c r="BK129" s="456">
        <v>10</v>
      </c>
      <c r="BL129" s="447">
        <f t="shared" si="169"/>
        <v>60</v>
      </c>
      <c r="BM129" s="328"/>
      <c r="BN129" s="197" t="str">
        <f>IF(AND($I129="x",AND(MAX(BJ129:BL129)=BJ129,BJ129&lt;&gt;"")),Data!$BI$2,"")</f>
        <v/>
      </c>
      <c r="BO129" s="197" t="str">
        <f>IF(AND($J129="x",AND(MAX(BJ129:BL129)=BK129,BK129&lt;&gt;"")),Data!$BJ$2,"")</f>
        <v/>
      </c>
      <c r="BP129" s="197">
        <f>IF(AND($K129="x",AND(MAX(BJ129:BL129)=BL129,BL129&lt;&gt;"")),Data!$BK$2,"")</f>
        <v>71</v>
      </c>
      <c r="BQ129" s="197"/>
      <c r="BR129" s="328"/>
      <c r="BS129" s="455">
        <v>30</v>
      </c>
      <c r="BT129" s="456">
        <v>10</v>
      </c>
      <c r="BU129" s="447">
        <f t="shared" si="170"/>
        <v>60</v>
      </c>
      <c r="BV129" s="328"/>
      <c r="BW129" s="197" t="str">
        <f>IF(AND($I129="x",AND(MAX(BS129:BU129)=BS129,BS129&lt;&gt;"")),Data!$BI$2,"")</f>
        <v/>
      </c>
      <c r="BX129" s="197" t="str">
        <f>IF(AND($J129="x",AND(MAX(BS129:BU129)=BT129,BT129&lt;&gt;"")),Data!$BJ$2,"")</f>
        <v/>
      </c>
      <c r="BY129" s="197">
        <f>IF(AND($K129="x",AND(MAX(BS129:BU129)=BU129,BU129&lt;&gt;"")),Data!$BK$2,"")</f>
        <v>71</v>
      </c>
      <c r="BZ129" s="197"/>
      <c r="CA129" s="328"/>
      <c r="CB129" s="463">
        <f t="shared" si="171"/>
        <v>30</v>
      </c>
      <c r="CC129" s="464">
        <f t="shared" si="172"/>
        <v>10</v>
      </c>
      <c r="CD129" s="465">
        <f t="shared" si="173"/>
        <v>60</v>
      </c>
      <c r="CE129" s="328"/>
      <c r="CF129" s="197" t="str">
        <f>IF(AND($I129="x",AND(MAX(CB129:CD129)=CB129,CB129&lt;&gt;"")),Data!$BI$2,"")</f>
        <v/>
      </c>
      <c r="CG129" s="197" t="str">
        <f>IF(AND($J129="x",AND(MAX(CB129:CD129)=CC129,CC129&lt;&gt;"")),Data!$BJ$2,"")</f>
        <v/>
      </c>
      <c r="CH129" s="197">
        <f>IF(AND($K129="x",AND(MAX(CB129:CD129)=CD129,CD129&lt;&gt;"")),Data!$BK$2,"")</f>
        <v>71</v>
      </c>
      <c r="CI129" s="197"/>
      <c r="CJ129" s="197"/>
      <c r="CK129" s="455">
        <v>30</v>
      </c>
      <c r="CL129" s="456">
        <v>10</v>
      </c>
      <c r="CM129" s="447">
        <f t="shared" si="174"/>
        <v>60</v>
      </c>
      <c r="CN129" s="328"/>
      <c r="CO129" s="197" t="str">
        <f>IF(AND($I129="x",AND(MAX(CK129:CM129)=CK129,CK129&lt;&gt;"")),Data!$BI$2,"")</f>
        <v/>
      </c>
      <c r="CP129" s="197" t="str">
        <f>IF(AND($J129="x",AND(MAX(CK129:CM129)=CL129,CL129&lt;&gt;"")),Data!$BJ$2,"")</f>
        <v/>
      </c>
      <c r="CQ129" s="197">
        <f>IF(AND($K129="x",AND(MAX(CK129:CM129)=CM129,CM129&lt;&gt;"")),Data!$BK$2,"")</f>
        <v>71</v>
      </c>
      <c r="CR129" s="197"/>
      <c r="CS129" s="197"/>
      <c r="CT129" s="328"/>
      <c r="CU129" s="259"/>
      <c r="CV129" s="209"/>
      <c r="CW129" s="227"/>
    </row>
    <row r="130" spans="1:101" x14ac:dyDescent="0.2">
      <c r="A130" s="227"/>
      <c r="B130" s="227"/>
      <c r="C130" s="168"/>
      <c r="D130" s="233"/>
      <c r="E130" s="199"/>
      <c r="F130" s="352" t="str">
        <f>IF(SUM(F118:F129)=0,"",SUM(F118:F129))</f>
        <v/>
      </c>
      <c r="G130" s="327" t="s">
        <v>51</v>
      </c>
      <c r="H130" s="353">
        <f>IF(SUM(H118:H129)=0,"",SUM(H118:H129))</f>
        <v>12</v>
      </c>
      <c r="I130" s="354" t="str">
        <f>IF(COUNTIF(I118:I129,"=x")=0,"",COUNTIF(I118:I129,"=x"))</f>
        <v/>
      </c>
      <c r="J130" s="355" t="str">
        <f>IF(COUNTIF(J118:J129,"=x")=0,"",COUNTIF(J118:J129,"=x"))</f>
        <v/>
      </c>
      <c r="K130" s="356">
        <f>IF(COUNTIF(K118:K129,"=x")=0,"",COUNTIF(K118:K129,"=x"))</f>
        <v>12</v>
      </c>
      <c r="L130" s="258"/>
      <c r="M130" s="332"/>
      <c r="N130" s="336"/>
      <c r="O130" s="200"/>
      <c r="P130" s="326"/>
      <c r="Q130" s="422">
        <f>SUM(U118:U129)</f>
        <v>0</v>
      </c>
      <c r="R130" s="422">
        <f t="shared" ref="R130:S130" si="175">SUM(V118:V129)</f>
        <v>0</v>
      </c>
      <c r="S130" s="422">
        <f t="shared" si="175"/>
        <v>852</v>
      </c>
      <c r="T130" s="325"/>
      <c r="U130" s="197">
        <f>SUM(U118:U129)</f>
        <v>0</v>
      </c>
      <c r="V130" s="197">
        <f t="shared" ref="V130:W130" si="176">SUM(V118:V129)</f>
        <v>0</v>
      </c>
      <c r="W130" s="197">
        <f t="shared" si="176"/>
        <v>852</v>
      </c>
      <c r="X130" s="197"/>
      <c r="Y130" s="324"/>
      <c r="Z130" s="422">
        <f>SUM(AD118:AD129)</f>
        <v>0</v>
      </c>
      <c r="AA130" s="422">
        <f t="shared" ref="AA130:AB130" si="177">SUM(AE118:AE129)</f>
        <v>0</v>
      </c>
      <c r="AB130" s="422">
        <f t="shared" si="177"/>
        <v>852</v>
      </c>
      <c r="AC130" s="325"/>
      <c r="AD130" s="197">
        <f>SUM(AD118:AD129)</f>
        <v>0</v>
      </c>
      <c r="AE130" s="197">
        <f t="shared" ref="AE130:AF130" si="178">SUM(AE118:AE129)</f>
        <v>0</v>
      </c>
      <c r="AF130" s="197">
        <f t="shared" si="178"/>
        <v>852</v>
      </c>
      <c r="AG130" s="197"/>
      <c r="AH130" s="324"/>
      <c r="AI130" s="422">
        <f>SUM(AM118:AM129)</f>
        <v>0</v>
      </c>
      <c r="AJ130" s="422">
        <f t="shared" ref="AJ130:AK130" si="179">SUM(AN118:AN129)</f>
        <v>0</v>
      </c>
      <c r="AK130" s="422">
        <f t="shared" si="179"/>
        <v>852</v>
      </c>
      <c r="AL130" s="325"/>
      <c r="AM130" s="197">
        <f>SUM(AM118:AM129)</f>
        <v>0</v>
      </c>
      <c r="AN130" s="197">
        <f t="shared" ref="AN130:AO130" si="180">SUM(AN118:AN129)</f>
        <v>0</v>
      </c>
      <c r="AO130" s="197">
        <f t="shared" si="180"/>
        <v>852</v>
      </c>
      <c r="AP130" s="197"/>
      <c r="AQ130" s="324"/>
      <c r="AR130" s="422">
        <f>SUM(AV118:AV129)</f>
        <v>0</v>
      </c>
      <c r="AS130" s="422">
        <f t="shared" ref="AS130:AT130" si="181">SUM(AW118:AW129)</f>
        <v>0</v>
      </c>
      <c r="AT130" s="422">
        <f t="shared" si="181"/>
        <v>852</v>
      </c>
      <c r="AU130" s="325"/>
      <c r="AV130" s="197">
        <f>SUM(AV118:AV129)</f>
        <v>0</v>
      </c>
      <c r="AW130" s="197">
        <f t="shared" ref="AW130:AX130" si="182">SUM(AW118:AW129)</f>
        <v>0</v>
      </c>
      <c r="AX130" s="197">
        <f t="shared" si="182"/>
        <v>852</v>
      </c>
      <c r="AY130" s="197"/>
      <c r="AZ130" s="324"/>
      <c r="BA130" s="422">
        <f>SUM(BE118:BE129)</f>
        <v>0</v>
      </c>
      <c r="BB130" s="422">
        <f t="shared" ref="BB130:BC130" si="183">SUM(BF118:BF129)</f>
        <v>0</v>
      </c>
      <c r="BC130" s="422">
        <f t="shared" si="183"/>
        <v>852</v>
      </c>
      <c r="BD130" s="325"/>
      <c r="BE130" s="197">
        <f>SUM(BE118:BE129)</f>
        <v>0</v>
      </c>
      <c r="BF130" s="197">
        <f t="shared" ref="BF130:BG130" si="184">SUM(BF118:BF129)</f>
        <v>0</v>
      </c>
      <c r="BG130" s="197">
        <f t="shared" si="184"/>
        <v>852</v>
      </c>
      <c r="BH130" s="197"/>
      <c r="BI130" s="324"/>
      <c r="BJ130" s="422">
        <f>SUM(BN118:BN129)</f>
        <v>0</v>
      </c>
      <c r="BK130" s="422">
        <f t="shared" ref="BK130" si="185">SUM(BO118:BO129)</f>
        <v>0</v>
      </c>
      <c r="BL130" s="422">
        <f t="shared" ref="BL130" si="186">SUM(BP118:BP129)</f>
        <v>852</v>
      </c>
      <c r="BM130" s="325"/>
      <c r="BN130" s="197">
        <f>SUM(BN118:BN129)</f>
        <v>0</v>
      </c>
      <c r="BO130" s="197">
        <f t="shared" ref="BO130:BP130" si="187">SUM(BO118:BO129)</f>
        <v>0</v>
      </c>
      <c r="BP130" s="197">
        <f t="shared" si="187"/>
        <v>852</v>
      </c>
      <c r="BQ130" s="197"/>
      <c r="BR130" s="324"/>
      <c r="BS130" s="422">
        <f>SUM(BW118:BW129)</f>
        <v>0</v>
      </c>
      <c r="BT130" s="422">
        <f t="shared" ref="BT130:BU130" si="188">SUM(BX118:BX129)</f>
        <v>0</v>
      </c>
      <c r="BU130" s="422">
        <f t="shared" si="188"/>
        <v>852</v>
      </c>
      <c r="BV130" s="325"/>
      <c r="BW130" s="197">
        <f>SUM(BW118:BW129)</f>
        <v>0</v>
      </c>
      <c r="BX130" s="197">
        <f t="shared" ref="BX130:BY130" si="189">SUM(BX118:BX129)</f>
        <v>0</v>
      </c>
      <c r="BY130" s="197">
        <f t="shared" si="189"/>
        <v>852</v>
      </c>
      <c r="BZ130" s="197"/>
      <c r="CA130" s="326"/>
      <c r="CB130" s="422">
        <f>SUM(CF118:CF129)</f>
        <v>0</v>
      </c>
      <c r="CC130" s="422">
        <f t="shared" ref="CC130:CD130" si="190">SUM(CG118:CG129)</f>
        <v>0</v>
      </c>
      <c r="CD130" s="422">
        <f t="shared" si="190"/>
        <v>852</v>
      </c>
      <c r="CE130" s="325"/>
      <c r="CF130" s="197">
        <f>SUM(CF118:CF129)</f>
        <v>0</v>
      </c>
      <c r="CG130" s="197">
        <f t="shared" ref="CG130:CH130" si="191">SUM(CG118:CG129)</f>
        <v>0</v>
      </c>
      <c r="CH130" s="197">
        <f t="shared" si="191"/>
        <v>852</v>
      </c>
      <c r="CI130" s="197"/>
      <c r="CJ130" s="197"/>
      <c r="CK130" s="422">
        <f>SUM(CO118:CO129)</f>
        <v>0</v>
      </c>
      <c r="CL130" s="422">
        <f t="shared" ref="CL130:CM130" si="192">SUM(CP118:CP129)</f>
        <v>0</v>
      </c>
      <c r="CM130" s="422">
        <f t="shared" si="192"/>
        <v>852</v>
      </c>
      <c r="CN130" s="325"/>
      <c r="CO130" s="197">
        <f>SUM(CO118:CO129)</f>
        <v>0</v>
      </c>
      <c r="CP130" s="197">
        <f t="shared" ref="CP130:CQ130" si="193">SUM(CP118:CP129)</f>
        <v>0</v>
      </c>
      <c r="CQ130" s="197">
        <f t="shared" si="193"/>
        <v>852</v>
      </c>
      <c r="CR130" s="197"/>
      <c r="CS130" s="197"/>
      <c r="CT130" s="197"/>
      <c r="CU130" s="259"/>
      <c r="CV130" s="209"/>
      <c r="CW130" s="228"/>
    </row>
    <row r="131" spans="1:101" x14ac:dyDescent="0.2">
      <c r="A131" s="227"/>
      <c r="B131" s="227"/>
      <c r="C131" s="168"/>
      <c r="D131" s="249"/>
      <c r="E131" s="242"/>
      <c r="F131" s="243"/>
      <c r="G131" s="242"/>
      <c r="H131" s="242"/>
      <c r="I131" s="242"/>
      <c r="J131" s="242"/>
      <c r="K131" s="242"/>
      <c r="L131" s="252"/>
      <c r="M131" s="260"/>
      <c r="N131" s="337"/>
      <c r="O131" s="333"/>
      <c r="P131" s="244"/>
      <c r="Q131" s="245"/>
      <c r="R131" s="245"/>
      <c r="S131" s="245"/>
      <c r="T131" s="246"/>
      <c r="U131" s="247"/>
      <c r="V131" s="247"/>
      <c r="W131" s="247"/>
      <c r="X131" s="247"/>
      <c r="Y131" s="244"/>
      <c r="Z131" s="245"/>
      <c r="AA131" s="245"/>
      <c r="AB131" s="245"/>
      <c r="AC131" s="246"/>
      <c r="AD131" s="247"/>
      <c r="AE131" s="247"/>
      <c r="AF131" s="247"/>
      <c r="AG131" s="247"/>
      <c r="AH131" s="244"/>
      <c r="AI131" s="245"/>
      <c r="AJ131" s="245"/>
      <c r="AK131" s="245"/>
      <c r="AL131" s="246"/>
      <c r="AM131" s="247"/>
      <c r="AN131" s="247"/>
      <c r="AO131" s="247"/>
      <c r="AP131" s="247"/>
      <c r="AQ131" s="244"/>
      <c r="AR131" s="245"/>
      <c r="AS131" s="245"/>
      <c r="AT131" s="245"/>
      <c r="AU131" s="246"/>
      <c r="AV131" s="247"/>
      <c r="AW131" s="247"/>
      <c r="AX131" s="247"/>
      <c r="AY131" s="247"/>
      <c r="AZ131" s="244"/>
      <c r="BA131" s="245"/>
      <c r="BB131" s="245"/>
      <c r="BC131" s="245"/>
      <c r="BD131" s="246"/>
      <c r="BE131" s="247"/>
      <c r="BF131" s="247"/>
      <c r="BG131" s="247"/>
      <c r="BH131" s="247"/>
      <c r="BI131" s="244"/>
      <c r="BJ131" s="244"/>
      <c r="BK131" s="244"/>
      <c r="BL131" s="244"/>
      <c r="BM131" s="244"/>
      <c r="BN131" s="247"/>
      <c r="BO131" s="247"/>
      <c r="BP131" s="247"/>
      <c r="BQ131" s="247"/>
      <c r="BR131" s="244"/>
      <c r="BS131" s="244"/>
      <c r="BT131" s="244"/>
      <c r="BU131" s="244"/>
      <c r="BV131" s="244"/>
      <c r="BW131" s="247"/>
      <c r="BX131" s="247"/>
      <c r="BY131" s="247"/>
      <c r="BZ131" s="247"/>
      <c r="CA131" s="244"/>
      <c r="CB131" s="244"/>
      <c r="CC131" s="244"/>
      <c r="CD131" s="244"/>
      <c r="CE131" s="244"/>
      <c r="CF131" s="247"/>
      <c r="CG131" s="247"/>
      <c r="CH131" s="247"/>
      <c r="CI131" s="247"/>
      <c r="CJ131" s="248"/>
      <c r="CK131" s="248"/>
      <c r="CL131" s="248"/>
      <c r="CM131" s="248"/>
      <c r="CN131" s="248"/>
      <c r="CO131" s="247"/>
      <c r="CP131" s="247"/>
      <c r="CQ131" s="247"/>
      <c r="CR131" s="247"/>
      <c r="CS131" s="248"/>
      <c r="CT131" s="242"/>
      <c r="CU131" s="253"/>
      <c r="CV131" s="209"/>
      <c r="CW131" s="228"/>
    </row>
    <row r="132" spans="1:101" x14ac:dyDescent="0.2">
      <c r="A132" s="219"/>
      <c r="B132" s="219"/>
      <c r="C132" s="175"/>
      <c r="D132" s="176"/>
      <c r="E132" s="210"/>
      <c r="F132" s="211"/>
      <c r="G132" s="210"/>
      <c r="H132" s="210"/>
      <c r="I132" s="210"/>
      <c r="J132" s="210"/>
      <c r="K132" s="210"/>
      <c r="L132" s="212"/>
      <c r="M132" s="213"/>
      <c r="N132" s="213"/>
      <c r="O132" s="213"/>
      <c r="P132" s="213"/>
      <c r="Q132" s="210"/>
      <c r="R132" s="210"/>
      <c r="S132" s="210"/>
      <c r="T132" s="214"/>
      <c r="U132" s="215"/>
      <c r="V132" s="215"/>
      <c r="W132" s="215"/>
      <c r="X132" s="215"/>
      <c r="Y132" s="213"/>
      <c r="Z132" s="210"/>
      <c r="AA132" s="210"/>
      <c r="AB132" s="210"/>
      <c r="AC132" s="214"/>
      <c r="AD132" s="215"/>
      <c r="AE132" s="215"/>
      <c r="AF132" s="215"/>
      <c r="AG132" s="215"/>
      <c r="AH132" s="213"/>
      <c r="AI132" s="210"/>
      <c r="AJ132" s="210"/>
      <c r="AK132" s="210"/>
      <c r="AL132" s="214"/>
      <c r="AM132" s="215"/>
      <c r="AN132" s="215"/>
      <c r="AO132" s="215"/>
      <c r="AP132" s="215"/>
      <c r="AQ132" s="213"/>
      <c r="AR132" s="210"/>
      <c r="AS132" s="210"/>
      <c r="AT132" s="210"/>
      <c r="AU132" s="214"/>
      <c r="AV132" s="215"/>
      <c r="AW132" s="215"/>
      <c r="AX132" s="215"/>
      <c r="AY132" s="215"/>
      <c r="AZ132" s="213"/>
      <c r="BA132" s="210"/>
      <c r="BB132" s="210"/>
      <c r="BC132" s="210"/>
      <c r="BD132" s="214"/>
      <c r="BE132" s="215"/>
      <c r="BF132" s="215"/>
      <c r="BG132" s="215"/>
      <c r="BH132" s="215"/>
      <c r="BI132" s="213"/>
      <c r="BJ132" s="210"/>
      <c r="BK132" s="210"/>
      <c r="BL132" s="210"/>
      <c r="BM132" s="214"/>
      <c r="BN132" s="215"/>
      <c r="BO132" s="215"/>
      <c r="BP132" s="215"/>
      <c r="BQ132" s="215"/>
      <c r="BR132" s="177"/>
      <c r="BS132" s="210"/>
      <c r="BT132" s="210"/>
      <c r="BU132" s="210"/>
      <c r="BV132" s="213"/>
      <c r="BW132" s="215"/>
      <c r="BX132" s="215"/>
      <c r="BY132" s="215"/>
      <c r="BZ132" s="215"/>
      <c r="CA132" s="210"/>
      <c r="CB132" s="216"/>
      <c r="CC132" s="216"/>
      <c r="CD132" s="216"/>
      <c r="CE132" s="216"/>
      <c r="CF132" s="215"/>
      <c r="CG132" s="215"/>
      <c r="CH132" s="215"/>
      <c r="CI132" s="215"/>
      <c r="CJ132" s="210"/>
      <c r="CK132" s="210"/>
      <c r="CL132" s="210"/>
      <c r="CM132" s="210"/>
      <c r="CN132" s="210"/>
      <c r="CO132" s="215"/>
      <c r="CP132" s="215"/>
      <c r="CQ132" s="215"/>
      <c r="CR132" s="215"/>
      <c r="CS132" s="210"/>
      <c r="CT132" s="210"/>
      <c r="CU132" s="210"/>
      <c r="CV132" s="217"/>
      <c r="CW132" s="218"/>
    </row>
    <row r="133" spans="1:101" ht="14.25" thickTop="1" thickBot="1" x14ac:dyDescent="0.25">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8"/>
      <c r="BL133" s="218"/>
      <c r="BM133" s="218"/>
      <c r="BN133" s="218"/>
      <c r="BO133" s="218"/>
      <c r="BP133" s="218"/>
      <c r="BQ133" s="218"/>
      <c r="BR133" s="218"/>
      <c r="BS133" s="218"/>
      <c r="BT133" s="218"/>
      <c r="BU133" s="218"/>
      <c r="BV133" s="218"/>
      <c r="BW133" s="218"/>
      <c r="BX133" s="218"/>
      <c r="BY133" s="218"/>
      <c r="BZ133" s="218"/>
      <c r="CA133" s="218"/>
      <c r="CB133" s="392"/>
      <c r="CC133" s="392"/>
      <c r="CD133" s="392"/>
      <c r="CE133" s="392"/>
      <c r="CF133" s="218"/>
      <c r="CG133" s="218"/>
      <c r="CH133" s="218"/>
      <c r="CI133" s="218"/>
      <c r="CJ133" s="218"/>
      <c r="CK133" s="218"/>
      <c r="CL133" s="218"/>
      <c r="CM133" s="218"/>
      <c r="CN133" s="218"/>
      <c r="CO133" s="218"/>
      <c r="CP133" s="218"/>
      <c r="CQ133" s="218"/>
      <c r="CR133" s="218"/>
      <c r="CS133" s="218"/>
      <c r="CT133" s="218"/>
      <c r="CU133" s="218"/>
      <c r="CV133" s="218"/>
      <c r="CW133" s="218"/>
    </row>
    <row r="134" spans="1:101" ht="21" thickTop="1" x14ac:dyDescent="0.3">
      <c r="A134" s="219"/>
      <c r="B134" s="219"/>
      <c r="C134" s="157"/>
      <c r="D134" s="158"/>
      <c r="E134" s="731" t="s">
        <v>44</v>
      </c>
      <c r="F134" s="229"/>
      <c r="G134" s="229"/>
      <c r="H134" s="229"/>
      <c r="I134" s="877" t="e" vm="1">
        <v>#VALUE!</v>
      </c>
      <c r="J134" s="877"/>
      <c r="K134" s="877"/>
      <c r="L134" s="877"/>
      <c r="M134" s="159"/>
      <c r="N134" s="159"/>
      <c r="O134" s="159"/>
      <c r="P134" s="160"/>
      <c r="Q134" s="159"/>
      <c r="R134" s="159"/>
      <c r="S134" s="159"/>
      <c r="T134" s="161"/>
      <c r="U134" s="162"/>
      <c r="V134" s="162"/>
      <c r="W134" s="162"/>
      <c r="X134" s="162"/>
      <c r="Y134" s="160"/>
      <c r="Z134" s="159"/>
      <c r="AA134" s="159"/>
      <c r="AB134" s="159"/>
      <c r="AC134" s="161"/>
      <c r="AD134" s="162"/>
      <c r="AE134" s="162"/>
      <c r="AF134" s="162"/>
      <c r="AG134" s="162"/>
      <c r="AH134" s="160"/>
      <c r="AI134" s="159"/>
      <c r="AJ134" s="201"/>
      <c r="AK134" s="201"/>
      <c r="AL134" s="164"/>
      <c r="AM134" s="162"/>
      <c r="AN134" s="162"/>
      <c r="AO134" s="162"/>
      <c r="AP134" s="162"/>
      <c r="AQ134" s="202"/>
      <c r="AR134" s="203"/>
      <c r="AS134" s="165"/>
      <c r="AT134" s="166"/>
      <c r="AU134" s="164"/>
      <c r="AV134" s="162"/>
      <c r="AW134" s="162"/>
      <c r="AX134" s="162"/>
      <c r="AY134" s="162"/>
      <c r="AZ134" s="202"/>
      <c r="BA134" s="203"/>
      <c r="BB134" s="166"/>
      <c r="BC134" s="201"/>
      <c r="BD134" s="204"/>
      <c r="BE134" s="162"/>
      <c r="BF134" s="162"/>
      <c r="BG134" s="162"/>
      <c r="BH134" s="162"/>
      <c r="BI134" s="205"/>
      <c r="BJ134" s="201"/>
      <c r="BK134" s="201"/>
      <c r="BL134" s="201"/>
      <c r="BM134" s="204"/>
      <c r="BN134" s="162"/>
      <c r="BO134" s="162"/>
      <c r="BP134" s="162"/>
      <c r="BQ134" s="162"/>
      <c r="BR134" s="167"/>
      <c r="BS134" s="201"/>
      <c r="BT134" s="201"/>
      <c r="BU134" s="201"/>
      <c r="BV134" s="205"/>
      <c r="BW134" s="162"/>
      <c r="BX134" s="162"/>
      <c r="BY134" s="162"/>
      <c r="BZ134" s="162"/>
      <c r="CA134" s="201"/>
      <c r="CB134" s="393"/>
      <c r="CC134" s="393"/>
      <c r="CD134" s="393"/>
      <c r="CE134" s="393"/>
      <c r="CF134" s="162"/>
      <c r="CG134" s="162"/>
      <c r="CH134" s="162"/>
      <c r="CI134" s="162"/>
      <c r="CJ134" s="163"/>
      <c r="CK134" s="163"/>
      <c r="CL134" s="163"/>
      <c r="CM134" s="163"/>
      <c r="CN134" s="163"/>
      <c r="CO134" s="162"/>
      <c r="CP134" s="162"/>
      <c r="CQ134" s="162"/>
      <c r="CR134" s="162"/>
      <c r="CS134" s="163"/>
      <c r="CT134" s="358"/>
      <c r="CU134" s="201"/>
      <c r="CV134" s="206"/>
      <c r="CW134" s="218"/>
    </row>
    <row r="135" spans="1:101" ht="15.75" customHeight="1" thickBot="1" x14ac:dyDescent="0.25">
      <c r="A135" s="219"/>
      <c r="B135" s="219"/>
      <c r="C135" s="168"/>
      <c r="D135" s="785"/>
      <c r="E135" s="869" t="s">
        <v>45</v>
      </c>
      <c r="F135" s="363"/>
      <c r="G135" s="363"/>
      <c r="H135" s="363"/>
      <c r="I135" s="878"/>
      <c r="J135" s="878"/>
      <c r="K135" s="878"/>
      <c r="L135" s="878"/>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H135" s="363"/>
      <c r="BI135" s="363"/>
      <c r="BJ135" s="363"/>
      <c r="BK135" s="363"/>
      <c r="BL135" s="363"/>
      <c r="BM135" s="363"/>
      <c r="BN135" s="363"/>
      <c r="BO135" s="363"/>
      <c r="BP135" s="363"/>
      <c r="BQ135" s="363"/>
      <c r="BR135" s="363"/>
      <c r="BS135" s="363"/>
      <c r="BT135" s="363"/>
      <c r="BU135" s="363"/>
      <c r="BV135" s="363"/>
      <c r="BW135" s="363"/>
      <c r="BX135" s="363"/>
      <c r="BY135" s="363"/>
      <c r="BZ135" s="363"/>
      <c r="CA135" s="363"/>
      <c r="CB135" s="394"/>
      <c r="CC135" s="394"/>
      <c r="CD135" s="394"/>
      <c r="CE135" s="394"/>
      <c r="CF135" s="363"/>
      <c r="CG135" s="363"/>
      <c r="CH135" s="363"/>
      <c r="CI135" s="363"/>
      <c r="CJ135" s="363"/>
      <c r="CK135" s="363"/>
      <c r="CL135" s="363"/>
      <c r="CM135" s="363"/>
      <c r="CN135" s="323"/>
      <c r="CO135" s="363"/>
      <c r="CP135" s="363"/>
      <c r="CQ135" s="363"/>
      <c r="CR135" s="363"/>
      <c r="CS135" s="323"/>
      <c r="CT135" s="155"/>
      <c r="CU135" s="269"/>
      <c r="CV135" s="209"/>
      <c r="CW135" s="218"/>
    </row>
    <row r="136" spans="1:101" ht="18.75" customHeight="1" thickTop="1" x14ac:dyDescent="0.2">
      <c r="A136" s="219"/>
      <c r="B136" s="219"/>
      <c r="C136" s="174"/>
      <c r="D136" s="778"/>
      <c r="E136" s="777"/>
      <c r="F136" s="235"/>
      <c r="G136" s="234"/>
      <c r="H136" s="234"/>
      <c r="I136" s="875">
        <f>WEEKNUM(E137)</f>
        <v>39</v>
      </c>
      <c r="J136" s="875"/>
      <c r="K136" s="875"/>
      <c r="L136" s="250"/>
      <c r="M136" s="261"/>
      <c r="N136" s="205"/>
      <c r="O136" s="236"/>
      <c r="P136" s="236"/>
      <c r="Q136" s="675" t="str">
        <f>IF($F140="","",SUM(Q152:S152)-S138)</f>
        <v/>
      </c>
      <c r="R136" s="675"/>
      <c r="S136" s="675"/>
      <c r="T136" s="237"/>
      <c r="U136" s="238"/>
      <c r="V136" s="238"/>
      <c r="W136" s="238"/>
      <c r="X136" s="238"/>
      <c r="Y136" s="236"/>
      <c r="Z136" s="675" t="str">
        <f>IF($F140="","",SUM(Z152:AB152)-AB138)</f>
        <v/>
      </c>
      <c r="AA136" s="675"/>
      <c r="AB136" s="675"/>
      <c r="AC136" s="237"/>
      <c r="AD136" s="238"/>
      <c r="AE136" s="238"/>
      <c r="AF136" s="238"/>
      <c r="AG136" s="238"/>
      <c r="AH136" s="236"/>
      <c r="AI136" s="675" t="str">
        <f>IF($F140="","",SUM(AI152:AK152)-AK138)</f>
        <v/>
      </c>
      <c r="AJ136" s="675"/>
      <c r="AK136" s="675"/>
      <c r="AL136" s="237"/>
      <c r="AM136" s="238"/>
      <c r="AN136" s="238"/>
      <c r="AO136" s="238"/>
      <c r="AP136" s="238"/>
      <c r="AQ136" s="236"/>
      <c r="AR136" s="675" t="str">
        <f>IF($F140="","",SUM(AR152:AT152)-AT138)</f>
        <v/>
      </c>
      <c r="AS136" s="675"/>
      <c r="AT136" s="675"/>
      <c r="AU136" s="239"/>
      <c r="AV136" s="238"/>
      <c r="AW136" s="238"/>
      <c r="AX136" s="238"/>
      <c r="AY136" s="238"/>
      <c r="AZ136" s="240"/>
      <c r="BA136" s="675" t="str">
        <f>IF($F140="","",SUM(BA152:BC152)-BC138)</f>
        <v/>
      </c>
      <c r="BB136" s="675"/>
      <c r="BC136" s="675"/>
      <c r="BD136" s="239"/>
      <c r="BE136" s="238"/>
      <c r="BF136" s="238"/>
      <c r="BG136" s="238"/>
      <c r="BH136" s="238"/>
      <c r="BI136" s="240"/>
      <c r="BJ136" s="675" t="str">
        <f>IF($F140="","",SUM(BJ152:BL152)-BL138)</f>
        <v/>
      </c>
      <c r="BK136" s="675"/>
      <c r="BL136" s="675"/>
      <c r="BM136" s="239"/>
      <c r="BN136" s="238"/>
      <c r="BO136" s="238"/>
      <c r="BP136" s="238"/>
      <c r="BQ136" s="238"/>
      <c r="BR136" s="241"/>
      <c r="BS136" s="675" t="str">
        <f>IF($F140="","",SUM(BS152:BU152)-BU138)</f>
        <v/>
      </c>
      <c r="BT136" s="675"/>
      <c r="BU136" s="675"/>
      <c r="BV136" s="240"/>
      <c r="BW136" s="238"/>
      <c r="BX136" s="238"/>
      <c r="BY136" s="238"/>
      <c r="BZ136" s="238"/>
      <c r="CA136" s="241"/>
      <c r="CB136" s="675" t="str">
        <f>IF($F140="","",SUM(CB152:CD152)-CD138)</f>
        <v/>
      </c>
      <c r="CC136" s="675"/>
      <c r="CD136" s="675"/>
      <c r="CE136" s="240"/>
      <c r="CF136" s="238"/>
      <c r="CG136" s="238"/>
      <c r="CH136" s="238"/>
      <c r="CI136" s="238"/>
      <c r="CJ136" s="234"/>
      <c r="CK136" s="675" t="str">
        <f>IF($F140="","",SUM(CK152:CM152))</f>
        <v/>
      </c>
      <c r="CL136" s="675"/>
      <c r="CM136" s="675"/>
      <c r="CN136" s="240"/>
      <c r="CO136" s="238"/>
      <c r="CP136" s="238"/>
      <c r="CQ136" s="238"/>
      <c r="CR136" s="238"/>
      <c r="CS136" s="234"/>
      <c r="CT136" s="234"/>
      <c r="CU136" s="251"/>
      <c r="CV136" s="209"/>
      <c r="CW136" s="218"/>
    </row>
    <row r="137" spans="1:101" ht="12.75" customHeight="1" x14ac:dyDescent="0.2">
      <c r="A137" s="219"/>
      <c r="B137" s="219"/>
      <c r="C137" s="174"/>
      <c r="D137" s="779"/>
      <c r="E137" s="543">
        <f>E115+7</f>
        <v>46291</v>
      </c>
      <c r="F137" s="178"/>
      <c r="G137" s="179"/>
      <c r="H137" s="179"/>
      <c r="I137" s="876"/>
      <c r="J137" s="876"/>
      <c r="K137" s="876"/>
      <c r="L137" s="254"/>
      <c r="M137" s="329"/>
      <c r="N137" s="208"/>
      <c r="O137" s="180"/>
      <c r="P137" s="180"/>
      <c r="Q137" s="584" t="str">
        <f>IF(Q136="","",Q136/Data!$X$1)</f>
        <v/>
      </c>
      <c r="R137" s="584"/>
      <c r="S137" s="585" t="str">
        <f>IF(SUM(X140:X151)=0,"",SUM(X140:X151))</f>
        <v/>
      </c>
      <c r="T137" s="181"/>
      <c r="U137" s="182"/>
      <c r="V137" s="182"/>
      <c r="W137" s="182"/>
      <c r="X137" s="182"/>
      <c r="Y137" s="180"/>
      <c r="Z137" s="584" t="str">
        <f>IF(Z136="","",Z136/Data!$X$1)</f>
        <v/>
      </c>
      <c r="AA137" s="584"/>
      <c r="AB137" s="585" t="str">
        <f>IF(SUM(AG140:AG151)=0,"",SUM(AG140:AG151))</f>
        <v/>
      </c>
      <c r="AC137" s="181"/>
      <c r="AD137" s="182"/>
      <c r="AE137" s="182"/>
      <c r="AF137" s="182"/>
      <c r="AG137" s="182"/>
      <c r="AH137" s="180"/>
      <c r="AI137" s="584" t="str">
        <f>IF(AI136="","",AI136/Data!$X$1)</f>
        <v/>
      </c>
      <c r="AJ137" s="584"/>
      <c r="AK137" s="585" t="str">
        <f>IF(SUM(AP140:AP151)=0,"",SUM(AP140:AP151))</f>
        <v/>
      </c>
      <c r="AL137" s="181"/>
      <c r="AM137" s="182"/>
      <c r="AN137" s="182"/>
      <c r="AO137" s="182"/>
      <c r="AP137" s="182"/>
      <c r="AQ137" s="180"/>
      <c r="AR137" s="584" t="str">
        <f>IF(AR136="","",AR136/Data!$X$1)</f>
        <v/>
      </c>
      <c r="AS137" s="584"/>
      <c r="AT137" s="585" t="str">
        <f>IF(SUM(AY140:AY151)=0,"",SUM(AY140:AY151))</f>
        <v/>
      </c>
      <c r="AU137" s="183"/>
      <c r="AV137" s="182"/>
      <c r="AW137" s="182"/>
      <c r="AX137" s="182"/>
      <c r="AY137" s="182"/>
      <c r="AZ137" s="184"/>
      <c r="BA137" s="584" t="str">
        <f>IF(BA136="","",BA136/Data!$X$1)</f>
        <v/>
      </c>
      <c r="BB137" s="584"/>
      <c r="BC137" s="585" t="str">
        <f>IF(SUM(BH140:BH151)=0,"",SUM(BH140:BH151))</f>
        <v/>
      </c>
      <c r="BD137" s="183"/>
      <c r="BE137" s="182"/>
      <c r="BF137" s="182"/>
      <c r="BG137" s="182"/>
      <c r="BH137" s="182"/>
      <c r="BI137" s="184"/>
      <c r="BJ137" s="584" t="str">
        <f>IF(BJ136="","",BJ136/Data!$X$1)</f>
        <v/>
      </c>
      <c r="BK137" s="584"/>
      <c r="BL137" s="585" t="str">
        <f>IF(SUM(BQ140:BQ151)=0,"",SUM(BQ140:BQ151))</f>
        <v/>
      </c>
      <c r="BM137" s="183"/>
      <c r="BN137" s="182"/>
      <c r="BO137" s="182"/>
      <c r="BP137" s="182"/>
      <c r="BQ137" s="182"/>
      <c r="BR137" s="185"/>
      <c r="BS137" s="584" t="str">
        <f>IF(BS136="","",BS136/Data!$X$1)</f>
        <v/>
      </c>
      <c r="BT137" s="584"/>
      <c r="BU137" s="585" t="str">
        <f>IF(SUM(BZ140:BZ151)=0,"",SUM(BZ140:BZ151))</f>
        <v/>
      </c>
      <c r="BV137" s="184"/>
      <c r="BW137" s="182"/>
      <c r="BX137" s="182"/>
      <c r="BY137" s="182"/>
      <c r="BZ137" s="182"/>
      <c r="CA137" s="185"/>
      <c r="CB137" s="584" t="str">
        <f>IF(CB136="","",CB136/Data!$X$1)</f>
        <v/>
      </c>
      <c r="CC137" s="584"/>
      <c r="CD137" s="585" t="str">
        <f>IF(SUM(CI140:CI151)=0,"",SUM(CI140:CI151))</f>
        <v/>
      </c>
      <c r="CE137" s="184"/>
      <c r="CF137" s="182"/>
      <c r="CG137" s="182"/>
      <c r="CH137" s="182"/>
      <c r="CI137" s="182"/>
      <c r="CJ137" s="182"/>
      <c r="CK137" s="584" t="str">
        <f>IF(CK136="","",CK136/Data!$X$1)</f>
        <v/>
      </c>
      <c r="CL137" s="584"/>
      <c r="CM137" s="585" t="str">
        <f>IF(SUM(CR140:CR151)=0,"",SUM(CR140:CR151))</f>
        <v/>
      </c>
      <c r="CN137" s="184"/>
      <c r="CO137" s="182"/>
      <c r="CP137" s="182"/>
      <c r="CQ137" s="182"/>
      <c r="CR137" s="182"/>
      <c r="CS137" s="182"/>
      <c r="CT137" s="182"/>
      <c r="CU137" s="255"/>
      <c r="CV137" s="209"/>
      <c r="CW137" s="218"/>
    </row>
    <row r="138" spans="1:101" ht="13.5" thickBot="1" x14ac:dyDescent="0.25">
      <c r="A138" s="219"/>
      <c r="B138" s="219"/>
      <c r="C138" s="174"/>
      <c r="D138" s="230"/>
      <c r="E138" s="359"/>
      <c r="F138" s="186"/>
      <c r="G138" s="187"/>
      <c r="H138" s="187"/>
      <c r="I138" s="673"/>
      <c r="J138" s="674"/>
      <c r="K138" s="674"/>
      <c r="L138" s="256"/>
      <c r="M138" s="330"/>
      <c r="N138" s="334"/>
      <c r="O138" s="187"/>
      <c r="P138" s="187"/>
      <c r="Q138" s="342" t="str">
        <f>Data!$E$11</f>
        <v>AHH</v>
      </c>
      <c r="R138" s="343" t="str">
        <f>IF($F151="","",RANK(Q136,$Q136:$CL136))</f>
        <v/>
      </c>
      <c r="S138" s="466"/>
      <c r="T138" s="181"/>
      <c r="U138" s="182"/>
      <c r="V138" s="182"/>
      <c r="W138" s="182"/>
      <c r="X138" s="197">
        <f>COUNTIF(U140:W151,"&gt;0")</f>
        <v>10</v>
      </c>
      <c r="Y138" s="180"/>
      <c r="Z138" s="342" t="str">
        <f>Data!$E$12</f>
        <v>RB</v>
      </c>
      <c r="AA138" s="343" t="str">
        <f>IF($F151="","",RANK(Z136,$Q136:$CL136))</f>
        <v/>
      </c>
      <c r="AB138" s="466"/>
      <c r="AC138" s="181"/>
      <c r="AD138" s="182"/>
      <c r="AE138" s="182"/>
      <c r="AF138" s="182"/>
      <c r="AG138" s="197">
        <f>COUNTIF(AD140:AF151,"&gt;0")</f>
        <v>10</v>
      </c>
      <c r="AH138" s="180"/>
      <c r="AI138" s="342" t="str">
        <f>Data!$E$13</f>
        <v>EB</v>
      </c>
      <c r="AJ138" s="343" t="str">
        <f>IF($F151="","",RANK(AI136,$Q136:$CL136))</f>
        <v/>
      </c>
      <c r="AK138" s="466"/>
      <c r="AL138" s="181"/>
      <c r="AM138" s="182"/>
      <c r="AN138" s="182"/>
      <c r="AO138" s="182"/>
      <c r="AP138" s="197">
        <f>COUNTIF(AM140:AO151,"&gt;0")</f>
        <v>10</v>
      </c>
      <c r="AQ138" s="180"/>
      <c r="AR138" s="305" t="str">
        <f>Data!$E$14</f>
        <v>KAF</v>
      </c>
      <c r="AS138" s="343" t="str">
        <f>IF($F151="","",RANK(AR136,$Q136:$CL136))</f>
        <v/>
      </c>
      <c r="AT138" s="466"/>
      <c r="AU138" s="181"/>
      <c r="AV138" s="182"/>
      <c r="AW138" s="182"/>
      <c r="AX138" s="182"/>
      <c r="AY138" s="197">
        <f>COUNTIF(AV140:AX151,"&gt;0")</f>
        <v>10</v>
      </c>
      <c r="AZ138" s="180"/>
      <c r="BA138" s="305" t="str">
        <f>Data!$E$15</f>
        <v>ØG</v>
      </c>
      <c r="BB138" s="343" t="str">
        <f>IF($F151="","",RANK(BA136,$Q136:$CL136))</f>
        <v/>
      </c>
      <c r="BC138" s="466"/>
      <c r="BD138" s="181"/>
      <c r="BE138" s="182"/>
      <c r="BF138" s="182"/>
      <c r="BG138" s="182"/>
      <c r="BH138" s="197">
        <f>COUNTIF(BE140:BG151,"&gt;0")</f>
        <v>10</v>
      </c>
      <c r="BI138" s="180"/>
      <c r="BJ138" s="305" t="str">
        <f>Data!$E$16</f>
        <v>JH</v>
      </c>
      <c r="BK138" s="343" t="str">
        <f>IF($F151="","",RANK(BJ136,$Q136:$CL136))</f>
        <v/>
      </c>
      <c r="BL138" s="466"/>
      <c r="BM138" s="181"/>
      <c r="BN138" s="182"/>
      <c r="BO138" s="182"/>
      <c r="BP138" s="182"/>
      <c r="BQ138" s="197">
        <f>COUNTIF(BN140:BP151,"&gt;0")</f>
        <v>10</v>
      </c>
      <c r="BR138" s="188"/>
      <c r="BS138" s="305" t="str">
        <f>Data!$E$17</f>
        <v>TOH</v>
      </c>
      <c r="BT138" s="343" t="str">
        <f>IF($F151="","",RANK(BS136,$Q136:$CL136))</f>
        <v/>
      </c>
      <c r="BU138" s="466"/>
      <c r="BV138" s="180"/>
      <c r="BW138" s="182"/>
      <c r="BX138" s="182"/>
      <c r="BY138" s="182"/>
      <c r="BZ138" s="197">
        <f>COUNTIF(BW140:BY151,"&gt;0")</f>
        <v>10</v>
      </c>
      <c r="CA138" s="188"/>
      <c r="CB138" s="305" t="s">
        <v>26</v>
      </c>
      <c r="CC138" s="343" t="str">
        <f>IF($F151="","",RANK(CB136,$Q136:$CM136))</f>
        <v/>
      </c>
      <c r="CD138" s="467"/>
      <c r="CE138" s="180"/>
      <c r="CF138" s="182"/>
      <c r="CG138" s="182"/>
      <c r="CH138" s="182"/>
      <c r="CI138" s="197">
        <f>COUNTIF(CF140:CH151,"&gt;0")</f>
        <v>10</v>
      </c>
      <c r="CJ138" s="182"/>
      <c r="CK138" s="305" t="s">
        <v>27</v>
      </c>
      <c r="CL138" s="343" t="str">
        <f>IF($F151="","",RANK(CK136,$Q136:$CM136))</f>
        <v/>
      </c>
      <c r="CM138" s="669"/>
      <c r="CN138" s="180"/>
      <c r="CO138" s="182"/>
      <c r="CP138" s="182"/>
      <c r="CQ138" s="182"/>
      <c r="CR138" s="197">
        <f>COUNTIF(CO140:CQ151,"&gt;0")</f>
        <v>10</v>
      </c>
      <c r="CS138" s="182"/>
      <c r="CT138" s="182"/>
      <c r="CU138" s="255"/>
      <c r="CV138" s="209"/>
      <c r="CW138" s="218"/>
    </row>
    <row r="139" spans="1:101" ht="13.5" thickBot="1" x14ac:dyDescent="0.25">
      <c r="A139" s="227"/>
      <c r="B139" s="227"/>
      <c r="C139" s="168"/>
      <c r="D139" s="231"/>
      <c r="E139" s="189"/>
      <c r="F139" s="190"/>
      <c r="G139" s="191"/>
      <c r="H139" s="191"/>
      <c r="I139" s="192" t="s">
        <v>47</v>
      </c>
      <c r="J139" s="193" t="s">
        <v>48</v>
      </c>
      <c r="K139" s="194" t="s">
        <v>49</v>
      </c>
      <c r="L139" s="257"/>
      <c r="M139" s="331"/>
      <c r="N139" s="335"/>
      <c r="O139" s="195"/>
      <c r="P139" s="195"/>
      <c r="Q139" s="192" t="s">
        <v>47</v>
      </c>
      <c r="R139" s="193" t="s">
        <v>48</v>
      </c>
      <c r="S139" s="194" t="s">
        <v>49</v>
      </c>
      <c r="T139" s="196"/>
      <c r="U139" s="197"/>
      <c r="V139" s="197"/>
      <c r="W139" s="197"/>
      <c r="X139" s="197"/>
      <c r="Y139" s="195"/>
      <c r="Z139" s="192" t="s">
        <v>47</v>
      </c>
      <c r="AA139" s="193" t="s">
        <v>48</v>
      </c>
      <c r="AB139" s="194" t="s">
        <v>49</v>
      </c>
      <c r="AC139" s="196"/>
      <c r="AD139" s="197"/>
      <c r="AE139" s="197"/>
      <c r="AF139" s="197"/>
      <c r="AG139" s="197"/>
      <c r="AH139" s="195"/>
      <c r="AI139" s="192" t="s">
        <v>47</v>
      </c>
      <c r="AJ139" s="193" t="s">
        <v>48</v>
      </c>
      <c r="AK139" s="194" t="s">
        <v>49</v>
      </c>
      <c r="AL139" s="196"/>
      <c r="AM139" s="197"/>
      <c r="AN139" s="197"/>
      <c r="AO139" s="197"/>
      <c r="AP139" s="197"/>
      <c r="AQ139" s="195"/>
      <c r="AR139" s="192" t="s">
        <v>47</v>
      </c>
      <c r="AS139" s="193" t="s">
        <v>48</v>
      </c>
      <c r="AT139" s="194" t="s">
        <v>49</v>
      </c>
      <c r="AU139" s="196"/>
      <c r="AV139" s="197"/>
      <c r="AW139" s="197"/>
      <c r="AX139" s="197"/>
      <c r="AY139" s="197"/>
      <c r="AZ139" s="195"/>
      <c r="BA139" s="192" t="s">
        <v>47</v>
      </c>
      <c r="BB139" s="193" t="s">
        <v>48</v>
      </c>
      <c r="BC139" s="194" t="s">
        <v>49</v>
      </c>
      <c r="BD139" s="196"/>
      <c r="BE139" s="197"/>
      <c r="BF139" s="197"/>
      <c r="BG139" s="197"/>
      <c r="BH139" s="197"/>
      <c r="BI139" s="195"/>
      <c r="BJ139" s="192" t="s">
        <v>47</v>
      </c>
      <c r="BK139" s="193" t="s">
        <v>48</v>
      </c>
      <c r="BL139" s="194" t="s">
        <v>49</v>
      </c>
      <c r="BM139" s="196"/>
      <c r="BN139" s="197"/>
      <c r="BO139" s="197"/>
      <c r="BP139" s="197"/>
      <c r="BQ139" s="197"/>
      <c r="BR139" s="195"/>
      <c r="BS139" s="192" t="s">
        <v>47</v>
      </c>
      <c r="BT139" s="193" t="s">
        <v>48</v>
      </c>
      <c r="BU139" s="194" t="s">
        <v>49</v>
      </c>
      <c r="BV139" s="196"/>
      <c r="BW139" s="197"/>
      <c r="BX139" s="197"/>
      <c r="BY139" s="197"/>
      <c r="BZ139" s="197"/>
      <c r="CA139" s="195"/>
      <c r="CB139" s="192" t="s">
        <v>47</v>
      </c>
      <c r="CC139" s="193" t="s">
        <v>48</v>
      </c>
      <c r="CD139" s="194" t="s">
        <v>49</v>
      </c>
      <c r="CE139" s="196"/>
      <c r="CF139" s="197"/>
      <c r="CG139" s="197"/>
      <c r="CH139" s="197"/>
      <c r="CI139" s="197"/>
      <c r="CJ139" s="197"/>
      <c r="CK139" s="192" t="s">
        <v>47</v>
      </c>
      <c r="CL139" s="193" t="s">
        <v>48</v>
      </c>
      <c r="CM139" s="194" t="s">
        <v>49</v>
      </c>
      <c r="CN139" s="196"/>
      <c r="CO139" s="197"/>
      <c r="CP139" s="197"/>
      <c r="CQ139" s="197"/>
      <c r="CR139" s="197"/>
      <c r="CS139" s="197"/>
      <c r="CT139" s="198"/>
      <c r="CU139" s="255"/>
      <c r="CV139" s="209"/>
      <c r="CW139" s="228"/>
    </row>
    <row r="140" spans="1:101" x14ac:dyDescent="0.2">
      <c r="A140" s="227"/>
      <c r="B140" s="227"/>
      <c r="C140" s="168"/>
      <c r="D140" s="232"/>
      <c r="E140" s="134" t="s">
        <v>125</v>
      </c>
      <c r="F140" s="424"/>
      <c r="G140" s="428" t="s">
        <v>51</v>
      </c>
      <c r="H140" s="429">
        <v>1</v>
      </c>
      <c r="I140" s="138" t="str">
        <f t="shared" ref="I140:I151" si="194">IF($F140&gt;$H140,"x","")</f>
        <v/>
      </c>
      <c r="J140" s="344" t="str">
        <f t="shared" ref="J140:J151" si="195">IF(F140&lt;&gt;"",IF(H140&lt;&gt;"",IF(F140=H140,"x",""),""),"")</f>
        <v/>
      </c>
      <c r="K140" s="345" t="str">
        <f t="shared" ref="K140:K151" si="196">IF($F140&lt;$H140,"x","")</f>
        <v>x</v>
      </c>
      <c r="L140" s="258"/>
      <c r="M140" s="332"/>
      <c r="N140" s="336"/>
      <c r="O140" s="200"/>
      <c r="P140" s="200"/>
      <c r="Q140" s="436">
        <v>20</v>
      </c>
      <c r="R140" s="437">
        <v>50</v>
      </c>
      <c r="S140" s="438">
        <f t="shared" ref="S140:S151" si="197">IF(Q140="","",100-SUM(Q140:R140))</f>
        <v>30</v>
      </c>
      <c r="T140" s="328"/>
      <c r="U140" s="197" t="str">
        <f>IF(AND($I140="x",AND(MAX(Q140:S140)=Q140,Q140&gt;=0)),Data!$BI$2,"")</f>
        <v/>
      </c>
      <c r="V140" s="197" t="str">
        <f>IF(AND($J140="x",AND(MAX(Q140:S140)=R140,R140&gt;=0)),Data!$BJ$2,"")</f>
        <v/>
      </c>
      <c r="W140" s="197" t="str">
        <f>IF(AND($K140="x",AND(MAX(Q140:S140)=S140,S140&gt;=0)),Data!$BK$2,"")</f>
        <v/>
      </c>
      <c r="X140" s="197"/>
      <c r="Y140" s="328"/>
      <c r="Z140" s="451">
        <v>20</v>
      </c>
      <c r="AA140" s="452">
        <v>50</v>
      </c>
      <c r="AB140" s="438">
        <f t="shared" ref="AB140:AB151" si="198">IF(Z140="","",100-SUM(Z140:AA140))</f>
        <v>30</v>
      </c>
      <c r="AC140" s="328"/>
      <c r="AD140" s="197" t="str">
        <f>IF(AND($I140="x",AND(MAX(Z140:AB140)=Z140,Z140&lt;&gt;"")),Data!$BI$2,"")</f>
        <v/>
      </c>
      <c r="AE140" s="197" t="str">
        <f>IF(AND($J140="x",AND(MAX(Z140:AB140)=AA140,AA140&lt;&gt;"")),Data!$BJ$2,"")</f>
        <v/>
      </c>
      <c r="AF140" s="197" t="str">
        <f>IF(AND($K140="x",AND(MAX(Z140:AB140)=AB140,AB140&lt;&gt;"")),Data!$BK$2,"")</f>
        <v/>
      </c>
      <c r="AG140" s="197"/>
      <c r="AH140" s="328"/>
      <c r="AI140" s="451">
        <v>20</v>
      </c>
      <c r="AJ140" s="452">
        <v>50</v>
      </c>
      <c r="AK140" s="438">
        <f t="shared" ref="AK140:AK151" si="199">IF(AI140="","",100-SUM(AI140:AJ140))</f>
        <v>30</v>
      </c>
      <c r="AL140" s="328"/>
      <c r="AM140" s="197" t="str">
        <f>IF(AND($I140="x",AND(MAX(AI140:AK140)=AI140,AI140&lt;&gt;"")),Data!$BI$2,"")</f>
        <v/>
      </c>
      <c r="AN140" s="197" t="str">
        <f>IF(AND($J140="x",AND(MAX(AI140:AK140)=AJ140,AJ140&lt;&gt;"")),Data!$BJ$2,"")</f>
        <v/>
      </c>
      <c r="AO140" s="197" t="str">
        <f>IF(AND($K140="x",AND(MAX(AI140:AK140)=AK140,AK140&lt;&gt;"")),Data!$BK$2,"")</f>
        <v/>
      </c>
      <c r="AP140" s="197"/>
      <c r="AQ140" s="328"/>
      <c r="AR140" s="451">
        <v>20</v>
      </c>
      <c r="AS140" s="452">
        <v>50</v>
      </c>
      <c r="AT140" s="438">
        <f t="shared" ref="AT140:AT151" si="200">IF(AR140="","",100-SUM(AR140:AS140))</f>
        <v>30</v>
      </c>
      <c r="AU140" s="328"/>
      <c r="AV140" s="197" t="str">
        <f>IF(AND($I140="x",AND(MAX(AR140:AT140)=AR140,AR140&lt;&gt;"")),Data!$BI$2,"")</f>
        <v/>
      </c>
      <c r="AW140" s="197" t="str">
        <f>IF(AND($J140="x",AND(MAX(AR140:AT140)=AS140,AS140&lt;&gt;"")),Data!$BJ$2,"")</f>
        <v/>
      </c>
      <c r="AX140" s="197" t="str">
        <f>IF(AND($K140="x",AND(MAX(AR140:AT140)=AT140,AT140&lt;&gt;"")),Data!$BK$2,"")</f>
        <v/>
      </c>
      <c r="AY140" s="197"/>
      <c r="AZ140" s="328"/>
      <c r="BA140" s="451">
        <v>20</v>
      </c>
      <c r="BB140" s="452">
        <v>50</v>
      </c>
      <c r="BC140" s="438">
        <f t="shared" ref="BC140:BC151" si="201">IF(BA140="","",100-SUM(BA140:BB140))</f>
        <v>30</v>
      </c>
      <c r="BD140" s="328"/>
      <c r="BE140" s="197" t="str">
        <f>IF(AND($I140="x",AND(MAX(BA140:BC140)=BA140,BA140&lt;&gt;"")),Data!$BI$2,"")</f>
        <v/>
      </c>
      <c r="BF140" s="197" t="str">
        <f>IF(AND($J140="x",AND(MAX(BA140:BC140)=BB140,BB140&lt;&gt;"")),Data!$BJ$2,"")</f>
        <v/>
      </c>
      <c r="BG140" s="197" t="str">
        <f>IF(AND($K140="x",AND(MAX(BA140:BC140)=BC140,BC140&lt;&gt;"")),Data!$BK$2,"")</f>
        <v/>
      </c>
      <c r="BH140" s="197"/>
      <c r="BI140" s="328"/>
      <c r="BJ140" s="451">
        <v>20</v>
      </c>
      <c r="BK140" s="452">
        <v>50</v>
      </c>
      <c r="BL140" s="438">
        <f t="shared" ref="BL140:BL151" si="202">IF(BJ140="","",100-SUM(BJ140:BK140))</f>
        <v>30</v>
      </c>
      <c r="BM140" s="328"/>
      <c r="BN140" s="197" t="str">
        <f>IF(AND($I140="x",AND(MAX(BJ140:BL140)=BJ140,BJ140&lt;&gt;"")),Data!$BI$2,"")</f>
        <v/>
      </c>
      <c r="BO140" s="197" t="str">
        <f>IF(AND($J140="x",AND(MAX(BJ140:BL140)=BK140,BK140&lt;&gt;"")),Data!$BJ$2,"")</f>
        <v/>
      </c>
      <c r="BP140" s="197" t="str">
        <f>IF(AND($K140="x",AND(MAX(BJ140:BL140)=BL140,BL140&lt;&gt;"")),Data!$BK$2,"")</f>
        <v/>
      </c>
      <c r="BQ140" s="197"/>
      <c r="BR140" s="328"/>
      <c r="BS140" s="451">
        <v>20</v>
      </c>
      <c r="BT140" s="452">
        <v>50</v>
      </c>
      <c r="BU140" s="438">
        <f t="shared" ref="BU140:BU151" si="203">IF(BS140="","",100-SUM(BS140:BT140))</f>
        <v>30</v>
      </c>
      <c r="BV140" s="328"/>
      <c r="BW140" s="197" t="str">
        <f>IF(AND($I140="x",AND(MAX(BS140:BU140)=BS140,BS140&lt;&gt;"")),Data!$BI$2,"")</f>
        <v/>
      </c>
      <c r="BX140" s="197" t="str">
        <f>IF(AND($J140="x",AND(MAX(BS140:BU140)=BT140,BT140&lt;&gt;"")),Data!$BJ$2,"")</f>
        <v/>
      </c>
      <c r="BY140" s="197" t="str">
        <f>IF(AND($K140="x",AND(MAX(BS140:BU140)=BU140,BU140&lt;&gt;"")),Data!$BK$2,"")</f>
        <v/>
      </c>
      <c r="BZ140" s="197"/>
      <c r="CA140" s="328"/>
      <c r="CB140" s="457">
        <f t="shared" ref="CB140:CB151" si="204">IFERROR(ROUNDUP((SUM(Q140,Z140,AI140,AR140,BA140,BJ140,BS140)/SUM($Q140:$S140,$Z140:$AB140,$AI140:$AK140,$AR140:$AT140,$BA140:$BC140,$BJ140:$BL140,$BS140:$BU140))*100,-1),"")</f>
        <v>20</v>
      </c>
      <c r="CC140" s="458">
        <f t="shared" ref="CC140:CC151" si="205">IFERROR(ROUNDDOWN((SUM(R140,AA140,AJ140,AS140,BB140,BK140,BT140)/SUM($Q140:$S140,$Z140:$AB140,$AI140:$AK140,$AR140:$AT140,$BA140:$BC140,$BJ140:$BL140,$BS140:$BU140))*100,-1),"")</f>
        <v>50</v>
      </c>
      <c r="CD140" s="459">
        <f t="shared" ref="CD140:CD151" si="206">IF(CB140="","",100-SUM(CB140:CC140))</f>
        <v>30</v>
      </c>
      <c r="CE140" s="328"/>
      <c r="CF140" s="197" t="str">
        <f>IF(AND($I140="x",AND(MAX(CB140:CD140)=CB140,CB140&lt;&gt;"")),Data!$BI$2,"")</f>
        <v/>
      </c>
      <c r="CG140" s="197" t="str">
        <f>IF(AND($J140="x",AND(MAX(CB140:CD140)=CC140,CC140&lt;&gt;"")),Data!$BJ$2,"")</f>
        <v/>
      </c>
      <c r="CH140" s="197" t="str">
        <f>IF(AND($K140="x",AND(MAX(CB140:CD140)=CD140,CD140&lt;&gt;"")),Data!$BK$2,"")</f>
        <v/>
      </c>
      <c r="CI140" s="197"/>
      <c r="CJ140" s="197"/>
      <c r="CK140" s="451">
        <v>20</v>
      </c>
      <c r="CL140" s="452">
        <v>50</v>
      </c>
      <c r="CM140" s="438">
        <f t="shared" ref="CM140:CM151" si="207">IF(CK140="","",100-SUM(CK140:CL140))</f>
        <v>30</v>
      </c>
      <c r="CN140" s="328"/>
      <c r="CO140" s="197" t="str">
        <f>IF(AND($I140="x",AND(MAX(CK140:CM140)=CK140,CK140&lt;&gt;"")),Data!$BI$2,"")</f>
        <v/>
      </c>
      <c r="CP140" s="197" t="str">
        <f>IF(AND($J140="x",AND(MAX(CK140:CM140)=CL140,CL140&lt;&gt;"")),Data!$BJ$2,"")</f>
        <v/>
      </c>
      <c r="CQ140" s="197" t="str">
        <f>IF(AND($K140="x",AND(MAX(CK140:CM140)=CM140,CM140&lt;&gt;"")),Data!$BK$2,"")</f>
        <v/>
      </c>
      <c r="CR140" s="197"/>
      <c r="CS140" s="197"/>
      <c r="CT140" s="328"/>
      <c r="CU140" s="255"/>
      <c r="CV140" s="209"/>
      <c r="CW140" s="227"/>
    </row>
    <row r="141" spans="1:101" x14ac:dyDescent="0.2">
      <c r="A141" s="227"/>
      <c r="B141" s="227"/>
      <c r="C141" s="168"/>
      <c r="D141" s="232"/>
      <c r="E141" s="135" t="s">
        <v>126</v>
      </c>
      <c r="F141" s="425"/>
      <c r="G141" s="430"/>
      <c r="H141" s="431">
        <v>1</v>
      </c>
      <c r="I141" s="346" t="str">
        <f t="shared" si="194"/>
        <v/>
      </c>
      <c r="J141" s="347" t="str">
        <f t="shared" si="195"/>
        <v/>
      </c>
      <c r="K141" s="348" t="str">
        <f t="shared" si="196"/>
        <v>x</v>
      </c>
      <c r="L141" s="258"/>
      <c r="M141" s="332"/>
      <c r="N141" s="336"/>
      <c r="O141" s="200"/>
      <c r="P141" s="200"/>
      <c r="Q141" s="439">
        <v>20</v>
      </c>
      <c r="R141" s="440">
        <v>50</v>
      </c>
      <c r="S141" s="441">
        <f t="shared" si="197"/>
        <v>30</v>
      </c>
      <c r="T141" s="328"/>
      <c r="U141" s="197" t="str">
        <f>IF(AND($I141="x",AND(MAX(Q141:S141)=Q141,Q141&gt;=0)),Data!$BI$2,"")</f>
        <v/>
      </c>
      <c r="V141" s="197" t="str">
        <f>IF(AND($J141="x",AND(MAX(Q141:S141)=R141,R141&gt;=0)),Data!$BJ$2,"")</f>
        <v/>
      </c>
      <c r="W141" s="197" t="str">
        <f>IF(AND($K141="x",AND(MAX(Q141:S141)=S141,S141&gt;=0)),Data!$BK$2,"")</f>
        <v/>
      </c>
      <c r="X141" s="197"/>
      <c r="Y141" s="328"/>
      <c r="Z141" s="453">
        <v>20</v>
      </c>
      <c r="AA141" s="454">
        <v>50</v>
      </c>
      <c r="AB141" s="441">
        <f t="shared" si="198"/>
        <v>30</v>
      </c>
      <c r="AC141" s="328"/>
      <c r="AD141" s="197" t="str">
        <f>IF(AND($I141="x",AND(MAX(Z141:AB141)=Z141,Z141&lt;&gt;"")),Data!$BI$2,"")</f>
        <v/>
      </c>
      <c r="AE141" s="197" t="str">
        <f>IF(AND($J141="x",AND(MAX(Z141:AB141)=AA141,AA141&lt;&gt;"")),Data!$BJ$2,"")</f>
        <v/>
      </c>
      <c r="AF141" s="197" t="str">
        <f>IF(AND($K141="x",AND(MAX(Z141:AB141)=AB141,AB141&lt;&gt;"")),Data!$BK$2,"")</f>
        <v/>
      </c>
      <c r="AG141" s="197"/>
      <c r="AH141" s="328"/>
      <c r="AI141" s="453">
        <v>20</v>
      </c>
      <c r="AJ141" s="454">
        <v>50</v>
      </c>
      <c r="AK141" s="441">
        <f t="shared" si="199"/>
        <v>30</v>
      </c>
      <c r="AL141" s="328"/>
      <c r="AM141" s="197" t="str">
        <f>IF(AND($I141="x",AND(MAX(AI141:AK141)=AI141,AI141&lt;&gt;"")),Data!$BI$2,"")</f>
        <v/>
      </c>
      <c r="AN141" s="197" t="str">
        <f>IF(AND($J141="x",AND(MAX(AI141:AK141)=AJ141,AJ141&lt;&gt;"")),Data!$BJ$2,"")</f>
        <v/>
      </c>
      <c r="AO141" s="197" t="str">
        <f>IF(AND($K141="x",AND(MAX(AI141:AK141)=AK141,AK141&lt;&gt;"")),Data!$BK$2,"")</f>
        <v/>
      </c>
      <c r="AP141" s="197"/>
      <c r="AQ141" s="328"/>
      <c r="AR141" s="453">
        <v>20</v>
      </c>
      <c r="AS141" s="454">
        <v>50</v>
      </c>
      <c r="AT141" s="441">
        <f t="shared" si="200"/>
        <v>30</v>
      </c>
      <c r="AU141" s="328"/>
      <c r="AV141" s="197" t="str">
        <f>IF(AND($I141="x",AND(MAX(AR141:AT141)=AR141,AR141&lt;&gt;"")),Data!$BI$2,"")</f>
        <v/>
      </c>
      <c r="AW141" s="197" t="str">
        <f>IF(AND($J141="x",AND(MAX(AR141:AT141)=AS141,AS141&lt;&gt;"")),Data!$BJ$2,"")</f>
        <v/>
      </c>
      <c r="AX141" s="197" t="str">
        <f>IF(AND($K141="x",AND(MAX(AR141:AT141)=AT141,AT141&lt;&gt;"")),Data!$BK$2,"")</f>
        <v/>
      </c>
      <c r="AY141" s="197"/>
      <c r="AZ141" s="328"/>
      <c r="BA141" s="453">
        <v>20</v>
      </c>
      <c r="BB141" s="454">
        <v>50</v>
      </c>
      <c r="BC141" s="441">
        <f t="shared" si="201"/>
        <v>30</v>
      </c>
      <c r="BD141" s="328"/>
      <c r="BE141" s="197" t="str">
        <f>IF(AND($I141="x",AND(MAX(BA141:BC141)=BA141,BA141&lt;&gt;"")),Data!$BI$2,"")</f>
        <v/>
      </c>
      <c r="BF141" s="197" t="str">
        <f>IF(AND($J141="x",AND(MAX(BA141:BC141)=BB141,BB141&lt;&gt;"")),Data!$BJ$2,"")</f>
        <v/>
      </c>
      <c r="BG141" s="197" t="str">
        <f>IF(AND($K141="x",AND(MAX(BA141:BC141)=BC141,BC141&lt;&gt;"")),Data!$BK$2,"")</f>
        <v/>
      </c>
      <c r="BH141" s="197"/>
      <c r="BI141" s="328"/>
      <c r="BJ141" s="453">
        <v>20</v>
      </c>
      <c r="BK141" s="454">
        <v>50</v>
      </c>
      <c r="BL141" s="441">
        <f t="shared" si="202"/>
        <v>30</v>
      </c>
      <c r="BM141" s="328"/>
      <c r="BN141" s="197" t="str">
        <f>IF(AND($I141="x",AND(MAX(BJ141:BL141)=BJ141,BJ141&lt;&gt;"")),Data!$BI$2,"")</f>
        <v/>
      </c>
      <c r="BO141" s="197" t="str">
        <f>IF(AND($J141="x",AND(MAX(BJ141:BL141)=BK141,BK141&lt;&gt;"")),Data!$BJ$2,"")</f>
        <v/>
      </c>
      <c r="BP141" s="197" t="str">
        <f>IF(AND($K141="x",AND(MAX(BJ141:BL141)=BL141,BL141&lt;&gt;"")),Data!$BK$2,"")</f>
        <v/>
      </c>
      <c r="BQ141" s="197"/>
      <c r="BR141" s="328"/>
      <c r="BS141" s="453">
        <v>20</v>
      </c>
      <c r="BT141" s="454">
        <v>50</v>
      </c>
      <c r="BU141" s="441">
        <f t="shared" si="203"/>
        <v>30</v>
      </c>
      <c r="BV141" s="328"/>
      <c r="BW141" s="197" t="str">
        <f>IF(AND($I141="x",AND(MAX(BS141:BU141)=BS141,BS141&lt;&gt;"")),Data!$BI$2,"")</f>
        <v/>
      </c>
      <c r="BX141" s="197" t="str">
        <f>IF(AND($J141="x",AND(MAX(BS141:BU141)=BT141,BT141&lt;&gt;"")),Data!$BJ$2,"")</f>
        <v/>
      </c>
      <c r="BY141" s="197" t="str">
        <f>IF(AND($K141="x",AND(MAX(BS141:BU141)=BU141,BU141&lt;&gt;"")),Data!$BK$2,"")</f>
        <v/>
      </c>
      <c r="BZ141" s="197"/>
      <c r="CA141" s="328"/>
      <c r="CB141" s="460">
        <f t="shared" si="204"/>
        <v>20</v>
      </c>
      <c r="CC141" s="461">
        <f t="shared" si="205"/>
        <v>50</v>
      </c>
      <c r="CD141" s="462">
        <f t="shared" si="206"/>
        <v>30</v>
      </c>
      <c r="CE141" s="328"/>
      <c r="CF141" s="197" t="str">
        <f>IF(AND($I141="x",AND(MAX(CB141:CD141)=CB141,CB141&lt;&gt;"")),Data!$BI$2,"")</f>
        <v/>
      </c>
      <c r="CG141" s="197" t="str">
        <f>IF(AND($J141="x",AND(MAX(CB141:CD141)=CC141,CC141&lt;&gt;"")),Data!$BJ$2,"")</f>
        <v/>
      </c>
      <c r="CH141" s="197" t="str">
        <f>IF(AND($K141="x",AND(MAX(CB141:CD141)=CD141,CD141&lt;&gt;"")),Data!$BK$2,"")</f>
        <v/>
      </c>
      <c r="CI141" s="197"/>
      <c r="CJ141" s="197"/>
      <c r="CK141" s="453">
        <v>20</v>
      </c>
      <c r="CL141" s="454">
        <v>50</v>
      </c>
      <c r="CM141" s="441">
        <f t="shared" si="207"/>
        <v>30</v>
      </c>
      <c r="CN141" s="328"/>
      <c r="CO141" s="197" t="str">
        <f>IF(AND($I141="x",AND(MAX(CK141:CM141)=CK141,CK141&lt;&gt;"")),Data!$BI$2,"")</f>
        <v/>
      </c>
      <c r="CP141" s="197" t="str">
        <f>IF(AND($J141="x",AND(MAX(CK141:CM141)=CL141,CL141&lt;&gt;"")),Data!$BJ$2,"")</f>
        <v/>
      </c>
      <c r="CQ141" s="197" t="str">
        <f>IF(AND($K141="x",AND(MAX(CK141:CM141)=CM141,CM141&lt;&gt;"")),Data!$BK$2,"")</f>
        <v/>
      </c>
      <c r="CR141" s="197"/>
      <c r="CS141" s="197"/>
      <c r="CT141" s="328"/>
      <c r="CU141" s="255"/>
      <c r="CV141" s="209"/>
      <c r="CW141" s="227"/>
    </row>
    <row r="142" spans="1:101" x14ac:dyDescent="0.2">
      <c r="A142" s="227"/>
      <c r="B142" s="227"/>
      <c r="C142" s="168"/>
      <c r="D142" s="232"/>
      <c r="E142" s="136" t="s">
        <v>127</v>
      </c>
      <c r="F142" s="426"/>
      <c r="G142" s="432" t="s">
        <v>51</v>
      </c>
      <c r="H142" s="433">
        <v>1</v>
      </c>
      <c r="I142" s="349" t="str">
        <f t="shared" si="194"/>
        <v/>
      </c>
      <c r="J142" s="350" t="str">
        <f t="shared" si="195"/>
        <v/>
      </c>
      <c r="K142" s="351" t="str">
        <f t="shared" si="196"/>
        <v>x</v>
      </c>
      <c r="L142" s="258"/>
      <c r="M142" s="332"/>
      <c r="N142" s="336"/>
      <c r="O142" s="200"/>
      <c r="P142" s="200"/>
      <c r="Q142" s="442">
        <v>20</v>
      </c>
      <c r="R142" s="443">
        <v>10</v>
      </c>
      <c r="S142" s="444">
        <f t="shared" si="197"/>
        <v>70</v>
      </c>
      <c r="T142" s="328"/>
      <c r="U142" s="197" t="str">
        <f>IF(AND($I142="x",AND(MAX(Q142:S142)=Q142,Q142&gt;=0)),Data!$BI$2,"")</f>
        <v/>
      </c>
      <c r="V142" s="197" t="str">
        <f>IF(AND($J142="x",AND(MAX(Q142:S142)=R142,R142&gt;=0)),Data!$BJ$2,"")</f>
        <v/>
      </c>
      <c r="W142" s="197">
        <f>IF(AND($K142="x",AND(MAX(Q142:S142)=S142,S142&gt;=0)),Data!$BK$2,"")</f>
        <v>71</v>
      </c>
      <c r="X142" s="197"/>
      <c r="Y142" s="328"/>
      <c r="Z142" s="455">
        <v>20</v>
      </c>
      <c r="AA142" s="456">
        <v>10</v>
      </c>
      <c r="AB142" s="444">
        <f t="shared" si="198"/>
        <v>70</v>
      </c>
      <c r="AC142" s="328"/>
      <c r="AD142" s="197" t="str">
        <f>IF(AND($I142="x",AND(MAX(Z142:AB142)=Z142,Z142&lt;&gt;"")),Data!$BI$2,"")</f>
        <v/>
      </c>
      <c r="AE142" s="197" t="str">
        <f>IF(AND($J142="x",AND(MAX(Z142:AB142)=AA142,AA142&lt;&gt;"")),Data!$BJ$2,"")</f>
        <v/>
      </c>
      <c r="AF142" s="197">
        <f>IF(AND($K142="x",AND(MAX(Z142:AB142)=AB142,AB142&lt;&gt;"")),Data!$BK$2,"")</f>
        <v>71</v>
      </c>
      <c r="AG142" s="197"/>
      <c r="AH142" s="328"/>
      <c r="AI142" s="455">
        <v>20</v>
      </c>
      <c r="AJ142" s="456">
        <v>10</v>
      </c>
      <c r="AK142" s="444">
        <f t="shared" si="199"/>
        <v>70</v>
      </c>
      <c r="AL142" s="328"/>
      <c r="AM142" s="197" t="str">
        <f>IF(AND($I142="x",AND(MAX(AI142:AK142)=AI142,AI142&lt;&gt;"")),Data!$BI$2,"")</f>
        <v/>
      </c>
      <c r="AN142" s="197" t="str">
        <f>IF(AND($J142="x",AND(MAX(AI142:AK142)=AJ142,AJ142&lt;&gt;"")),Data!$BJ$2,"")</f>
        <v/>
      </c>
      <c r="AO142" s="197">
        <f>IF(AND($K142="x",AND(MAX(AI142:AK142)=AK142,AK142&lt;&gt;"")),Data!$BK$2,"")</f>
        <v>71</v>
      </c>
      <c r="AP142" s="197"/>
      <c r="AQ142" s="328"/>
      <c r="AR142" s="455">
        <v>20</v>
      </c>
      <c r="AS142" s="456">
        <v>10</v>
      </c>
      <c r="AT142" s="444">
        <f t="shared" si="200"/>
        <v>70</v>
      </c>
      <c r="AU142" s="328"/>
      <c r="AV142" s="197" t="str">
        <f>IF(AND($I142="x",AND(MAX(AR142:AT142)=AR142,AR142&lt;&gt;"")),Data!$BI$2,"")</f>
        <v/>
      </c>
      <c r="AW142" s="197" t="str">
        <f>IF(AND($J142="x",AND(MAX(AR142:AT142)=AS142,AS142&lt;&gt;"")),Data!$BJ$2,"")</f>
        <v/>
      </c>
      <c r="AX142" s="197">
        <f>IF(AND($K142="x",AND(MAX(AR142:AT142)=AT142,AT142&lt;&gt;"")),Data!$BK$2,"")</f>
        <v>71</v>
      </c>
      <c r="AY142" s="197"/>
      <c r="AZ142" s="328"/>
      <c r="BA142" s="455">
        <v>20</v>
      </c>
      <c r="BB142" s="456">
        <v>10</v>
      </c>
      <c r="BC142" s="444">
        <f t="shared" si="201"/>
        <v>70</v>
      </c>
      <c r="BD142" s="328"/>
      <c r="BE142" s="197" t="str">
        <f>IF(AND($I142="x",AND(MAX(BA142:BC142)=BA142,BA142&lt;&gt;"")),Data!$BI$2,"")</f>
        <v/>
      </c>
      <c r="BF142" s="197" t="str">
        <f>IF(AND($J142="x",AND(MAX(BA142:BC142)=BB142,BB142&lt;&gt;"")),Data!$BJ$2,"")</f>
        <v/>
      </c>
      <c r="BG142" s="197">
        <f>IF(AND($K142="x",AND(MAX(BA142:BC142)=BC142,BC142&lt;&gt;"")),Data!$BK$2,"")</f>
        <v>71</v>
      </c>
      <c r="BH142" s="197"/>
      <c r="BI142" s="328"/>
      <c r="BJ142" s="455">
        <v>20</v>
      </c>
      <c r="BK142" s="456">
        <v>10</v>
      </c>
      <c r="BL142" s="444">
        <f t="shared" si="202"/>
        <v>70</v>
      </c>
      <c r="BM142" s="328"/>
      <c r="BN142" s="197" t="str">
        <f>IF(AND($I142="x",AND(MAX(BJ142:BL142)=BJ142,BJ142&lt;&gt;"")),Data!$BI$2,"")</f>
        <v/>
      </c>
      <c r="BO142" s="197" t="str">
        <f>IF(AND($J142="x",AND(MAX(BJ142:BL142)=BK142,BK142&lt;&gt;"")),Data!$BJ$2,"")</f>
        <v/>
      </c>
      <c r="BP142" s="197">
        <f>IF(AND($K142="x",AND(MAX(BJ142:BL142)=BL142,BL142&lt;&gt;"")),Data!$BK$2,"")</f>
        <v>71</v>
      </c>
      <c r="BQ142" s="197"/>
      <c r="BR142" s="328"/>
      <c r="BS142" s="455">
        <v>20</v>
      </c>
      <c r="BT142" s="456">
        <v>10</v>
      </c>
      <c r="BU142" s="444">
        <f t="shared" si="203"/>
        <v>70</v>
      </c>
      <c r="BV142" s="328"/>
      <c r="BW142" s="197" t="str">
        <f>IF(AND($I142="x",AND(MAX(BS142:BU142)=BS142,BS142&lt;&gt;"")),Data!$BI$2,"")</f>
        <v/>
      </c>
      <c r="BX142" s="197" t="str">
        <f>IF(AND($J142="x",AND(MAX(BS142:BU142)=BT142,BT142&lt;&gt;"")),Data!$BJ$2,"")</f>
        <v/>
      </c>
      <c r="BY142" s="197">
        <f>IF(AND($K142="x",AND(MAX(BS142:BU142)=BU142,BU142&lt;&gt;"")),Data!$BK$2,"")</f>
        <v>71</v>
      </c>
      <c r="BZ142" s="197"/>
      <c r="CA142" s="328"/>
      <c r="CB142" s="463">
        <f t="shared" si="204"/>
        <v>20</v>
      </c>
      <c r="CC142" s="464">
        <f t="shared" si="205"/>
        <v>10</v>
      </c>
      <c r="CD142" s="465">
        <f t="shared" si="206"/>
        <v>70</v>
      </c>
      <c r="CE142" s="328"/>
      <c r="CF142" s="197" t="str">
        <f>IF(AND($I142="x",AND(MAX(CB142:CD142)=CB142,CB142&lt;&gt;"")),Data!$BI$2,"")</f>
        <v/>
      </c>
      <c r="CG142" s="197" t="str">
        <f>IF(AND($J142="x",AND(MAX(CB142:CD142)=CC142,CC142&lt;&gt;"")),Data!$BJ$2,"")</f>
        <v/>
      </c>
      <c r="CH142" s="197">
        <f>IF(AND($K142="x",AND(MAX(CB142:CD142)=CD142,CD142&lt;&gt;"")),Data!$BK$2,"")</f>
        <v>71</v>
      </c>
      <c r="CI142" s="197"/>
      <c r="CJ142" s="197"/>
      <c r="CK142" s="455">
        <v>20</v>
      </c>
      <c r="CL142" s="456">
        <v>10</v>
      </c>
      <c r="CM142" s="444">
        <f t="shared" si="207"/>
        <v>70</v>
      </c>
      <c r="CN142" s="328"/>
      <c r="CO142" s="197" t="str">
        <f>IF(AND($I142="x",AND(MAX(CK142:CM142)=CK142,CK142&lt;&gt;"")),Data!$BI$2,"")</f>
        <v/>
      </c>
      <c r="CP142" s="197" t="str">
        <f>IF(AND($J142="x",AND(MAX(CK142:CM142)=CL142,CL142&lt;&gt;"")),Data!$BJ$2,"")</f>
        <v/>
      </c>
      <c r="CQ142" s="197">
        <f>IF(AND($K142="x",AND(MAX(CK142:CM142)=CM142,CM142&lt;&gt;"")),Data!$BK$2,"")</f>
        <v>71</v>
      </c>
      <c r="CR142" s="197"/>
      <c r="CS142" s="197"/>
      <c r="CT142" s="328"/>
      <c r="CU142" s="255"/>
      <c r="CV142" s="209"/>
      <c r="CW142" s="227"/>
    </row>
    <row r="143" spans="1:101" x14ac:dyDescent="0.2">
      <c r="A143" s="227"/>
      <c r="B143" s="227"/>
      <c r="C143" s="168"/>
      <c r="D143" s="232"/>
      <c r="E143" s="134" t="s">
        <v>128</v>
      </c>
      <c r="F143" s="424"/>
      <c r="G143" s="428" t="s">
        <v>51</v>
      </c>
      <c r="H143" s="429">
        <v>1</v>
      </c>
      <c r="I143" s="138" t="str">
        <f t="shared" si="194"/>
        <v/>
      </c>
      <c r="J143" s="344" t="str">
        <f t="shared" si="195"/>
        <v/>
      </c>
      <c r="K143" s="345" t="str">
        <f t="shared" si="196"/>
        <v>x</v>
      </c>
      <c r="L143" s="258"/>
      <c r="M143" s="332"/>
      <c r="N143" s="336"/>
      <c r="O143" s="200"/>
      <c r="P143" s="200"/>
      <c r="Q143" s="436">
        <v>20</v>
      </c>
      <c r="R143" s="437">
        <v>10</v>
      </c>
      <c r="S143" s="438">
        <f t="shared" si="197"/>
        <v>70</v>
      </c>
      <c r="T143" s="328"/>
      <c r="U143" s="197" t="str">
        <f>IF(AND($I143="x",AND(MAX(Q143:S143)=Q143,Q143&gt;=0)),Data!$BI$2,"")</f>
        <v/>
      </c>
      <c r="V143" s="197" t="str">
        <f>IF(AND($J143="x",AND(MAX(Q143:S143)=R143,R143&gt;=0)),Data!$BJ$2,"")</f>
        <v/>
      </c>
      <c r="W143" s="197">
        <f>IF(AND($K143="x",AND(MAX(Q143:S143)=S143,S143&gt;=0)),Data!$BK$2,"")</f>
        <v>71</v>
      </c>
      <c r="X143" s="197"/>
      <c r="Y143" s="328"/>
      <c r="Z143" s="451">
        <v>20</v>
      </c>
      <c r="AA143" s="452">
        <v>10</v>
      </c>
      <c r="AB143" s="438">
        <f t="shared" si="198"/>
        <v>70</v>
      </c>
      <c r="AC143" s="328"/>
      <c r="AD143" s="197" t="str">
        <f>IF(AND($I143="x",AND(MAX(Z143:AB143)=Z143,Z143&lt;&gt;"")),Data!$BI$2,"")</f>
        <v/>
      </c>
      <c r="AE143" s="197" t="str">
        <f>IF(AND($J143="x",AND(MAX(Z143:AB143)=AA143,AA143&lt;&gt;"")),Data!$BJ$2,"")</f>
        <v/>
      </c>
      <c r="AF143" s="197">
        <f>IF(AND($K143="x",AND(MAX(Z143:AB143)=AB143,AB143&lt;&gt;"")),Data!$BK$2,"")</f>
        <v>71</v>
      </c>
      <c r="AG143" s="197"/>
      <c r="AH143" s="328"/>
      <c r="AI143" s="451">
        <v>20</v>
      </c>
      <c r="AJ143" s="452">
        <v>10</v>
      </c>
      <c r="AK143" s="438">
        <f t="shared" si="199"/>
        <v>70</v>
      </c>
      <c r="AL143" s="328"/>
      <c r="AM143" s="197" t="str">
        <f>IF(AND($I143="x",AND(MAX(AI143:AK143)=AI143,AI143&lt;&gt;"")),Data!$BI$2,"")</f>
        <v/>
      </c>
      <c r="AN143" s="197" t="str">
        <f>IF(AND($J143="x",AND(MAX(AI143:AK143)=AJ143,AJ143&lt;&gt;"")),Data!$BJ$2,"")</f>
        <v/>
      </c>
      <c r="AO143" s="197">
        <f>IF(AND($K143="x",AND(MAX(AI143:AK143)=AK143,AK143&lt;&gt;"")),Data!$BK$2,"")</f>
        <v>71</v>
      </c>
      <c r="AP143" s="197"/>
      <c r="AQ143" s="328"/>
      <c r="AR143" s="451">
        <v>20</v>
      </c>
      <c r="AS143" s="452">
        <v>10</v>
      </c>
      <c r="AT143" s="438">
        <f t="shared" si="200"/>
        <v>70</v>
      </c>
      <c r="AU143" s="328"/>
      <c r="AV143" s="197" t="str">
        <f>IF(AND($I143="x",AND(MAX(AR143:AT143)=AR143,AR143&lt;&gt;"")),Data!$BI$2,"")</f>
        <v/>
      </c>
      <c r="AW143" s="197" t="str">
        <f>IF(AND($J143="x",AND(MAX(AR143:AT143)=AS143,AS143&lt;&gt;"")),Data!$BJ$2,"")</f>
        <v/>
      </c>
      <c r="AX143" s="197">
        <f>IF(AND($K143="x",AND(MAX(AR143:AT143)=AT143,AT143&lt;&gt;"")),Data!$BK$2,"")</f>
        <v>71</v>
      </c>
      <c r="AY143" s="197"/>
      <c r="AZ143" s="328"/>
      <c r="BA143" s="451">
        <v>20</v>
      </c>
      <c r="BB143" s="452">
        <v>10</v>
      </c>
      <c r="BC143" s="438">
        <f t="shared" si="201"/>
        <v>70</v>
      </c>
      <c r="BD143" s="328"/>
      <c r="BE143" s="197" t="str">
        <f>IF(AND($I143="x",AND(MAX(BA143:BC143)=BA143,BA143&lt;&gt;"")),Data!$BI$2,"")</f>
        <v/>
      </c>
      <c r="BF143" s="197" t="str">
        <f>IF(AND($J143="x",AND(MAX(BA143:BC143)=BB143,BB143&lt;&gt;"")),Data!$BJ$2,"")</f>
        <v/>
      </c>
      <c r="BG143" s="197">
        <f>IF(AND($K143="x",AND(MAX(BA143:BC143)=BC143,BC143&lt;&gt;"")),Data!$BK$2,"")</f>
        <v>71</v>
      </c>
      <c r="BH143" s="197"/>
      <c r="BI143" s="328"/>
      <c r="BJ143" s="451">
        <v>20</v>
      </c>
      <c r="BK143" s="452">
        <v>10</v>
      </c>
      <c r="BL143" s="438">
        <f t="shared" si="202"/>
        <v>70</v>
      </c>
      <c r="BM143" s="328"/>
      <c r="BN143" s="197" t="str">
        <f>IF(AND($I143="x",AND(MAX(BJ143:BL143)=BJ143,BJ143&lt;&gt;"")),Data!$BI$2,"")</f>
        <v/>
      </c>
      <c r="BO143" s="197" t="str">
        <f>IF(AND($J143="x",AND(MAX(BJ143:BL143)=BK143,BK143&lt;&gt;"")),Data!$BJ$2,"")</f>
        <v/>
      </c>
      <c r="BP143" s="197">
        <f>IF(AND($K143="x",AND(MAX(BJ143:BL143)=BL143,BL143&lt;&gt;"")),Data!$BK$2,"")</f>
        <v>71</v>
      </c>
      <c r="BQ143" s="197"/>
      <c r="BR143" s="328"/>
      <c r="BS143" s="451">
        <v>20</v>
      </c>
      <c r="BT143" s="452">
        <v>10</v>
      </c>
      <c r="BU143" s="438">
        <f t="shared" si="203"/>
        <v>70</v>
      </c>
      <c r="BV143" s="328"/>
      <c r="BW143" s="197" t="str">
        <f>IF(AND($I143="x",AND(MAX(BS143:BU143)=BS143,BS143&lt;&gt;"")),Data!$BI$2,"")</f>
        <v/>
      </c>
      <c r="BX143" s="197" t="str">
        <f>IF(AND($J143="x",AND(MAX(BS143:BU143)=BT143,BT143&lt;&gt;"")),Data!$BJ$2,"")</f>
        <v/>
      </c>
      <c r="BY143" s="197">
        <f>IF(AND($K143="x",AND(MAX(BS143:BU143)=BU143,BU143&lt;&gt;"")),Data!$BK$2,"")</f>
        <v>71</v>
      </c>
      <c r="BZ143" s="197"/>
      <c r="CA143" s="328"/>
      <c r="CB143" s="457">
        <f t="shared" si="204"/>
        <v>20</v>
      </c>
      <c r="CC143" s="458">
        <f t="shared" si="205"/>
        <v>10</v>
      </c>
      <c r="CD143" s="459">
        <f t="shared" si="206"/>
        <v>70</v>
      </c>
      <c r="CE143" s="328"/>
      <c r="CF143" s="197" t="str">
        <f>IF(AND($I143="x",AND(MAX(CB143:CD143)=CB143,CB143&lt;&gt;"")),Data!$BI$2,"")</f>
        <v/>
      </c>
      <c r="CG143" s="197" t="str">
        <f>IF(AND($J143="x",AND(MAX(CB143:CD143)=CC143,CC143&lt;&gt;"")),Data!$BJ$2,"")</f>
        <v/>
      </c>
      <c r="CH143" s="197">
        <f>IF(AND($K143="x",AND(MAX(CB143:CD143)=CD143,CD143&lt;&gt;"")),Data!$BK$2,"")</f>
        <v>71</v>
      </c>
      <c r="CI143" s="197"/>
      <c r="CJ143" s="197"/>
      <c r="CK143" s="451">
        <v>20</v>
      </c>
      <c r="CL143" s="452">
        <v>10</v>
      </c>
      <c r="CM143" s="438">
        <f t="shared" si="207"/>
        <v>70</v>
      </c>
      <c r="CN143" s="328"/>
      <c r="CO143" s="197" t="str">
        <f>IF(AND($I143="x",AND(MAX(CK143:CM143)=CK143,CK143&lt;&gt;"")),Data!$BI$2,"")</f>
        <v/>
      </c>
      <c r="CP143" s="197" t="str">
        <f>IF(AND($J143="x",AND(MAX(CK143:CM143)=CL143,CL143&lt;&gt;"")),Data!$BJ$2,"")</f>
        <v/>
      </c>
      <c r="CQ143" s="197">
        <f>IF(AND($K143="x",AND(MAX(CK143:CM143)=CM143,CM143&lt;&gt;"")),Data!$BK$2,"")</f>
        <v>71</v>
      </c>
      <c r="CR143" s="197"/>
      <c r="CS143" s="197"/>
      <c r="CT143" s="328"/>
      <c r="CU143" s="255"/>
      <c r="CV143" s="209"/>
      <c r="CW143" s="227"/>
    </row>
    <row r="144" spans="1:101" x14ac:dyDescent="0.2">
      <c r="A144" s="227"/>
      <c r="B144" s="227"/>
      <c r="C144" s="168"/>
      <c r="D144" s="232"/>
      <c r="E144" s="135" t="s">
        <v>129</v>
      </c>
      <c r="F144" s="425"/>
      <c r="G144" s="430" t="s">
        <v>51</v>
      </c>
      <c r="H144" s="431">
        <v>1</v>
      </c>
      <c r="I144" s="346" t="str">
        <f t="shared" si="194"/>
        <v/>
      </c>
      <c r="J144" s="347" t="str">
        <f t="shared" si="195"/>
        <v/>
      </c>
      <c r="K144" s="348" t="str">
        <f t="shared" si="196"/>
        <v>x</v>
      </c>
      <c r="L144" s="258"/>
      <c r="M144" s="332"/>
      <c r="N144" s="336"/>
      <c r="O144" s="200"/>
      <c r="P144" s="200"/>
      <c r="Q144" s="439">
        <v>20</v>
      </c>
      <c r="R144" s="440">
        <v>10</v>
      </c>
      <c r="S144" s="441">
        <f t="shared" si="197"/>
        <v>70</v>
      </c>
      <c r="T144" s="328"/>
      <c r="U144" s="197" t="str">
        <f>IF(AND($I144="x",AND(MAX(Q144:S144)=Q144,Q144&gt;=0)),Data!$BI$2,"")</f>
        <v/>
      </c>
      <c r="V144" s="197" t="str">
        <f>IF(AND($J144="x",AND(MAX(Q144:S144)=R144,R144&gt;=0)),Data!$BJ$2,"")</f>
        <v/>
      </c>
      <c r="W144" s="197">
        <f>IF(AND($K144="x",AND(MAX(Q144:S144)=S144,S144&gt;=0)),Data!$BK$2,"")</f>
        <v>71</v>
      </c>
      <c r="X144" s="197"/>
      <c r="Y144" s="328"/>
      <c r="Z144" s="453">
        <v>20</v>
      </c>
      <c r="AA144" s="454">
        <v>10</v>
      </c>
      <c r="AB144" s="441">
        <f t="shared" si="198"/>
        <v>70</v>
      </c>
      <c r="AC144" s="328"/>
      <c r="AD144" s="197" t="str">
        <f>IF(AND($I144="x",AND(MAX(Z144:AB144)=Z144,Z144&lt;&gt;"")),Data!$BI$2,"")</f>
        <v/>
      </c>
      <c r="AE144" s="197" t="str">
        <f>IF(AND($J144="x",AND(MAX(Z144:AB144)=AA144,AA144&lt;&gt;"")),Data!$BJ$2,"")</f>
        <v/>
      </c>
      <c r="AF144" s="197">
        <f>IF(AND($K144="x",AND(MAX(Z144:AB144)=AB144,AB144&lt;&gt;"")),Data!$BK$2,"")</f>
        <v>71</v>
      </c>
      <c r="AG144" s="197"/>
      <c r="AH144" s="328"/>
      <c r="AI144" s="453">
        <v>20</v>
      </c>
      <c r="AJ144" s="454">
        <v>10</v>
      </c>
      <c r="AK144" s="441">
        <f t="shared" si="199"/>
        <v>70</v>
      </c>
      <c r="AL144" s="328"/>
      <c r="AM144" s="197" t="str">
        <f>IF(AND($I144="x",AND(MAX(AI144:AK144)=AI144,AI144&lt;&gt;"")),Data!$BI$2,"")</f>
        <v/>
      </c>
      <c r="AN144" s="197" t="str">
        <f>IF(AND($J144="x",AND(MAX(AI144:AK144)=AJ144,AJ144&lt;&gt;"")),Data!$BJ$2,"")</f>
        <v/>
      </c>
      <c r="AO144" s="197">
        <f>IF(AND($K144="x",AND(MAX(AI144:AK144)=AK144,AK144&lt;&gt;"")),Data!$BK$2,"")</f>
        <v>71</v>
      </c>
      <c r="AP144" s="197"/>
      <c r="AQ144" s="328"/>
      <c r="AR144" s="453">
        <v>20</v>
      </c>
      <c r="AS144" s="454">
        <v>10</v>
      </c>
      <c r="AT144" s="441">
        <f t="shared" si="200"/>
        <v>70</v>
      </c>
      <c r="AU144" s="328"/>
      <c r="AV144" s="197" t="str">
        <f>IF(AND($I144="x",AND(MAX(AR144:AT144)=AR144,AR144&lt;&gt;"")),Data!$BI$2,"")</f>
        <v/>
      </c>
      <c r="AW144" s="197" t="str">
        <f>IF(AND($J144="x",AND(MAX(AR144:AT144)=AS144,AS144&lt;&gt;"")),Data!$BJ$2,"")</f>
        <v/>
      </c>
      <c r="AX144" s="197">
        <f>IF(AND($K144="x",AND(MAX(AR144:AT144)=AT144,AT144&lt;&gt;"")),Data!$BK$2,"")</f>
        <v>71</v>
      </c>
      <c r="AY144" s="197"/>
      <c r="AZ144" s="328"/>
      <c r="BA144" s="453">
        <v>20</v>
      </c>
      <c r="BB144" s="454">
        <v>10</v>
      </c>
      <c r="BC144" s="441">
        <f t="shared" si="201"/>
        <v>70</v>
      </c>
      <c r="BD144" s="328"/>
      <c r="BE144" s="197" t="str">
        <f>IF(AND($I144="x",AND(MAX(BA144:BC144)=BA144,BA144&lt;&gt;"")),Data!$BI$2,"")</f>
        <v/>
      </c>
      <c r="BF144" s="197" t="str">
        <f>IF(AND($J144="x",AND(MAX(BA144:BC144)=BB144,BB144&lt;&gt;"")),Data!$BJ$2,"")</f>
        <v/>
      </c>
      <c r="BG144" s="197">
        <f>IF(AND($K144="x",AND(MAX(BA144:BC144)=BC144,BC144&lt;&gt;"")),Data!$BK$2,"")</f>
        <v>71</v>
      </c>
      <c r="BH144" s="197"/>
      <c r="BI144" s="328"/>
      <c r="BJ144" s="453">
        <v>20</v>
      </c>
      <c r="BK144" s="454">
        <v>10</v>
      </c>
      <c r="BL144" s="441">
        <f t="shared" si="202"/>
        <v>70</v>
      </c>
      <c r="BM144" s="328"/>
      <c r="BN144" s="197" t="str">
        <f>IF(AND($I144="x",AND(MAX(BJ144:BL144)=BJ144,BJ144&lt;&gt;"")),Data!$BI$2,"")</f>
        <v/>
      </c>
      <c r="BO144" s="197" t="str">
        <f>IF(AND($J144="x",AND(MAX(BJ144:BL144)=BK144,BK144&lt;&gt;"")),Data!$BJ$2,"")</f>
        <v/>
      </c>
      <c r="BP144" s="197">
        <f>IF(AND($K144="x",AND(MAX(BJ144:BL144)=BL144,BL144&lt;&gt;"")),Data!$BK$2,"")</f>
        <v>71</v>
      </c>
      <c r="BQ144" s="197"/>
      <c r="BR144" s="328"/>
      <c r="BS144" s="453">
        <v>20</v>
      </c>
      <c r="BT144" s="454">
        <v>10</v>
      </c>
      <c r="BU144" s="441">
        <f t="shared" si="203"/>
        <v>70</v>
      </c>
      <c r="BV144" s="328"/>
      <c r="BW144" s="197" t="str">
        <f>IF(AND($I144="x",AND(MAX(BS144:BU144)=BS144,BS144&lt;&gt;"")),Data!$BI$2,"")</f>
        <v/>
      </c>
      <c r="BX144" s="197" t="str">
        <f>IF(AND($J144="x",AND(MAX(BS144:BU144)=BT144,BT144&lt;&gt;"")),Data!$BJ$2,"")</f>
        <v/>
      </c>
      <c r="BY144" s="197">
        <f>IF(AND($K144="x",AND(MAX(BS144:BU144)=BU144,BU144&lt;&gt;"")),Data!$BK$2,"")</f>
        <v>71</v>
      </c>
      <c r="BZ144" s="197"/>
      <c r="CA144" s="328"/>
      <c r="CB144" s="460">
        <f t="shared" si="204"/>
        <v>20</v>
      </c>
      <c r="CC144" s="461">
        <f t="shared" si="205"/>
        <v>10</v>
      </c>
      <c r="CD144" s="462">
        <f t="shared" si="206"/>
        <v>70</v>
      </c>
      <c r="CE144" s="328"/>
      <c r="CF144" s="197" t="str">
        <f>IF(AND($I144="x",AND(MAX(CB144:CD144)=CB144,CB144&lt;&gt;"")),Data!$BI$2,"")</f>
        <v/>
      </c>
      <c r="CG144" s="197" t="str">
        <f>IF(AND($J144="x",AND(MAX(CB144:CD144)=CC144,CC144&lt;&gt;"")),Data!$BJ$2,"")</f>
        <v/>
      </c>
      <c r="CH144" s="197">
        <f>IF(AND($K144="x",AND(MAX(CB144:CD144)=CD144,CD144&lt;&gt;"")),Data!$BK$2,"")</f>
        <v>71</v>
      </c>
      <c r="CI144" s="197"/>
      <c r="CJ144" s="197"/>
      <c r="CK144" s="453">
        <v>20</v>
      </c>
      <c r="CL144" s="454">
        <v>10</v>
      </c>
      <c r="CM144" s="441">
        <f t="shared" si="207"/>
        <v>70</v>
      </c>
      <c r="CN144" s="328"/>
      <c r="CO144" s="197" t="str">
        <f>IF(AND($I144="x",AND(MAX(CK144:CM144)=CK144,CK144&lt;&gt;"")),Data!$BI$2,"")</f>
        <v/>
      </c>
      <c r="CP144" s="197" t="str">
        <f>IF(AND($J144="x",AND(MAX(CK144:CM144)=CL144,CL144&lt;&gt;"")),Data!$BJ$2,"")</f>
        <v/>
      </c>
      <c r="CQ144" s="197">
        <f>IF(AND($K144="x",AND(MAX(CK144:CM144)=CM144,CM144&lt;&gt;"")),Data!$BK$2,"")</f>
        <v>71</v>
      </c>
      <c r="CR144" s="197"/>
      <c r="CS144" s="197"/>
      <c r="CT144" s="328"/>
      <c r="CU144" s="255"/>
      <c r="CV144" s="209"/>
      <c r="CW144" s="227"/>
    </row>
    <row r="145" spans="1:101" x14ac:dyDescent="0.2">
      <c r="A145" s="227"/>
      <c r="B145" s="227"/>
      <c r="C145" s="168"/>
      <c r="D145" s="232"/>
      <c r="E145" s="136" t="s">
        <v>130</v>
      </c>
      <c r="F145" s="426"/>
      <c r="G145" s="432" t="s">
        <v>51</v>
      </c>
      <c r="H145" s="433">
        <v>1</v>
      </c>
      <c r="I145" s="349" t="str">
        <f t="shared" si="194"/>
        <v/>
      </c>
      <c r="J145" s="350" t="str">
        <f t="shared" si="195"/>
        <v/>
      </c>
      <c r="K145" s="351" t="str">
        <f t="shared" si="196"/>
        <v>x</v>
      </c>
      <c r="L145" s="258"/>
      <c r="M145" s="332"/>
      <c r="N145" s="336"/>
      <c r="O145" s="200"/>
      <c r="P145" s="200"/>
      <c r="Q145" s="445">
        <v>20</v>
      </c>
      <c r="R145" s="446">
        <v>10</v>
      </c>
      <c r="S145" s="447">
        <f t="shared" si="197"/>
        <v>70</v>
      </c>
      <c r="T145" s="328"/>
      <c r="U145" s="197" t="str">
        <f>IF(AND($I145="x",AND(MAX(Q145:S145)=Q145,Q145&gt;=0)),Data!$BI$2,"")</f>
        <v/>
      </c>
      <c r="V145" s="197" t="str">
        <f>IF(AND($J145="x",AND(MAX(Q145:S145)=R145,R145&gt;=0)),Data!$BJ$2,"")</f>
        <v/>
      </c>
      <c r="W145" s="197">
        <f>IF(AND($K145="x",AND(MAX(Q145:S145)=S145,S145&gt;=0)),Data!$BK$2,"")</f>
        <v>71</v>
      </c>
      <c r="X145" s="197"/>
      <c r="Y145" s="328"/>
      <c r="Z145" s="455">
        <v>20</v>
      </c>
      <c r="AA145" s="456">
        <v>10</v>
      </c>
      <c r="AB145" s="447">
        <f t="shared" si="198"/>
        <v>70</v>
      </c>
      <c r="AC145" s="328"/>
      <c r="AD145" s="197" t="str">
        <f>IF(AND($I145="x",AND(MAX(Z145:AB145)=Z145,Z145&lt;&gt;"")),Data!$BI$2,"")</f>
        <v/>
      </c>
      <c r="AE145" s="197" t="str">
        <f>IF(AND($J145="x",AND(MAX(Z145:AB145)=AA145,AA145&lt;&gt;"")),Data!$BJ$2,"")</f>
        <v/>
      </c>
      <c r="AF145" s="197">
        <f>IF(AND($K145="x",AND(MAX(Z145:AB145)=AB145,AB145&lt;&gt;"")),Data!$BK$2,"")</f>
        <v>71</v>
      </c>
      <c r="AG145" s="197"/>
      <c r="AH145" s="328"/>
      <c r="AI145" s="455">
        <v>20</v>
      </c>
      <c r="AJ145" s="456">
        <v>10</v>
      </c>
      <c r="AK145" s="447">
        <f t="shared" si="199"/>
        <v>70</v>
      </c>
      <c r="AL145" s="328"/>
      <c r="AM145" s="197" t="str">
        <f>IF(AND($I145="x",AND(MAX(AI145:AK145)=AI145,AI145&lt;&gt;"")),Data!$BI$2,"")</f>
        <v/>
      </c>
      <c r="AN145" s="197" t="str">
        <f>IF(AND($J145="x",AND(MAX(AI145:AK145)=AJ145,AJ145&lt;&gt;"")),Data!$BJ$2,"")</f>
        <v/>
      </c>
      <c r="AO145" s="197">
        <f>IF(AND($K145="x",AND(MAX(AI145:AK145)=AK145,AK145&lt;&gt;"")),Data!$BK$2,"")</f>
        <v>71</v>
      </c>
      <c r="AP145" s="197"/>
      <c r="AQ145" s="328"/>
      <c r="AR145" s="455">
        <v>20</v>
      </c>
      <c r="AS145" s="456">
        <v>10</v>
      </c>
      <c r="AT145" s="447">
        <f t="shared" si="200"/>
        <v>70</v>
      </c>
      <c r="AU145" s="328"/>
      <c r="AV145" s="197" t="str">
        <f>IF(AND($I145="x",AND(MAX(AR145:AT145)=AR145,AR145&lt;&gt;"")),Data!$BI$2,"")</f>
        <v/>
      </c>
      <c r="AW145" s="197" t="str">
        <f>IF(AND($J145="x",AND(MAX(AR145:AT145)=AS145,AS145&lt;&gt;"")),Data!$BJ$2,"")</f>
        <v/>
      </c>
      <c r="AX145" s="197">
        <f>IF(AND($K145="x",AND(MAX(AR145:AT145)=AT145,AT145&lt;&gt;"")),Data!$BK$2,"")</f>
        <v>71</v>
      </c>
      <c r="AY145" s="197"/>
      <c r="AZ145" s="328"/>
      <c r="BA145" s="455">
        <v>20</v>
      </c>
      <c r="BB145" s="456">
        <v>10</v>
      </c>
      <c r="BC145" s="447">
        <f t="shared" si="201"/>
        <v>70</v>
      </c>
      <c r="BD145" s="328"/>
      <c r="BE145" s="197" t="str">
        <f>IF(AND($I145="x",AND(MAX(BA145:BC145)=BA145,BA145&lt;&gt;"")),Data!$BI$2,"")</f>
        <v/>
      </c>
      <c r="BF145" s="197" t="str">
        <f>IF(AND($J145="x",AND(MAX(BA145:BC145)=BB145,BB145&lt;&gt;"")),Data!$BJ$2,"")</f>
        <v/>
      </c>
      <c r="BG145" s="197">
        <f>IF(AND($K145="x",AND(MAX(BA145:BC145)=BC145,BC145&lt;&gt;"")),Data!$BK$2,"")</f>
        <v>71</v>
      </c>
      <c r="BH145" s="197"/>
      <c r="BI145" s="328"/>
      <c r="BJ145" s="455">
        <v>20</v>
      </c>
      <c r="BK145" s="456">
        <v>10</v>
      </c>
      <c r="BL145" s="447">
        <f t="shared" si="202"/>
        <v>70</v>
      </c>
      <c r="BM145" s="328"/>
      <c r="BN145" s="197" t="str">
        <f>IF(AND($I145="x",AND(MAX(BJ145:BL145)=BJ145,BJ145&lt;&gt;"")),Data!$BI$2,"")</f>
        <v/>
      </c>
      <c r="BO145" s="197" t="str">
        <f>IF(AND($J145="x",AND(MAX(BJ145:BL145)=BK145,BK145&lt;&gt;"")),Data!$BJ$2,"")</f>
        <v/>
      </c>
      <c r="BP145" s="197">
        <f>IF(AND($K145="x",AND(MAX(BJ145:BL145)=BL145,BL145&lt;&gt;"")),Data!$BK$2,"")</f>
        <v>71</v>
      </c>
      <c r="BQ145" s="197"/>
      <c r="BR145" s="328"/>
      <c r="BS145" s="455">
        <v>20</v>
      </c>
      <c r="BT145" s="456">
        <v>10</v>
      </c>
      <c r="BU145" s="447">
        <f t="shared" si="203"/>
        <v>70</v>
      </c>
      <c r="BV145" s="328"/>
      <c r="BW145" s="197" t="str">
        <f>IF(AND($I145="x",AND(MAX(BS145:BU145)=BS145,BS145&lt;&gt;"")),Data!$BI$2,"")</f>
        <v/>
      </c>
      <c r="BX145" s="197" t="str">
        <f>IF(AND($J145="x",AND(MAX(BS145:BU145)=BT145,BT145&lt;&gt;"")),Data!$BJ$2,"")</f>
        <v/>
      </c>
      <c r="BY145" s="197">
        <f>IF(AND($K145="x",AND(MAX(BS145:BU145)=BU145,BU145&lt;&gt;"")),Data!$BK$2,"")</f>
        <v>71</v>
      </c>
      <c r="BZ145" s="197"/>
      <c r="CA145" s="328"/>
      <c r="CB145" s="463">
        <f t="shared" si="204"/>
        <v>20</v>
      </c>
      <c r="CC145" s="464">
        <f t="shared" si="205"/>
        <v>10</v>
      </c>
      <c r="CD145" s="465">
        <f t="shared" si="206"/>
        <v>70</v>
      </c>
      <c r="CE145" s="328"/>
      <c r="CF145" s="197" t="str">
        <f>IF(AND($I145="x",AND(MAX(CB145:CD145)=CB145,CB145&lt;&gt;"")),Data!$BI$2,"")</f>
        <v/>
      </c>
      <c r="CG145" s="197" t="str">
        <f>IF(AND($J145="x",AND(MAX(CB145:CD145)=CC145,CC145&lt;&gt;"")),Data!$BJ$2,"")</f>
        <v/>
      </c>
      <c r="CH145" s="197">
        <f>IF(AND($K145="x",AND(MAX(CB145:CD145)=CD145,CD145&lt;&gt;"")),Data!$BK$2,"")</f>
        <v>71</v>
      </c>
      <c r="CI145" s="197"/>
      <c r="CJ145" s="197"/>
      <c r="CK145" s="455">
        <v>20</v>
      </c>
      <c r="CL145" s="456">
        <v>10</v>
      </c>
      <c r="CM145" s="447">
        <f t="shared" si="207"/>
        <v>70</v>
      </c>
      <c r="CN145" s="328"/>
      <c r="CO145" s="197" t="str">
        <f>IF(AND($I145="x",AND(MAX(CK145:CM145)=CK145,CK145&lt;&gt;"")),Data!$BI$2,"")</f>
        <v/>
      </c>
      <c r="CP145" s="197" t="str">
        <f>IF(AND($J145="x",AND(MAX(CK145:CM145)=CL145,CL145&lt;&gt;"")),Data!$BJ$2,"")</f>
        <v/>
      </c>
      <c r="CQ145" s="197">
        <f>IF(AND($K145="x",AND(MAX(CK145:CM145)=CM145,CM145&lt;&gt;"")),Data!$BK$2,"")</f>
        <v>71</v>
      </c>
      <c r="CR145" s="197"/>
      <c r="CS145" s="197"/>
      <c r="CT145" s="328"/>
      <c r="CU145" s="255"/>
      <c r="CV145" s="209"/>
      <c r="CW145" s="227"/>
    </row>
    <row r="146" spans="1:101" x14ac:dyDescent="0.2">
      <c r="A146" s="227"/>
      <c r="B146" s="227"/>
      <c r="C146" s="168"/>
      <c r="D146" s="232"/>
      <c r="E146" s="134" t="s">
        <v>131</v>
      </c>
      <c r="F146" s="424"/>
      <c r="G146" s="428" t="s">
        <v>51</v>
      </c>
      <c r="H146" s="429">
        <v>1</v>
      </c>
      <c r="I146" s="138" t="str">
        <f t="shared" si="194"/>
        <v/>
      </c>
      <c r="J146" s="344" t="str">
        <f t="shared" si="195"/>
        <v/>
      </c>
      <c r="K146" s="345" t="str">
        <f t="shared" si="196"/>
        <v>x</v>
      </c>
      <c r="L146" s="258"/>
      <c r="M146" s="332"/>
      <c r="N146" s="336"/>
      <c r="O146" s="200"/>
      <c r="P146" s="200"/>
      <c r="Q146" s="436">
        <v>20</v>
      </c>
      <c r="R146" s="437">
        <v>10</v>
      </c>
      <c r="S146" s="438">
        <f t="shared" si="197"/>
        <v>70</v>
      </c>
      <c r="T146" s="328"/>
      <c r="U146" s="197" t="str">
        <f>IF(AND($I146="x",AND(MAX(Q146:S146)=Q146,Q146&gt;=0)),Data!$BI$2,"")</f>
        <v/>
      </c>
      <c r="V146" s="197" t="str">
        <f>IF(AND($J146="x",AND(MAX(Q146:S146)=R146,R146&gt;=0)),Data!$BJ$2,"")</f>
        <v/>
      </c>
      <c r="W146" s="197">
        <f>IF(AND($K146="x",AND(MAX(Q146:S146)=S146,S146&gt;=0)),Data!$BK$2,"")</f>
        <v>71</v>
      </c>
      <c r="X146" s="197"/>
      <c r="Y146" s="328"/>
      <c r="Z146" s="451">
        <v>20</v>
      </c>
      <c r="AA146" s="452">
        <v>10</v>
      </c>
      <c r="AB146" s="438">
        <f t="shared" si="198"/>
        <v>70</v>
      </c>
      <c r="AC146" s="328"/>
      <c r="AD146" s="197" t="str">
        <f>IF(AND($I146="x",AND(MAX(Z146:AB146)=Z146,Z146&lt;&gt;"")),Data!$BI$2,"")</f>
        <v/>
      </c>
      <c r="AE146" s="197" t="str">
        <f>IF(AND($J146="x",AND(MAX(Z146:AB146)=AA146,AA146&lt;&gt;"")),Data!$BJ$2,"")</f>
        <v/>
      </c>
      <c r="AF146" s="197">
        <f>IF(AND($K146="x",AND(MAX(Z146:AB146)=AB146,AB146&lt;&gt;"")),Data!$BK$2,"")</f>
        <v>71</v>
      </c>
      <c r="AG146" s="197"/>
      <c r="AH146" s="328"/>
      <c r="AI146" s="451">
        <v>20</v>
      </c>
      <c r="AJ146" s="452">
        <v>10</v>
      </c>
      <c r="AK146" s="438">
        <f t="shared" si="199"/>
        <v>70</v>
      </c>
      <c r="AL146" s="328"/>
      <c r="AM146" s="197" t="str">
        <f>IF(AND($I146="x",AND(MAX(AI146:AK146)=AI146,AI146&lt;&gt;"")),Data!$BI$2,"")</f>
        <v/>
      </c>
      <c r="AN146" s="197" t="str">
        <f>IF(AND($J146="x",AND(MAX(AI146:AK146)=AJ146,AJ146&lt;&gt;"")),Data!$BJ$2,"")</f>
        <v/>
      </c>
      <c r="AO146" s="197">
        <f>IF(AND($K146="x",AND(MAX(AI146:AK146)=AK146,AK146&lt;&gt;"")),Data!$BK$2,"")</f>
        <v>71</v>
      </c>
      <c r="AP146" s="197"/>
      <c r="AQ146" s="328"/>
      <c r="AR146" s="451">
        <v>20</v>
      </c>
      <c r="AS146" s="452">
        <v>10</v>
      </c>
      <c r="AT146" s="438">
        <f t="shared" si="200"/>
        <v>70</v>
      </c>
      <c r="AU146" s="328"/>
      <c r="AV146" s="197" t="str">
        <f>IF(AND($I146="x",AND(MAX(AR146:AT146)=AR146,AR146&lt;&gt;"")),Data!$BI$2,"")</f>
        <v/>
      </c>
      <c r="AW146" s="197" t="str">
        <f>IF(AND($J146="x",AND(MAX(AR146:AT146)=AS146,AS146&lt;&gt;"")),Data!$BJ$2,"")</f>
        <v/>
      </c>
      <c r="AX146" s="197">
        <f>IF(AND($K146="x",AND(MAX(AR146:AT146)=AT146,AT146&lt;&gt;"")),Data!$BK$2,"")</f>
        <v>71</v>
      </c>
      <c r="AY146" s="197"/>
      <c r="AZ146" s="328"/>
      <c r="BA146" s="451">
        <v>20</v>
      </c>
      <c r="BB146" s="452">
        <v>10</v>
      </c>
      <c r="BC146" s="438">
        <f t="shared" si="201"/>
        <v>70</v>
      </c>
      <c r="BD146" s="328"/>
      <c r="BE146" s="197" t="str">
        <f>IF(AND($I146="x",AND(MAX(BA146:BC146)=BA146,BA146&lt;&gt;"")),Data!$BI$2,"")</f>
        <v/>
      </c>
      <c r="BF146" s="197" t="str">
        <f>IF(AND($J146="x",AND(MAX(BA146:BC146)=BB146,BB146&lt;&gt;"")),Data!$BJ$2,"")</f>
        <v/>
      </c>
      <c r="BG146" s="197">
        <f>IF(AND($K146="x",AND(MAX(BA146:BC146)=BC146,BC146&lt;&gt;"")),Data!$BK$2,"")</f>
        <v>71</v>
      </c>
      <c r="BH146" s="197"/>
      <c r="BI146" s="328"/>
      <c r="BJ146" s="451">
        <v>20</v>
      </c>
      <c r="BK146" s="452">
        <v>10</v>
      </c>
      <c r="BL146" s="438">
        <f t="shared" si="202"/>
        <v>70</v>
      </c>
      <c r="BM146" s="328"/>
      <c r="BN146" s="197" t="str">
        <f>IF(AND($I146="x",AND(MAX(BJ146:BL146)=BJ146,BJ146&lt;&gt;"")),Data!$BI$2,"")</f>
        <v/>
      </c>
      <c r="BO146" s="197" t="str">
        <f>IF(AND($J146="x",AND(MAX(BJ146:BL146)=BK146,BK146&lt;&gt;"")),Data!$BJ$2,"")</f>
        <v/>
      </c>
      <c r="BP146" s="197">
        <f>IF(AND($K146="x",AND(MAX(BJ146:BL146)=BL146,BL146&lt;&gt;"")),Data!$BK$2,"")</f>
        <v>71</v>
      </c>
      <c r="BQ146" s="197"/>
      <c r="BR146" s="328"/>
      <c r="BS146" s="451">
        <v>20</v>
      </c>
      <c r="BT146" s="452">
        <v>10</v>
      </c>
      <c r="BU146" s="438">
        <f t="shared" si="203"/>
        <v>70</v>
      </c>
      <c r="BV146" s="328"/>
      <c r="BW146" s="197" t="str">
        <f>IF(AND($I146="x",AND(MAX(BS146:BU146)=BS146,BS146&lt;&gt;"")),Data!$BI$2,"")</f>
        <v/>
      </c>
      <c r="BX146" s="197" t="str">
        <f>IF(AND($J146="x",AND(MAX(BS146:BU146)=BT146,BT146&lt;&gt;"")),Data!$BJ$2,"")</f>
        <v/>
      </c>
      <c r="BY146" s="197">
        <f>IF(AND($K146="x",AND(MAX(BS146:BU146)=BU146,BU146&lt;&gt;"")),Data!$BK$2,"")</f>
        <v>71</v>
      </c>
      <c r="BZ146" s="197"/>
      <c r="CA146" s="328"/>
      <c r="CB146" s="457">
        <f t="shared" si="204"/>
        <v>20</v>
      </c>
      <c r="CC146" s="458">
        <f t="shared" si="205"/>
        <v>10</v>
      </c>
      <c r="CD146" s="459">
        <f t="shared" si="206"/>
        <v>70</v>
      </c>
      <c r="CE146" s="328"/>
      <c r="CF146" s="197" t="str">
        <f>IF(AND($I146="x",AND(MAX(CB146:CD146)=CB146,CB146&lt;&gt;"")),Data!$BI$2,"")</f>
        <v/>
      </c>
      <c r="CG146" s="197" t="str">
        <f>IF(AND($J146="x",AND(MAX(CB146:CD146)=CC146,CC146&lt;&gt;"")),Data!$BJ$2,"")</f>
        <v/>
      </c>
      <c r="CH146" s="197">
        <f>IF(AND($K146="x",AND(MAX(CB146:CD146)=CD146,CD146&lt;&gt;"")),Data!$BK$2,"")</f>
        <v>71</v>
      </c>
      <c r="CI146" s="197"/>
      <c r="CJ146" s="197"/>
      <c r="CK146" s="451">
        <v>20</v>
      </c>
      <c r="CL146" s="452">
        <v>10</v>
      </c>
      <c r="CM146" s="438">
        <f t="shared" si="207"/>
        <v>70</v>
      </c>
      <c r="CN146" s="328"/>
      <c r="CO146" s="197" t="str">
        <f>IF(AND($I146="x",AND(MAX(CK146:CM146)=CK146,CK146&lt;&gt;"")),Data!$BI$2,"")</f>
        <v/>
      </c>
      <c r="CP146" s="197" t="str">
        <f>IF(AND($J146="x",AND(MAX(CK146:CM146)=CL146,CL146&lt;&gt;"")),Data!$BJ$2,"")</f>
        <v/>
      </c>
      <c r="CQ146" s="197">
        <f>IF(AND($K146="x",AND(MAX(CK146:CM146)=CM146,CM146&lt;&gt;"")),Data!$BK$2,"")</f>
        <v>71</v>
      </c>
      <c r="CR146" s="197"/>
      <c r="CS146" s="197"/>
      <c r="CT146" s="328"/>
      <c r="CU146" s="259"/>
      <c r="CV146" s="209"/>
      <c r="CW146" s="227"/>
    </row>
    <row r="147" spans="1:101" x14ac:dyDescent="0.2">
      <c r="A147" s="227"/>
      <c r="B147" s="227"/>
      <c r="C147" s="168"/>
      <c r="D147" s="232"/>
      <c r="E147" s="135" t="s">
        <v>132</v>
      </c>
      <c r="F147" s="425"/>
      <c r="G147" s="430" t="s">
        <v>51</v>
      </c>
      <c r="H147" s="431">
        <v>1</v>
      </c>
      <c r="I147" s="346" t="str">
        <f t="shared" si="194"/>
        <v/>
      </c>
      <c r="J147" s="347" t="str">
        <f t="shared" si="195"/>
        <v/>
      </c>
      <c r="K147" s="348" t="str">
        <f t="shared" si="196"/>
        <v>x</v>
      </c>
      <c r="L147" s="258"/>
      <c r="M147" s="332"/>
      <c r="N147" s="336"/>
      <c r="O147" s="200"/>
      <c r="P147" s="200"/>
      <c r="Q147" s="439">
        <v>20</v>
      </c>
      <c r="R147" s="440">
        <v>10</v>
      </c>
      <c r="S147" s="441">
        <f t="shared" si="197"/>
        <v>70</v>
      </c>
      <c r="T147" s="328"/>
      <c r="U147" s="197" t="str">
        <f>IF(AND($I147="x",AND(MAX(Q147:S147)=Q147,Q147&gt;=0)),Data!$BI$2,"")</f>
        <v/>
      </c>
      <c r="V147" s="197" t="str">
        <f>IF(AND($J147="x",AND(MAX(Q147:S147)=R147,R147&gt;=0)),Data!$BJ$2,"")</f>
        <v/>
      </c>
      <c r="W147" s="197">
        <f>IF(AND($K147="x",AND(MAX(Q147:S147)=S147,S147&gt;=0)),Data!$BK$2,"")</f>
        <v>71</v>
      </c>
      <c r="X147" s="197"/>
      <c r="Y147" s="328"/>
      <c r="Z147" s="453">
        <v>20</v>
      </c>
      <c r="AA147" s="454">
        <v>10</v>
      </c>
      <c r="AB147" s="441">
        <f t="shared" si="198"/>
        <v>70</v>
      </c>
      <c r="AC147" s="328"/>
      <c r="AD147" s="197" t="str">
        <f>IF(AND($I147="x",AND(MAX(Z147:AB147)=Z147,Z147&lt;&gt;"")),Data!$BI$2,"")</f>
        <v/>
      </c>
      <c r="AE147" s="197" t="str">
        <f>IF(AND($J147="x",AND(MAX(Z147:AB147)=AA147,AA147&lt;&gt;"")),Data!$BJ$2,"")</f>
        <v/>
      </c>
      <c r="AF147" s="197">
        <f>IF(AND($K147="x",AND(MAX(Z147:AB147)=AB147,AB147&lt;&gt;"")),Data!$BK$2,"")</f>
        <v>71</v>
      </c>
      <c r="AG147" s="197"/>
      <c r="AH147" s="328"/>
      <c r="AI147" s="453">
        <v>20</v>
      </c>
      <c r="AJ147" s="454">
        <v>10</v>
      </c>
      <c r="AK147" s="441">
        <f t="shared" si="199"/>
        <v>70</v>
      </c>
      <c r="AL147" s="328"/>
      <c r="AM147" s="197" t="str">
        <f>IF(AND($I147="x",AND(MAX(AI147:AK147)=AI147,AI147&lt;&gt;"")),Data!$BI$2,"")</f>
        <v/>
      </c>
      <c r="AN147" s="197" t="str">
        <f>IF(AND($J147="x",AND(MAX(AI147:AK147)=AJ147,AJ147&lt;&gt;"")),Data!$BJ$2,"")</f>
        <v/>
      </c>
      <c r="AO147" s="197">
        <f>IF(AND($K147="x",AND(MAX(AI147:AK147)=AK147,AK147&lt;&gt;"")),Data!$BK$2,"")</f>
        <v>71</v>
      </c>
      <c r="AP147" s="197"/>
      <c r="AQ147" s="328"/>
      <c r="AR147" s="453">
        <v>20</v>
      </c>
      <c r="AS147" s="454">
        <v>10</v>
      </c>
      <c r="AT147" s="441">
        <f t="shared" si="200"/>
        <v>70</v>
      </c>
      <c r="AU147" s="328"/>
      <c r="AV147" s="197" t="str">
        <f>IF(AND($I147="x",AND(MAX(AR147:AT147)=AR147,AR147&lt;&gt;"")),Data!$BI$2,"")</f>
        <v/>
      </c>
      <c r="AW147" s="197" t="str">
        <f>IF(AND($J147="x",AND(MAX(AR147:AT147)=AS147,AS147&lt;&gt;"")),Data!$BJ$2,"")</f>
        <v/>
      </c>
      <c r="AX147" s="197">
        <f>IF(AND($K147="x",AND(MAX(AR147:AT147)=AT147,AT147&lt;&gt;"")),Data!$BK$2,"")</f>
        <v>71</v>
      </c>
      <c r="AY147" s="197"/>
      <c r="AZ147" s="328"/>
      <c r="BA147" s="453">
        <v>20</v>
      </c>
      <c r="BB147" s="454">
        <v>10</v>
      </c>
      <c r="BC147" s="441">
        <f t="shared" si="201"/>
        <v>70</v>
      </c>
      <c r="BD147" s="328"/>
      <c r="BE147" s="197" t="str">
        <f>IF(AND($I147="x",AND(MAX(BA147:BC147)=BA147,BA147&lt;&gt;"")),Data!$BI$2,"")</f>
        <v/>
      </c>
      <c r="BF147" s="197" t="str">
        <f>IF(AND($J147="x",AND(MAX(BA147:BC147)=BB147,BB147&lt;&gt;"")),Data!$BJ$2,"")</f>
        <v/>
      </c>
      <c r="BG147" s="197">
        <f>IF(AND($K147="x",AND(MAX(BA147:BC147)=BC147,BC147&lt;&gt;"")),Data!$BK$2,"")</f>
        <v>71</v>
      </c>
      <c r="BH147" s="197"/>
      <c r="BI147" s="328"/>
      <c r="BJ147" s="453">
        <v>20</v>
      </c>
      <c r="BK147" s="454">
        <v>10</v>
      </c>
      <c r="BL147" s="441">
        <f t="shared" si="202"/>
        <v>70</v>
      </c>
      <c r="BM147" s="328"/>
      <c r="BN147" s="197" t="str">
        <f>IF(AND($I147="x",AND(MAX(BJ147:BL147)=BJ147,BJ147&lt;&gt;"")),Data!$BI$2,"")</f>
        <v/>
      </c>
      <c r="BO147" s="197" t="str">
        <f>IF(AND($J147="x",AND(MAX(BJ147:BL147)=BK147,BK147&lt;&gt;"")),Data!$BJ$2,"")</f>
        <v/>
      </c>
      <c r="BP147" s="197">
        <f>IF(AND($K147="x",AND(MAX(BJ147:BL147)=BL147,BL147&lt;&gt;"")),Data!$BK$2,"")</f>
        <v>71</v>
      </c>
      <c r="BQ147" s="197"/>
      <c r="BR147" s="328"/>
      <c r="BS147" s="453">
        <v>20</v>
      </c>
      <c r="BT147" s="454">
        <v>10</v>
      </c>
      <c r="BU147" s="441">
        <f t="shared" si="203"/>
        <v>70</v>
      </c>
      <c r="BV147" s="328"/>
      <c r="BW147" s="197" t="str">
        <f>IF(AND($I147="x",AND(MAX(BS147:BU147)=BS147,BS147&lt;&gt;"")),Data!$BI$2,"")</f>
        <v/>
      </c>
      <c r="BX147" s="197" t="str">
        <f>IF(AND($J147="x",AND(MAX(BS147:BU147)=BT147,BT147&lt;&gt;"")),Data!$BJ$2,"")</f>
        <v/>
      </c>
      <c r="BY147" s="197">
        <f>IF(AND($K147="x",AND(MAX(BS147:BU147)=BU147,BU147&lt;&gt;"")),Data!$BK$2,"")</f>
        <v>71</v>
      </c>
      <c r="BZ147" s="197"/>
      <c r="CA147" s="328"/>
      <c r="CB147" s="460">
        <f t="shared" si="204"/>
        <v>20</v>
      </c>
      <c r="CC147" s="461">
        <f t="shared" si="205"/>
        <v>10</v>
      </c>
      <c r="CD147" s="462">
        <f t="shared" si="206"/>
        <v>70</v>
      </c>
      <c r="CE147" s="328"/>
      <c r="CF147" s="197" t="str">
        <f>IF(AND($I147="x",AND(MAX(CB147:CD147)=CB147,CB147&lt;&gt;"")),Data!$BI$2,"")</f>
        <v/>
      </c>
      <c r="CG147" s="197" t="str">
        <f>IF(AND($J147="x",AND(MAX(CB147:CD147)=CC147,CC147&lt;&gt;"")),Data!$BJ$2,"")</f>
        <v/>
      </c>
      <c r="CH147" s="197">
        <f>IF(AND($K147="x",AND(MAX(CB147:CD147)=CD147,CD147&lt;&gt;"")),Data!$BK$2,"")</f>
        <v>71</v>
      </c>
      <c r="CI147" s="197"/>
      <c r="CJ147" s="197"/>
      <c r="CK147" s="453">
        <v>20</v>
      </c>
      <c r="CL147" s="454">
        <v>10</v>
      </c>
      <c r="CM147" s="441">
        <f t="shared" si="207"/>
        <v>70</v>
      </c>
      <c r="CN147" s="328"/>
      <c r="CO147" s="197" t="str">
        <f>IF(AND($I147="x",AND(MAX(CK147:CM147)=CK147,CK147&lt;&gt;"")),Data!$BI$2,"")</f>
        <v/>
      </c>
      <c r="CP147" s="197" t="str">
        <f>IF(AND($J147="x",AND(MAX(CK147:CM147)=CL147,CL147&lt;&gt;"")),Data!$BJ$2,"")</f>
        <v/>
      </c>
      <c r="CQ147" s="197">
        <f>IF(AND($K147="x",AND(MAX(CK147:CM147)=CM147,CM147&lt;&gt;"")),Data!$BK$2,"")</f>
        <v>71</v>
      </c>
      <c r="CR147" s="197"/>
      <c r="CS147" s="197"/>
      <c r="CT147" s="328"/>
      <c r="CU147" s="259"/>
      <c r="CV147" s="209"/>
      <c r="CW147" s="227"/>
    </row>
    <row r="148" spans="1:101" x14ac:dyDescent="0.2">
      <c r="A148" s="227"/>
      <c r="B148" s="227"/>
      <c r="C148" s="168"/>
      <c r="D148" s="232"/>
      <c r="E148" s="136" t="s">
        <v>133</v>
      </c>
      <c r="F148" s="426"/>
      <c r="G148" s="432" t="s">
        <v>51</v>
      </c>
      <c r="H148" s="433">
        <v>1</v>
      </c>
      <c r="I148" s="349" t="str">
        <f t="shared" si="194"/>
        <v/>
      </c>
      <c r="J148" s="350" t="str">
        <f t="shared" si="195"/>
        <v/>
      </c>
      <c r="K148" s="351" t="str">
        <f t="shared" si="196"/>
        <v>x</v>
      </c>
      <c r="L148" s="258"/>
      <c r="M148" s="332"/>
      <c r="N148" s="336"/>
      <c r="O148" s="200"/>
      <c r="P148" s="200"/>
      <c r="Q148" s="445">
        <v>20</v>
      </c>
      <c r="R148" s="446">
        <v>10</v>
      </c>
      <c r="S148" s="447">
        <f t="shared" si="197"/>
        <v>70</v>
      </c>
      <c r="T148" s="328"/>
      <c r="U148" s="197" t="str">
        <f>IF(AND($I148="x",AND(MAX(Q148:S148)=Q148,Q148&gt;=0)),Data!$BI$2,"")</f>
        <v/>
      </c>
      <c r="V148" s="197" t="str">
        <f>IF(AND($J148="x",AND(MAX(Q148:S148)=R148,R148&gt;=0)),Data!$BJ$2,"")</f>
        <v/>
      </c>
      <c r="W148" s="197">
        <f>IF(AND($K148="x",AND(MAX(Q148:S148)=S148,S148&gt;=0)),Data!$BK$2,"")</f>
        <v>71</v>
      </c>
      <c r="X148" s="197"/>
      <c r="Y148" s="328"/>
      <c r="Z148" s="455">
        <v>20</v>
      </c>
      <c r="AA148" s="456">
        <v>10</v>
      </c>
      <c r="AB148" s="447">
        <f t="shared" si="198"/>
        <v>70</v>
      </c>
      <c r="AC148" s="328"/>
      <c r="AD148" s="197" t="str">
        <f>IF(AND($I148="x",AND(MAX(Z148:AB148)=Z148,Z148&lt;&gt;"")),Data!$BI$2,"")</f>
        <v/>
      </c>
      <c r="AE148" s="197" t="str">
        <f>IF(AND($J148="x",AND(MAX(Z148:AB148)=AA148,AA148&lt;&gt;"")),Data!$BJ$2,"")</f>
        <v/>
      </c>
      <c r="AF148" s="197">
        <f>IF(AND($K148="x",AND(MAX(Z148:AB148)=AB148,AB148&lt;&gt;"")),Data!$BK$2,"")</f>
        <v>71</v>
      </c>
      <c r="AG148" s="197"/>
      <c r="AH148" s="328"/>
      <c r="AI148" s="455">
        <v>20</v>
      </c>
      <c r="AJ148" s="456">
        <v>10</v>
      </c>
      <c r="AK148" s="447">
        <f t="shared" si="199"/>
        <v>70</v>
      </c>
      <c r="AL148" s="328"/>
      <c r="AM148" s="197" t="str">
        <f>IF(AND($I148="x",AND(MAX(AI148:AK148)=AI148,AI148&lt;&gt;"")),Data!$BI$2,"")</f>
        <v/>
      </c>
      <c r="AN148" s="197" t="str">
        <f>IF(AND($J148="x",AND(MAX(AI148:AK148)=AJ148,AJ148&lt;&gt;"")),Data!$BJ$2,"")</f>
        <v/>
      </c>
      <c r="AO148" s="197">
        <f>IF(AND($K148="x",AND(MAX(AI148:AK148)=AK148,AK148&lt;&gt;"")),Data!$BK$2,"")</f>
        <v>71</v>
      </c>
      <c r="AP148" s="197"/>
      <c r="AQ148" s="328"/>
      <c r="AR148" s="455">
        <v>20</v>
      </c>
      <c r="AS148" s="456">
        <v>10</v>
      </c>
      <c r="AT148" s="447">
        <f t="shared" si="200"/>
        <v>70</v>
      </c>
      <c r="AU148" s="328"/>
      <c r="AV148" s="197" t="str">
        <f>IF(AND($I148="x",AND(MAX(AR148:AT148)=AR148,AR148&lt;&gt;"")),Data!$BI$2,"")</f>
        <v/>
      </c>
      <c r="AW148" s="197" t="str">
        <f>IF(AND($J148="x",AND(MAX(AR148:AT148)=AS148,AS148&lt;&gt;"")),Data!$BJ$2,"")</f>
        <v/>
      </c>
      <c r="AX148" s="197">
        <f>IF(AND($K148="x",AND(MAX(AR148:AT148)=AT148,AT148&lt;&gt;"")),Data!$BK$2,"")</f>
        <v>71</v>
      </c>
      <c r="AY148" s="197"/>
      <c r="AZ148" s="328"/>
      <c r="BA148" s="455">
        <v>20</v>
      </c>
      <c r="BB148" s="456">
        <v>10</v>
      </c>
      <c r="BC148" s="447">
        <f t="shared" si="201"/>
        <v>70</v>
      </c>
      <c r="BD148" s="328"/>
      <c r="BE148" s="197" t="str">
        <f>IF(AND($I148="x",AND(MAX(BA148:BC148)=BA148,BA148&lt;&gt;"")),Data!$BI$2,"")</f>
        <v/>
      </c>
      <c r="BF148" s="197" t="str">
        <f>IF(AND($J148="x",AND(MAX(BA148:BC148)=BB148,BB148&lt;&gt;"")),Data!$BJ$2,"")</f>
        <v/>
      </c>
      <c r="BG148" s="197">
        <f>IF(AND($K148="x",AND(MAX(BA148:BC148)=BC148,BC148&lt;&gt;"")),Data!$BK$2,"")</f>
        <v>71</v>
      </c>
      <c r="BH148" s="197"/>
      <c r="BI148" s="328"/>
      <c r="BJ148" s="455">
        <v>20</v>
      </c>
      <c r="BK148" s="456">
        <v>10</v>
      </c>
      <c r="BL148" s="447">
        <f t="shared" si="202"/>
        <v>70</v>
      </c>
      <c r="BM148" s="328"/>
      <c r="BN148" s="197" t="str">
        <f>IF(AND($I148="x",AND(MAX(BJ148:BL148)=BJ148,BJ148&lt;&gt;"")),Data!$BI$2,"")</f>
        <v/>
      </c>
      <c r="BO148" s="197" t="str">
        <f>IF(AND($J148="x",AND(MAX(BJ148:BL148)=BK148,BK148&lt;&gt;"")),Data!$BJ$2,"")</f>
        <v/>
      </c>
      <c r="BP148" s="197">
        <f>IF(AND($K148="x",AND(MAX(BJ148:BL148)=BL148,BL148&lt;&gt;"")),Data!$BK$2,"")</f>
        <v>71</v>
      </c>
      <c r="BQ148" s="197"/>
      <c r="BR148" s="328"/>
      <c r="BS148" s="455">
        <v>20</v>
      </c>
      <c r="BT148" s="456">
        <v>10</v>
      </c>
      <c r="BU148" s="447">
        <f t="shared" si="203"/>
        <v>70</v>
      </c>
      <c r="BV148" s="328"/>
      <c r="BW148" s="197" t="str">
        <f>IF(AND($I148="x",AND(MAX(BS148:BU148)=BS148,BS148&lt;&gt;"")),Data!$BI$2,"")</f>
        <v/>
      </c>
      <c r="BX148" s="197" t="str">
        <f>IF(AND($J148="x",AND(MAX(BS148:BU148)=BT148,BT148&lt;&gt;"")),Data!$BJ$2,"")</f>
        <v/>
      </c>
      <c r="BY148" s="197">
        <f>IF(AND($K148="x",AND(MAX(BS148:BU148)=BU148,BU148&lt;&gt;"")),Data!$BK$2,"")</f>
        <v>71</v>
      </c>
      <c r="BZ148" s="197"/>
      <c r="CA148" s="328"/>
      <c r="CB148" s="463">
        <f t="shared" si="204"/>
        <v>20</v>
      </c>
      <c r="CC148" s="464">
        <f t="shared" si="205"/>
        <v>10</v>
      </c>
      <c r="CD148" s="465">
        <f t="shared" si="206"/>
        <v>70</v>
      </c>
      <c r="CE148" s="328"/>
      <c r="CF148" s="197" t="str">
        <f>IF(AND($I148="x",AND(MAX(CB148:CD148)=CB148,CB148&lt;&gt;"")),Data!$BI$2,"")</f>
        <v/>
      </c>
      <c r="CG148" s="197" t="str">
        <f>IF(AND($J148="x",AND(MAX(CB148:CD148)=CC148,CC148&lt;&gt;"")),Data!$BJ$2,"")</f>
        <v/>
      </c>
      <c r="CH148" s="197">
        <f>IF(AND($K148="x",AND(MAX(CB148:CD148)=CD148,CD148&lt;&gt;"")),Data!$BK$2,"")</f>
        <v>71</v>
      </c>
      <c r="CI148" s="197"/>
      <c r="CJ148" s="197"/>
      <c r="CK148" s="455">
        <v>20</v>
      </c>
      <c r="CL148" s="456">
        <v>10</v>
      </c>
      <c r="CM148" s="447">
        <f t="shared" si="207"/>
        <v>70</v>
      </c>
      <c r="CN148" s="328"/>
      <c r="CO148" s="197" t="str">
        <f>IF(AND($I148="x",AND(MAX(CK148:CM148)=CK148,CK148&lt;&gt;"")),Data!$BI$2,"")</f>
        <v/>
      </c>
      <c r="CP148" s="197" t="str">
        <f>IF(AND($J148="x",AND(MAX(CK148:CM148)=CL148,CL148&lt;&gt;"")),Data!$BJ$2,"")</f>
        <v/>
      </c>
      <c r="CQ148" s="197">
        <f>IF(AND($K148="x",AND(MAX(CK148:CM148)=CM148,CM148&lt;&gt;"")),Data!$BK$2,"")</f>
        <v>71</v>
      </c>
      <c r="CR148" s="197"/>
      <c r="CS148" s="197"/>
      <c r="CT148" s="328"/>
      <c r="CU148" s="259"/>
      <c r="CV148" s="209"/>
      <c r="CW148" s="227"/>
    </row>
    <row r="149" spans="1:101" x14ac:dyDescent="0.2">
      <c r="A149" s="227"/>
      <c r="B149" s="227"/>
      <c r="C149" s="168"/>
      <c r="D149" s="232"/>
      <c r="E149" s="137" t="s">
        <v>134</v>
      </c>
      <c r="F149" s="427"/>
      <c r="G149" s="434" t="s">
        <v>51</v>
      </c>
      <c r="H149" s="435">
        <v>1</v>
      </c>
      <c r="I149" s="138" t="str">
        <f t="shared" si="194"/>
        <v/>
      </c>
      <c r="J149" s="344" t="str">
        <f t="shared" si="195"/>
        <v/>
      </c>
      <c r="K149" s="345" t="str">
        <f t="shared" si="196"/>
        <v>x</v>
      </c>
      <c r="L149" s="258"/>
      <c r="M149" s="332"/>
      <c r="N149" s="336"/>
      <c r="O149" s="200"/>
      <c r="P149" s="200"/>
      <c r="Q149" s="448">
        <v>20</v>
      </c>
      <c r="R149" s="449">
        <v>10</v>
      </c>
      <c r="S149" s="450">
        <f t="shared" si="197"/>
        <v>70</v>
      </c>
      <c r="T149" s="328"/>
      <c r="U149" s="197" t="str">
        <f>IF(AND($I149="x",AND(MAX(Q149:S149)=Q149,Q149&gt;=0)),Data!$BI$2,"")</f>
        <v/>
      </c>
      <c r="V149" s="197" t="str">
        <f>IF(AND($J149="x",AND(MAX(Q149:S149)=R149,R149&gt;=0)),Data!$BJ$2,"")</f>
        <v/>
      </c>
      <c r="W149" s="197">
        <f>IF(AND($K149="x",AND(MAX(Q149:S149)=S149,S149&gt;=0)),Data!$BK$2,"")</f>
        <v>71</v>
      </c>
      <c r="X149" s="197"/>
      <c r="Y149" s="328"/>
      <c r="Z149" s="451">
        <v>20</v>
      </c>
      <c r="AA149" s="452">
        <v>10</v>
      </c>
      <c r="AB149" s="450">
        <f t="shared" si="198"/>
        <v>70</v>
      </c>
      <c r="AC149" s="328"/>
      <c r="AD149" s="197" t="str">
        <f>IF(AND($I149="x",AND(MAX(Z149:AB149)=Z149,Z149&lt;&gt;"")),Data!$BI$2,"")</f>
        <v/>
      </c>
      <c r="AE149" s="197" t="str">
        <f>IF(AND($J149="x",AND(MAX(Z149:AB149)=AA149,AA149&lt;&gt;"")),Data!$BJ$2,"")</f>
        <v/>
      </c>
      <c r="AF149" s="197">
        <f>IF(AND($K149="x",AND(MAX(Z149:AB149)=AB149,AB149&lt;&gt;"")),Data!$BK$2,"")</f>
        <v>71</v>
      </c>
      <c r="AG149" s="197"/>
      <c r="AH149" s="328"/>
      <c r="AI149" s="451">
        <v>20</v>
      </c>
      <c r="AJ149" s="452">
        <v>10</v>
      </c>
      <c r="AK149" s="450">
        <f t="shared" si="199"/>
        <v>70</v>
      </c>
      <c r="AL149" s="328"/>
      <c r="AM149" s="197" t="str">
        <f>IF(AND($I149="x",AND(MAX(AI149:AK149)=AI149,AI149&lt;&gt;"")),Data!$BI$2,"")</f>
        <v/>
      </c>
      <c r="AN149" s="197" t="str">
        <f>IF(AND($J149="x",AND(MAX(AI149:AK149)=AJ149,AJ149&lt;&gt;"")),Data!$BJ$2,"")</f>
        <v/>
      </c>
      <c r="AO149" s="197">
        <f>IF(AND($K149="x",AND(MAX(AI149:AK149)=AK149,AK149&lt;&gt;"")),Data!$BK$2,"")</f>
        <v>71</v>
      </c>
      <c r="AP149" s="197"/>
      <c r="AQ149" s="328"/>
      <c r="AR149" s="451">
        <v>20</v>
      </c>
      <c r="AS149" s="452">
        <v>10</v>
      </c>
      <c r="AT149" s="450">
        <f t="shared" si="200"/>
        <v>70</v>
      </c>
      <c r="AU149" s="328"/>
      <c r="AV149" s="197" t="str">
        <f>IF(AND($I149="x",AND(MAX(AR149:AT149)=AR149,AR149&lt;&gt;"")),Data!$BI$2,"")</f>
        <v/>
      </c>
      <c r="AW149" s="197" t="str">
        <f>IF(AND($J149="x",AND(MAX(AR149:AT149)=AS149,AS149&lt;&gt;"")),Data!$BJ$2,"")</f>
        <v/>
      </c>
      <c r="AX149" s="197">
        <f>IF(AND($K149="x",AND(MAX(AR149:AT149)=AT149,AT149&lt;&gt;"")),Data!$BK$2,"")</f>
        <v>71</v>
      </c>
      <c r="AY149" s="197"/>
      <c r="AZ149" s="328"/>
      <c r="BA149" s="451">
        <v>20</v>
      </c>
      <c r="BB149" s="452">
        <v>10</v>
      </c>
      <c r="BC149" s="450">
        <f t="shared" si="201"/>
        <v>70</v>
      </c>
      <c r="BD149" s="328"/>
      <c r="BE149" s="197" t="str">
        <f>IF(AND($I149="x",AND(MAX(BA149:BC149)=BA149,BA149&lt;&gt;"")),Data!$BI$2,"")</f>
        <v/>
      </c>
      <c r="BF149" s="197" t="str">
        <f>IF(AND($J149="x",AND(MAX(BA149:BC149)=BB149,BB149&lt;&gt;"")),Data!$BJ$2,"")</f>
        <v/>
      </c>
      <c r="BG149" s="197">
        <f>IF(AND($K149="x",AND(MAX(BA149:BC149)=BC149,BC149&lt;&gt;"")),Data!$BK$2,"")</f>
        <v>71</v>
      </c>
      <c r="BH149" s="197"/>
      <c r="BI149" s="328"/>
      <c r="BJ149" s="451">
        <v>20</v>
      </c>
      <c r="BK149" s="452">
        <v>10</v>
      </c>
      <c r="BL149" s="450">
        <f t="shared" si="202"/>
        <v>70</v>
      </c>
      <c r="BM149" s="328"/>
      <c r="BN149" s="197" t="str">
        <f>IF(AND($I149="x",AND(MAX(BJ149:BL149)=BJ149,BJ149&lt;&gt;"")),Data!$BI$2,"")</f>
        <v/>
      </c>
      <c r="BO149" s="197" t="str">
        <f>IF(AND($J149="x",AND(MAX(BJ149:BL149)=BK149,BK149&lt;&gt;"")),Data!$BJ$2,"")</f>
        <v/>
      </c>
      <c r="BP149" s="197">
        <f>IF(AND($K149="x",AND(MAX(BJ149:BL149)=BL149,BL149&lt;&gt;"")),Data!$BK$2,"")</f>
        <v>71</v>
      </c>
      <c r="BQ149" s="197"/>
      <c r="BR149" s="328"/>
      <c r="BS149" s="451">
        <v>20</v>
      </c>
      <c r="BT149" s="452">
        <v>10</v>
      </c>
      <c r="BU149" s="450">
        <f t="shared" si="203"/>
        <v>70</v>
      </c>
      <c r="BV149" s="328"/>
      <c r="BW149" s="197" t="str">
        <f>IF(AND($I149="x",AND(MAX(BS149:BU149)=BS149,BS149&lt;&gt;"")),Data!$BI$2,"")</f>
        <v/>
      </c>
      <c r="BX149" s="197" t="str">
        <f>IF(AND($J149="x",AND(MAX(BS149:BU149)=BT149,BT149&lt;&gt;"")),Data!$BJ$2,"")</f>
        <v/>
      </c>
      <c r="BY149" s="197">
        <f>IF(AND($K149="x",AND(MAX(BS149:BU149)=BU149,BU149&lt;&gt;"")),Data!$BK$2,"")</f>
        <v>71</v>
      </c>
      <c r="BZ149" s="197"/>
      <c r="CA149" s="328"/>
      <c r="CB149" s="457">
        <f t="shared" si="204"/>
        <v>20</v>
      </c>
      <c r="CC149" s="458">
        <f t="shared" si="205"/>
        <v>10</v>
      </c>
      <c r="CD149" s="459">
        <f t="shared" si="206"/>
        <v>70</v>
      </c>
      <c r="CE149" s="328"/>
      <c r="CF149" s="197" t="str">
        <f>IF(AND($I149="x",AND(MAX(CB149:CD149)=CB149,CB149&lt;&gt;"")),Data!$BI$2,"")</f>
        <v/>
      </c>
      <c r="CG149" s="197" t="str">
        <f>IF(AND($J149="x",AND(MAX(CB149:CD149)=CC149,CC149&lt;&gt;"")),Data!$BJ$2,"")</f>
        <v/>
      </c>
      <c r="CH149" s="197">
        <f>IF(AND($K149="x",AND(MAX(CB149:CD149)=CD149,CD149&lt;&gt;"")),Data!$BK$2,"")</f>
        <v>71</v>
      </c>
      <c r="CI149" s="197"/>
      <c r="CJ149" s="197"/>
      <c r="CK149" s="451">
        <v>20</v>
      </c>
      <c r="CL149" s="452">
        <v>10</v>
      </c>
      <c r="CM149" s="450">
        <f t="shared" si="207"/>
        <v>70</v>
      </c>
      <c r="CN149" s="328"/>
      <c r="CO149" s="197" t="str">
        <f>IF(AND($I149="x",AND(MAX(CK149:CM149)=CK149,CK149&lt;&gt;"")),Data!$BI$2,"")</f>
        <v/>
      </c>
      <c r="CP149" s="197" t="str">
        <f>IF(AND($J149="x",AND(MAX(CK149:CM149)=CL149,CL149&lt;&gt;"")),Data!$BJ$2,"")</f>
        <v/>
      </c>
      <c r="CQ149" s="197">
        <f>IF(AND($K149="x",AND(MAX(CK149:CM149)=CM149,CM149&lt;&gt;"")),Data!$BK$2,"")</f>
        <v>71</v>
      </c>
      <c r="CR149" s="197"/>
      <c r="CS149" s="197"/>
      <c r="CT149" s="328"/>
      <c r="CU149" s="259"/>
      <c r="CV149" s="209"/>
      <c r="CW149" s="227"/>
    </row>
    <row r="150" spans="1:101" x14ac:dyDescent="0.2">
      <c r="A150" s="227"/>
      <c r="B150" s="227"/>
      <c r="C150" s="168"/>
      <c r="D150" s="232"/>
      <c r="E150" s="135" t="s">
        <v>135</v>
      </c>
      <c r="F150" s="425"/>
      <c r="G150" s="430" t="s">
        <v>51</v>
      </c>
      <c r="H150" s="431">
        <v>1</v>
      </c>
      <c r="I150" s="346" t="str">
        <f t="shared" si="194"/>
        <v/>
      </c>
      <c r="J150" s="347" t="str">
        <f t="shared" si="195"/>
        <v/>
      </c>
      <c r="K150" s="348" t="str">
        <f t="shared" si="196"/>
        <v>x</v>
      </c>
      <c r="L150" s="258"/>
      <c r="M150" s="332"/>
      <c r="N150" s="336"/>
      <c r="O150" s="200"/>
      <c r="P150" s="200"/>
      <c r="Q150" s="439">
        <v>20</v>
      </c>
      <c r="R150" s="440">
        <v>10</v>
      </c>
      <c r="S150" s="441">
        <f t="shared" si="197"/>
        <v>70</v>
      </c>
      <c r="T150" s="328"/>
      <c r="U150" s="197" t="str">
        <f>IF(AND($I150="x",AND(MAX(Q150:S150)=Q150,Q150&gt;=0)),Data!$BI$2,"")</f>
        <v/>
      </c>
      <c r="V150" s="197" t="str">
        <f>IF(AND($J150="x",AND(MAX(Q150:S150)=R150,R150&gt;=0)),Data!$BJ$2,"")</f>
        <v/>
      </c>
      <c r="W150" s="197">
        <f>IF(AND($K150="x",AND(MAX(Q150:S150)=S150,S150&gt;=0)),Data!$BK$2,"")</f>
        <v>71</v>
      </c>
      <c r="X150" s="197"/>
      <c r="Y150" s="328"/>
      <c r="Z150" s="453">
        <v>20</v>
      </c>
      <c r="AA150" s="454">
        <v>10</v>
      </c>
      <c r="AB150" s="441">
        <f t="shared" si="198"/>
        <v>70</v>
      </c>
      <c r="AC150" s="328"/>
      <c r="AD150" s="197" t="str">
        <f>IF(AND($I150="x",AND(MAX(Z150:AB150)=Z150,Z150&lt;&gt;"")),Data!$BI$2,"")</f>
        <v/>
      </c>
      <c r="AE150" s="197" t="str">
        <f>IF(AND($J150="x",AND(MAX(Z150:AB150)=AA150,AA150&lt;&gt;"")),Data!$BJ$2,"")</f>
        <v/>
      </c>
      <c r="AF150" s="197">
        <f>IF(AND($K150="x",AND(MAX(Z150:AB150)=AB150,AB150&lt;&gt;"")),Data!$BK$2,"")</f>
        <v>71</v>
      </c>
      <c r="AG150" s="197"/>
      <c r="AH150" s="328"/>
      <c r="AI150" s="453">
        <v>20</v>
      </c>
      <c r="AJ150" s="454">
        <v>10</v>
      </c>
      <c r="AK150" s="441">
        <f t="shared" si="199"/>
        <v>70</v>
      </c>
      <c r="AL150" s="328"/>
      <c r="AM150" s="197" t="str">
        <f>IF(AND($I150="x",AND(MAX(AI150:AK150)=AI150,AI150&lt;&gt;"")),Data!$BI$2,"")</f>
        <v/>
      </c>
      <c r="AN150" s="197" t="str">
        <f>IF(AND($J150="x",AND(MAX(AI150:AK150)=AJ150,AJ150&lt;&gt;"")),Data!$BJ$2,"")</f>
        <v/>
      </c>
      <c r="AO150" s="197">
        <f>IF(AND($K150="x",AND(MAX(AI150:AK150)=AK150,AK150&lt;&gt;"")),Data!$BK$2,"")</f>
        <v>71</v>
      </c>
      <c r="AP150" s="197"/>
      <c r="AQ150" s="328"/>
      <c r="AR150" s="453">
        <v>20</v>
      </c>
      <c r="AS150" s="454">
        <v>10</v>
      </c>
      <c r="AT150" s="441">
        <f t="shared" si="200"/>
        <v>70</v>
      </c>
      <c r="AU150" s="328"/>
      <c r="AV150" s="197" t="str">
        <f>IF(AND($I150="x",AND(MAX(AR150:AT150)=AR150,AR150&lt;&gt;"")),Data!$BI$2,"")</f>
        <v/>
      </c>
      <c r="AW150" s="197" t="str">
        <f>IF(AND($J150="x",AND(MAX(AR150:AT150)=AS150,AS150&lt;&gt;"")),Data!$BJ$2,"")</f>
        <v/>
      </c>
      <c r="AX150" s="197">
        <f>IF(AND($K150="x",AND(MAX(AR150:AT150)=AT150,AT150&lt;&gt;"")),Data!$BK$2,"")</f>
        <v>71</v>
      </c>
      <c r="AY150" s="197"/>
      <c r="AZ150" s="328"/>
      <c r="BA150" s="453">
        <v>20</v>
      </c>
      <c r="BB150" s="454">
        <v>10</v>
      </c>
      <c r="BC150" s="441">
        <f t="shared" si="201"/>
        <v>70</v>
      </c>
      <c r="BD150" s="328"/>
      <c r="BE150" s="197" t="str">
        <f>IF(AND($I150="x",AND(MAX(BA150:BC150)=BA150,BA150&lt;&gt;"")),Data!$BI$2,"")</f>
        <v/>
      </c>
      <c r="BF150" s="197" t="str">
        <f>IF(AND($J150="x",AND(MAX(BA150:BC150)=BB150,BB150&lt;&gt;"")),Data!$BJ$2,"")</f>
        <v/>
      </c>
      <c r="BG150" s="197">
        <f>IF(AND($K150="x",AND(MAX(BA150:BC150)=BC150,BC150&lt;&gt;"")),Data!$BK$2,"")</f>
        <v>71</v>
      </c>
      <c r="BH150" s="197"/>
      <c r="BI150" s="328"/>
      <c r="BJ150" s="453">
        <v>20</v>
      </c>
      <c r="BK150" s="454">
        <v>10</v>
      </c>
      <c r="BL150" s="441">
        <f t="shared" si="202"/>
        <v>70</v>
      </c>
      <c r="BM150" s="328"/>
      <c r="BN150" s="197" t="str">
        <f>IF(AND($I150="x",AND(MAX(BJ150:BL150)=BJ150,BJ150&lt;&gt;"")),Data!$BI$2,"")</f>
        <v/>
      </c>
      <c r="BO150" s="197" t="str">
        <f>IF(AND($J150="x",AND(MAX(BJ150:BL150)=BK150,BK150&lt;&gt;"")),Data!$BJ$2,"")</f>
        <v/>
      </c>
      <c r="BP150" s="197">
        <f>IF(AND($K150="x",AND(MAX(BJ150:BL150)=BL150,BL150&lt;&gt;"")),Data!$BK$2,"")</f>
        <v>71</v>
      </c>
      <c r="BQ150" s="197"/>
      <c r="BR150" s="328"/>
      <c r="BS150" s="453">
        <v>20</v>
      </c>
      <c r="BT150" s="454">
        <v>10</v>
      </c>
      <c r="BU150" s="441">
        <f t="shared" si="203"/>
        <v>70</v>
      </c>
      <c r="BV150" s="328"/>
      <c r="BW150" s="197" t="str">
        <f>IF(AND($I150="x",AND(MAX(BS150:BU150)=BS150,BS150&lt;&gt;"")),Data!$BI$2,"")</f>
        <v/>
      </c>
      <c r="BX150" s="197" t="str">
        <f>IF(AND($J150="x",AND(MAX(BS150:BU150)=BT150,BT150&lt;&gt;"")),Data!$BJ$2,"")</f>
        <v/>
      </c>
      <c r="BY150" s="197">
        <f>IF(AND($K150="x",AND(MAX(BS150:BU150)=BU150,BU150&lt;&gt;"")),Data!$BK$2,"")</f>
        <v>71</v>
      </c>
      <c r="BZ150" s="197"/>
      <c r="CA150" s="328"/>
      <c r="CB150" s="460">
        <f t="shared" si="204"/>
        <v>20</v>
      </c>
      <c r="CC150" s="461">
        <f t="shared" si="205"/>
        <v>10</v>
      </c>
      <c r="CD150" s="462">
        <f t="shared" si="206"/>
        <v>70</v>
      </c>
      <c r="CE150" s="328"/>
      <c r="CF150" s="197" t="str">
        <f>IF(AND($I150="x",AND(MAX(CB150:CD150)=CB150,CB150&lt;&gt;"")),Data!$BI$2,"")</f>
        <v/>
      </c>
      <c r="CG150" s="197" t="str">
        <f>IF(AND($J150="x",AND(MAX(CB150:CD150)=CC150,CC150&lt;&gt;"")),Data!$BJ$2,"")</f>
        <v/>
      </c>
      <c r="CH150" s="197">
        <f>IF(AND($K150="x",AND(MAX(CB150:CD150)=CD150,CD150&lt;&gt;"")),Data!$BK$2,"")</f>
        <v>71</v>
      </c>
      <c r="CI150" s="197"/>
      <c r="CJ150" s="197"/>
      <c r="CK150" s="453">
        <v>20</v>
      </c>
      <c r="CL150" s="454">
        <v>10</v>
      </c>
      <c r="CM150" s="441">
        <f t="shared" si="207"/>
        <v>70</v>
      </c>
      <c r="CN150" s="328"/>
      <c r="CO150" s="197" t="str">
        <f>IF(AND($I150="x",AND(MAX(CK150:CM150)=CK150,CK150&lt;&gt;"")),Data!$BI$2,"")</f>
        <v/>
      </c>
      <c r="CP150" s="197" t="str">
        <f>IF(AND($J150="x",AND(MAX(CK150:CM150)=CL150,CL150&lt;&gt;"")),Data!$BJ$2,"")</f>
        <v/>
      </c>
      <c r="CQ150" s="197">
        <f>IF(AND($K150="x",AND(MAX(CK150:CM150)=CM150,CM150&lt;&gt;"")),Data!$BK$2,"")</f>
        <v>71</v>
      </c>
      <c r="CR150" s="197"/>
      <c r="CS150" s="197"/>
      <c r="CT150" s="328"/>
      <c r="CU150" s="259"/>
      <c r="CV150" s="209"/>
      <c r="CW150" s="227"/>
    </row>
    <row r="151" spans="1:101" x14ac:dyDescent="0.2">
      <c r="A151" s="227"/>
      <c r="B151" s="227"/>
      <c r="C151" s="168"/>
      <c r="D151" s="232"/>
      <c r="E151" s="136" t="s">
        <v>136</v>
      </c>
      <c r="F151" s="426"/>
      <c r="G151" s="432" t="s">
        <v>51</v>
      </c>
      <c r="H151" s="433">
        <v>1</v>
      </c>
      <c r="I151" s="349" t="str">
        <f t="shared" si="194"/>
        <v/>
      </c>
      <c r="J151" s="350" t="str">
        <f t="shared" si="195"/>
        <v/>
      </c>
      <c r="K151" s="351" t="str">
        <f t="shared" si="196"/>
        <v>x</v>
      </c>
      <c r="L151" s="258"/>
      <c r="M151" s="332"/>
      <c r="N151" s="336"/>
      <c r="O151" s="200"/>
      <c r="P151" s="200"/>
      <c r="Q151" s="445">
        <v>20</v>
      </c>
      <c r="R151" s="446">
        <v>10</v>
      </c>
      <c r="S151" s="447">
        <f t="shared" si="197"/>
        <v>70</v>
      </c>
      <c r="T151" s="328"/>
      <c r="U151" s="197" t="str">
        <f>IF(AND($I151="x",AND(MAX(Q151:S151)=Q151,Q151&gt;=0)),Data!$BI$2,"")</f>
        <v/>
      </c>
      <c r="V151" s="197" t="str">
        <f>IF(AND($J151="x",AND(MAX(Q151:S151)=R151,R151&gt;=0)),Data!$BJ$2,"")</f>
        <v/>
      </c>
      <c r="W151" s="197">
        <f>IF(AND($K151="x",AND(MAX(Q151:S151)=S151,S151&gt;=0)),Data!$BK$2,"")</f>
        <v>71</v>
      </c>
      <c r="X151" s="197"/>
      <c r="Y151" s="328"/>
      <c r="Z151" s="455">
        <v>20</v>
      </c>
      <c r="AA151" s="456">
        <v>10</v>
      </c>
      <c r="AB151" s="447">
        <f t="shared" si="198"/>
        <v>70</v>
      </c>
      <c r="AC151" s="328"/>
      <c r="AD151" s="197" t="str">
        <f>IF(AND($I151="x",AND(MAX(Z151:AB151)=Z151,Z151&lt;&gt;"")),Data!$BI$2,"")</f>
        <v/>
      </c>
      <c r="AE151" s="197" t="str">
        <f>IF(AND($J151="x",AND(MAX(Z151:AB151)=AA151,AA151&lt;&gt;"")),Data!$BJ$2,"")</f>
        <v/>
      </c>
      <c r="AF151" s="197">
        <f>IF(AND($K151="x",AND(MAX(Z151:AB151)=AB151,AB151&lt;&gt;"")),Data!$BK$2,"")</f>
        <v>71</v>
      </c>
      <c r="AG151" s="197"/>
      <c r="AH151" s="328"/>
      <c r="AI151" s="455">
        <v>20</v>
      </c>
      <c r="AJ151" s="456">
        <v>10</v>
      </c>
      <c r="AK151" s="447">
        <f t="shared" si="199"/>
        <v>70</v>
      </c>
      <c r="AL151" s="328"/>
      <c r="AM151" s="197" t="str">
        <f>IF(AND($I151="x",AND(MAX(AI151:AK151)=AI151,AI151&lt;&gt;"")),Data!$BI$2,"")</f>
        <v/>
      </c>
      <c r="AN151" s="197" t="str">
        <f>IF(AND($J151="x",AND(MAX(AI151:AK151)=AJ151,AJ151&lt;&gt;"")),Data!$BJ$2,"")</f>
        <v/>
      </c>
      <c r="AO151" s="197">
        <f>IF(AND($K151="x",AND(MAX(AI151:AK151)=AK151,AK151&lt;&gt;"")),Data!$BK$2,"")</f>
        <v>71</v>
      </c>
      <c r="AP151" s="197"/>
      <c r="AQ151" s="328"/>
      <c r="AR151" s="455">
        <v>20</v>
      </c>
      <c r="AS151" s="456">
        <v>10</v>
      </c>
      <c r="AT151" s="447">
        <f t="shared" si="200"/>
        <v>70</v>
      </c>
      <c r="AU151" s="328"/>
      <c r="AV151" s="197" t="str">
        <f>IF(AND($I151="x",AND(MAX(AR151:AT151)=AR151,AR151&lt;&gt;"")),Data!$BI$2,"")</f>
        <v/>
      </c>
      <c r="AW151" s="197" t="str">
        <f>IF(AND($J151="x",AND(MAX(AR151:AT151)=AS151,AS151&lt;&gt;"")),Data!$BJ$2,"")</f>
        <v/>
      </c>
      <c r="AX151" s="197">
        <f>IF(AND($K151="x",AND(MAX(AR151:AT151)=AT151,AT151&lt;&gt;"")),Data!$BK$2,"")</f>
        <v>71</v>
      </c>
      <c r="AY151" s="197"/>
      <c r="AZ151" s="328"/>
      <c r="BA151" s="455">
        <v>20</v>
      </c>
      <c r="BB151" s="456">
        <v>10</v>
      </c>
      <c r="BC151" s="447">
        <f t="shared" si="201"/>
        <v>70</v>
      </c>
      <c r="BD151" s="328"/>
      <c r="BE151" s="197" t="str">
        <f>IF(AND($I151="x",AND(MAX(BA151:BC151)=BA151,BA151&lt;&gt;"")),Data!$BI$2,"")</f>
        <v/>
      </c>
      <c r="BF151" s="197" t="str">
        <f>IF(AND($J151="x",AND(MAX(BA151:BC151)=BB151,BB151&lt;&gt;"")),Data!$BJ$2,"")</f>
        <v/>
      </c>
      <c r="BG151" s="197">
        <f>IF(AND($K151="x",AND(MAX(BA151:BC151)=BC151,BC151&lt;&gt;"")),Data!$BK$2,"")</f>
        <v>71</v>
      </c>
      <c r="BH151" s="197"/>
      <c r="BI151" s="328"/>
      <c r="BJ151" s="455">
        <v>20</v>
      </c>
      <c r="BK151" s="456">
        <v>10</v>
      </c>
      <c r="BL151" s="447">
        <f t="shared" si="202"/>
        <v>70</v>
      </c>
      <c r="BM151" s="328"/>
      <c r="BN151" s="197" t="str">
        <f>IF(AND($I151="x",AND(MAX(BJ151:BL151)=BJ151,BJ151&lt;&gt;"")),Data!$BI$2,"")</f>
        <v/>
      </c>
      <c r="BO151" s="197" t="str">
        <f>IF(AND($J151="x",AND(MAX(BJ151:BL151)=BK151,BK151&lt;&gt;"")),Data!$BJ$2,"")</f>
        <v/>
      </c>
      <c r="BP151" s="197">
        <f>IF(AND($K151="x",AND(MAX(BJ151:BL151)=BL151,BL151&lt;&gt;"")),Data!$BK$2,"")</f>
        <v>71</v>
      </c>
      <c r="BQ151" s="197"/>
      <c r="BR151" s="328"/>
      <c r="BS151" s="455">
        <v>20</v>
      </c>
      <c r="BT151" s="456">
        <v>10</v>
      </c>
      <c r="BU151" s="447">
        <f t="shared" si="203"/>
        <v>70</v>
      </c>
      <c r="BV151" s="328"/>
      <c r="BW151" s="197" t="str">
        <f>IF(AND($I151="x",AND(MAX(BS151:BU151)=BS151,BS151&lt;&gt;"")),Data!$BI$2,"")</f>
        <v/>
      </c>
      <c r="BX151" s="197" t="str">
        <f>IF(AND($J151="x",AND(MAX(BS151:BU151)=BT151,BT151&lt;&gt;"")),Data!$BJ$2,"")</f>
        <v/>
      </c>
      <c r="BY151" s="197">
        <f>IF(AND($K151="x",AND(MAX(BS151:BU151)=BU151,BU151&lt;&gt;"")),Data!$BK$2,"")</f>
        <v>71</v>
      </c>
      <c r="BZ151" s="197"/>
      <c r="CA151" s="328"/>
      <c r="CB151" s="463">
        <f t="shared" si="204"/>
        <v>20</v>
      </c>
      <c r="CC151" s="464">
        <f t="shared" si="205"/>
        <v>10</v>
      </c>
      <c r="CD151" s="465">
        <f t="shared" si="206"/>
        <v>70</v>
      </c>
      <c r="CE151" s="328"/>
      <c r="CF151" s="197" t="str">
        <f>IF(AND($I151="x",AND(MAX(CB151:CD151)=CB151,CB151&lt;&gt;"")),Data!$BI$2,"")</f>
        <v/>
      </c>
      <c r="CG151" s="197" t="str">
        <f>IF(AND($J151="x",AND(MAX(CB151:CD151)=CC151,CC151&lt;&gt;"")),Data!$BJ$2,"")</f>
        <v/>
      </c>
      <c r="CH151" s="197">
        <f>IF(AND($K151="x",AND(MAX(CB151:CD151)=CD151,CD151&lt;&gt;"")),Data!$BK$2,"")</f>
        <v>71</v>
      </c>
      <c r="CI151" s="197"/>
      <c r="CJ151" s="197"/>
      <c r="CK151" s="455">
        <v>20</v>
      </c>
      <c r="CL151" s="456">
        <v>10</v>
      </c>
      <c r="CM151" s="447">
        <f t="shared" si="207"/>
        <v>70</v>
      </c>
      <c r="CN151" s="328"/>
      <c r="CO151" s="197" t="str">
        <f>IF(AND($I151="x",AND(MAX(CK151:CM151)=CK151,CK151&lt;&gt;"")),Data!$BI$2,"")</f>
        <v/>
      </c>
      <c r="CP151" s="197" t="str">
        <f>IF(AND($J151="x",AND(MAX(CK151:CM151)=CL151,CL151&lt;&gt;"")),Data!$BJ$2,"")</f>
        <v/>
      </c>
      <c r="CQ151" s="197">
        <f>IF(AND($K151="x",AND(MAX(CK151:CM151)=CM151,CM151&lt;&gt;"")),Data!$BK$2,"")</f>
        <v>71</v>
      </c>
      <c r="CR151" s="197"/>
      <c r="CS151" s="197"/>
      <c r="CT151" s="328"/>
      <c r="CU151" s="259"/>
      <c r="CV151" s="209"/>
      <c r="CW151" s="227"/>
    </row>
    <row r="152" spans="1:101" x14ac:dyDescent="0.2">
      <c r="A152" s="227"/>
      <c r="B152" s="227"/>
      <c r="C152" s="168"/>
      <c r="D152" s="233"/>
      <c r="E152" s="199"/>
      <c r="F152" s="352" t="str">
        <f>IF(SUM(F140:F151)=0,"",SUM(F140:F151))</f>
        <v/>
      </c>
      <c r="G152" s="327" t="s">
        <v>51</v>
      </c>
      <c r="H152" s="353">
        <f>IF(SUM(H140:H151)=0,"",SUM(H140:H151))</f>
        <v>12</v>
      </c>
      <c r="I152" s="354" t="str">
        <f>IF(COUNTIF(I140:I151,"=x")=0,"",COUNTIF(I140:I151,"=x"))</f>
        <v/>
      </c>
      <c r="J152" s="355" t="str">
        <f>IF(COUNTIF(J140:J151,"=x")=0,"",COUNTIF(J140:J151,"=x"))</f>
        <v/>
      </c>
      <c r="K152" s="356">
        <f>IF(COUNTIF(K140:K151,"=x")=0,"",COUNTIF(K140:K151,"=x"))</f>
        <v>12</v>
      </c>
      <c r="L152" s="258"/>
      <c r="M152" s="332"/>
      <c r="N152" s="336"/>
      <c r="O152" s="200"/>
      <c r="P152" s="326"/>
      <c r="Q152" s="422">
        <f>SUM(U140:U151)</f>
        <v>0</v>
      </c>
      <c r="R152" s="422">
        <f t="shared" ref="R152:S152" si="208">SUM(V140:V151)</f>
        <v>0</v>
      </c>
      <c r="S152" s="422">
        <f t="shared" si="208"/>
        <v>710</v>
      </c>
      <c r="T152" s="325"/>
      <c r="U152" s="197">
        <f>SUM(U140:U151)</f>
        <v>0</v>
      </c>
      <c r="V152" s="197">
        <f t="shared" ref="V152:W152" si="209">SUM(V140:V151)</f>
        <v>0</v>
      </c>
      <c r="W152" s="197">
        <f t="shared" si="209"/>
        <v>710</v>
      </c>
      <c r="X152" s="197"/>
      <c r="Y152" s="324"/>
      <c r="Z152" s="422">
        <f>SUM(AD140:AD151)</f>
        <v>0</v>
      </c>
      <c r="AA152" s="422">
        <f t="shared" ref="AA152:AB152" si="210">SUM(AE140:AE151)</f>
        <v>0</v>
      </c>
      <c r="AB152" s="422">
        <f t="shared" si="210"/>
        <v>710</v>
      </c>
      <c r="AC152" s="325"/>
      <c r="AD152" s="197">
        <f>SUM(AD140:AD151)</f>
        <v>0</v>
      </c>
      <c r="AE152" s="197">
        <f t="shared" ref="AE152:AF152" si="211">SUM(AE140:AE151)</f>
        <v>0</v>
      </c>
      <c r="AF152" s="197">
        <f t="shared" si="211"/>
        <v>710</v>
      </c>
      <c r="AG152" s="197"/>
      <c r="AH152" s="324"/>
      <c r="AI152" s="422">
        <f>SUM(AM140:AM151)</f>
        <v>0</v>
      </c>
      <c r="AJ152" s="422">
        <f t="shared" ref="AJ152:AK152" si="212">SUM(AN140:AN151)</f>
        <v>0</v>
      </c>
      <c r="AK152" s="422">
        <f t="shared" si="212"/>
        <v>710</v>
      </c>
      <c r="AL152" s="325"/>
      <c r="AM152" s="197">
        <f>SUM(AM140:AM151)</f>
        <v>0</v>
      </c>
      <c r="AN152" s="197">
        <f t="shared" ref="AN152:AO152" si="213">SUM(AN140:AN151)</f>
        <v>0</v>
      </c>
      <c r="AO152" s="197">
        <f t="shared" si="213"/>
        <v>710</v>
      </c>
      <c r="AP152" s="197"/>
      <c r="AQ152" s="324"/>
      <c r="AR152" s="422">
        <f>SUM(AV140:AV151)</f>
        <v>0</v>
      </c>
      <c r="AS152" s="422">
        <f t="shared" ref="AS152:AT152" si="214">SUM(AW140:AW151)</f>
        <v>0</v>
      </c>
      <c r="AT152" s="422">
        <f t="shared" si="214"/>
        <v>710</v>
      </c>
      <c r="AU152" s="325"/>
      <c r="AV152" s="197">
        <f>SUM(AV140:AV151)</f>
        <v>0</v>
      </c>
      <c r="AW152" s="197">
        <f t="shared" ref="AW152:AX152" si="215">SUM(AW140:AW151)</f>
        <v>0</v>
      </c>
      <c r="AX152" s="197">
        <f t="shared" si="215"/>
        <v>710</v>
      </c>
      <c r="AY152" s="197"/>
      <c r="AZ152" s="324"/>
      <c r="BA152" s="422">
        <f>SUM(BE140:BE151)</f>
        <v>0</v>
      </c>
      <c r="BB152" s="422">
        <f t="shared" ref="BB152:BC152" si="216">SUM(BF140:BF151)</f>
        <v>0</v>
      </c>
      <c r="BC152" s="422">
        <f t="shared" si="216"/>
        <v>710</v>
      </c>
      <c r="BD152" s="325"/>
      <c r="BE152" s="197">
        <f>SUM(BE140:BE151)</f>
        <v>0</v>
      </c>
      <c r="BF152" s="197">
        <f t="shared" ref="BF152:BG152" si="217">SUM(BF140:BF151)</f>
        <v>0</v>
      </c>
      <c r="BG152" s="197">
        <f t="shared" si="217"/>
        <v>710</v>
      </c>
      <c r="BH152" s="197"/>
      <c r="BI152" s="324"/>
      <c r="BJ152" s="422">
        <f>SUM(BN140:BN151)</f>
        <v>0</v>
      </c>
      <c r="BK152" s="422">
        <f t="shared" ref="BK152" si="218">SUM(BO140:BO151)</f>
        <v>0</v>
      </c>
      <c r="BL152" s="422">
        <f t="shared" ref="BL152" si="219">SUM(BP140:BP151)</f>
        <v>710</v>
      </c>
      <c r="BM152" s="325"/>
      <c r="BN152" s="197">
        <f>SUM(BN140:BN151)</f>
        <v>0</v>
      </c>
      <c r="BO152" s="197">
        <f t="shared" ref="BO152:BP152" si="220">SUM(BO140:BO151)</f>
        <v>0</v>
      </c>
      <c r="BP152" s="197">
        <f t="shared" si="220"/>
        <v>710</v>
      </c>
      <c r="BQ152" s="197"/>
      <c r="BR152" s="324"/>
      <c r="BS152" s="422">
        <f>SUM(BW140:BW151)</f>
        <v>0</v>
      </c>
      <c r="BT152" s="422">
        <f t="shared" ref="BT152:BU152" si="221">SUM(BX140:BX151)</f>
        <v>0</v>
      </c>
      <c r="BU152" s="422">
        <f t="shared" si="221"/>
        <v>710</v>
      </c>
      <c r="BV152" s="325"/>
      <c r="BW152" s="197">
        <f>SUM(BW140:BW151)</f>
        <v>0</v>
      </c>
      <c r="BX152" s="197">
        <f t="shared" ref="BX152:BY152" si="222">SUM(BX140:BX151)</f>
        <v>0</v>
      </c>
      <c r="BY152" s="197">
        <f t="shared" si="222"/>
        <v>710</v>
      </c>
      <c r="BZ152" s="197"/>
      <c r="CA152" s="326"/>
      <c r="CB152" s="422">
        <f>SUM(CF140:CF151)</f>
        <v>0</v>
      </c>
      <c r="CC152" s="422">
        <f t="shared" ref="CC152:CD152" si="223">SUM(CG140:CG151)</f>
        <v>0</v>
      </c>
      <c r="CD152" s="422">
        <f t="shared" si="223"/>
        <v>710</v>
      </c>
      <c r="CE152" s="325"/>
      <c r="CF152" s="197">
        <f>SUM(CF140:CF151)</f>
        <v>0</v>
      </c>
      <c r="CG152" s="197">
        <f t="shared" ref="CG152:CH152" si="224">SUM(CG140:CG151)</f>
        <v>0</v>
      </c>
      <c r="CH152" s="197">
        <f t="shared" si="224"/>
        <v>710</v>
      </c>
      <c r="CI152" s="197"/>
      <c r="CJ152" s="197"/>
      <c r="CK152" s="422">
        <f>SUM(CO140:CO151)</f>
        <v>0</v>
      </c>
      <c r="CL152" s="422">
        <f t="shared" ref="CL152:CM152" si="225">SUM(CP140:CP151)</f>
        <v>0</v>
      </c>
      <c r="CM152" s="422">
        <f t="shared" si="225"/>
        <v>710</v>
      </c>
      <c r="CN152" s="325"/>
      <c r="CO152" s="197">
        <f>SUM(CO140:CO151)</f>
        <v>0</v>
      </c>
      <c r="CP152" s="197">
        <f t="shared" ref="CP152:CQ152" si="226">SUM(CP140:CP151)</f>
        <v>0</v>
      </c>
      <c r="CQ152" s="197">
        <f t="shared" si="226"/>
        <v>710</v>
      </c>
      <c r="CR152" s="197"/>
      <c r="CS152" s="197"/>
      <c r="CT152" s="197"/>
      <c r="CU152" s="259"/>
      <c r="CV152" s="209"/>
      <c r="CW152" s="228"/>
    </row>
    <row r="153" spans="1:101" x14ac:dyDescent="0.2">
      <c r="A153" s="227"/>
      <c r="B153" s="227"/>
      <c r="C153" s="168"/>
      <c r="D153" s="249"/>
      <c r="E153" s="242"/>
      <c r="F153" s="243"/>
      <c r="G153" s="242"/>
      <c r="H153" s="242"/>
      <c r="I153" s="242"/>
      <c r="J153" s="242"/>
      <c r="K153" s="242"/>
      <c r="L153" s="252"/>
      <c r="M153" s="260"/>
      <c r="N153" s="337"/>
      <c r="O153" s="333"/>
      <c r="P153" s="244"/>
      <c r="Q153" s="245"/>
      <c r="R153" s="245"/>
      <c r="S153" s="245"/>
      <c r="T153" s="246"/>
      <c r="U153" s="247"/>
      <c r="V153" s="247"/>
      <c r="W153" s="247"/>
      <c r="X153" s="247"/>
      <c r="Y153" s="244"/>
      <c r="Z153" s="245"/>
      <c r="AA153" s="245"/>
      <c r="AB153" s="245"/>
      <c r="AC153" s="246"/>
      <c r="AD153" s="247"/>
      <c r="AE153" s="247"/>
      <c r="AF153" s="247"/>
      <c r="AG153" s="247"/>
      <c r="AH153" s="244"/>
      <c r="AI153" s="245"/>
      <c r="AJ153" s="245"/>
      <c r="AK153" s="245"/>
      <c r="AL153" s="246"/>
      <c r="AM153" s="247"/>
      <c r="AN153" s="247"/>
      <c r="AO153" s="247"/>
      <c r="AP153" s="247"/>
      <c r="AQ153" s="244"/>
      <c r="AR153" s="245"/>
      <c r="AS153" s="245"/>
      <c r="AT153" s="245"/>
      <c r="AU153" s="246"/>
      <c r="AV153" s="247"/>
      <c r="AW153" s="247"/>
      <c r="AX153" s="247"/>
      <c r="AY153" s="247"/>
      <c r="AZ153" s="244"/>
      <c r="BA153" s="245"/>
      <c r="BB153" s="245"/>
      <c r="BC153" s="245"/>
      <c r="BD153" s="246"/>
      <c r="BE153" s="247"/>
      <c r="BF153" s="247"/>
      <c r="BG153" s="247"/>
      <c r="BH153" s="247"/>
      <c r="BI153" s="244"/>
      <c r="BJ153" s="244"/>
      <c r="BK153" s="244"/>
      <c r="BL153" s="244"/>
      <c r="BM153" s="244"/>
      <c r="BN153" s="247"/>
      <c r="BO153" s="247"/>
      <c r="BP153" s="247"/>
      <c r="BQ153" s="247"/>
      <c r="BR153" s="244"/>
      <c r="BS153" s="244"/>
      <c r="BT153" s="244"/>
      <c r="BU153" s="244"/>
      <c r="BV153" s="244"/>
      <c r="BW153" s="247"/>
      <c r="BX153" s="247"/>
      <c r="BY153" s="247"/>
      <c r="BZ153" s="247"/>
      <c r="CA153" s="244"/>
      <c r="CB153" s="244"/>
      <c r="CC153" s="244"/>
      <c r="CD153" s="244"/>
      <c r="CE153" s="244"/>
      <c r="CF153" s="247"/>
      <c r="CG153" s="247"/>
      <c r="CH153" s="247"/>
      <c r="CI153" s="247"/>
      <c r="CJ153" s="248"/>
      <c r="CK153" s="248"/>
      <c r="CL153" s="248"/>
      <c r="CM153" s="248"/>
      <c r="CN153" s="248"/>
      <c r="CO153" s="247"/>
      <c r="CP153" s="247"/>
      <c r="CQ153" s="247"/>
      <c r="CR153" s="247"/>
      <c r="CS153" s="248"/>
      <c r="CT153" s="242"/>
      <c r="CU153" s="253"/>
      <c r="CV153" s="209"/>
      <c r="CW153" s="228"/>
    </row>
    <row r="154" spans="1:101" x14ac:dyDescent="0.2">
      <c r="A154" s="219"/>
      <c r="B154" s="219"/>
      <c r="C154" s="175"/>
      <c r="D154" s="176"/>
      <c r="E154" s="210"/>
      <c r="F154" s="211"/>
      <c r="G154" s="210"/>
      <c r="H154" s="210"/>
      <c r="I154" s="210"/>
      <c r="J154" s="210"/>
      <c r="K154" s="210"/>
      <c r="L154" s="212"/>
      <c r="M154" s="213"/>
      <c r="N154" s="213"/>
      <c r="O154" s="213"/>
      <c r="P154" s="213"/>
      <c r="Q154" s="210"/>
      <c r="R154" s="210"/>
      <c r="S154" s="210"/>
      <c r="T154" s="214"/>
      <c r="U154" s="215"/>
      <c r="V154" s="215"/>
      <c r="W154" s="215"/>
      <c r="X154" s="215"/>
      <c r="Y154" s="213"/>
      <c r="Z154" s="210"/>
      <c r="AA154" s="210"/>
      <c r="AB154" s="210"/>
      <c r="AC154" s="214"/>
      <c r="AD154" s="215"/>
      <c r="AE154" s="215"/>
      <c r="AF154" s="215"/>
      <c r="AG154" s="215"/>
      <c r="AH154" s="213"/>
      <c r="AI154" s="210"/>
      <c r="AJ154" s="210"/>
      <c r="AK154" s="210"/>
      <c r="AL154" s="214"/>
      <c r="AM154" s="215"/>
      <c r="AN154" s="215"/>
      <c r="AO154" s="215"/>
      <c r="AP154" s="215"/>
      <c r="AQ154" s="213"/>
      <c r="AR154" s="210"/>
      <c r="AS154" s="210"/>
      <c r="AT154" s="210"/>
      <c r="AU154" s="214"/>
      <c r="AV154" s="215"/>
      <c r="AW154" s="215"/>
      <c r="AX154" s="215"/>
      <c r="AY154" s="215"/>
      <c r="AZ154" s="213"/>
      <c r="BA154" s="210"/>
      <c r="BB154" s="210"/>
      <c r="BC154" s="210"/>
      <c r="BD154" s="214"/>
      <c r="BE154" s="215"/>
      <c r="BF154" s="215"/>
      <c r="BG154" s="215"/>
      <c r="BH154" s="215"/>
      <c r="BI154" s="213"/>
      <c r="BJ154" s="210"/>
      <c r="BK154" s="210"/>
      <c r="BL154" s="210"/>
      <c r="BM154" s="214"/>
      <c r="BN154" s="215"/>
      <c r="BO154" s="215"/>
      <c r="BP154" s="215"/>
      <c r="BQ154" s="215"/>
      <c r="BR154" s="177"/>
      <c r="BS154" s="210"/>
      <c r="BT154" s="210"/>
      <c r="BU154" s="210"/>
      <c r="BV154" s="213"/>
      <c r="BW154" s="215"/>
      <c r="BX154" s="215"/>
      <c r="BY154" s="215"/>
      <c r="BZ154" s="215"/>
      <c r="CA154" s="210"/>
      <c r="CB154" s="216"/>
      <c r="CC154" s="216"/>
      <c r="CD154" s="216"/>
      <c r="CE154" s="216"/>
      <c r="CF154" s="215"/>
      <c r="CG154" s="215"/>
      <c r="CH154" s="215"/>
      <c r="CI154" s="215"/>
      <c r="CJ154" s="210"/>
      <c r="CK154" s="210"/>
      <c r="CL154" s="210"/>
      <c r="CM154" s="210"/>
      <c r="CN154" s="210"/>
      <c r="CO154" s="215"/>
      <c r="CP154" s="215"/>
      <c r="CQ154" s="215"/>
      <c r="CR154" s="215"/>
      <c r="CS154" s="210"/>
      <c r="CT154" s="210"/>
      <c r="CU154" s="210"/>
      <c r="CV154" s="217"/>
      <c r="CW154" s="218"/>
    </row>
    <row r="155" spans="1:101" ht="14.25" thickTop="1" thickBot="1" x14ac:dyDescent="0.25">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c r="BP155" s="218"/>
      <c r="BQ155" s="218"/>
      <c r="BR155" s="218"/>
      <c r="BS155" s="218"/>
      <c r="BT155" s="218"/>
      <c r="BU155" s="218"/>
      <c r="BV155" s="218"/>
      <c r="BW155" s="218"/>
      <c r="BX155" s="218"/>
      <c r="BY155" s="218"/>
      <c r="BZ155" s="218"/>
      <c r="CA155" s="218"/>
      <c r="CB155" s="392"/>
      <c r="CC155" s="392"/>
      <c r="CD155" s="392"/>
      <c r="CE155" s="392"/>
      <c r="CF155" s="218"/>
      <c r="CG155" s="218"/>
      <c r="CH155" s="218"/>
      <c r="CI155" s="218"/>
      <c r="CJ155" s="218"/>
      <c r="CK155" s="218"/>
      <c r="CL155" s="218"/>
      <c r="CM155" s="218"/>
      <c r="CN155" s="218"/>
      <c r="CO155" s="218"/>
      <c r="CP155" s="218"/>
      <c r="CQ155" s="218"/>
      <c r="CR155" s="218"/>
      <c r="CS155" s="218"/>
      <c r="CT155" s="218"/>
      <c r="CU155" s="218"/>
      <c r="CV155" s="218"/>
      <c r="CW155" s="218"/>
    </row>
    <row r="156" spans="1:101" ht="21" thickTop="1" x14ac:dyDescent="0.3">
      <c r="A156" s="219"/>
      <c r="B156" s="219"/>
      <c r="C156" s="157"/>
      <c r="D156" s="158"/>
      <c r="E156" s="731" t="s">
        <v>44</v>
      </c>
      <c r="F156" s="229"/>
      <c r="G156" s="229"/>
      <c r="H156" s="229"/>
      <c r="I156" s="877" t="e" vm="1">
        <v>#VALUE!</v>
      </c>
      <c r="J156" s="877"/>
      <c r="K156" s="877"/>
      <c r="L156" s="877"/>
      <c r="M156" s="159"/>
      <c r="N156" s="159"/>
      <c r="O156" s="159"/>
      <c r="P156" s="160"/>
      <c r="Q156" s="159"/>
      <c r="R156" s="159"/>
      <c r="S156" s="159"/>
      <c r="T156" s="161"/>
      <c r="U156" s="162"/>
      <c r="V156" s="162"/>
      <c r="W156" s="162"/>
      <c r="X156" s="162"/>
      <c r="Y156" s="160"/>
      <c r="Z156" s="159"/>
      <c r="AA156" s="159"/>
      <c r="AB156" s="159"/>
      <c r="AC156" s="161"/>
      <c r="AD156" s="162"/>
      <c r="AE156" s="162"/>
      <c r="AF156" s="162"/>
      <c r="AG156" s="162"/>
      <c r="AH156" s="160"/>
      <c r="AI156" s="159"/>
      <c r="AJ156" s="201"/>
      <c r="AK156" s="201"/>
      <c r="AL156" s="164"/>
      <c r="AM156" s="162"/>
      <c r="AN156" s="162"/>
      <c r="AO156" s="162"/>
      <c r="AP156" s="162"/>
      <c r="AQ156" s="202"/>
      <c r="AR156" s="203"/>
      <c r="AS156" s="165"/>
      <c r="AT156" s="166"/>
      <c r="AU156" s="164"/>
      <c r="AV156" s="162"/>
      <c r="AW156" s="162"/>
      <c r="AX156" s="162"/>
      <c r="AY156" s="162"/>
      <c r="AZ156" s="202"/>
      <c r="BA156" s="203"/>
      <c r="BB156" s="166"/>
      <c r="BC156" s="201"/>
      <c r="BD156" s="204"/>
      <c r="BE156" s="162"/>
      <c r="BF156" s="162"/>
      <c r="BG156" s="162"/>
      <c r="BH156" s="162"/>
      <c r="BI156" s="205"/>
      <c r="BJ156" s="201"/>
      <c r="BK156" s="201"/>
      <c r="BL156" s="201"/>
      <c r="BM156" s="204"/>
      <c r="BN156" s="162"/>
      <c r="BO156" s="162"/>
      <c r="BP156" s="162"/>
      <c r="BQ156" s="162"/>
      <c r="BR156" s="167"/>
      <c r="BS156" s="201"/>
      <c r="BT156" s="201"/>
      <c r="BU156" s="201"/>
      <c r="BV156" s="205"/>
      <c r="BW156" s="162"/>
      <c r="BX156" s="162"/>
      <c r="BY156" s="162"/>
      <c r="BZ156" s="162"/>
      <c r="CA156" s="201"/>
      <c r="CB156" s="393"/>
      <c r="CC156" s="393"/>
      <c r="CD156" s="393"/>
      <c r="CE156" s="393"/>
      <c r="CF156" s="162"/>
      <c r="CG156" s="162"/>
      <c r="CH156" s="162"/>
      <c r="CI156" s="162"/>
      <c r="CJ156" s="163"/>
      <c r="CK156" s="163"/>
      <c r="CL156" s="163"/>
      <c r="CM156" s="163"/>
      <c r="CN156" s="163"/>
      <c r="CO156" s="162"/>
      <c r="CP156" s="162"/>
      <c r="CQ156" s="162"/>
      <c r="CR156" s="162"/>
      <c r="CS156" s="163"/>
      <c r="CT156" s="358"/>
      <c r="CU156" s="201"/>
      <c r="CV156" s="206"/>
      <c r="CW156" s="218"/>
    </row>
    <row r="157" spans="1:101" ht="15.75" customHeight="1" thickBot="1" x14ac:dyDescent="0.25">
      <c r="A157" s="219"/>
      <c r="B157" s="219"/>
      <c r="C157" s="168"/>
      <c r="D157" s="785"/>
      <c r="E157" s="869" t="s">
        <v>45</v>
      </c>
      <c r="F157" s="363"/>
      <c r="G157" s="363"/>
      <c r="H157" s="363"/>
      <c r="I157" s="878"/>
      <c r="J157" s="878"/>
      <c r="K157" s="878"/>
      <c r="L157" s="878"/>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H157" s="363"/>
      <c r="BI157" s="363"/>
      <c r="BJ157" s="363"/>
      <c r="BK157" s="363"/>
      <c r="BL157" s="363"/>
      <c r="BM157" s="363"/>
      <c r="BN157" s="363"/>
      <c r="BO157" s="363"/>
      <c r="BP157" s="363"/>
      <c r="BQ157" s="363"/>
      <c r="BR157" s="363"/>
      <c r="BS157" s="363"/>
      <c r="BT157" s="363"/>
      <c r="BU157" s="363"/>
      <c r="BV157" s="363"/>
      <c r="BW157" s="363"/>
      <c r="BX157" s="363"/>
      <c r="BY157" s="363"/>
      <c r="BZ157" s="363"/>
      <c r="CA157" s="363"/>
      <c r="CB157" s="394"/>
      <c r="CC157" s="394"/>
      <c r="CD157" s="394"/>
      <c r="CE157" s="394"/>
      <c r="CF157" s="363"/>
      <c r="CG157" s="363"/>
      <c r="CH157" s="363"/>
      <c r="CI157" s="363"/>
      <c r="CJ157" s="363"/>
      <c r="CK157" s="363"/>
      <c r="CL157" s="363"/>
      <c r="CM157" s="363"/>
      <c r="CN157" s="323"/>
      <c r="CO157" s="363"/>
      <c r="CP157" s="363"/>
      <c r="CQ157" s="363"/>
      <c r="CR157" s="363"/>
      <c r="CS157" s="323"/>
      <c r="CT157" s="155"/>
      <c r="CU157" s="269"/>
      <c r="CV157" s="209"/>
      <c r="CW157" s="218"/>
    </row>
    <row r="158" spans="1:101" ht="18.75" customHeight="1" thickTop="1" x14ac:dyDescent="0.2">
      <c r="A158" s="219"/>
      <c r="B158" s="219"/>
      <c r="C158" s="174"/>
      <c r="D158" s="778"/>
      <c r="E158" s="777"/>
      <c r="F158" s="235"/>
      <c r="G158" s="234"/>
      <c r="H158" s="234"/>
      <c r="I158" s="875">
        <f>WEEKNUM(E159)</f>
        <v>40</v>
      </c>
      <c r="J158" s="875"/>
      <c r="K158" s="875"/>
      <c r="L158" s="250"/>
      <c r="M158" s="261"/>
      <c r="N158" s="205"/>
      <c r="O158" s="236"/>
      <c r="P158" s="236"/>
      <c r="Q158" s="675">
        <f>IF($F162="","",SUM(Q174:S174)-S160)</f>
        <v>814</v>
      </c>
      <c r="R158" s="675"/>
      <c r="S158" s="675"/>
      <c r="T158" s="237"/>
      <c r="U158" s="238"/>
      <c r="V158" s="238"/>
      <c r="W158" s="238"/>
      <c r="X158" s="238"/>
      <c r="Y158" s="236"/>
      <c r="Z158" s="675">
        <f>IF($F162="","",SUM(Z174:AB174)-AB160)</f>
        <v>814</v>
      </c>
      <c r="AA158" s="675"/>
      <c r="AB158" s="675"/>
      <c r="AC158" s="237"/>
      <c r="AD158" s="238"/>
      <c r="AE158" s="238"/>
      <c r="AF158" s="238"/>
      <c r="AG158" s="238"/>
      <c r="AH158" s="236"/>
      <c r="AI158" s="675">
        <f>IF($F162="","",SUM(AI174:AK174)-AK160)</f>
        <v>814</v>
      </c>
      <c r="AJ158" s="675"/>
      <c r="AK158" s="675"/>
      <c r="AL158" s="237"/>
      <c r="AM158" s="238"/>
      <c r="AN158" s="238"/>
      <c r="AO158" s="238"/>
      <c r="AP158" s="238"/>
      <c r="AQ158" s="236"/>
      <c r="AR158" s="675">
        <f>IF($F162="","",SUM(AR174:AT174)-AT160)</f>
        <v>814</v>
      </c>
      <c r="AS158" s="675"/>
      <c r="AT158" s="675"/>
      <c r="AU158" s="239"/>
      <c r="AV158" s="238"/>
      <c r="AW158" s="238"/>
      <c r="AX158" s="238"/>
      <c r="AY158" s="238"/>
      <c r="AZ158" s="240"/>
      <c r="BA158" s="675">
        <f>IF($F162="","",SUM(BA174:BC174)-BC160)</f>
        <v>814</v>
      </c>
      <c r="BB158" s="675"/>
      <c r="BC158" s="675"/>
      <c r="BD158" s="239"/>
      <c r="BE158" s="238"/>
      <c r="BF158" s="238"/>
      <c r="BG158" s="238"/>
      <c r="BH158" s="238"/>
      <c r="BI158" s="240"/>
      <c r="BJ158" s="675">
        <f>IF($F162="","",SUM(BJ174:BL174)-BL160)</f>
        <v>814</v>
      </c>
      <c r="BK158" s="675"/>
      <c r="BL158" s="675"/>
      <c r="BM158" s="239"/>
      <c r="BN158" s="238"/>
      <c r="BO158" s="238"/>
      <c r="BP158" s="238"/>
      <c r="BQ158" s="238"/>
      <c r="BR158" s="241"/>
      <c r="BS158" s="675">
        <f>IF($F162="","",SUM(BS174:BU174)-BU160)</f>
        <v>814</v>
      </c>
      <c r="BT158" s="675"/>
      <c r="BU158" s="675"/>
      <c r="BV158" s="240"/>
      <c r="BW158" s="238"/>
      <c r="BX158" s="238"/>
      <c r="BY158" s="238"/>
      <c r="BZ158" s="238"/>
      <c r="CA158" s="241"/>
      <c r="CB158" s="675">
        <f>IF($F162="","",SUM(CB174:CD174)-CD160)</f>
        <v>814</v>
      </c>
      <c r="CC158" s="675"/>
      <c r="CD158" s="675"/>
      <c r="CE158" s="240"/>
      <c r="CF158" s="238"/>
      <c r="CG158" s="238"/>
      <c r="CH158" s="238"/>
      <c r="CI158" s="238"/>
      <c r="CJ158" s="234"/>
      <c r="CK158" s="675">
        <f>IF($F162="","",SUM(CK174:CM174))</f>
        <v>814</v>
      </c>
      <c r="CL158" s="675"/>
      <c r="CM158" s="675"/>
      <c r="CN158" s="240"/>
      <c r="CO158" s="238"/>
      <c r="CP158" s="238"/>
      <c r="CQ158" s="238"/>
      <c r="CR158" s="238"/>
      <c r="CS158" s="234"/>
      <c r="CT158" s="234"/>
      <c r="CU158" s="251"/>
      <c r="CV158" s="209"/>
      <c r="CW158" s="218"/>
    </row>
    <row r="159" spans="1:101" ht="15.75" customHeight="1" x14ac:dyDescent="0.2">
      <c r="A159" s="219"/>
      <c r="B159" s="219"/>
      <c r="C159" s="174"/>
      <c r="D159" s="779"/>
      <c r="E159" s="543">
        <f>E137+7</f>
        <v>46298</v>
      </c>
      <c r="F159" s="178"/>
      <c r="G159" s="179"/>
      <c r="H159" s="179"/>
      <c r="I159" s="876"/>
      <c r="J159" s="876"/>
      <c r="K159" s="876"/>
      <c r="L159" s="254"/>
      <c r="M159" s="329"/>
      <c r="N159" s="208"/>
      <c r="O159" s="180"/>
      <c r="P159" s="180"/>
      <c r="Q159" s="584">
        <f>IF(Q158="","",Q158/Data!$X$1)</f>
        <v>0.67833333333333334</v>
      </c>
      <c r="R159" s="584"/>
      <c r="S159" s="585" t="str">
        <f>IF(SUM(X162:X173)=0,"",SUM(X162:X173))</f>
        <v/>
      </c>
      <c r="T159" s="181"/>
      <c r="U159" s="182"/>
      <c r="V159" s="182"/>
      <c r="W159" s="182"/>
      <c r="X159" s="182"/>
      <c r="Y159" s="180"/>
      <c r="Z159" s="584">
        <f>IF(Z158="","",Z158/Data!$X$1)</f>
        <v>0.67833333333333334</v>
      </c>
      <c r="AA159" s="584"/>
      <c r="AB159" s="585" t="str">
        <f>IF(SUM(AG162:AG173)=0,"",SUM(AG162:AG173))</f>
        <v/>
      </c>
      <c r="AC159" s="181"/>
      <c r="AD159" s="182"/>
      <c r="AE159" s="182"/>
      <c r="AF159" s="182"/>
      <c r="AG159" s="182"/>
      <c r="AH159" s="180"/>
      <c r="AI159" s="584">
        <f>IF(AI158="","",AI158/Data!$X$1)</f>
        <v>0.67833333333333334</v>
      </c>
      <c r="AJ159" s="584"/>
      <c r="AK159" s="585" t="str">
        <f>IF(SUM(AP162:AP173)=0,"",SUM(AP162:AP173))</f>
        <v/>
      </c>
      <c r="AL159" s="181"/>
      <c r="AM159" s="182"/>
      <c r="AN159" s="182"/>
      <c r="AO159" s="182"/>
      <c r="AP159" s="182"/>
      <c r="AQ159" s="180"/>
      <c r="AR159" s="584">
        <f>IF(AR158="","",AR158/Data!$X$1)</f>
        <v>0.67833333333333334</v>
      </c>
      <c r="AS159" s="584"/>
      <c r="AT159" s="585" t="str">
        <f>IF(SUM(AY162:AY173)=0,"",SUM(AY162:AY173))</f>
        <v/>
      </c>
      <c r="AU159" s="183"/>
      <c r="AV159" s="182"/>
      <c r="AW159" s="182"/>
      <c r="AX159" s="182"/>
      <c r="AY159" s="182"/>
      <c r="AZ159" s="184"/>
      <c r="BA159" s="584">
        <f>IF(BA158="","",BA158/Data!$X$1)</f>
        <v>0.67833333333333334</v>
      </c>
      <c r="BB159" s="584"/>
      <c r="BC159" s="585" t="str">
        <f>IF(SUM(BH162:BH173)=0,"",SUM(BH162:BH173))</f>
        <v/>
      </c>
      <c r="BD159" s="183"/>
      <c r="BE159" s="182"/>
      <c r="BF159" s="182"/>
      <c r="BG159" s="182"/>
      <c r="BH159" s="182"/>
      <c r="BI159" s="184"/>
      <c r="BJ159" s="584">
        <f>IF(BJ158="","",BJ158/Data!$X$1)</f>
        <v>0.67833333333333334</v>
      </c>
      <c r="BK159" s="584"/>
      <c r="BL159" s="585" t="str">
        <f>IF(SUM(BQ162:BQ173)=0,"",SUM(BQ162:BQ173))</f>
        <v/>
      </c>
      <c r="BM159" s="183"/>
      <c r="BN159" s="182"/>
      <c r="BO159" s="182"/>
      <c r="BP159" s="182"/>
      <c r="BQ159" s="182"/>
      <c r="BR159" s="185"/>
      <c r="BS159" s="584">
        <f>IF(BS158="","",BS158/Data!$X$1)</f>
        <v>0.67833333333333334</v>
      </c>
      <c r="BT159" s="584"/>
      <c r="BU159" s="585" t="str">
        <f>IF(SUM(BZ162:BZ173)=0,"",SUM(BZ162:BZ173))</f>
        <v/>
      </c>
      <c r="BV159" s="184"/>
      <c r="BW159" s="182"/>
      <c r="BX159" s="182"/>
      <c r="BY159" s="182"/>
      <c r="BZ159" s="182"/>
      <c r="CA159" s="185"/>
      <c r="CB159" s="584">
        <f>IF(CB158="","",CB158/Data!$X$1)</f>
        <v>0.67833333333333334</v>
      </c>
      <c r="CC159" s="584"/>
      <c r="CD159" s="585" t="str">
        <f>IF(SUM(CI162:CI173)=0,"",SUM(CI162:CI173))</f>
        <v/>
      </c>
      <c r="CE159" s="184"/>
      <c r="CF159" s="182"/>
      <c r="CG159" s="182"/>
      <c r="CH159" s="182"/>
      <c r="CI159" s="182"/>
      <c r="CJ159" s="182"/>
      <c r="CK159" s="584">
        <f>IF(CK158="","",CK158/Data!$X$1)</f>
        <v>0.67833333333333334</v>
      </c>
      <c r="CL159" s="584"/>
      <c r="CM159" s="585" t="str">
        <f>IF(SUM(CR162:CR173)=0,"",SUM(CR162:CR173))</f>
        <v/>
      </c>
      <c r="CN159" s="184"/>
      <c r="CO159" s="182"/>
      <c r="CP159" s="182"/>
      <c r="CQ159" s="182"/>
      <c r="CR159" s="182"/>
      <c r="CS159" s="182"/>
      <c r="CT159" s="182"/>
      <c r="CU159" s="255"/>
      <c r="CV159" s="209"/>
      <c r="CW159" s="218"/>
    </row>
    <row r="160" spans="1:101" ht="14.25" customHeight="1" thickBot="1" x14ac:dyDescent="0.25">
      <c r="A160" s="219"/>
      <c r="B160" s="219"/>
      <c r="C160" s="174"/>
      <c r="D160" s="230"/>
      <c r="E160" s="359"/>
      <c r="F160" s="186"/>
      <c r="G160" s="187"/>
      <c r="H160" s="187"/>
      <c r="I160" s="673"/>
      <c r="J160" s="674"/>
      <c r="K160" s="674"/>
      <c r="L160" s="256"/>
      <c r="M160" s="330"/>
      <c r="N160" s="334"/>
      <c r="O160" s="187"/>
      <c r="P160" s="187"/>
      <c r="Q160" s="342" t="str">
        <f>Data!$E$11</f>
        <v>AHH</v>
      </c>
      <c r="R160" s="343">
        <f>IF($F173="","",RANK(Q158,$Q158:$CL158))</f>
        <v>1</v>
      </c>
      <c r="S160" s="466"/>
      <c r="T160" s="181"/>
      <c r="U160" s="182"/>
      <c r="V160" s="182"/>
      <c r="W160" s="182"/>
      <c r="X160" s="197">
        <f>COUNTIF(U162:W173,"&gt;0")</f>
        <v>11</v>
      </c>
      <c r="Y160" s="180"/>
      <c r="Z160" s="342" t="str">
        <f>Data!$E$12</f>
        <v>RB</v>
      </c>
      <c r="AA160" s="343">
        <f>IF($F173="","",RANK(Z158,$Q158:$CL158))</f>
        <v>1</v>
      </c>
      <c r="AB160" s="466"/>
      <c r="AC160" s="181"/>
      <c r="AD160" s="182"/>
      <c r="AE160" s="182"/>
      <c r="AF160" s="182"/>
      <c r="AG160" s="197">
        <f>COUNTIF(AD162:AF173,"&gt;0")</f>
        <v>11</v>
      </c>
      <c r="AH160" s="180"/>
      <c r="AI160" s="342" t="str">
        <f>Data!$E$13</f>
        <v>EB</v>
      </c>
      <c r="AJ160" s="343">
        <f>IF($F173="","",RANK(AI158,$Q158:$CL158))</f>
        <v>1</v>
      </c>
      <c r="AK160" s="466"/>
      <c r="AL160" s="181"/>
      <c r="AM160" s="182"/>
      <c r="AN160" s="182"/>
      <c r="AO160" s="182"/>
      <c r="AP160" s="197">
        <f>COUNTIF(AM162:AO173,"&gt;0")</f>
        <v>11</v>
      </c>
      <c r="AQ160" s="180"/>
      <c r="AR160" s="305" t="str">
        <f>Data!$E$14</f>
        <v>KAF</v>
      </c>
      <c r="AS160" s="343">
        <f>IF($F173="","",RANK(AR158,$Q158:$CL158))</f>
        <v>1</v>
      </c>
      <c r="AT160" s="466"/>
      <c r="AU160" s="181"/>
      <c r="AV160" s="182"/>
      <c r="AW160" s="182"/>
      <c r="AX160" s="182"/>
      <c r="AY160" s="197">
        <f>COUNTIF(AV162:AX173,"&gt;0")</f>
        <v>11</v>
      </c>
      <c r="AZ160" s="180"/>
      <c r="BA160" s="305" t="str">
        <f>Data!$E$15</f>
        <v>ØG</v>
      </c>
      <c r="BB160" s="343">
        <f>IF($F173="","",RANK(BA158,$Q158:$CL158))</f>
        <v>1</v>
      </c>
      <c r="BC160" s="466"/>
      <c r="BD160" s="181"/>
      <c r="BE160" s="182"/>
      <c r="BF160" s="182"/>
      <c r="BG160" s="182"/>
      <c r="BH160" s="197">
        <f>COUNTIF(BE162:BG173,"&gt;0")</f>
        <v>11</v>
      </c>
      <c r="BI160" s="180"/>
      <c r="BJ160" s="305" t="str">
        <f>Data!$E$16</f>
        <v>JH</v>
      </c>
      <c r="BK160" s="343">
        <f>IF($F173="","",RANK(BJ158,$Q158:$CL158))</f>
        <v>1</v>
      </c>
      <c r="BL160" s="466"/>
      <c r="BM160" s="181"/>
      <c r="BN160" s="182"/>
      <c r="BO160" s="182"/>
      <c r="BP160" s="182"/>
      <c r="BQ160" s="197">
        <f>COUNTIF(BN162:BP173,"&gt;0")</f>
        <v>11</v>
      </c>
      <c r="BR160" s="188"/>
      <c r="BS160" s="305" t="str">
        <f>Data!$E$17</f>
        <v>TOH</v>
      </c>
      <c r="BT160" s="343">
        <f>IF($F173="","",RANK(BS158,$Q158:$CL158))</f>
        <v>1</v>
      </c>
      <c r="BU160" s="466"/>
      <c r="BV160" s="180"/>
      <c r="BW160" s="182"/>
      <c r="BX160" s="182"/>
      <c r="BY160" s="182"/>
      <c r="BZ160" s="197">
        <f>COUNTIF(BW162:BY173,"&gt;0")</f>
        <v>11</v>
      </c>
      <c r="CA160" s="188"/>
      <c r="CB160" s="305" t="s">
        <v>26</v>
      </c>
      <c r="CC160" s="343">
        <f>IF($F173="","",RANK(CB158,$Q158:$CM158))</f>
        <v>1</v>
      </c>
      <c r="CD160" s="467"/>
      <c r="CE160" s="180"/>
      <c r="CF160" s="182"/>
      <c r="CG160" s="182"/>
      <c r="CH160" s="182"/>
      <c r="CI160" s="197">
        <f>COUNTIF(CF162:CH173,"&gt;0")</f>
        <v>11</v>
      </c>
      <c r="CJ160" s="182"/>
      <c r="CK160" s="305" t="s">
        <v>27</v>
      </c>
      <c r="CL160" s="343">
        <f>IF($F173="","",RANK(CK158,$Q158:$CM158))</f>
        <v>1</v>
      </c>
      <c r="CM160" s="669"/>
      <c r="CN160" s="180"/>
      <c r="CO160" s="182"/>
      <c r="CP160" s="182"/>
      <c r="CQ160" s="182"/>
      <c r="CR160" s="197">
        <f>COUNTIF(CO162:CQ173,"&gt;0")</f>
        <v>11</v>
      </c>
      <c r="CS160" s="182"/>
      <c r="CT160" s="182"/>
      <c r="CU160" s="255"/>
      <c r="CV160" s="209"/>
      <c r="CW160" s="218"/>
    </row>
    <row r="161" spans="1:101" ht="13.5" customHeight="1" thickBot="1" x14ac:dyDescent="0.25">
      <c r="A161" s="227"/>
      <c r="B161" s="227"/>
      <c r="C161" s="168"/>
      <c r="D161" s="231"/>
      <c r="E161" s="189"/>
      <c r="F161" s="190"/>
      <c r="G161" s="191"/>
      <c r="H161" s="191"/>
      <c r="I161" s="192" t="s">
        <v>47</v>
      </c>
      <c r="J161" s="193" t="s">
        <v>48</v>
      </c>
      <c r="K161" s="194" t="s">
        <v>49</v>
      </c>
      <c r="L161" s="257"/>
      <c r="M161" s="331"/>
      <c r="N161" s="335"/>
      <c r="O161" s="195"/>
      <c r="P161" s="195"/>
      <c r="Q161" s="192" t="s">
        <v>47</v>
      </c>
      <c r="R161" s="193" t="s">
        <v>48</v>
      </c>
      <c r="S161" s="194" t="s">
        <v>49</v>
      </c>
      <c r="T161" s="196"/>
      <c r="U161" s="197"/>
      <c r="V161" s="197"/>
      <c r="W161" s="197"/>
      <c r="X161" s="197"/>
      <c r="Y161" s="195"/>
      <c r="Z161" s="192" t="s">
        <v>47</v>
      </c>
      <c r="AA161" s="193" t="s">
        <v>48</v>
      </c>
      <c r="AB161" s="194" t="s">
        <v>49</v>
      </c>
      <c r="AC161" s="196"/>
      <c r="AD161" s="197"/>
      <c r="AE161" s="197"/>
      <c r="AF161" s="197"/>
      <c r="AG161" s="197"/>
      <c r="AH161" s="195"/>
      <c r="AI161" s="192" t="s">
        <v>47</v>
      </c>
      <c r="AJ161" s="193" t="s">
        <v>48</v>
      </c>
      <c r="AK161" s="194" t="s">
        <v>49</v>
      </c>
      <c r="AL161" s="196"/>
      <c r="AM161" s="197"/>
      <c r="AN161" s="197"/>
      <c r="AO161" s="197"/>
      <c r="AP161" s="197"/>
      <c r="AQ161" s="195"/>
      <c r="AR161" s="192" t="s">
        <v>47</v>
      </c>
      <c r="AS161" s="193" t="s">
        <v>48</v>
      </c>
      <c r="AT161" s="194" t="s">
        <v>49</v>
      </c>
      <c r="AU161" s="196"/>
      <c r="AV161" s="197"/>
      <c r="AW161" s="197"/>
      <c r="AX161" s="197"/>
      <c r="AY161" s="197"/>
      <c r="AZ161" s="195"/>
      <c r="BA161" s="192" t="s">
        <v>47</v>
      </c>
      <c r="BB161" s="193" t="s">
        <v>48</v>
      </c>
      <c r="BC161" s="194" t="s">
        <v>49</v>
      </c>
      <c r="BD161" s="196"/>
      <c r="BE161" s="197"/>
      <c r="BF161" s="197"/>
      <c r="BG161" s="197"/>
      <c r="BH161" s="197"/>
      <c r="BI161" s="195"/>
      <c r="BJ161" s="192" t="s">
        <v>47</v>
      </c>
      <c r="BK161" s="193" t="s">
        <v>48</v>
      </c>
      <c r="BL161" s="194" t="s">
        <v>49</v>
      </c>
      <c r="BM161" s="196"/>
      <c r="BN161" s="197"/>
      <c r="BO161" s="197"/>
      <c r="BP161" s="197"/>
      <c r="BQ161" s="197"/>
      <c r="BR161" s="195"/>
      <c r="BS161" s="192" t="s">
        <v>47</v>
      </c>
      <c r="BT161" s="193" t="s">
        <v>48</v>
      </c>
      <c r="BU161" s="194" t="s">
        <v>49</v>
      </c>
      <c r="BV161" s="196"/>
      <c r="BW161" s="197"/>
      <c r="BX161" s="197"/>
      <c r="BY161" s="197"/>
      <c r="BZ161" s="197"/>
      <c r="CA161" s="195"/>
      <c r="CB161" s="192" t="s">
        <v>47</v>
      </c>
      <c r="CC161" s="193" t="s">
        <v>48</v>
      </c>
      <c r="CD161" s="194" t="s">
        <v>49</v>
      </c>
      <c r="CE161" s="196"/>
      <c r="CF161" s="197"/>
      <c r="CG161" s="197"/>
      <c r="CH161" s="197"/>
      <c r="CI161" s="197"/>
      <c r="CJ161" s="197"/>
      <c r="CK161" s="192" t="s">
        <v>47</v>
      </c>
      <c r="CL161" s="193" t="s">
        <v>48</v>
      </c>
      <c r="CM161" s="194" t="s">
        <v>49</v>
      </c>
      <c r="CN161" s="196"/>
      <c r="CO161" s="197"/>
      <c r="CP161" s="197"/>
      <c r="CQ161" s="197"/>
      <c r="CR161" s="197"/>
      <c r="CS161" s="197"/>
      <c r="CT161" s="198"/>
      <c r="CU161" s="255"/>
      <c r="CV161" s="209"/>
      <c r="CW161" s="228"/>
    </row>
    <row r="162" spans="1:101" x14ac:dyDescent="0.2">
      <c r="A162" s="227"/>
      <c r="B162" s="227"/>
      <c r="C162" s="168"/>
      <c r="D162" s="232"/>
      <c r="E162" s="134" t="s">
        <v>137</v>
      </c>
      <c r="F162" s="424">
        <v>1</v>
      </c>
      <c r="G162" s="428" t="s">
        <v>51</v>
      </c>
      <c r="H162" s="429">
        <v>1</v>
      </c>
      <c r="I162" s="138" t="str">
        <f t="shared" ref="I162:I173" si="227">IF($F162&gt;$H162,"x","")</f>
        <v/>
      </c>
      <c r="J162" s="344" t="str">
        <f t="shared" ref="J162:J173" si="228">IF(F162&lt;&gt;"",IF(H162&lt;&gt;"",IF(F162=H162,"x",""),""),"")</f>
        <v>x</v>
      </c>
      <c r="K162" s="345" t="str">
        <f t="shared" ref="K162:K173" si="229">IF($F162&lt;$H162,"x","")</f>
        <v/>
      </c>
      <c r="L162" s="258"/>
      <c r="M162" s="332"/>
      <c r="N162" s="336"/>
      <c r="O162" s="200"/>
      <c r="P162" s="200"/>
      <c r="Q162" s="436">
        <v>10</v>
      </c>
      <c r="R162" s="437">
        <v>40</v>
      </c>
      <c r="S162" s="438">
        <f t="shared" ref="S162:S173" si="230">IF(Q162="","",100-SUM(Q162:R162))</f>
        <v>50</v>
      </c>
      <c r="T162" s="328"/>
      <c r="U162" s="197" t="str">
        <f>IF(AND($I162="x",AND(MAX(Q162:S162)=Q162,Q162&gt;=0)),Data!$BI$2,"")</f>
        <v/>
      </c>
      <c r="V162" s="197" t="str">
        <f>IF(AND($J162="x",AND(MAX(Q162:S162)=R162,R162&gt;=0)),Data!$BJ$2,"")</f>
        <v/>
      </c>
      <c r="W162" s="197" t="str">
        <f>IF(AND($K162="x",AND(MAX(Q162:S162)=S162,S162&gt;=0)),Data!$BK$2,"")</f>
        <v/>
      </c>
      <c r="X162" s="197"/>
      <c r="Y162" s="328"/>
      <c r="Z162" s="451">
        <v>10</v>
      </c>
      <c r="AA162" s="452">
        <v>40</v>
      </c>
      <c r="AB162" s="438">
        <f t="shared" ref="AB162:AB173" si="231">IF(Z162="","",100-SUM(Z162:AA162))</f>
        <v>50</v>
      </c>
      <c r="AC162" s="328"/>
      <c r="AD162" s="197" t="str">
        <f>IF(AND($I162="x",AND(MAX(Z162:AB162)=Z162,Z162&lt;&gt;"")),Data!$BI$2,"")</f>
        <v/>
      </c>
      <c r="AE162" s="197" t="str">
        <f>IF(AND($J162="x",AND(MAX(Z162:AB162)=AA162,AA162&lt;&gt;"")),Data!$BJ$2,"")</f>
        <v/>
      </c>
      <c r="AF162" s="197" t="str">
        <f>IF(AND($K162="x",AND(MAX(Z162:AB162)=AB162,AB162&lt;&gt;"")),Data!$BK$2,"")</f>
        <v/>
      </c>
      <c r="AG162" s="197"/>
      <c r="AH162" s="328"/>
      <c r="AI162" s="451">
        <v>10</v>
      </c>
      <c r="AJ162" s="452">
        <v>40</v>
      </c>
      <c r="AK162" s="438">
        <f t="shared" ref="AK162:AK173" si="232">IF(AI162="","",100-SUM(AI162:AJ162))</f>
        <v>50</v>
      </c>
      <c r="AL162" s="328"/>
      <c r="AM162" s="197" t="str">
        <f>IF(AND($I162="x",AND(MAX(AI162:AK162)=AI162,AI162&lt;&gt;"")),Data!$BI$2,"")</f>
        <v/>
      </c>
      <c r="AN162" s="197" t="str">
        <f>IF(AND($J162="x",AND(MAX(AI162:AK162)=AJ162,AJ162&lt;&gt;"")),Data!$BJ$2,"")</f>
        <v/>
      </c>
      <c r="AO162" s="197" t="str">
        <f>IF(AND($K162="x",AND(MAX(AI162:AK162)=AK162,AK162&lt;&gt;"")),Data!$BK$2,"")</f>
        <v/>
      </c>
      <c r="AP162" s="197"/>
      <c r="AQ162" s="328"/>
      <c r="AR162" s="451">
        <v>10</v>
      </c>
      <c r="AS162" s="452">
        <v>40</v>
      </c>
      <c r="AT162" s="438">
        <f t="shared" ref="AT162:AT173" si="233">IF(AR162="","",100-SUM(AR162:AS162))</f>
        <v>50</v>
      </c>
      <c r="AU162" s="328"/>
      <c r="AV162" s="197" t="str">
        <f>IF(AND($I162="x",AND(MAX(AR162:AT162)=AR162,AR162&lt;&gt;"")),Data!$BI$2,"")</f>
        <v/>
      </c>
      <c r="AW162" s="197" t="str">
        <f>IF(AND($J162="x",AND(MAX(AR162:AT162)=AS162,AS162&lt;&gt;"")),Data!$BJ$2,"")</f>
        <v/>
      </c>
      <c r="AX162" s="197" t="str">
        <f>IF(AND($K162="x",AND(MAX(AR162:AT162)=AT162,AT162&lt;&gt;"")),Data!$BK$2,"")</f>
        <v/>
      </c>
      <c r="AY162" s="197"/>
      <c r="AZ162" s="328"/>
      <c r="BA162" s="451">
        <v>10</v>
      </c>
      <c r="BB162" s="452">
        <v>40</v>
      </c>
      <c r="BC162" s="438">
        <f t="shared" ref="BC162:BC173" si="234">IF(BA162="","",100-SUM(BA162:BB162))</f>
        <v>50</v>
      </c>
      <c r="BD162" s="328"/>
      <c r="BE162" s="197" t="str">
        <f>IF(AND($I162="x",AND(MAX(BA162:BC162)=BA162,BA162&lt;&gt;"")),Data!$BI$2,"")</f>
        <v/>
      </c>
      <c r="BF162" s="197" t="str">
        <f>IF(AND($J162="x",AND(MAX(BA162:BC162)=BB162,BB162&lt;&gt;"")),Data!$BJ$2,"")</f>
        <v/>
      </c>
      <c r="BG162" s="197" t="str">
        <f>IF(AND($K162="x",AND(MAX(BA162:BC162)=BC162,BC162&lt;&gt;"")),Data!$BK$2,"")</f>
        <v/>
      </c>
      <c r="BH162" s="197"/>
      <c r="BI162" s="328"/>
      <c r="BJ162" s="451">
        <v>10</v>
      </c>
      <c r="BK162" s="452">
        <v>40</v>
      </c>
      <c r="BL162" s="438">
        <f t="shared" ref="BL162:BL173" si="235">IF(BJ162="","",100-SUM(BJ162:BK162))</f>
        <v>50</v>
      </c>
      <c r="BM162" s="328"/>
      <c r="BN162" s="197" t="str">
        <f>IF(AND($I162="x",AND(MAX(BJ162:BL162)=BJ162,BJ162&lt;&gt;"")),Data!$BI$2,"")</f>
        <v/>
      </c>
      <c r="BO162" s="197" t="str">
        <f>IF(AND($J162="x",AND(MAX(BJ162:BL162)=BK162,BK162&lt;&gt;"")),Data!$BJ$2,"")</f>
        <v/>
      </c>
      <c r="BP162" s="197" t="str">
        <f>IF(AND($K162="x",AND(MAX(BJ162:BL162)=BL162,BL162&lt;&gt;"")),Data!$BK$2,"")</f>
        <v/>
      </c>
      <c r="BQ162" s="197"/>
      <c r="BR162" s="328"/>
      <c r="BS162" s="451">
        <v>10</v>
      </c>
      <c r="BT162" s="452">
        <v>40</v>
      </c>
      <c r="BU162" s="438">
        <f t="shared" ref="BU162:BU173" si="236">IF(BS162="","",100-SUM(BS162:BT162))</f>
        <v>50</v>
      </c>
      <c r="BV162" s="328"/>
      <c r="BW162" s="197" t="str">
        <f>IF(AND($I162="x",AND(MAX(BS162:BU162)=BS162,BS162&lt;&gt;"")),Data!$BI$2,"")</f>
        <v/>
      </c>
      <c r="BX162" s="197" t="str">
        <f>IF(AND($J162="x",AND(MAX(BS162:BU162)=BT162,BT162&lt;&gt;"")),Data!$BJ$2,"")</f>
        <v/>
      </c>
      <c r="BY162" s="197" t="str">
        <f>IF(AND($K162="x",AND(MAX(BS162:BU162)=BU162,BU162&lt;&gt;"")),Data!$BK$2,"")</f>
        <v/>
      </c>
      <c r="BZ162" s="197"/>
      <c r="CA162" s="328"/>
      <c r="CB162" s="457">
        <f t="shared" ref="CB162:CB173" si="237">IFERROR(ROUNDUP((SUM(Q162,Z162,AI162,AR162,BA162,BJ162,BS162)/SUM($Q162:$S162,$Z162:$AB162,$AI162:$AK162,$AR162:$AT162,$BA162:$BC162,$BJ162:$BL162,$BS162:$BU162))*100,-1),"")</f>
        <v>10</v>
      </c>
      <c r="CC162" s="458">
        <f t="shared" ref="CC162:CC173" si="238">IFERROR(ROUNDDOWN((SUM(R162,AA162,AJ162,AS162,BB162,BK162,BT162)/SUM($Q162:$S162,$Z162:$AB162,$AI162:$AK162,$AR162:$AT162,$BA162:$BC162,$BJ162:$BL162,$BS162:$BU162))*100,-1),"")</f>
        <v>40</v>
      </c>
      <c r="CD162" s="459">
        <f t="shared" ref="CD162:CD173" si="239">IF(CB162="","",100-SUM(CB162:CC162))</f>
        <v>50</v>
      </c>
      <c r="CE162" s="328"/>
      <c r="CF162" s="197" t="str">
        <f>IF(AND($I162="x",AND(MAX(CB162:CD162)=CB162,CB162&lt;&gt;"")),Data!$BI$2,"")</f>
        <v/>
      </c>
      <c r="CG162" s="197" t="str">
        <f>IF(AND($J162="x",AND(MAX(CB162:CD162)=CC162,CC162&lt;&gt;"")),Data!$BJ$2,"")</f>
        <v/>
      </c>
      <c r="CH162" s="197" t="str">
        <f>IF(AND($K162="x",AND(MAX(CB162:CD162)=CD162,CD162&lt;&gt;"")),Data!$BK$2,"")</f>
        <v/>
      </c>
      <c r="CI162" s="197"/>
      <c r="CJ162" s="197"/>
      <c r="CK162" s="451">
        <v>10</v>
      </c>
      <c r="CL162" s="452">
        <v>40</v>
      </c>
      <c r="CM162" s="438">
        <f t="shared" ref="CM162:CM173" si="240">IF(CK162="","",100-SUM(CK162:CL162))</f>
        <v>50</v>
      </c>
      <c r="CN162" s="328"/>
      <c r="CO162" s="197" t="str">
        <f>IF(AND($I162="x",AND(MAX(CK162:CM162)=CK162,CK162&lt;&gt;"")),Data!$BI$2,"")</f>
        <v/>
      </c>
      <c r="CP162" s="197" t="str">
        <f>IF(AND($J162="x",AND(MAX(CK162:CM162)=CL162,CL162&lt;&gt;"")),Data!$BJ$2,"")</f>
        <v/>
      </c>
      <c r="CQ162" s="197" t="str">
        <f>IF(AND($K162="x",AND(MAX(CK162:CM162)=CM162,CM162&lt;&gt;"")),Data!$BK$2,"")</f>
        <v/>
      </c>
      <c r="CR162" s="197"/>
      <c r="CS162" s="197"/>
      <c r="CT162" s="328"/>
      <c r="CU162" s="255"/>
      <c r="CV162" s="209"/>
      <c r="CW162" s="227"/>
    </row>
    <row r="163" spans="1:101" x14ac:dyDescent="0.2">
      <c r="A163" s="227"/>
      <c r="B163" s="227"/>
      <c r="C163" s="168"/>
      <c r="D163" s="232"/>
      <c r="E163" s="135" t="s">
        <v>138</v>
      </c>
      <c r="F163" s="425">
        <v>1</v>
      </c>
      <c r="G163" s="430" t="s">
        <v>51</v>
      </c>
      <c r="H163" s="431">
        <v>1</v>
      </c>
      <c r="I163" s="346" t="str">
        <f t="shared" si="227"/>
        <v/>
      </c>
      <c r="J163" s="347" t="str">
        <f t="shared" si="228"/>
        <v>x</v>
      </c>
      <c r="K163" s="348" t="str">
        <f t="shared" si="229"/>
        <v/>
      </c>
      <c r="L163" s="258"/>
      <c r="M163" s="332"/>
      <c r="N163" s="336"/>
      <c r="O163" s="200"/>
      <c r="P163" s="200"/>
      <c r="Q163" s="439">
        <v>10</v>
      </c>
      <c r="R163" s="440">
        <v>50</v>
      </c>
      <c r="S163" s="441">
        <f t="shared" si="230"/>
        <v>40</v>
      </c>
      <c r="T163" s="328"/>
      <c r="U163" s="197" t="str">
        <f>IF(AND($I163="x",AND(MAX(Q163:S163)=Q163,Q163&gt;=0)),Data!$BI$2,"")</f>
        <v/>
      </c>
      <c r="V163" s="197">
        <f>IF(AND($J163="x",AND(MAX(Q163:S163)=R163,R163&gt;=0)),Data!$BJ$2,"")</f>
        <v>74</v>
      </c>
      <c r="W163" s="197" t="str">
        <f>IF(AND($K163="x",AND(MAX(Q163:S163)=S163,S163&gt;=0)),Data!$BK$2,"")</f>
        <v/>
      </c>
      <c r="X163" s="197"/>
      <c r="Y163" s="328"/>
      <c r="Z163" s="453">
        <v>10</v>
      </c>
      <c r="AA163" s="454">
        <v>50</v>
      </c>
      <c r="AB163" s="441">
        <f t="shared" si="231"/>
        <v>40</v>
      </c>
      <c r="AC163" s="328"/>
      <c r="AD163" s="197" t="str">
        <f>IF(AND($I163="x",AND(MAX(Z163:AB163)=Z163,Z163&lt;&gt;"")),Data!$BI$2,"")</f>
        <v/>
      </c>
      <c r="AE163" s="197">
        <f>IF(AND($J163="x",AND(MAX(Z163:AB163)=AA163,AA163&lt;&gt;"")),Data!$BJ$2,"")</f>
        <v>74</v>
      </c>
      <c r="AF163" s="197" t="str">
        <f>IF(AND($K163="x",AND(MAX(Z163:AB163)=AB163,AB163&lt;&gt;"")),Data!$BK$2,"")</f>
        <v/>
      </c>
      <c r="AG163" s="197"/>
      <c r="AH163" s="328"/>
      <c r="AI163" s="453">
        <v>10</v>
      </c>
      <c r="AJ163" s="454">
        <v>50</v>
      </c>
      <c r="AK163" s="441">
        <f t="shared" si="232"/>
        <v>40</v>
      </c>
      <c r="AL163" s="328"/>
      <c r="AM163" s="197" t="str">
        <f>IF(AND($I163="x",AND(MAX(AI163:AK163)=AI163,AI163&lt;&gt;"")),Data!$BI$2,"")</f>
        <v/>
      </c>
      <c r="AN163" s="197">
        <f>IF(AND($J163="x",AND(MAX(AI163:AK163)=AJ163,AJ163&lt;&gt;"")),Data!$BJ$2,"")</f>
        <v>74</v>
      </c>
      <c r="AO163" s="197" t="str">
        <f>IF(AND($K163="x",AND(MAX(AI163:AK163)=AK163,AK163&lt;&gt;"")),Data!$BK$2,"")</f>
        <v/>
      </c>
      <c r="AP163" s="197"/>
      <c r="AQ163" s="328"/>
      <c r="AR163" s="453">
        <v>10</v>
      </c>
      <c r="AS163" s="454">
        <v>50</v>
      </c>
      <c r="AT163" s="441">
        <f t="shared" si="233"/>
        <v>40</v>
      </c>
      <c r="AU163" s="328"/>
      <c r="AV163" s="197" t="str">
        <f>IF(AND($I163="x",AND(MAX(AR163:AT163)=AR163,AR163&lt;&gt;"")),Data!$BI$2,"")</f>
        <v/>
      </c>
      <c r="AW163" s="197">
        <f>IF(AND($J163="x",AND(MAX(AR163:AT163)=AS163,AS163&lt;&gt;"")),Data!$BJ$2,"")</f>
        <v>74</v>
      </c>
      <c r="AX163" s="197" t="str">
        <f>IF(AND($K163="x",AND(MAX(AR163:AT163)=AT163,AT163&lt;&gt;"")),Data!$BK$2,"")</f>
        <v/>
      </c>
      <c r="AY163" s="197"/>
      <c r="AZ163" s="328"/>
      <c r="BA163" s="453">
        <v>10</v>
      </c>
      <c r="BB163" s="454">
        <v>50</v>
      </c>
      <c r="BC163" s="441">
        <f t="shared" si="234"/>
        <v>40</v>
      </c>
      <c r="BD163" s="328"/>
      <c r="BE163" s="197" t="str">
        <f>IF(AND($I163="x",AND(MAX(BA163:BC163)=BA163,BA163&lt;&gt;"")),Data!$BI$2,"")</f>
        <v/>
      </c>
      <c r="BF163" s="197">
        <f>IF(AND($J163="x",AND(MAX(BA163:BC163)=BB163,BB163&lt;&gt;"")),Data!$BJ$2,"")</f>
        <v>74</v>
      </c>
      <c r="BG163" s="197" t="str">
        <f>IF(AND($K163="x",AND(MAX(BA163:BC163)=BC163,BC163&lt;&gt;"")),Data!$BK$2,"")</f>
        <v/>
      </c>
      <c r="BH163" s="197"/>
      <c r="BI163" s="328"/>
      <c r="BJ163" s="453">
        <v>10</v>
      </c>
      <c r="BK163" s="454">
        <v>50</v>
      </c>
      <c r="BL163" s="441">
        <f t="shared" si="235"/>
        <v>40</v>
      </c>
      <c r="BM163" s="328"/>
      <c r="BN163" s="197" t="str">
        <f>IF(AND($I163="x",AND(MAX(BJ163:BL163)=BJ163,BJ163&lt;&gt;"")),Data!$BI$2,"")</f>
        <v/>
      </c>
      <c r="BO163" s="197">
        <f>IF(AND($J163="x",AND(MAX(BJ163:BL163)=BK163,BK163&lt;&gt;"")),Data!$BJ$2,"")</f>
        <v>74</v>
      </c>
      <c r="BP163" s="197" t="str">
        <f>IF(AND($K163="x",AND(MAX(BJ163:BL163)=BL163,BL163&lt;&gt;"")),Data!$BK$2,"")</f>
        <v/>
      </c>
      <c r="BQ163" s="197"/>
      <c r="BR163" s="328"/>
      <c r="BS163" s="453">
        <v>10</v>
      </c>
      <c r="BT163" s="454">
        <v>50</v>
      </c>
      <c r="BU163" s="441">
        <f t="shared" si="236"/>
        <v>40</v>
      </c>
      <c r="BV163" s="328"/>
      <c r="BW163" s="197" t="str">
        <f>IF(AND($I163="x",AND(MAX(BS163:BU163)=BS163,BS163&lt;&gt;"")),Data!$BI$2,"")</f>
        <v/>
      </c>
      <c r="BX163" s="197">
        <f>IF(AND($J163="x",AND(MAX(BS163:BU163)=BT163,BT163&lt;&gt;"")),Data!$BJ$2,"")</f>
        <v>74</v>
      </c>
      <c r="BY163" s="197" t="str">
        <f>IF(AND($K163="x",AND(MAX(BS163:BU163)=BU163,BU163&lt;&gt;"")),Data!$BK$2,"")</f>
        <v/>
      </c>
      <c r="BZ163" s="197"/>
      <c r="CA163" s="328"/>
      <c r="CB163" s="460">
        <f t="shared" si="237"/>
        <v>10</v>
      </c>
      <c r="CC163" s="461">
        <f t="shared" si="238"/>
        <v>50</v>
      </c>
      <c r="CD163" s="462">
        <f t="shared" si="239"/>
        <v>40</v>
      </c>
      <c r="CE163" s="328"/>
      <c r="CF163" s="197" t="str">
        <f>IF(AND($I163="x",AND(MAX(CB163:CD163)=CB163,CB163&lt;&gt;"")),Data!$BI$2,"")</f>
        <v/>
      </c>
      <c r="CG163" s="197">
        <f>IF(AND($J163="x",AND(MAX(CB163:CD163)=CC163,CC163&lt;&gt;"")),Data!$BJ$2,"")</f>
        <v>74</v>
      </c>
      <c r="CH163" s="197" t="str">
        <f>IF(AND($K163="x",AND(MAX(CB163:CD163)=CD163,CD163&lt;&gt;"")),Data!$BK$2,"")</f>
        <v/>
      </c>
      <c r="CI163" s="197"/>
      <c r="CJ163" s="197"/>
      <c r="CK163" s="453">
        <v>10</v>
      </c>
      <c r="CL163" s="454">
        <v>50</v>
      </c>
      <c r="CM163" s="441">
        <f t="shared" si="240"/>
        <v>40</v>
      </c>
      <c r="CN163" s="328"/>
      <c r="CO163" s="197" t="str">
        <f>IF(AND($I163="x",AND(MAX(CK163:CM163)=CK163,CK163&lt;&gt;"")),Data!$BI$2,"")</f>
        <v/>
      </c>
      <c r="CP163" s="197">
        <f>IF(AND($J163="x",AND(MAX(CK163:CM163)=CL163,CL163&lt;&gt;"")),Data!$BJ$2,"")</f>
        <v>74</v>
      </c>
      <c r="CQ163" s="197" t="str">
        <f>IF(AND($K163="x",AND(MAX(CK163:CM163)=CM163,CM163&lt;&gt;"")),Data!$BK$2,"")</f>
        <v/>
      </c>
      <c r="CR163" s="197"/>
      <c r="CS163" s="197"/>
      <c r="CT163" s="328"/>
      <c r="CU163" s="255"/>
      <c r="CV163" s="209"/>
      <c r="CW163" s="227"/>
    </row>
    <row r="164" spans="1:101" x14ac:dyDescent="0.2">
      <c r="A164" s="227"/>
      <c r="B164" s="227"/>
      <c r="C164" s="168"/>
      <c r="D164" s="232"/>
      <c r="E164" s="136" t="s">
        <v>139</v>
      </c>
      <c r="F164" s="426">
        <v>1</v>
      </c>
      <c r="G164" s="432" t="s">
        <v>51</v>
      </c>
      <c r="H164" s="433">
        <v>1</v>
      </c>
      <c r="I164" s="349" t="str">
        <f t="shared" si="227"/>
        <v/>
      </c>
      <c r="J164" s="350" t="str">
        <f t="shared" si="228"/>
        <v>x</v>
      </c>
      <c r="K164" s="351" t="str">
        <f t="shared" si="229"/>
        <v/>
      </c>
      <c r="L164" s="258"/>
      <c r="M164" s="332"/>
      <c r="N164" s="336"/>
      <c r="O164" s="200"/>
      <c r="P164" s="200"/>
      <c r="Q164" s="442">
        <v>10</v>
      </c>
      <c r="R164" s="443">
        <v>50</v>
      </c>
      <c r="S164" s="444">
        <f t="shared" si="230"/>
        <v>40</v>
      </c>
      <c r="T164" s="328"/>
      <c r="U164" s="197" t="str">
        <f>IF(AND($I164="x",AND(MAX(Q164:S164)=Q164,Q164&gt;=0)),Data!$BI$2,"")</f>
        <v/>
      </c>
      <c r="V164" s="197">
        <f>IF(AND($J164="x",AND(MAX(Q164:S164)=R164,R164&gt;=0)),Data!$BJ$2,"")</f>
        <v>74</v>
      </c>
      <c r="W164" s="197" t="str">
        <f>IF(AND($K164="x",AND(MAX(Q164:S164)=S164,S164&gt;=0)),Data!$BK$2,"")</f>
        <v/>
      </c>
      <c r="X164" s="197"/>
      <c r="Y164" s="328"/>
      <c r="Z164" s="455">
        <v>10</v>
      </c>
      <c r="AA164" s="456">
        <v>50</v>
      </c>
      <c r="AB164" s="444">
        <f t="shared" si="231"/>
        <v>40</v>
      </c>
      <c r="AC164" s="328"/>
      <c r="AD164" s="197" t="str">
        <f>IF(AND($I164="x",AND(MAX(Z164:AB164)=Z164,Z164&lt;&gt;"")),Data!$BI$2,"")</f>
        <v/>
      </c>
      <c r="AE164" s="197">
        <f>IF(AND($J164="x",AND(MAX(Z164:AB164)=AA164,AA164&lt;&gt;"")),Data!$BJ$2,"")</f>
        <v>74</v>
      </c>
      <c r="AF164" s="197" t="str">
        <f>IF(AND($K164="x",AND(MAX(Z164:AB164)=AB164,AB164&lt;&gt;"")),Data!$BK$2,"")</f>
        <v/>
      </c>
      <c r="AG164" s="197"/>
      <c r="AH164" s="328"/>
      <c r="AI164" s="455">
        <v>10</v>
      </c>
      <c r="AJ164" s="456">
        <v>50</v>
      </c>
      <c r="AK164" s="444">
        <f t="shared" si="232"/>
        <v>40</v>
      </c>
      <c r="AL164" s="328"/>
      <c r="AM164" s="197" t="str">
        <f>IF(AND($I164="x",AND(MAX(AI164:AK164)=AI164,AI164&lt;&gt;"")),Data!$BI$2,"")</f>
        <v/>
      </c>
      <c r="AN164" s="197">
        <f>IF(AND($J164="x",AND(MAX(AI164:AK164)=AJ164,AJ164&lt;&gt;"")),Data!$BJ$2,"")</f>
        <v>74</v>
      </c>
      <c r="AO164" s="197" t="str">
        <f>IF(AND($K164="x",AND(MAX(AI164:AK164)=AK164,AK164&lt;&gt;"")),Data!$BK$2,"")</f>
        <v/>
      </c>
      <c r="AP164" s="197"/>
      <c r="AQ164" s="328"/>
      <c r="AR164" s="455">
        <v>10</v>
      </c>
      <c r="AS164" s="456">
        <v>50</v>
      </c>
      <c r="AT164" s="444">
        <f t="shared" si="233"/>
        <v>40</v>
      </c>
      <c r="AU164" s="328"/>
      <c r="AV164" s="197" t="str">
        <f>IF(AND($I164="x",AND(MAX(AR164:AT164)=AR164,AR164&lt;&gt;"")),Data!$BI$2,"")</f>
        <v/>
      </c>
      <c r="AW164" s="197">
        <f>IF(AND($J164="x",AND(MAX(AR164:AT164)=AS164,AS164&lt;&gt;"")),Data!$BJ$2,"")</f>
        <v>74</v>
      </c>
      <c r="AX164" s="197" t="str">
        <f>IF(AND($K164="x",AND(MAX(AR164:AT164)=AT164,AT164&lt;&gt;"")),Data!$BK$2,"")</f>
        <v/>
      </c>
      <c r="AY164" s="197"/>
      <c r="AZ164" s="328"/>
      <c r="BA164" s="455">
        <v>10</v>
      </c>
      <c r="BB164" s="456">
        <v>50</v>
      </c>
      <c r="BC164" s="444">
        <f t="shared" si="234"/>
        <v>40</v>
      </c>
      <c r="BD164" s="328"/>
      <c r="BE164" s="197" t="str">
        <f>IF(AND($I164="x",AND(MAX(BA164:BC164)=BA164,BA164&lt;&gt;"")),Data!$BI$2,"")</f>
        <v/>
      </c>
      <c r="BF164" s="197">
        <f>IF(AND($J164="x",AND(MAX(BA164:BC164)=BB164,BB164&lt;&gt;"")),Data!$BJ$2,"")</f>
        <v>74</v>
      </c>
      <c r="BG164" s="197" t="str">
        <f>IF(AND($K164="x",AND(MAX(BA164:BC164)=BC164,BC164&lt;&gt;"")),Data!$BK$2,"")</f>
        <v/>
      </c>
      <c r="BH164" s="197"/>
      <c r="BI164" s="328"/>
      <c r="BJ164" s="455">
        <v>10</v>
      </c>
      <c r="BK164" s="456">
        <v>50</v>
      </c>
      <c r="BL164" s="444">
        <f t="shared" si="235"/>
        <v>40</v>
      </c>
      <c r="BM164" s="328"/>
      <c r="BN164" s="197" t="str">
        <f>IF(AND($I164="x",AND(MAX(BJ164:BL164)=BJ164,BJ164&lt;&gt;"")),Data!$BI$2,"")</f>
        <v/>
      </c>
      <c r="BO164" s="197">
        <f>IF(AND($J164="x",AND(MAX(BJ164:BL164)=BK164,BK164&lt;&gt;"")),Data!$BJ$2,"")</f>
        <v>74</v>
      </c>
      <c r="BP164" s="197" t="str">
        <f>IF(AND($K164="x",AND(MAX(BJ164:BL164)=BL164,BL164&lt;&gt;"")),Data!$BK$2,"")</f>
        <v/>
      </c>
      <c r="BQ164" s="197"/>
      <c r="BR164" s="328"/>
      <c r="BS164" s="455">
        <v>10</v>
      </c>
      <c r="BT164" s="456">
        <v>50</v>
      </c>
      <c r="BU164" s="444">
        <f t="shared" si="236"/>
        <v>40</v>
      </c>
      <c r="BV164" s="328"/>
      <c r="BW164" s="197" t="str">
        <f>IF(AND($I164="x",AND(MAX(BS164:BU164)=BS164,BS164&lt;&gt;"")),Data!$BI$2,"")</f>
        <v/>
      </c>
      <c r="BX164" s="197">
        <f>IF(AND($J164="x",AND(MAX(BS164:BU164)=BT164,BT164&lt;&gt;"")),Data!$BJ$2,"")</f>
        <v>74</v>
      </c>
      <c r="BY164" s="197" t="str">
        <f>IF(AND($K164="x",AND(MAX(BS164:BU164)=BU164,BU164&lt;&gt;"")),Data!$BK$2,"")</f>
        <v/>
      </c>
      <c r="BZ164" s="197"/>
      <c r="CA164" s="328"/>
      <c r="CB164" s="463">
        <f t="shared" si="237"/>
        <v>10</v>
      </c>
      <c r="CC164" s="464">
        <f t="shared" si="238"/>
        <v>50</v>
      </c>
      <c r="CD164" s="465">
        <f t="shared" si="239"/>
        <v>40</v>
      </c>
      <c r="CE164" s="328"/>
      <c r="CF164" s="197" t="str">
        <f>IF(AND($I164="x",AND(MAX(CB164:CD164)=CB164,CB164&lt;&gt;"")),Data!$BI$2,"")</f>
        <v/>
      </c>
      <c r="CG164" s="197">
        <f>IF(AND($J164="x",AND(MAX(CB164:CD164)=CC164,CC164&lt;&gt;"")),Data!$BJ$2,"")</f>
        <v>74</v>
      </c>
      <c r="CH164" s="197" t="str">
        <f>IF(AND($K164="x",AND(MAX(CB164:CD164)=CD164,CD164&lt;&gt;"")),Data!$BK$2,"")</f>
        <v/>
      </c>
      <c r="CI164" s="197"/>
      <c r="CJ164" s="197"/>
      <c r="CK164" s="455">
        <v>10</v>
      </c>
      <c r="CL164" s="456">
        <v>50</v>
      </c>
      <c r="CM164" s="444">
        <f t="shared" si="240"/>
        <v>40</v>
      </c>
      <c r="CN164" s="328"/>
      <c r="CO164" s="197" t="str">
        <f>IF(AND($I164="x",AND(MAX(CK164:CM164)=CK164,CK164&lt;&gt;"")),Data!$BI$2,"")</f>
        <v/>
      </c>
      <c r="CP164" s="197">
        <f>IF(AND($J164="x",AND(MAX(CK164:CM164)=CL164,CL164&lt;&gt;"")),Data!$BJ$2,"")</f>
        <v>74</v>
      </c>
      <c r="CQ164" s="197" t="str">
        <f>IF(AND($K164="x",AND(MAX(CK164:CM164)=CM164,CM164&lt;&gt;"")),Data!$BK$2,"")</f>
        <v/>
      </c>
      <c r="CR164" s="197"/>
      <c r="CS164" s="197"/>
      <c r="CT164" s="328"/>
      <c r="CU164" s="255"/>
      <c r="CV164" s="209"/>
      <c r="CW164" s="227"/>
    </row>
    <row r="165" spans="1:101" x14ac:dyDescent="0.2">
      <c r="A165" s="227"/>
      <c r="B165" s="227"/>
      <c r="C165" s="168"/>
      <c r="D165" s="232"/>
      <c r="E165" s="134" t="s">
        <v>140</v>
      </c>
      <c r="F165" s="424">
        <v>1</v>
      </c>
      <c r="G165" s="428" t="s">
        <v>51</v>
      </c>
      <c r="H165" s="429">
        <v>1</v>
      </c>
      <c r="I165" s="138" t="str">
        <f t="shared" si="227"/>
        <v/>
      </c>
      <c r="J165" s="344" t="str">
        <f t="shared" si="228"/>
        <v>x</v>
      </c>
      <c r="K165" s="345" t="str">
        <f t="shared" si="229"/>
        <v/>
      </c>
      <c r="L165" s="258"/>
      <c r="M165" s="332"/>
      <c r="N165" s="336"/>
      <c r="O165" s="200"/>
      <c r="P165" s="200"/>
      <c r="Q165" s="436">
        <v>10</v>
      </c>
      <c r="R165" s="437">
        <v>50</v>
      </c>
      <c r="S165" s="438">
        <f t="shared" si="230"/>
        <v>40</v>
      </c>
      <c r="T165" s="328"/>
      <c r="U165" s="197" t="str">
        <f>IF(AND($I165="x",AND(MAX(Q165:S165)=Q165,Q165&gt;=0)),Data!$BI$2,"")</f>
        <v/>
      </c>
      <c r="V165" s="197">
        <f>IF(AND($J165="x",AND(MAX(Q165:S165)=R165,R165&gt;=0)),Data!$BJ$2,"")</f>
        <v>74</v>
      </c>
      <c r="W165" s="197" t="str">
        <f>IF(AND($K165="x",AND(MAX(Q165:S165)=S165,S165&gt;=0)),Data!$BK$2,"")</f>
        <v/>
      </c>
      <c r="X165" s="197"/>
      <c r="Y165" s="328"/>
      <c r="Z165" s="451">
        <v>10</v>
      </c>
      <c r="AA165" s="452">
        <v>50</v>
      </c>
      <c r="AB165" s="438">
        <f t="shared" si="231"/>
        <v>40</v>
      </c>
      <c r="AC165" s="328"/>
      <c r="AD165" s="197" t="str">
        <f>IF(AND($I165="x",AND(MAX(Z165:AB165)=Z165,Z165&lt;&gt;"")),Data!$BI$2,"")</f>
        <v/>
      </c>
      <c r="AE165" s="197">
        <f>IF(AND($J165="x",AND(MAX(Z165:AB165)=AA165,AA165&lt;&gt;"")),Data!$BJ$2,"")</f>
        <v>74</v>
      </c>
      <c r="AF165" s="197" t="str">
        <f>IF(AND($K165="x",AND(MAX(Z165:AB165)=AB165,AB165&lt;&gt;"")),Data!$BK$2,"")</f>
        <v/>
      </c>
      <c r="AG165" s="197"/>
      <c r="AH165" s="328"/>
      <c r="AI165" s="451">
        <v>10</v>
      </c>
      <c r="AJ165" s="452">
        <v>50</v>
      </c>
      <c r="AK165" s="438">
        <f t="shared" si="232"/>
        <v>40</v>
      </c>
      <c r="AL165" s="328"/>
      <c r="AM165" s="197" t="str">
        <f>IF(AND($I165="x",AND(MAX(AI165:AK165)=AI165,AI165&lt;&gt;"")),Data!$BI$2,"")</f>
        <v/>
      </c>
      <c r="AN165" s="197">
        <f>IF(AND($J165="x",AND(MAX(AI165:AK165)=AJ165,AJ165&lt;&gt;"")),Data!$BJ$2,"")</f>
        <v>74</v>
      </c>
      <c r="AO165" s="197" t="str">
        <f>IF(AND($K165="x",AND(MAX(AI165:AK165)=AK165,AK165&lt;&gt;"")),Data!$BK$2,"")</f>
        <v/>
      </c>
      <c r="AP165" s="197"/>
      <c r="AQ165" s="328"/>
      <c r="AR165" s="451">
        <v>10</v>
      </c>
      <c r="AS165" s="452">
        <v>50</v>
      </c>
      <c r="AT165" s="438">
        <f t="shared" si="233"/>
        <v>40</v>
      </c>
      <c r="AU165" s="328"/>
      <c r="AV165" s="197" t="str">
        <f>IF(AND($I165="x",AND(MAX(AR165:AT165)=AR165,AR165&lt;&gt;"")),Data!$BI$2,"")</f>
        <v/>
      </c>
      <c r="AW165" s="197">
        <f>IF(AND($J165="x",AND(MAX(AR165:AT165)=AS165,AS165&lt;&gt;"")),Data!$BJ$2,"")</f>
        <v>74</v>
      </c>
      <c r="AX165" s="197" t="str">
        <f>IF(AND($K165="x",AND(MAX(AR165:AT165)=AT165,AT165&lt;&gt;"")),Data!$BK$2,"")</f>
        <v/>
      </c>
      <c r="AY165" s="197"/>
      <c r="AZ165" s="328"/>
      <c r="BA165" s="451">
        <v>10</v>
      </c>
      <c r="BB165" s="452">
        <v>50</v>
      </c>
      <c r="BC165" s="438">
        <f t="shared" si="234"/>
        <v>40</v>
      </c>
      <c r="BD165" s="328"/>
      <c r="BE165" s="197" t="str">
        <f>IF(AND($I165="x",AND(MAX(BA165:BC165)=BA165,BA165&lt;&gt;"")),Data!$BI$2,"")</f>
        <v/>
      </c>
      <c r="BF165" s="197">
        <f>IF(AND($J165="x",AND(MAX(BA165:BC165)=BB165,BB165&lt;&gt;"")),Data!$BJ$2,"")</f>
        <v>74</v>
      </c>
      <c r="BG165" s="197" t="str">
        <f>IF(AND($K165="x",AND(MAX(BA165:BC165)=BC165,BC165&lt;&gt;"")),Data!$BK$2,"")</f>
        <v/>
      </c>
      <c r="BH165" s="197"/>
      <c r="BI165" s="328"/>
      <c r="BJ165" s="451">
        <v>10</v>
      </c>
      <c r="BK165" s="452">
        <v>50</v>
      </c>
      <c r="BL165" s="438">
        <f t="shared" si="235"/>
        <v>40</v>
      </c>
      <c r="BM165" s="328"/>
      <c r="BN165" s="197" t="str">
        <f>IF(AND($I165="x",AND(MAX(BJ165:BL165)=BJ165,BJ165&lt;&gt;"")),Data!$BI$2,"")</f>
        <v/>
      </c>
      <c r="BO165" s="197">
        <f>IF(AND($J165="x",AND(MAX(BJ165:BL165)=BK165,BK165&lt;&gt;"")),Data!$BJ$2,"")</f>
        <v>74</v>
      </c>
      <c r="BP165" s="197" t="str">
        <f>IF(AND($K165="x",AND(MAX(BJ165:BL165)=BL165,BL165&lt;&gt;"")),Data!$BK$2,"")</f>
        <v/>
      </c>
      <c r="BQ165" s="197"/>
      <c r="BR165" s="328"/>
      <c r="BS165" s="451">
        <v>10</v>
      </c>
      <c r="BT165" s="452">
        <v>50</v>
      </c>
      <c r="BU165" s="438">
        <f t="shared" si="236"/>
        <v>40</v>
      </c>
      <c r="BV165" s="328"/>
      <c r="BW165" s="197" t="str">
        <f>IF(AND($I165="x",AND(MAX(BS165:BU165)=BS165,BS165&lt;&gt;"")),Data!$BI$2,"")</f>
        <v/>
      </c>
      <c r="BX165" s="197">
        <f>IF(AND($J165="x",AND(MAX(BS165:BU165)=BT165,BT165&lt;&gt;"")),Data!$BJ$2,"")</f>
        <v>74</v>
      </c>
      <c r="BY165" s="197" t="str">
        <f>IF(AND($K165="x",AND(MAX(BS165:BU165)=BU165,BU165&lt;&gt;"")),Data!$BK$2,"")</f>
        <v/>
      </c>
      <c r="BZ165" s="197"/>
      <c r="CA165" s="328"/>
      <c r="CB165" s="457">
        <f t="shared" si="237"/>
        <v>10</v>
      </c>
      <c r="CC165" s="458">
        <f t="shared" si="238"/>
        <v>50</v>
      </c>
      <c r="CD165" s="459">
        <f t="shared" si="239"/>
        <v>40</v>
      </c>
      <c r="CE165" s="328"/>
      <c r="CF165" s="197" t="str">
        <f>IF(AND($I165="x",AND(MAX(CB165:CD165)=CB165,CB165&lt;&gt;"")),Data!$BI$2,"")</f>
        <v/>
      </c>
      <c r="CG165" s="197">
        <f>IF(AND($J165="x",AND(MAX(CB165:CD165)=CC165,CC165&lt;&gt;"")),Data!$BJ$2,"")</f>
        <v>74</v>
      </c>
      <c r="CH165" s="197" t="str">
        <f>IF(AND($K165="x",AND(MAX(CB165:CD165)=CD165,CD165&lt;&gt;"")),Data!$BK$2,"")</f>
        <v/>
      </c>
      <c r="CI165" s="197"/>
      <c r="CJ165" s="197"/>
      <c r="CK165" s="451">
        <v>10</v>
      </c>
      <c r="CL165" s="452">
        <v>50</v>
      </c>
      <c r="CM165" s="438">
        <f t="shared" si="240"/>
        <v>40</v>
      </c>
      <c r="CN165" s="328"/>
      <c r="CO165" s="197" t="str">
        <f>IF(AND($I165="x",AND(MAX(CK165:CM165)=CK165,CK165&lt;&gt;"")),Data!$BI$2,"")</f>
        <v/>
      </c>
      <c r="CP165" s="197">
        <f>IF(AND($J165="x",AND(MAX(CK165:CM165)=CL165,CL165&lt;&gt;"")),Data!$BJ$2,"")</f>
        <v>74</v>
      </c>
      <c r="CQ165" s="197" t="str">
        <f>IF(AND($K165="x",AND(MAX(CK165:CM165)=CM165,CM165&lt;&gt;"")),Data!$BK$2,"")</f>
        <v/>
      </c>
      <c r="CR165" s="197"/>
      <c r="CS165" s="197"/>
      <c r="CT165" s="328"/>
      <c r="CU165" s="255"/>
      <c r="CV165" s="209"/>
      <c r="CW165" s="227"/>
    </row>
    <row r="166" spans="1:101" x14ac:dyDescent="0.2">
      <c r="A166" s="227"/>
      <c r="B166" s="227"/>
      <c r="C166" s="168"/>
      <c r="D166" s="232"/>
      <c r="E166" s="135" t="s">
        <v>141</v>
      </c>
      <c r="F166" s="425">
        <v>1</v>
      </c>
      <c r="G166" s="430" t="s">
        <v>51</v>
      </c>
      <c r="H166" s="431">
        <v>1</v>
      </c>
      <c r="I166" s="346" t="str">
        <f t="shared" si="227"/>
        <v/>
      </c>
      <c r="J166" s="347" t="str">
        <f t="shared" si="228"/>
        <v>x</v>
      </c>
      <c r="K166" s="348" t="str">
        <f t="shared" si="229"/>
        <v/>
      </c>
      <c r="L166" s="258"/>
      <c r="M166" s="332"/>
      <c r="N166" s="336"/>
      <c r="O166" s="200"/>
      <c r="P166" s="200"/>
      <c r="Q166" s="439">
        <v>10</v>
      </c>
      <c r="R166" s="440">
        <v>50</v>
      </c>
      <c r="S166" s="441">
        <f t="shared" si="230"/>
        <v>40</v>
      </c>
      <c r="T166" s="328"/>
      <c r="U166" s="197" t="str">
        <f>IF(AND($I166="x",AND(MAX(Q166:S166)=Q166,Q166&gt;=0)),Data!$BI$2,"")</f>
        <v/>
      </c>
      <c r="V166" s="197">
        <f>IF(AND($J166="x",AND(MAX(Q166:S166)=R166,R166&gt;=0)),Data!$BJ$2,"")</f>
        <v>74</v>
      </c>
      <c r="W166" s="197" t="str">
        <f>IF(AND($K166="x",AND(MAX(Q166:S166)=S166,S166&gt;=0)),Data!$BK$2,"")</f>
        <v/>
      </c>
      <c r="X166" s="197"/>
      <c r="Y166" s="328"/>
      <c r="Z166" s="453">
        <v>10</v>
      </c>
      <c r="AA166" s="454">
        <v>50</v>
      </c>
      <c r="AB166" s="441">
        <f t="shared" si="231"/>
        <v>40</v>
      </c>
      <c r="AC166" s="328"/>
      <c r="AD166" s="197" t="str">
        <f>IF(AND($I166="x",AND(MAX(Z166:AB166)=Z166,Z166&lt;&gt;"")),Data!$BI$2,"")</f>
        <v/>
      </c>
      <c r="AE166" s="197">
        <f>IF(AND($J166="x",AND(MAX(Z166:AB166)=AA166,AA166&lt;&gt;"")),Data!$BJ$2,"")</f>
        <v>74</v>
      </c>
      <c r="AF166" s="197" t="str">
        <f>IF(AND($K166="x",AND(MAX(Z166:AB166)=AB166,AB166&lt;&gt;"")),Data!$BK$2,"")</f>
        <v/>
      </c>
      <c r="AG166" s="197"/>
      <c r="AH166" s="328"/>
      <c r="AI166" s="453">
        <v>10</v>
      </c>
      <c r="AJ166" s="454">
        <v>50</v>
      </c>
      <c r="AK166" s="441">
        <f t="shared" si="232"/>
        <v>40</v>
      </c>
      <c r="AL166" s="328"/>
      <c r="AM166" s="197" t="str">
        <f>IF(AND($I166="x",AND(MAX(AI166:AK166)=AI166,AI166&lt;&gt;"")),Data!$BI$2,"")</f>
        <v/>
      </c>
      <c r="AN166" s="197">
        <f>IF(AND($J166="x",AND(MAX(AI166:AK166)=AJ166,AJ166&lt;&gt;"")),Data!$BJ$2,"")</f>
        <v>74</v>
      </c>
      <c r="AO166" s="197" t="str">
        <f>IF(AND($K166="x",AND(MAX(AI166:AK166)=AK166,AK166&lt;&gt;"")),Data!$BK$2,"")</f>
        <v/>
      </c>
      <c r="AP166" s="197"/>
      <c r="AQ166" s="328"/>
      <c r="AR166" s="453">
        <v>10</v>
      </c>
      <c r="AS166" s="454">
        <v>50</v>
      </c>
      <c r="AT166" s="441">
        <f t="shared" si="233"/>
        <v>40</v>
      </c>
      <c r="AU166" s="328"/>
      <c r="AV166" s="197" t="str">
        <f>IF(AND($I166="x",AND(MAX(AR166:AT166)=AR166,AR166&lt;&gt;"")),Data!$BI$2,"")</f>
        <v/>
      </c>
      <c r="AW166" s="197">
        <f>IF(AND($J166="x",AND(MAX(AR166:AT166)=AS166,AS166&lt;&gt;"")),Data!$BJ$2,"")</f>
        <v>74</v>
      </c>
      <c r="AX166" s="197" t="str">
        <f>IF(AND($K166="x",AND(MAX(AR166:AT166)=AT166,AT166&lt;&gt;"")),Data!$BK$2,"")</f>
        <v/>
      </c>
      <c r="AY166" s="197"/>
      <c r="AZ166" s="328"/>
      <c r="BA166" s="453">
        <v>10</v>
      </c>
      <c r="BB166" s="454">
        <v>50</v>
      </c>
      <c r="BC166" s="441">
        <f t="shared" si="234"/>
        <v>40</v>
      </c>
      <c r="BD166" s="328"/>
      <c r="BE166" s="197" t="str">
        <f>IF(AND($I166="x",AND(MAX(BA166:BC166)=BA166,BA166&lt;&gt;"")),Data!$BI$2,"")</f>
        <v/>
      </c>
      <c r="BF166" s="197">
        <f>IF(AND($J166="x",AND(MAX(BA166:BC166)=BB166,BB166&lt;&gt;"")),Data!$BJ$2,"")</f>
        <v>74</v>
      </c>
      <c r="BG166" s="197" t="str">
        <f>IF(AND($K166="x",AND(MAX(BA166:BC166)=BC166,BC166&lt;&gt;"")),Data!$BK$2,"")</f>
        <v/>
      </c>
      <c r="BH166" s="197"/>
      <c r="BI166" s="328"/>
      <c r="BJ166" s="453">
        <v>10</v>
      </c>
      <c r="BK166" s="454">
        <v>50</v>
      </c>
      <c r="BL166" s="441">
        <f t="shared" si="235"/>
        <v>40</v>
      </c>
      <c r="BM166" s="328"/>
      <c r="BN166" s="197" t="str">
        <f>IF(AND($I166="x",AND(MAX(BJ166:BL166)=BJ166,BJ166&lt;&gt;"")),Data!$BI$2,"")</f>
        <v/>
      </c>
      <c r="BO166" s="197">
        <f>IF(AND($J166="x",AND(MAX(BJ166:BL166)=BK166,BK166&lt;&gt;"")),Data!$BJ$2,"")</f>
        <v>74</v>
      </c>
      <c r="BP166" s="197" t="str">
        <f>IF(AND($K166="x",AND(MAX(BJ166:BL166)=BL166,BL166&lt;&gt;"")),Data!$BK$2,"")</f>
        <v/>
      </c>
      <c r="BQ166" s="197"/>
      <c r="BR166" s="328"/>
      <c r="BS166" s="453">
        <v>10</v>
      </c>
      <c r="BT166" s="454">
        <v>50</v>
      </c>
      <c r="BU166" s="441">
        <f t="shared" si="236"/>
        <v>40</v>
      </c>
      <c r="BV166" s="328"/>
      <c r="BW166" s="197" t="str">
        <f>IF(AND($I166="x",AND(MAX(BS166:BU166)=BS166,BS166&lt;&gt;"")),Data!$BI$2,"")</f>
        <v/>
      </c>
      <c r="BX166" s="197">
        <f>IF(AND($J166="x",AND(MAX(BS166:BU166)=BT166,BT166&lt;&gt;"")),Data!$BJ$2,"")</f>
        <v>74</v>
      </c>
      <c r="BY166" s="197" t="str">
        <f>IF(AND($K166="x",AND(MAX(BS166:BU166)=BU166,BU166&lt;&gt;"")),Data!$BK$2,"")</f>
        <v/>
      </c>
      <c r="BZ166" s="197"/>
      <c r="CA166" s="328"/>
      <c r="CB166" s="460">
        <f t="shared" si="237"/>
        <v>10</v>
      </c>
      <c r="CC166" s="461">
        <f t="shared" si="238"/>
        <v>50</v>
      </c>
      <c r="CD166" s="462">
        <f t="shared" si="239"/>
        <v>40</v>
      </c>
      <c r="CE166" s="328"/>
      <c r="CF166" s="197" t="str">
        <f>IF(AND($I166="x",AND(MAX(CB166:CD166)=CB166,CB166&lt;&gt;"")),Data!$BI$2,"")</f>
        <v/>
      </c>
      <c r="CG166" s="197">
        <f>IF(AND($J166="x",AND(MAX(CB166:CD166)=CC166,CC166&lt;&gt;"")),Data!$BJ$2,"")</f>
        <v>74</v>
      </c>
      <c r="CH166" s="197" t="str">
        <f>IF(AND($K166="x",AND(MAX(CB166:CD166)=CD166,CD166&lt;&gt;"")),Data!$BK$2,"")</f>
        <v/>
      </c>
      <c r="CI166" s="197"/>
      <c r="CJ166" s="197"/>
      <c r="CK166" s="453">
        <v>10</v>
      </c>
      <c r="CL166" s="454">
        <v>50</v>
      </c>
      <c r="CM166" s="441">
        <f t="shared" si="240"/>
        <v>40</v>
      </c>
      <c r="CN166" s="328"/>
      <c r="CO166" s="197" t="str">
        <f>IF(AND($I166="x",AND(MAX(CK166:CM166)=CK166,CK166&lt;&gt;"")),Data!$BI$2,"")</f>
        <v/>
      </c>
      <c r="CP166" s="197">
        <f>IF(AND($J166="x",AND(MAX(CK166:CM166)=CL166,CL166&lt;&gt;"")),Data!$BJ$2,"")</f>
        <v>74</v>
      </c>
      <c r="CQ166" s="197" t="str">
        <f>IF(AND($K166="x",AND(MAX(CK166:CM166)=CM166,CM166&lt;&gt;"")),Data!$BK$2,"")</f>
        <v/>
      </c>
      <c r="CR166" s="197"/>
      <c r="CS166" s="197"/>
      <c r="CT166" s="328"/>
      <c r="CU166" s="255"/>
      <c r="CV166" s="209"/>
      <c r="CW166" s="227"/>
    </row>
    <row r="167" spans="1:101" x14ac:dyDescent="0.2">
      <c r="A167" s="227"/>
      <c r="B167" s="227"/>
      <c r="C167" s="168"/>
      <c r="D167" s="232"/>
      <c r="E167" s="136" t="s">
        <v>142</v>
      </c>
      <c r="F167" s="426">
        <v>1</v>
      </c>
      <c r="G167" s="432" t="s">
        <v>51</v>
      </c>
      <c r="H167" s="433">
        <v>1</v>
      </c>
      <c r="I167" s="349" t="str">
        <f t="shared" si="227"/>
        <v/>
      </c>
      <c r="J167" s="350" t="str">
        <f t="shared" si="228"/>
        <v>x</v>
      </c>
      <c r="K167" s="351" t="str">
        <f t="shared" si="229"/>
        <v/>
      </c>
      <c r="L167" s="258"/>
      <c r="M167" s="332"/>
      <c r="N167" s="336"/>
      <c r="O167" s="200"/>
      <c r="P167" s="200"/>
      <c r="Q167" s="445">
        <v>10</v>
      </c>
      <c r="R167" s="446">
        <v>50</v>
      </c>
      <c r="S167" s="447">
        <f t="shared" si="230"/>
        <v>40</v>
      </c>
      <c r="T167" s="328"/>
      <c r="U167" s="197" t="str">
        <f>IF(AND($I167="x",AND(MAX(Q167:S167)=Q167,Q167&gt;=0)),Data!$BI$2,"")</f>
        <v/>
      </c>
      <c r="V167" s="197">
        <f>IF(AND($J167="x",AND(MAX(Q167:S167)=R167,R167&gt;=0)),Data!$BJ$2,"")</f>
        <v>74</v>
      </c>
      <c r="W167" s="197" t="str">
        <f>IF(AND($K167="x",AND(MAX(Q167:S167)=S167,S167&gt;=0)),Data!$BK$2,"")</f>
        <v/>
      </c>
      <c r="X167" s="197"/>
      <c r="Y167" s="328"/>
      <c r="Z167" s="455">
        <v>10</v>
      </c>
      <c r="AA167" s="456">
        <v>50</v>
      </c>
      <c r="AB167" s="447">
        <f t="shared" si="231"/>
        <v>40</v>
      </c>
      <c r="AC167" s="328"/>
      <c r="AD167" s="197" t="str">
        <f>IF(AND($I167="x",AND(MAX(Z167:AB167)=Z167,Z167&lt;&gt;"")),Data!$BI$2,"")</f>
        <v/>
      </c>
      <c r="AE167" s="197">
        <f>IF(AND($J167="x",AND(MAX(Z167:AB167)=AA167,AA167&lt;&gt;"")),Data!$BJ$2,"")</f>
        <v>74</v>
      </c>
      <c r="AF167" s="197" t="str">
        <f>IF(AND($K167="x",AND(MAX(Z167:AB167)=AB167,AB167&lt;&gt;"")),Data!$BK$2,"")</f>
        <v/>
      </c>
      <c r="AG167" s="197"/>
      <c r="AH167" s="328"/>
      <c r="AI167" s="455">
        <v>10</v>
      </c>
      <c r="AJ167" s="456">
        <v>50</v>
      </c>
      <c r="AK167" s="447">
        <f t="shared" si="232"/>
        <v>40</v>
      </c>
      <c r="AL167" s="328"/>
      <c r="AM167" s="197" t="str">
        <f>IF(AND($I167="x",AND(MAX(AI167:AK167)=AI167,AI167&lt;&gt;"")),Data!$BI$2,"")</f>
        <v/>
      </c>
      <c r="AN167" s="197">
        <f>IF(AND($J167="x",AND(MAX(AI167:AK167)=AJ167,AJ167&lt;&gt;"")),Data!$BJ$2,"")</f>
        <v>74</v>
      </c>
      <c r="AO167" s="197" t="str">
        <f>IF(AND($K167="x",AND(MAX(AI167:AK167)=AK167,AK167&lt;&gt;"")),Data!$BK$2,"")</f>
        <v/>
      </c>
      <c r="AP167" s="197"/>
      <c r="AQ167" s="328"/>
      <c r="AR167" s="455">
        <v>10</v>
      </c>
      <c r="AS167" s="456">
        <v>50</v>
      </c>
      <c r="AT167" s="447">
        <f t="shared" si="233"/>
        <v>40</v>
      </c>
      <c r="AU167" s="328"/>
      <c r="AV167" s="197" t="str">
        <f>IF(AND($I167="x",AND(MAX(AR167:AT167)=AR167,AR167&lt;&gt;"")),Data!$BI$2,"")</f>
        <v/>
      </c>
      <c r="AW167" s="197">
        <f>IF(AND($J167="x",AND(MAX(AR167:AT167)=AS167,AS167&lt;&gt;"")),Data!$BJ$2,"")</f>
        <v>74</v>
      </c>
      <c r="AX167" s="197" t="str">
        <f>IF(AND($K167="x",AND(MAX(AR167:AT167)=AT167,AT167&lt;&gt;"")),Data!$BK$2,"")</f>
        <v/>
      </c>
      <c r="AY167" s="197"/>
      <c r="AZ167" s="328"/>
      <c r="BA167" s="455">
        <v>10</v>
      </c>
      <c r="BB167" s="456">
        <v>50</v>
      </c>
      <c r="BC167" s="447">
        <f t="shared" si="234"/>
        <v>40</v>
      </c>
      <c r="BD167" s="328"/>
      <c r="BE167" s="197" t="str">
        <f>IF(AND($I167="x",AND(MAX(BA167:BC167)=BA167,BA167&lt;&gt;"")),Data!$BI$2,"")</f>
        <v/>
      </c>
      <c r="BF167" s="197">
        <f>IF(AND($J167="x",AND(MAX(BA167:BC167)=BB167,BB167&lt;&gt;"")),Data!$BJ$2,"")</f>
        <v>74</v>
      </c>
      <c r="BG167" s="197" t="str">
        <f>IF(AND($K167="x",AND(MAX(BA167:BC167)=BC167,BC167&lt;&gt;"")),Data!$BK$2,"")</f>
        <v/>
      </c>
      <c r="BH167" s="197"/>
      <c r="BI167" s="328"/>
      <c r="BJ167" s="455">
        <v>10</v>
      </c>
      <c r="BK167" s="456">
        <v>50</v>
      </c>
      <c r="BL167" s="447">
        <f t="shared" si="235"/>
        <v>40</v>
      </c>
      <c r="BM167" s="328"/>
      <c r="BN167" s="197" t="str">
        <f>IF(AND($I167="x",AND(MAX(BJ167:BL167)=BJ167,BJ167&lt;&gt;"")),Data!$BI$2,"")</f>
        <v/>
      </c>
      <c r="BO167" s="197">
        <f>IF(AND($J167="x",AND(MAX(BJ167:BL167)=BK167,BK167&lt;&gt;"")),Data!$BJ$2,"")</f>
        <v>74</v>
      </c>
      <c r="BP167" s="197" t="str">
        <f>IF(AND($K167="x",AND(MAX(BJ167:BL167)=BL167,BL167&lt;&gt;"")),Data!$BK$2,"")</f>
        <v/>
      </c>
      <c r="BQ167" s="197"/>
      <c r="BR167" s="328"/>
      <c r="BS167" s="455">
        <v>10</v>
      </c>
      <c r="BT167" s="456">
        <v>50</v>
      </c>
      <c r="BU167" s="447">
        <f t="shared" si="236"/>
        <v>40</v>
      </c>
      <c r="BV167" s="328"/>
      <c r="BW167" s="197" t="str">
        <f>IF(AND($I167="x",AND(MAX(BS167:BU167)=BS167,BS167&lt;&gt;"")),Data!$BI$2,"")</f>
        <v/>
      </c>
      <c r="BX167" s="197">
        <f>IF(AND($J167="x",AND(MAX(BS167:BU167)=BT167,BT167&lt;&gt;"")),Data!$BJ$2,"")</f>
        <v>74</v>
      </c>
      <c r="BY167" s="197" t="str">
        <f>IF(AND($K167="x",AND(MAX(BS167:BU167)=BU167,BU167&lt;&gt;"")),Data!$BK$2,"")</f>
        <v/>
      </c>
      <c r="BZ167" s="197"/>
      <c r="CA167" s="328"/>
      <c r="CB167" s="463">
        <f t="shared" si="237"/>
        <v>10</v>
      </c>
      <c r="CC167" s="464">
        <f t="shared" si="238"/>
        <v>50</v>
      </c>
      <c r="CD167" s="465">
        <f t="shared" si="239"/>
        <v>40</v>
      </c>
      <c r="CE167" s="328"/>
      <c r="CF167" s="197" t="str">
        <f>IF(AND($I167="x",AND(MAX(CB167:CD167)=CB167,CB167&lt;&gt;"")),Data!$BI$2,"")</f>
        <v/>
      </c>
      <c r="CG167" s="197">
        <f>IF(AND($J167="x",AND(MAX(CB167:CD167)=CC167,CC167&lt;&gt;"")),Data!$BJ$2,"")</f>
        <v>74</v>
      </c>
      <c r="CH167" s="197" t="str">
        <f>IF(AND($K167="x",AND(MAX(CB167:CD167)=CD167,CD167&lt;&gt;"")),Data!$BK$2,"")</f>
        <v/>
      </c>
      <c r="CI167" s="197"/>
      <c r="CJ167" s="197"/>
      <c r="CK167" s="455">
        <v>10</v>
      </c>
      <c r="CL167" s="456">
        <v>50</v>
      </c>
      <c r="CM167" s="447">
        <f t="shared" si="240"/>
        <v>40</v>
      </c>
      <c r="CN167" s="328"/>
      <c r="CO167" s="197" t="str">
        <f>IF(AND($I167="x",AND(MAX(CK167:CM167)=CK167,CK167&lt;&gt;"")),Data!$BI$2,"")</f>
        <v/>
      </c>
      <c r="CP167" s="197">
        <f>IF(AND($J167="x",AND(MAX(CK167:CM167)=CL167,CL167&lt;&gt;"")),Data!$BJ$2,"")</f>
        <v>74</v>
      </c>
      <c r="CQ167" s="197" t="str">
        <f>IF(AND($K167="x",AND(MAX(CK167:CM167)=CM167,CM167&lt;&gt;"")),Data!$BK$2,"")</f>
        <v/>
      </c>
      <c r="CR167" s="197"/>
      <c r="CS167" s="197"/>
      <c r="CT167" s="328"/>
      <c r="CU167" s="255"/>
      <c r="CV167" s="209"/>
      <c r="CW167" s="227"/>
    </row>
    <row r="168" spans="1:101" x14ac:dyDescent="0.2">
      <c r="A168" s="227"/>
      <c r="B168" s="227"/>
      <c r="C168" s="168"/>
      <c r="D168" s="232"/>
      <c r="E168" s="134" t="s">
        <v>143</v>
      </c>
      <c r="F168" s="424">
        <v>1</v>
      </c>
      <c r="G168" s="428" t="s">
        <v>51</v>
      </c>
      <c r="H168" s="429">
        <v>1</v>
      </c>
      <c r="I168" s="138" t="str">
        <f t="shared" si="227"/>
        <v/>
      </c>
      <c r="J168" s="344" t="str">
        <f t="shared" si="228"/>
        <v>x</v>
      </c>
      <c r="K168" s="345" t="str">
        <f t="shared" si="229"/>
        <v/>
      </c>
      <c r="L168" s="258"/>
      <c r="M168" s="332"/>
      <c r="N168" s="336"/>
      <c r="O168" s="200"/>
      <c r="P168" s="200"/>
      <c r="Q168" s="436">
        <v>10</v>
      </c>
      <c r="R168" s="437">
        <v>50</v>
      </c>
      <c r="S168" s="438">
        <f t="shared" si="230"/>
        <v>40</v>
      </c>
      <c r="T168" s="328"/>
      <c r="U168" s="197" t="str">
        <f>IF(AND($I168="x",AND(MAX(Q168:S168)=Q168,Q168&gt;=0)),Data!$BI$2,"")</f>
        <v/>
      </c>
      <c r="V168" s="197">
        <f>IF(AND($J168="x",AND(MAX(Q168:S168)=R168,R168&gt;=0)),Data!$BJ$2,"")</f>
        <v>74</v>
      </c>
      <c r="W168" s="197" t="str">
        <f>IF(AND($K168="x",AND(MAX(Q168:S168)=S168,S168&gt;=0)),Data!$BK$2,"")</f>
        <v/>
      </c>
      <c r="X168" s="197"/>
      <c r="Y168" s="328"/>
      <c r="Z168" s="451">
        <v>10</v>
      </c>
      <c r="AA168" s="452">
        <v>50</v>
      </c>
      <c r="AB168" s="438">
        <f t="shared" si="231"/>
        <v>40</v>
      </c>
      <c r="AC168" s="328"/>
      <c r="AD168" s="197" t="str">
        <f>IF(AND($I168="x",AND(MAX(Z168:AB168)=Z168,Z168&lt;&gt;"")),Data!$BI$2,"")</f>
        <v/>
      </c>
      <c r="AE168" s="197">
        <f>IF(AND($J168="x",AND(MAX(Z168:AB168)=AA168,AA168&lt;&gt;"")),Data!$BJ$2,"")</f>
        <v>74</v>
      </c>
      <c r="AF168" s="197" t="str">
        <f>IF(AND($K168="x",AND(MAX(Z168:AB168)=AB168,AB168&lt;&gt;"")),Data!$BK$2,"")</f>
        <v/>
      </c>
      <c r="AG168" s="197"/>
      <c r="AH168" s="328"/>
      <c r="AI168" s="451">
        <v>10</v>
      </c>
      <c r="AJ168" s="452">
        <v>50</v>
      </c>
      <c r="AK168" s="438">
        <f t="shared" si="232"/>
        <v>40</v>
      </c>
      <c r="AL168" s="328"/>
      <c r="AM168" s="197" t="str">
        <f>IF(AND($I168="x",AND(MAX(AI168:AK168)=AI168,AI168&lt;&gt;"")),Data!$BI$2,"")</f>
        <v/>
      </c>
      <c r="AN168" s="197">
        <f>IF(AND($J168="x",AND(MAX(AI168:AK168)=AJ168,AJ168&lt;&gt;"")),Data!$BJ$2,"")</f>
        <v>74</v>
      </c>
      <c r="AO168" s="197" t="str">
        <f>IF(AND($K168="x",AND(MAX(AI168:AK168)=AK168,AK168&lt;&gt;"")),Data!$BK$2,"")</f>
        <v/>
      </c>
      <c r="AP168" s="197"/>
      <c r="AQ168" s="328"/>
      <c r="AR168" s="451">
        <v>10</v>
      </c>
      <c r="AS168" s="452">
        <v>50</v>
      </c>
      <c r="AT168" s="438">
        <f t="shared" si="233"/>
        <v>40</v>
      </c>
      <c r="AU168" s="328"/>
      <c r="AV168" s="197" t="str">
        <f>IF(AND($I168="x",AND(MAX(AR168:AT168)=AR168,AR168&lt;&gt;"")),Data!$BI$2,"")</f>
        <v/>
      </c>
      <c r="AW168" s="197">
        <f>IF(AND($J168="x",AND(MAX(AR168:AT168)=AS168,AS168&lt;&gt;"")),Data!$BJ$2,"")</f>
        <v>74</v>
      </c>
      <c r="AX168" s="197" t="str">
        <f>IF(AND($K168="x",AND(MAX(AR168:AT168)=AT168,AT168&lt;&gt;"")),Data!$BK$2,"")</f>
        <v/>
      </c>
      <c r="AY168" s="197"/>
      <c r="AZ168" s="328"/>
      <c r="BA168" s="451">
        <v>10</v>
      </c>
      <c r="BB168" s="452">
        <v>50</v>
      </c>
      <c r="BC168" s="438">
        <f t="shared" si="234"/>
        <v>40</v>
      </c>
      <c r="BD168" s="328"/>
      <c r="BE168" s="197" t="str">
        <f>IF(AND($I168="x",AND(MAX(BA168:BC168)=BA168,BA168&lt;&gt;"")),Data!$BI$2,"")</f>
        <v/>
      </c>
      <c r="BF168" s="197">
        <f>IF(AND($J168="x",AND(MAX(BA168:BC168)=BB168,BB168&lt;&gt;"")),Data!$BJ$2,"")</f>
        <v>74</v>
      </c>
      <c r="BG168" s="197" t="str">
        <f>IF(AND($K168="x",AND(MAX(BA168:BC168)=BC168,BC168&lt;&gt;"")),Data!$BK$2,"")</f>
        <v/>
      </c>
      <c r="BH168" s="197"/>
      <c r="BI168" s="328"/>
      <c r="BJ168" s="451">
        <v>10</v>
      </c>
      <c r="BK168" s="452">
        <v>50</v>
      </c>
      <c r="BL168" s="438">
        <f t="shared" si="235"/>
        <v>40</v>
      </c>
      <c r="BM168" s="328"/>
      <c r="BN168" s="197" t="str">
        <f>IF(AND($I168="x",AND(MAX(BJ168:BL168)=BJ168,BJ168&lt;&gt;"")),Data!$BI$2,"")</f>
        <v/>
      </c>
      <c r="BO168" s="197">
        <f>IF(AND($J168="x",AND(MAX(BJ168:BL168)=BK168,BK168&lt;&gt;"")),Data!$BJ$2,"")</f>
        <v>74</v>
      </c>
      <c r="BP168" s="197" t="str">
        <f>IF(AND($K168="x",AND(MAX(BJ168:BL168)=BL168,BL168&lt;&gt;"")),Data!$BK$2,"")</f>
        <v/>
      </c>
      <c r="BQ168" s="197"/>
      <c r="BR168" s="328"/>
      <c r="BS168" s="451">
        <v>10</v>
      </c>
      <c r="BT168" s="452">
        <v>50</v>
      </c>
      <c r="BU168" s="438">
        <f t="shared" si="236"/>
        <v>40</v>
      </c>
      <c r="BV168" s="328"/>
      <c r="BW168" s="197" t="str">
        <f>IF(AND($I168="x",AND(MAX(BS168:BU168)=BS168,BS168&lt;&gt;"")),Data!$BI$2,"")</f>
        <v/>
      </c>
      <c r="BX168" s="197">
        <f>IF(AND($J168="x",AND(MAX(BS168:BU168)=BT168,BT168&lt;&gt;"")),Data!$BJ$2,"")</f>
        <v>74</v>
      </c>
      <c r="BY168" s="197" t="str">
        <f>IF(AND($K168="x",AND(MAX(BS168:BU168)=BU168,BU168&lt;&gt;"")),Data!$BK$2,"")</f>
        <v/>
      </c>
      <c r="BZ168" s="197"/>
      <c r="CA168" s="328"/>
      <c r="CB168" s="457">
        <f t="shared" si="237"/>
        <v>10</v>
      </c>
      <c r="CC168" s="458">
        <f t="shared" si="238"/>
        <v>50</v>
      </c>
      <c r="CD168" s="459">
        <f t="shared" si="239"/>
        <v>40</v>
      </c>
      <c r="CE168" s="328"/>
      <c r="CF168" s="197" t="str">
        <f>IF(AND($I168="x",AND(MAX(CB168:CD168)=CB168,CB168&lt;&gt;"")),Data!$BI$2,"")</f>
        <v/>
      </c>
      <c r="CG168" s="197">
        <f>IF(AND($J168="x",AND(MAX(CB168:CD168)=CC168,CC168&lt;&gt;"")),Data!$BJ$2,"")</f>
        <v>74</v>
      </c>
      <c r="CH168" s="197" t="str">
        <f>IF(AND($K168="x",AND(MAX(CB168:CD168)=CD168,CD168&lt;&gt;"")),Data!$BK$2,"")</f>
        <v/>
      </c>
      <c r="CI168" s="197"/>
      <c r="CJ168" s="197"/>
      <c r="CK168" s="451">
        <v>10</v>
      </c>
      <c r="CL168" s="452">
        <v>50</v>
      </c>
      <c r="CM168" s="438">
        <f t="shared" si="240"/>
        <v>40</v>
      </c>
      <c r="CN168" s="328"/>
      <c r="CO168" s="197" t="str">
        <f>IF(AND($I168="x",AND(MAX(CK168:CM168)=CK168,CK168&lt;&gt;"")),Data!$BI$2,"")</f>
        <v/>
      </c>
      <c r="CP168" s="197">
        <f>IF(AND($J168="x",AND(MAX(CK168:CM168)=CL168,CL168&lt;&gt;"")),Data!$BJ$2,"")</f>
        <v>74</v>
      </c>
      <c r="CQ168" s="197" t="str">
        <f>IF(AND($K168="x",AND(MAX(CK168:CM168)=CM168,CM168&lt;&gt;"")),Data!$BK$2,"")</f>
        <v/>
      </c>
      <c r="CR168" s="197"/>
      <c r="CS168" s="197"/>
      <c r="CT168" s="328"/>
      <c r="CU168" s="259"/>
      <c r="CV168" s="209"/>
      <c r="CW168" s="227"/>
    </row>
    <row r="169" spans="1:101" x14ac:dyDescent="0.2">
      <c r="A169" s="227"/>
      <c r="B169" s="227"/>
      <c r="C169" s="168"/>
      <c r="D169" s="232"/>
      <c r="E169" s="135" t="s">
        <v>144</v>
      </c>
      <c r="F169" s="425">
        <v>1</v>
      </c>
      <c r="G169" s="430" t="s">
        <v>51</v>
      </c>
      <c r="H169" s="431">
        <v>1</v>
      </c>
      <c r="I169" s="346" t="str">
        <f t="shared" si="227"/>
        <v/>
      </c>
      <c r="J169" s="347" t="str">
        <f t="shared" si="228"/>
        <v>x</v>
      </c>
      <c r="K169" s="348" t="str">
        <f t="shared" si="229"/>
        <v/>
      </c>
      <c r="L169" s="258"/>
      <c r="M169" s="332"/>
      <c r="N169" s="336"/>
      <c r="O169" s="200"/>
      <c r="P169" s="200"/>
      <c r="Q169" s="439">
        <v>10</v>
      </c>
      <c r="R169" s="440">
        <v>50</v>
      </c>
      <c r="S169" s="441">
        <f t="shared" si="230"/>
        <v>40</v>
      </c>
      <c r="T169" s="328"/>
      <c r="U169" s="197" t="str">
        <f>IF(AND($I169="x",AND(MAX(Q169:S169)=Q169,Q169&gt;=0)),Data!$BI$2,"")</f>
        <v/>
      </c>
      <c r="V169" s="197">
        <f>IF(AND($J169="x",AND(MAX(Q169:S169)=R169,R169&gt;=0)),Data!$BJ$2,"")</f>
        <v>74</v>
      </c>
      <c r="W169" s="197" t="str">
        <f>IF(AND($K169="x",AND(MAX(Q169:S169)=S169,S169&gt;=0)),Data!$BK$2,"")</f>
        <v/>
      </c>
      <c r="X169" s="197"/>
      <c r="Y169" s="328"/>
      <c r="Z169" s="453">
        <v>10</v>
      </c>
      <c r="AA169" s="454">
        <v>50</v>
      </c>
      <c r="AB169" s="441">
        <f t="shared" si="231"/>
        <v>40</v>
      </c>
      <c r="AC169" s="328"/>
      <c r="AD169" s="197" t="str">
        <f>IF(AND($I169="x",AND(MAX(Z169:AB169)=Z169,Z169&lt;&gt;"")),Data!$BI$2,"")</f>
        <v/>
      </c>
      <c r="AE169" s="197">
        <f>IF(AND($J169="x",AND(MAX(Z169:AB169)=AA169,AA169&lt;&gt;"")),Data!$BJ$2,"")</f>
        <v>74</v>
      </c>
      <c r="AF169" s="197" t="str">
        <f>IF(AND($K169="x",AND(MAX(Z169:AB169)=AB169,AB169&lt;&gt;"")),Data!$BK$2,"")</f>
        <v/>
      </c>
      <c r="AG169" s="197"/>
      <c r="AH169" s="328"/>
      <c r="AI169" s="453">
        <v>10</v>
      </c>
      <c r="AJ169" s="454">
        <v>50</v>
      </c>
      <c r="AK169" s="441">
        <f t="shared" si="232"/>
        <v>40</v>
      </c>
      <c r="AL169" s="328"/>
      <c r="AM169" s="197" t="str">
        <f>IF(AND($I169="x",AND(MAX(AI169:AK169)=AI169,AI169&lt;&gt;"")),Data!$BI$2,"")</f>
        <v/>
      </c>
      <c r="AN169" s="197">
        <f>IF(AND($J169="x",AND(MAX(AI169:AK169)=AJ169,AJ169&lt;&gt;"")),Data!$BJ$2,"")</f>
        <v>74</v>
      </c>
      <c r="AO169" s="197" t="str">
        <f>IF(AND($K169="x",AND(MAX(AI169:AK169)=AK169,AK169&lt;&gt;"")),Data!$BK$2,"")</f>
        <v/>
      </c>
      <c r="AP169" s="197"/>
      <c r="AQ169" s="328"/>
      <c r="AR169" s="453">
        <v>10</v>
      </c>
      <c r="AS169" s="454">
        <v>50</v>
      </c>
      <c r="AT169" s="441">
        <f t="shared" si="233"/>
        <v>40</v>
      </c>
      <c r="AU169" s="328"/>
      <c r="AV169" s="197" t="str">
        <f>IF(AND($I169="x",AND(MAX(AR169:AT169)=AR169,AR169&lt;&gt;"")),Data!$BI$2,"")</f>
        <v/>
      </c>
      <c r="AW169" s="197">
        <f>IF(AND($J169="x",AND(MAX(AR169:AT169)=AS169,AS169&lt;&gt;"")),Data!$BJ$2,"")</f>
        <v>74</v>
      </c>
      <c r="AX169" s="197" t="str">
        <f>IF(AND($K169="x",AND(MAX(AR169:AT169)=AT169,AT169&lt;&gt;"")),Data!$BK$2,"")</f>
        <v/>
      </c>
      <c r="AY169" s="197"/>
      <c r="AZ169" s="328"/>
      <c r="BA169" s="453">
        <v>10</v>
      </c>
      <c r="BB169" s="454">
        <v>50</v>
      </c>
      <c r="BC169" s="441">
        <f t="shared" si="234"/>
        <v>40</v>
      </c>
      <c r="BD169" s="328"/>
      <c r="BE169" s="197" t="str">
        <f>IF(AND($I169="x",AND(MAX(BA169:BC169)=BA169,BA169&lt;&gt;"")),Data!$BI$2,"")</f>
        <v/>
      </c>
      <c r="BF169" s="197">
        <f>IF(AND($J169="x",AND(MAX(BA169:BC169)=BB169,BB169&lt;&gt;"")),Data!$BJ$2,"")</f>
        <v>74</v>
      </c>
      <c r="BG169" s="197" t="str">
        <f>IF(AND($K169="x",AND(MAX(BA169:BC169)=BC169,BC169&lt;&gt;"")),Data!$BK$2,"")</f>
        <v/>
      </c>
      <c r="BH169" s="197"/>
      <c r="BI169" s="328"/>
      <c r="BJ169" s="453">
        <v>10</v>
      </c>
      <c r="BK169" s="454">
        <v>50</v>
      </c>
      <c r="BL169" s="441">
        <f t="shared" si="235"/>
        <v>40</v>
      </c>
      <c r="BM169" s="328"/>
      <c r="BN169" s="197" t="str">
        <f>IF(AND($I169="x",AND(MAX(BJ169:BL169)=BJ169,BJ169&lt;&gt;"")),Data!$BI$2,"")</f>
        <v/>
      </c>
      <c r="BO169" s="197">
        <f>IF(AND($J169="x",AND(MAX(BJ169:BL169)=BK169,BK169&lt;&gt;"")),Data!$BJ$2,"")</f>
        <v>74</v>
      </c>
      <c r="BP169" s="197" t="str">
        <f>IF(AND($K169="x",AND(MAX(BJ169:BL169)=BL169,BL169&lt;&gt;"")),Data!$BK$2,"")</f>
        <v/>
      </c>
      <c r="BQ169" s="197"/>
      <c r="BR169" s="328"/>
      <c r="BS169" s="453">
        <v>10</v>
      </c>
      <c r="BT169" s="454">
        <v>50</v>
      </c>
      <c r="BU169" s="441">
        <f t="shared" si="236"/>
        <v>40</v>
      </c>
      <c r="BV169" s="328"/>
      <c r="BW169" s="197" t="str">
        <f>IF(AND($I169="x",AND(MAX(BS169:BU169)=BS169,BS169&lt;&gt;"")),Data!$BI$2,"")</f>
        <v/>
      </c>
      <c r="BX169" s="197">
        <f>IF(AND($J169="x",AND(MAX(BS169:BU169)=BT169,BT169&lt;&gt;"")),Data!$BJ$2,"")</f>
        <v>74</v>
      </c>
      <c r="BY169" s="197" t="str">
        <f>IF(AND($K169="x",AND(MAX(BS169:BU169)=BU169,BU169&lt;&gt;"")),Data!$BK$2,"")</f>
        <v/>
      </c>
      <c r="BZ169" s="197"/>
      <c r="CA169" s="328"/>
      <c r="CB169" s="460">
        <f t="shared" si="237"/>
        <v>10</v>
      </c>
      <c r="CC169" s="461">
        <f t="shared" si="238"/>
        <v>50</v>
      </c>
      <c r="CD169" s="462">
        <f t="shared" si="239"/>
        <v>40</v>
      </c>
      <c r="CE169" s="328"/>
      <c r="CF169" s="197" t="str">
        <f>IF(AND($I169="x",AND(MAX(CB169:CD169)=CB169,CB169&lt;&gt;"")),Data!$BI$2,"")</f>
        <v/>
      </c>
      <c r="CG169" s="197">
        <f>IF(AND($J169="x",AND(MAX(CB169:CD169)=CC169,CC169&lt;&gt;"")),Data!$BJ$2,"")</f>
        <v>74</v>
      </c>
      <c r="CH169" s="197" t="str">
        <f>IF(AND($K169="x",AND(MAX(CB169:CD169)=CD169,CD169&lt;&gt;"")),Data!$BK$2,"")</f>
        <v/>
      </c>
      <c r="CI169" s="197"/>
      <c r="CJ169" s="197"/>
      <c r="CK169" s="453">
        <v>10</v>
      </c>
      <c r="CL169" s="454">
        <v>50</v>
      </c>
      <c r="CM169" s="441">
        <f t="shared" si="240"/>
        <v>40</v>
      </c>
      <c r="CN169" s="328"/>
      <c r="CO169" s="197" t="str">
        <f>IF(AND($I169="x",AND(MAX(CK169:CM169)=CK169,CK169&lt;&gt;"")),Data!$BI$2,"")</f>
        <v/>
      </c>
      <c r="CP169" s="197">
        <f>IF(AND($J169="x",AND(MAX(CK169:CM169)=CL169,CL169&lt;&gt;"")),Data!$BJ$2,"")</f>
        <v>74</v>
      </c>
      <c r="CQ169" s="197" t="str">
        <f>IF(AND($K169="x",AND(MAX(CK169:CM169)=CM169,CM169&lt;&gt;"")),Data!$BK$2,"")</f>
        <v/>
      </c>
      <c r="CR169" s="197"/>
      <c r="CS169" s="197"/>
      <c r="CT169" s="328"/>
      <c r="CU169" s="259"/>
      <c r="CV169" s="209"/>
      <c r="CW169" s="227"/>
    </row>
    <row r="170" spans="1:101" x14ac:dyDescent="0.2">
      <c r="A170" s="227"/>
      <c r="B170" s="227"/>
      <c r="C170" s="168"/>
      <c r="D170" s="232"/>
      <c r="E170" s="136" t="s">
        <v>145</v>
      </c>
      <c r="F170" s="426">
        <v>1</v>
      </c>
      <c r="G170" s="432" t="s">
        <v>51</v>
      </c>
      <c r="H170" s="433">
        <v>1</v>
      </c>
      <c r="I170" s="349" t="str">
        <f t="shared" si="227"/>
        <v/>
      </c>
      <c r="J170" s="350" t="str">
        <f t="shared" si="228"/>
        <v>x</v>
      </c>
      <c r="K170" s="351" t="str">
        <f t="shared" si="229"/>
        <v/>
      </c>
      <c r="L170" s="258"/>
      <c r="M170" s="332"/>
      <c r="N170" s="336"/>
      <c r="O170" s="200"/>
      <c r="P170" s="200"/>
      <c r="Q170" s="445">
        <v>10</v>
      </c>
      <c r="R170" s="446">
        <v>50</v>
      </c>
      <c r="S170" s="447">
        <f t="shared" si="230"/>
        <v>40</v>
      </c>
      <c r="T170" s="328"/>
      <c r="U170" s="197" t="str">
        <f>IF(AND($I170="x",AND(MAX(Q170:S170)=Q170,Q170&gt;=0)),Data!$BI$2,"")</f>
        <v/>
      </c>
      <c r="V170" s="197">
        <f>IF(AND($J170="x",AND(MAX(Q170:S170)=R170,R170&gt;=0)),Data!$BJ$2,"")</f>
        <v>74</v>
      </c>
      <c r="W170" s="197" t="str">
        <f>IF(AND($K170="x",AND(MAX(Q170:S170)=S170,S170&gt;=0)),Data!$BK$2,"")</f>
        <v/>
      </c>
      <c r="X170" s="197"/>
      <c r="Y170" s="328"/>
      <c r="Z170" s="455">
        <v>10</v>
      </c>
      <c r="AA170" s="456">
        <v>50</v>
      </c>
      <c r="AB170" s="447">
        <f t="shared" si="231"/>
        <v>40</v>
      </c>
      <c r="AC170" s="328"/>
      <c r="AD170" s="197" t="str">
        <f>IF(AND($I170="x",AND(MAX(Z170:AB170)=Z170,Z170&lt;&gt;"")),Data!$BI$2,"")</f>
        <v/>
      </c>
      <c r="AE170" s="197">
        <f>IF(AND($J170="x",AND(MAX(Z170:AB170)=AA170,AA170&lt;&gt;"")),Data!$BJ$2,"")</f>
        <v>74</v>
      </c>
      <c r="AF170" s="197" t="str">
        <f>IF(AND($K170="x",AND(MAX(Z170:AB170)=AB170,AB170&lt;&gt;"")),Data!$BK$2,"")</f>
        <v/>
      </c>
      <c r="AG170" s="197"/>
      <c r="AH170" s="328"/>
      <c r="AI170" s="455">
        <v>10</v>
      </c>
      <c r="AJ170" s="456">
        <v>50</v>
      </c>
      <c r="AK170" s="447">
        <f t="shared" si="232"/>
        <v>40</v>
      </c>
      <c r="AL170" s="328"/>
      <c r="AM170" s="197" t="str">
        <f>IF(AND($I170="x",AND(MAX(AI170:AK170)=AI170,AI170&lt;&gt;"")),Data!$BI$2,"")</f>
        <v/>
      </c>
      <c r="AN170" s="197">
        <f>IF(AND($J170="x",AND(MAX(AI170:AK170)=AJ170,AJ170&lt;&gt;"")),Data!$BJ$2,"")</f>
        <v>74</v>
      </c>
      <c r="AO170" s="197" t="str">
        <f>IF(AND($K170="x",AND(MAX(AI170:AK170)=AK170,AK170&lt;&gt;"")),Data!$BK$2,"")</f>
        <v/>
      </c>
      <c r="AP170" s="197"/>
      <c r="AQ170" s="328"/>
      <c r="AR170" s="455">
        <v>10</v>
      </c>
      <c r="AS170" s="456">
        <v>50</v>
      </c>
      <c r="AT170" s="447">
        <f t="shared" si="233"/>
        <v>40</v>
      </c>
      <c r="AU170" s="328"/>
      <c r="AV170" s="197" t="str">
        <f>IF(AND($I170="x",AND(MAX(AR170:AT170)=AR170,AR170&lt;&gt;"")),Data!$BI$2,"")</f>
        <v/>
      </c>
      <c r="AW170" s="197">
        <f>IF(AND($J170="x",AND(MAX(AR170:AT170)=AS170,AS170&lt;&gt;"")),Data!$BJ$2,"")</f>
        <v>74</v>
      </c>
      <c r="AX170" s="197" t="str">
        <f>IF(AND($K170="x",AND(MAX(AR170:AT170)=AT170,AT170&lt;&gt;"")),Data!$BK$2,"")</f>
        <v/>
      </c>
      <c r="AY170" s="197"/>
      <c r="AZ170" s="328"/>
      <c r="BA170" s="455">
        <v>10</v>
      </c>
      <c r="BB170" s="456">
        <v>50</v>
      </c>
      <c r="BC170" s="447">
        <f t="shared" si="234"/>
        <v>40</v>
      </c>
      <c r="BD170" s="328"/>
      <c r="BE170" s="197" t="str">
        <f>IF(AND($I170="x",AND(MAX(BA170:BC170)=BA170,BA170&lt;&gt;"")),Data!$BI$2,"")</f>
        <v/>
      </c>
      <c r="BF170" s="197">
        <f>IF(AND($J170="x",AND(MAX(BA170:BC170)=BB170,BB170&lt;&gt;"")),Data!$BJ$2,"")</f>
        <v>74</v>
      </c>
      <c r="BG170" s="197" t="str">
        <f>IF(AND($K170="x",AND(MAX(BA170:BC170)=BC170,BC170&lt;&gt;"")),Data!$BK$2,"")</f>
        <v/>
      </c>
      <c r="BH170" s="197"/>
      <c r="BI170" s="328"/>
      <c r="BJ170" s="455">
        <v>10</v>
      </c>
      <c r="BK170" s="456">
        <v>50</v>
      </c>
      <c r="BL170" s="447">
        <f t="shared" si="235"/>
        <v>40</v>
      </c>
      <c r="BM170" s="328"/>
      <c r="BN170" s="197" t="str">
        <f>IF(AND($I170="x",AND(MAX(BJ170:BL170)=BJ170,BJ170&lt;&gt;"")),Data!$BI$2,"")</f>
        <v/>
      </c>
      <c r="BO170" s="197">
        <f>IF(AND($J170="x",AND(MAX(BJ170:BL170)=BK170,BK170&lt;&gt;"")),Data!$BJ$2,"")</f>
        <v>74</v>
      </c>
      <c r="BP170" s="197" t="str">
        <f>IF(AND($K170="x",AND(MAX(BJ170:BL170)=BL170,BL170&lt;&gt;"")),Data!$BK$2,"")</f>
        <v/>
      </c>
      <c r="BQ170" s="197"/>
      <c r="BR170" s="328"/>
      <c r="BS170" s="455">
        <v>10</v>
      </c>
      <c r="BT170" s="456">
        <v>50</v>
      </c>
      <c r="BU170" s="447">
        <f t="shared" si="236"/>
        <v>40</v>
      </c>
      <c r="BV170" s="328"/>
      <c r="BW170" s="197" t="str">
        <f>IF(AND($I170="x",AND(MAX(BS170:BU170)=BS170,BS170&lt;&gt;"")),Data!$BI$2,"")</f>
        <v/>
      </c>
      <c r="BX170" s="197">
        <f>IF(AND($J170="x",AND(MAX(BS170:BU170)=BT170,BT170&lt;&gt;"")),Data!$BJ$2,"")</f>
        <v>74</v>
      </c>
      <c r="BY170" s="197" t="str">
        <f>IF(AND($K170="x",AND(MAX(BS170:BU170)=BU170,BU170&lt;&gt;"")),Data!$BK$2,"")</f>
        <v/>
      </c>
      <c r="BZ170" s="197"/>
      <c r="CA170" s="328"/>
      <c r="CB170" s="463">
        <f t="shared" si="237"/>
        <v>10</v>
      </c>
      <c r="CC170" s="464">
        <f t="shared" si="238"/>
        <v>50</v>
      </c>
      <c r="CD170" s="465">
        <f t="shared" si="239"/>
        <v>40</v>
      </c>
      <c r="CE170" s="328"/>
      <c r="CF170" s="197" t="str">
        <f>IF(AND($I170="x",AND(MAX(CB170:CD170)=CB170,CB170&lt;&gt;"")),Data!$BI$2,"")</f>
        <v/>
      </c>
      <c r="CG170" s="197">
        <f>IF(AND($J170="x",AND(MAX(CB170:CD170)=CC170,CC170&lt;&gt;"")),Data!$BJ$2,"")</f>
        <v>74</v>
      </c>
      <c r="CH170" s="197" t="str">
        <f>IF(AND($K170="x",AND(MAX(CB170:CD170)=CD170,CD170&lt;&gt;"")),Data!$BK$2,"")</f>
        <v/>
      </c>
      <c r="CI170" s="197"/>
      <c r="CJ170" s="197"/>
      <c r="CK170" s="455">
        <v>10</v>
      </c>
      <c r="CL170" s="456">
        <v>50</v>
      </c>
      <c r="CM170" s="447">
        <f t="shared" si="240"/>
        <v>40</v>
      </c>
      <c r="CN170" s="328"/>
      <c r="CO170" s="197" t="str">
        <f>IF(AND($I170="x",AND(MAX(CK170:CM170)=CK170,CK170&lt;&gt;"")),Data!$BI$2,"")</f>
        <v/>
      </c>
      <c r="CP170" s="197">
        <f>IF(AND($J170="x",AND(MAX(CK170:CM170)=CL170,CL170&lt;&gt;"")),Data!$BJ$2,"")</f>
        <v>74</v>
      </c>
      <c r="CQ170" s="197" t="str">
        <f>IF(AND($K170="x",AND(MAX(CK170:CM170)=CM170,CM170&lt;&gt;"")),Data!$BK$2,"")</f>
        <v/>
      </c>
      <c r="CR170" s="197"/>
      <c r="CS170" s="197"/>
      <c r="CT170" s="328"/>
      <c r="CU170" s="259"/>
      <c r="CV170" s="209"/>
      <c r="CW170" s="227"/>
    </row>
    <row r="171" spans="1:101" x14ac:dyDescent="0.2">
      <c r="A171" s="227"/>
      <c r="B171" s="227"/>
      <c r="C171" s="168"/>
      <c r="D171" s="232"/>
      <c r="E171" s="137" t="s">
        <v>146</v>
      </c>
      <c r="F171" s="427">
        <v>1</v>
      </c>
      <c r="G171" s="434" t="s">
        <v>51</v>
      </c>
      <c r="H171" s="435">
        <v>1</v>
      </c>
      <c r="I171" s="138" t="str">
        <f t="shared" si="227"/>
        <v/>
      </c>
      <c r="J171" s="344" t="str">
        <f t="shared" si="228"/>
        <v>x</v>
      </c>
      <c r="K171" s="345" t="str">
        <f t="shared" si="229"/>
        <v/>
      </c>
      <c r="L171" s="258"/>
      <c r="M171" s="332"/>
      <c r="N171" s="336"/>
      <c r="O171" s="200"/>
      <c r="P171" s="200"/>
      <c r="Q171" s="448">
        <v>10</v>
      </c>
      <c r="R171" s="449">
        <v>50</v>
      </c>
      <c r="S171" s="450">
        <f t="shared" si="230"/>
        <v>40</v>
      </c>
      <c r="T171" s="328"/>
      <c r="U171" s="197" t="str">
        <f>IF(AND($I171="x",AND(MAX(Q171:S171)=Q171,Q171&gt;=0)),Data!$BI$2,"")</f>
        <v/>
      </c>
      <c r="V171" s="197">
        <f>IF(AND($J171="x",AND(MAX(Q171:S171)=R171,R171&gt;=0)),Data!$BJ$2,"")</f>
        <v>74</v>
      </c>
      <c r="W171" s="197" t="str">
        <f>IF(AND($K171="x",AND(MAX(Q171:S171)=S171,S171&gt;=0)),Data!$BK$2,"")</f>
        <v/>
      </c>
      <c r="X171" s="197"/>
      <c r="Y171" s="328"/>
      <c r="Z171" s="451">
        <v>10</v>
      </c>
      <c r="AA171" s="452">
        <v>50</v>
      </c>
      <c r="AB171" s="450">
        <f t="shared" si="231"/>
        <v>40</v>
      </c>
      <c r="AC171" s="328"/>
      <c r="AD171" s="197" t="str">
        <f>IF(AND($I171="x",AND(MAX(Z171:AB171)=Z171,Z171&lt;&gt;"")),Data!$BI$2,"")</f>
        <v/>
      </c>
      <c r="AE171" s="197">
        <f>IF(AND($J171="x",AND(MAX(Z171:AB171)=AA171,AA171&lt;&gt;"")),Data!$BJ$2,"")</f>
        <v>74</v>
      </c>
      <c r="AF171" s="197" t="str">
        <f>IF(AND($K171="x",AND(MAX(Z171:AB171)=AB171,AB171&lt;&gt;"")),Data!$BK$2,"")</f>
        <v/>
      </c>
      <c r="AG171" s="197"/>
      <c r="AH171" s="328"/>
      <c r="AI171" s="451">
        <v>10</v>
      </c>
      <c r="AJ171" s="452">
        <v>50</v>
      </c>
      <c r="AK171" s="450">
        <f t="shared" si="232"/>
        <v>40</v>
      </c>
      <c r="AL171" s="328"/>
      <c r="AM171" s="197" t="str">
        <f>IF(AND($I171="x",AND(MAX(AI171:AK171)=AI171,AI171&lt;&gt;"")),Data!$BI$2,"")</f>
        <v/>
      </c>
      <c r="AN171" s="197">
        <f>IF(AND($J171="x",AND(MAX(AI171:AK171)=AJ171,AJ171&lt;&gt;"")),Data!$BJ$2,"")</f>
        <v>74</v>
      </c>
      <c r="AO171" s="197" t="str">
        <f>IF(AND($K171="x",AND(MAX(AI171:AK171)=AK171,AK171&lt;&gt;"")),Data!$BK$2,"")</f>
        <v/>
      </c>
      <c r="AP171" s="197"/>
      <c r="AQ171" s="328"/>
      <c r="AR171" s="451">
        <v>10</v>
      </c>
      <c r="AS171" s="452">
        <v>50</v>
      </c>
      <c r="AT171" s="450">
        <f t="shared" si="233"/>
        <v>40</v>
      </c>
      <c r="AU171" s="328"/>
      <c r="AV171" s="197" t="str">
        <f>IF(AND($I171="x",AND(MAX(AR171:AT171)=AR171,AR171&lt;&gt;"")),Data!$BI$2,"")</f>
        <v/>
      </c>
      <c r="AW171" s="197">
        <f>IF(AND($J171="x",AND(MAX(AR171:AT171)=AS171,AS171&lt;&gt;"")),Data!$BJ$2,"")</f>
        <v>74</v>
      </c>
      <c r="AX171" s="197" t="str">
        <f>IF(AND($K171="x",AND(MAX(AR171:AT171)=AT171,AT171&lt;&gt;"")),Data!$BK$2,"")</f>
        <v/>
      </c>
      <c r="AY171" s="197"/>
      <c r="AZ171" s="328"/>
      <c r="BA171" s="451">
        <v>10</v>
      </c>
      <c r="BB171" s="452">
        <v>50</v>
      </c>
      <c r="BC171" s="450">
        <f t="shared" si="234"/>
        <v>40</v>
      </c>
      <c r="BD171" s="328"/>
      <c r="BE171" s="197" t="str">
        <f>IF(AND($I171="x",AND(MAX(BA171:BC171)=BA171,BA171&lt;&gt;"")),Data!$BI$2,"")</f>
        <v/>
      </c>
      <c r="BF171" s="197">
        <f>IF(AND($J171="x",AND(MAX(BA171:BC171)=BB171,BB171&lt;&gt;"")),Data!$BJ$2,"")</f>
        <v>74</v>
      </c>
      <c r="BG171" s="197" t="str">
        <f>IF(AND($K171="x",AND(MAX(BA171:BC171)=BC171,BC171&lt;&gt;"")),Data!$BK$2,"")</f>
        <v/>
      </c>
      <c r="BH171" s="197"/>
      <c r="BI171" s="328"/>
      <c r="BJ171" s="451">
        <v>10</v>
      </c>
      <c r="BK171" s="452">
        <v>50</v>
      </c>
      <c r="BL171" s="450">
        <f t="shared" si="235"/>
        <v>40</v>
      </c>
      <c r="BM171" s="328"/>
      <c r="BN171" s="197" t="str">
        <f>IF(AND($I171="x",AND(MAX(BJ171:BL171)=BJ171,BJ171&lt;&gt;"")),Data!$BI$2,"")</f>
        <v/>
      </c>
      <c r="BO171" s="197">
        <f>IF(AND($J171="x",AND(MAX(BJ171:BL171)=BK171,BK171&lt;&gt;"")),Data!$BJ$2,"")</f>
        <v>74</v>
      </c>
      <c r="BP171" s="197" t="str">
        <f>IF(AND($K171="x",AND(MAX(BJ171:BL171)=BL171,BL171&lt;&gt;"")),Data!$BK$2,"")</f>
        <v/>
      </c>
      <c r="BQ171" s="197"/>
      <c r="BR171" s="328"/>
      <c r="BS171" s="451">
        <v>10</v>
      </c>
      <c r="BT171" s="452">
        <v>50</v>
      </c>
      <c r="BU171" s="450">
        <f t="shared" si="236"/>
        <v>40</v>
      </c>
      <c r="BV171" s="328"/>
      <c r="BW171" s="197" t="str">
        <f>IF(AND($I171="x",AND(MAX(BS171:BU171)=BS171,BS171&lt;&gt;"")),Data!$BI$2,"")</f>
        <v/>
      </c>
      <c r="BX171" s="197">
        <f>IF(AND($J171="x",AND(MAX(BS171:BU171)=BT171,BT171&lt;&gt;"")),Data!$BJ$2,"")</f>
        <v>74</v>
      </c>
      <c r="BY171" s="197" t="str">
        <f>IF(AND($K171="x",AND(MAX(BS171:BU171)=BU171,BU171&lt;&gt;"")),Data!$BK$2,"")</f>
        <v/>
      </c>
      <c r="BZ171" s="197"/>
      <c r="CA171" s="328"/>
      <c r="CB171" s="457">
        <f t="shared" si="237"/>
        <v>10</v>
      </c>
      <c r="CC171" s="458">
        <f t="shared" si="238"/>
        <v>50</v>
      </c>
      <c r="CD171" s="459">
        <f t="shared" si="239"/>
        <v>40</v>
      </c>
      <c r="CE171" s="328"/>
      <c r="CF171" s="197" t="str">
        <f>IF(AND($I171="x",AND(MAX(CB171:CD171)=CB171,CB171&lt;&gt;"")),Data!$BI$2,"")</f>
        <v/>
      </c>
      <c r="CG171" s="197">
        <f>IF(AND($J171="x",AND(MAX(CB171:CD171)=CC171,CC171&lt;&gt;"")),Data!$BJ$2,"")</f>
        <v>74</v>
      </c>
      <c r="CH171" s="197" t="str">
        <f>IF(AND($K171="x",AND(MAX(CB171:CD171)=CD171,CD171&lt;&gt;"")),Data!$BK$2,"")</f>
        <v/>
      </c>
      <c r="CI171" s="197"/>
      <c r="CJ171" s="197"/>
      <c r="CK171" s="451">
        <v>10</v>
      </c>
      <c r="CL171" s="452">
        <v>50</v>
      </c>
      <c r="CM171" s="450">
        <f t="shared" si="240"/>
        <v>40</v>
      </c>
      <c r="CN171" s="328"/>
      <c r="CO171" s="197" t="str">
        <f>IF(AND($I171="x",AND(MAX(CK171:CM171)=CK171,CK171&lt;&gt;"")),Data!$BI$2,"")</f>
        <v/>
      </c>
      <c r="CP171" s="197">
        <f>IF(AND($J171="x",AND(MAX(CK171:CM171)=CL171,CL171&lt;&gt;"")),Data!$BJ$2,"")</f>
        <v>74</v>
      </c>
      <c r="CQ171" s="197" t="str">
        <f>IF(AND($K171="x",AND(MAX(CK171:CM171)=CM171,CM171&lt;&gt;"")),Data!$BK$2,"")</f>
        <v/>
      </c>
      <c r="CR171" s="197"/>
      <c r="CS171" s="197"/>
      <c r="CT171" s="328"/>
      <c r="CU171" s="259"/>
      <c r="CV171" s="209"/>
      <c r="CW171" s="227"/>
    </row>
    <row r="172" spans="1:101" x14ac:dyDescent="0.2">
      <c r="A172" s="227"/>
      <c r="B172" s="227"/>
      <c r="C172" s="168"/>
      <c r="D172" s="232"/>
      <c r="E172" s="135" t="s">
        <v>147</v>
      </c>
      <c r="F172" s="425">
        <v>1</v>
      </c>
      <c r="G172" s="430" t="s">
        <v>51</v>
      </c>
      <c r="H172" s="431">
        <v>1</v>
      </c>
      <c r="I172" s="346" t="str">
        <f t="shared" si="227"/>
        <v/>
      </c>
      <c r="J172" s="347" t="str">
        <f t="shared" si="228"/>
        <v>x</v>
      </c>
      <c r="K172" s="348" t="str">
        <f t="shared" si="229"/>
        <v/>
      </c>
      <c r="L172" s="258"/>
      <c r="M172" s="332"/>
      <c r="N172" s="336"/>
      <c r="O172" s="200"/>
      <c r="P172" s="200"/>
      <c r="Q172" s="439">
        <v>10</v>
      </c>
      <c r="R172" s="440">
        <v>50</v>
      </c>
      <c r="S172" s="441">
        <f t="shared" si="230"/>
        <v>40</v>
      </c>
      <c r="T172" s="328"/>
      <c r="U172" s="197" t="str">
        <f>IF(AND($I172="x",AND(MAX(Q172:S172)=Q172,Q172&gt;=0)),Data!$BI$2,"")</f>
        <v/>
      </c>
      <c r="V172" s="197">
        <f>IF(AND($J172="x",AND(MAX(Q172:S172)=R172,R172&gt;=0)),Data!$BJ$2,"")</f>
        <v>74</v>
      </c>
      <c r="W172" s="197" t="str">
        <f>IF(AND($K172="x",AND(MAX(Q172:S172)=S172,S172&gt;=0)),Data!$BK$2,"")</f>
        <v/>
      </c>
      <c r="X172" s="197"/>
      <c r="Y172" s="328"/>
      <c r="Z172" s="453">
        <v>10</v>
      </c>
      <c r="AA172" s="454">
        <v>50</v>
      </c>
      <c r="AB172" s="441">
        <f t="shared" si="231"/>
        <v>40</v>
      </c>
      <c r="AC172" s="328"/>
      <c r="AD172" s="197" t="str">
        <f>IF(AND($I172="x",AND(MAX(Z172:AB172)=Z172,Z172&lt;&gt;"")),Data!$BI$2,"")</f>
        <v/>
      </c>
      <c r="AE172" s="197">
        <f>IF(AND($J172="x",AND(MAX(Z172:AB172)=AA172,AA172&lt;&gt;"")),Data!$BJ$2,"")</f>
        <v>74</v>
      </c>
      <c r="AF172" s="197" t="str">
        <f>IF(AND($K172="x",AND(MAX(Z172:AB172)=AB172,AB172&lt;&gt;"")),Data!$BK$2,"")</f>
        <v/>
      </c>
      <c r="AG172" s="197"/>
      <c r="AH172" s="328"/>
      <c r="AI172" s="453">
        <v>10</v>
      </c>
      <c r="AJ172" s="454">
        <v>50</v>
      </c>
      <c r="AK172" s="441">
        <f t="shared" si="232"/>
        <v>40</v>
      </c>
      <c r="AL172" s="328"/>
      <c r="AM172" s="197" t="str">
        <f>IF(AND($I172="x",AND(MAX(AI172:AK172)=AI172,AI172&lt;&gt;"")),Data!$BI$2,"")</f>
        <v/>
      </c>
      <c r="AN172" s="197">
        <f>IF(AND($J172="x",AND(MAX(AI172:AK172)=AJ172,AJ172&lt;&gt;"")),Data!$BJ$2,"")</f>
        <v>74</v>
      </c>
      <c r="AO172" s="197" t="str">
        <f>IF(AND($K172="x",AND(MAX(AI172:AK172)=AK172,AK172&lt;&gt;"")),Data!$BK$2,"")</f>
        <v/>
      </c>
      <c r="AP172" s="197"/>
      <c r="AQ172" s="328"/>
      <c r="AR172" s="453">
        <v>10</v>
      </c>
      <c r="AS172" s="454">
        <v>50</v>
      </c>
      <c r="AT172" s="441">
        <f t="shared" si="233"/>
        <v>40</v>
      </c>
      <c r="AU172" s="328"/>
      <c r="AV172" s="197" t="str">
        <f>IF(AND($I172="x",AND(MAX(AR172:AT172)=AR172,AR172&lt;&gt;"")),Data!$BI$2,"")</f>
        <v/>
      </c>
      <c r="AW172" s="197">
        <f>IF(AND($J172="x",AND(MAX(AR172:AT172)=AS172,AS172&lt;&gt;"")),Data!$BJ$2,"")</f>
        <v>74</v>
      </c>
      <c r="AX172" s="197" t="str">
        <f>IF(AND($K172="x",AND(MAX(AR172:AT172)=AT172,AT172&lt;&gt;"")),Data!$BK$2,"")</f>
        <v/>
      </c>
      <c r="AY172" s="197"/>
      <c r="AZ172" s="328"/>
      <c r="BA172" s="453">
        <v>10</v>
      </c>
      <c r="BB172" s="454">
        <v>50</v>
      </c>
      <c r="BC172" s="441">
        <f t="shared" si="234"/>
        <v>40</v>
      </c>
      <c r="BD172" s="328"/>
      <c r="BE172" s="197" t="str">
        <f>IF(AND($I172="x",AND(MAX(BA172:BC172)=BA172,BA172&lt;&gt;"")),Data!$BI$2,"")</f>
        <v/>
      </c>
      <c r="BF172" s="197">
        <f>IF(AND($J172="x",AND(MAX(BA172:BC172)=BB172,BB172&lt;&gt;"")),Data!$BJ$2,"")</f>
        <v>74</v>
      </c>
      <c r="BG172" s="197" t="str">
        <f>IF(AND($K172="x",AND(MAX(BA172:BC172)=BC172,BC172&lt;&gt;"")),Data!$BK$2,"")</f>
        <v/>
      </c>
      <c r="BH172" s="197"/>
      <c r="BI172" s="328"/>
      <c r="BJ172" s="453">
        <v>10</v>
      </c>
      <c r="BK172" s="454">
        <v>50</v>
      </c>
      <c r="BL172" s="441">
        <f t="shared" si="235"/>
        <v>40</v>
      </c>
      <c r="BM172" s="328"/>
      <c r="BN172" s="197" t="str">
        <f>IF(AND($I172="x",AND(MAX(BJ172:BL172)=BJ172,BJ172&lt;&gt;"")),Data!$BI$2,"")</f>
        <v/>
      </c>
      <c r="BO172" s="197">
        <f>IF(AND($J172="x",AND(MAX(BJ172:BL172)=BK172,BK172&lt;&gt;"")),Data!$BJ$2,"")</f>
        <v>74</v>
      </c>
      <c r="BP172" s="197" t="str">
        <f>IF(AND($K172="x",AND(MAX(BJ172:BL172)=BL172,BL172&lt;&gt;"")),Data!$BK$2,"")</f>
        <v/>
      </c>
      <c r="BQ172" s="197"/>
      <c r="BR172" s="328"/>
      <c r="BS172" s="453">
        <v>10</v>
      </c>
      <c r="BT172" s="454">
        <v>50</v>
      </c>
      <c r="BU172" s="441">
        <f t="shared" si="236"/>
        <v>40</v>
      </c>
      <c r="BV172" s="328"/>
      <c r="BW172" s="197" t="str">
        <f>IF(AND($I172="x",AND(MAX(BS172:BU172)=BS172,BS172&lt;&gt;"")),Data!$BI$2,"")</f>
        <v/>
      </c>
      <c r="BX172" s="197">
        <f>IF(AND($J172="x",AND(MAX(BS172:BU172)=BT172,BT172&lt;&gt;"")),Data!$BJ$2,"")</f>
        <v>74</v>
      </c>
      <c r="BY172" s="197" t="str">
        <f>IF(AND($K172="x",AND(MAX(BS172:BU172)=BU172,BU172&lt;&gt;"")),Data!$BK$2,"")</f>
        <v/>
      </c>
      <c r="BZ172" s="197"/>
      <c r="CA172" s="328"/>
      <c r="CB172" s="460">
        <f t="shared" si="237"/>
        <v>10</v>
      </c>
      <c r="CC172" s="461">
        <f t="shared" si="238"/>
        <v>50</v>
      </c>
      <c r="CD172" s="462">
        <f t="shared" si="239"/>
        <v>40</v>
      </c>
      <c r="CE172" s="328"/>
      <c r="CF172" s="197" t="str">
        <f>IF(AND($I172="x",AND(MAX(CB172:CD172)=CB172,CB172&lt;&gt;"")),Data!$BI$2,"")</f>
        <v/>
      </c>
      <c r="CG172" s="197">
        <f>IF(AND($J172="x",AND(MAX(CB172:CD172)=CC172,CC172&lt;&gt;"")),Data!$BJ$2,"")</f>
        <v>74</v>
      </c>
      <c r="CH172" s="197" t="str">
        <f>IF(AND($K172="x",AND(MAX(CB172:CD172)=CD172,CD172&lt;&gt;"")),Data!$BK$2,"")</f>
        <v/>
      </c>
      <c r="CI172" s="197"/>
      <c r="CJ172" s="197"/>
      <c r="CK172" s="453">
        <v>10</v>
      </c>
      <c r="CL172" s="454">
        <v>50</v>
      </c>
      <c r="CM172" s="441">
        <f t="shared" si="240"/>
        <v>40</v>
      </c>
      <c r="CN172" s="328"/>
      <c r="CO172" s="197" t="str">
        <f>IF(AND($I172="x",AND(MAX(CK172:CM172)=CK172,CK172&lt;&gt;"")),Data!$BI$2,"")</f>
        <v/>
      </c>
      <c r="CP172" s="197">
        <f>IF(AND($J172="x",AND(MAX(CK172:CM172)=CL172,CL172&lt;&gt;"")),Data!$BJ$2,"")</f>
        <v>74</v>
      </c>
      <c r="CQ172" s="197" t="str">
        <f>IF(AND($K172="x",AND(MAX(CK172:CM172)=CM172,CM172&lt;&gt;"")),Data!$BK$2,"")</f>
        <v/>
      </c>
      <c r="CR172" s="197"/>
      <c r="CS172" s="197"/>
      <c r="CT172" s="328"/>
      <c r="CU172" s="259"/>
      <c r="CV172" s="209"/>
      <c r="CW172" s="227"/>
    </row>
    <row r="173" spans="1:101" x14ac:dyDescent="0.2">
      <c r="A173" s="227"/>
      <c r="B173" s="227"/>
      <c r="C173" s="168"/>
      <c r="D173" s="232"/>
      <c r="E173" s="136" t="s">
        <v>148</v>
      </c>
      <c r="F173" s="426">
        <v>1</v>
      </c>
      <c r="G173" s="432" t="s">
        <v>51</v>
      </c>
      <c r="H173" s="433">
        <v>1</v>
      </c>
      <c r="I173" s="349" t="str">
        <f t="shared" si="227"/>
        <v/>
      </c>
      <c r="J173" s="350" t="str">
        <f t="shared" si="228"/>
        <v>x</v>
      </c>
      <c r="K173" s="351" t="str">
        <f t="shared" si="229"/>
        <v/>
      </c>
      <c r="L173" s="258"/>
      <c r="M173" s="332"/>
      <c r="N173" s="336"/>
      <c r="O173" s="200"/>
      <c r="P173" s="200"/>
      <c r="Q173" s="445">
        <v>10</v>
      </c>
      <c r="R173" s="446">
        <v>50</v>
      </c>
      <c r="S173" s="447">
        <f t="shared" si="230"/>
        <v>40</v>
      </c>
      <c r="T173" s="328"/>
      <c r="U173" s="197" t="str">
        <f>IF(AND($I173="x",AND(MAX(Q173:S173)=Q173,Q173&gt;=0)),Data!$BI$2,"")</f>
        <v/>
      </c>
      <c r="V173" s="197">
        <f>IF(AND($J173="x",AND(MAX(Q173:S173)=R173,R173&gt;=0)),Data!$BJ$2,"")</f>
        <v>74</v>
      </c>
      <c r="W173" s="197" t="str">
        <f>IF(AND($K173="x",AND(MAX(Q173:S173)=S173,S173&gt;=0)),Data!$BK$2,"")</f>
        <v/>
      </c>
      <c r="X173" s="197"/>
      <c r="Y173" s="328"/>
      <c r="Z173" s="455">
        <v>10</v>
      </c>
      <c r="AA173" s="456">
        <v>50</v>
      </c>
      <c r="AB173" s="447">
        <f t="shared" si="231"/>
        <v>40</v>
      </c>
      <c r="AC173" s="328"/>
      <c r="AD173" s="197" t="str">
        <f>IF(AND($I173="x",AND(MAX(Z173:AB173)=Z173,Z173&lt;&gt;"")),Data!$BI$2,"")</f>
        <v/>
      </c>
      <c r="AE173" s="197">
        <f>IF(AND($J173="x",AND(MAX(Z173:AB173)=AA173,AA173&lt;&gt;"")),Data!$BJ$2,"")</f>
        <v>74</v>
      </c>
      <c r="AF173" s="197" t="str">
        <f>IF(AND($K173="x",AND(MAX(Z173:AB173)=AB173,AB173&lt;&gt;"")),Data!$BK$2,"")</f>
        <v/>
      </c>
      <c r="AG173" s="197"/>
      <c r="AH173" s="328"/>
      <c r="AI173" s="455">
        <v>10</v>
      </c>
      <c r="AJ173" s="456">
        <v>50</v>
      </c>
      <c r="AK173" s="447">
        <f t="shared" si="232"/>
        <v>40</v>
      </c>
      <c r="AL173" s="328"/>
      <c r="AM173" s="197" t="str">
        <f>IF(AND($I173="x",AND(MAX(AI173:AK173)=AI173,AI173&lt;&gt;"")),Data!$BI$2,"")</f>
        <v/>
      </c>
      <c r="AN173" s="197">
        <f>IF(AND($J173="x",AND(MAX(AI173:AK173)=AJ173,AJ173&lt;&gt;"")),Data!$BJ$2,"")</f>
        <v>74</v>
      </c>
      <c r="AO173" s="197" t="str">
        <f>IF(AND($K173="x",AND(MAX(AI173:AK173)=AK173,AK173&lt;&gt;"")),Data!$BK$2,"")</f>
        <v/>
      </c>
      <c r="AP173" s="197"/>
      <c r="AQ173" s="328"/>
      <c r="AR173" s="455">
        <v>10</v>
      </c>
      <c r="AS173" s="456">
        <v>50</v>
      </c>
      <c r="AT173" s="447">
        <f t="shared" si="233"/>
        <v>40</v>
      </c>
      <c r="AU173" s="328"/>
      <c r="AV173" s="197" t="str">
        <f>IF(AND($I173="x",AND(MAX(AR173:AT173)=AR173,AR173&lt;&gt;"")),Data!$BI$2,"")</f>
        <v/>
      </c>
      <c r="AW173" s="197">
        <f>IF(AND($J173="x",AND(MAX(AR173:AT173)=AS173,AS173&lt;&gt;"")),Data!$BJ$2,"")</f>
        <v>74</v>
      </c>
      <c r="AX173" s="197" t="str">
        <f>IF(AND($K173="x",AND(MAX(AR173:AT173)=AT173,AT173&lt;&gt;"")),Data!$BK$2,"")</f>
        <v/>
      </c>
      <c r="AY173" s="197"/>
      <c r="AZ173" s="328"/>
      <c r="BA173" s="455">
        <v>10</v>
      </c>
      <c r="BB173" s="456">
        <v>50</v>
      </c>
      <c r="BC173" s="447">
        <f t="shared" si="234"/>
        <v>40</v>
      </c>
      <c r="BD173" s="328"/>
      <c r="BE173" s="197" t="str">
        <f>IF(AND($I173="x",AND(MAX(BA173:BC173)=BA173,BA173&lt;&gt;"")),Data!$BI$2,"")</f>
        <v/>
      </c>
      <c r="BF173" s="197">
        <f>IF(AND($J173="x",AND(MAX(BA173:BC173)=BB173,BB173&lt;&gt;"")),Data!$BJ$2,"")</f>
        <v>74</v>
      </c>
      <c r="BG173" s="197" t="str">
        <f>IF(AND($K173="x",AND(MAX(BA173:BC173)=BC173,BC173&lt;&gt;"")),Data!$BK$2,"")</f>
        <v/>
      </c>
      <c r="BH173" s="197"/>
      <c r="BI173" s="328"/>
      <c r="BJ173" s="455">
        <v>10</v>
      </c>
      <c r="BK173" s="456">
        <v>50</v>
      </c>
      <c r="BL173" s="447">
        <f t="shared" si="235"/>
        <v>40</v>
      </c>
      <c r="BM173" s="328"/>
      <c r="BN173" s="197" t="str">
        <f>IF(AND($I173="x",AND(MAX(BJ173:BL173)=BJ173,BJ173&lt;&gt;"")),Data!$BI$2,"")</f>
        <v/>
      </c>
      <c r="BO173" s="197">
        <f>IF(AND($J173="x",AND(MAX(BJ173:BL173)=BK173,BK173&lt;&gt;"")),Data!$BJ$2,"")</f>
        <v>74</v>
      </c>
      <c r="BP173" s="197" t="str">
        <f>IF(AND($K173="x",AND(MAX(BJ173:BL173)=BL173,BL173&lt;&gt;"")),Data!$BK$2,"")</f>
        <v/>
      </c>
      <c r="BQ173" s="197"/>
      <c r="BR173" s="328"/>
      <c r="BS173" s="455">
        <v>10</v>
      </c>
      <c r="BT173" s="456">
        <v>50</v>
      </c>
      <c r="BU173" s="447">
        <f t="shared" si="236"/>
        <v>40</v>
      </c>
      <c r="BV173" s="328"/>
      <c r="BW173" s="197" t="str">
        <f>IF(AND($I173="x",AND(MAX(BS173:BU173)=BS173,BS173&lt;&gt;"")),Data!$BI$2,"")</f>
        <v/>
      </c>
      <c r="BX173" s="197">
        <f>IF(AND($J173="x",AND(MAX(BS173:BU173)=BT173,BT173&lt;&gt;"")),Data!$BJ$2,"")</f>
        <v>74</v>
      </c>
      <c r="BY173" s="197" t="str">
        <f>IF(AND($K173="x",AND(MAX(BS173:BU173)=BU173,BU173&lt;&gt;"")),Data!$BK$2,"")</f>
        <v/>
      </c>
      <c r="BZ173" s="197"/>
      <c r="CA173" s="328"/>
      <c r="CB173" s="463">
        <f t="shared" si="237"/>
        <v>10</v>
      </c>
      <c r="CC173" s="464">
        <f t="shared" si="238"/>
        <v>50</v>
      </c>
      <c r="CD173" s="465">
        <f t="shared" si="239"/>
        <v>40</v>
      </c>
      <c r="CE173" s="328"/>
      <c r="CF173" s="197" t="str">
        <f>IF(AND($I173="x",AND(MAX(CB173:CD173)=CB173,CB173&lt;&gt;"")),Data!$BI$2,"")</f>
        <v/>
      </c>
      <c r="CG173" s="197">
        <f>IF(AND($J173="x",AND(MAX(CB173:CD173)=CC173,CC173&lt;&gt;"")),Data!$BJ$2,"")</f>
        <v>74</v>
      </c>
      <c r="CH173" s="197" t="str">
        <f>IF(AND($K173="x",AND(MAX(CB173:CD173)=CD173,CD173&lt;&gt;"")),Data!$BK$2,"")</f>
        <v/>
      </c>
      <c r="CI173" s="197"/>
      <c r="CJ173" s="197"/>
      <c r="CK173" s="455">
        <v>10</v>
      </c>
      <c r="CL173" s="456">
        <v>50</v>
      </c>
      <c r="CM173" s="447">
        <f t="shared" si="240"/>
        <v>40</v>
      </c>
      <c r="CN173" s="328"/>
      <c r="CO173" s="197" t="str">
        <f>IF(AND($I173="x",AND(MAX(CK173:CM173)=CK173,CK173&lt;&gt;"")),Data!$BI$2,"")</f>
        <v/>
      </c>
      <c r="CP173" s="197">
        <f>IF(AND($J173="x",AND(MAX(CK173:CM173)=CL173,CL173&lt;&gt;"")),Data!$BJ$2,"")</f>
        <v>74</v>
      </c>
      <c r="CQ173" s="197" t="str">
        <f>IF(AND($K173="x",AND(MAX(CK173:CM173)=CM173,CM173&lt;&gt;"")),Data!$BK$2,"")</f>
        <v/>
      </c>
      <c r="CR173" s="197"/>
      <c r="CS173" s="197"/>
      <c r="CT173" s="328"/>
      <c r="CU173" s="259"/>
      <c r="CV173" s="209"/>
      <c r="CW173" s="227"/>
    </row>
    <row r="174" spans="1:101" x14ac:dyDescent="0.2">
      <c r="A174" s="227"/>
      <c r="B174" s="227"/>
      <c r="C174" s="168"/>
      <c r="D174" s="233"/>
      <c r="E174" s="199"/>
      <c r="F174" s="352">
        <f>IF(SUM(F162:F173)=0,"",SUM(F162:F173))</f>
        <v>12</v>
      </c>
      <c r="G174" s="327" t="s">
        <v>51</v>
      </c>
      <c r="H174" s="353">
        <f>IF(SUM(H162:H173)=0,"",SUM(H162:H173))</f>
        <v>12</v>
      </c>
      <c r="I174" s="354" t="str">
        <f>IF(COUNTIF(I162:I173,"=x")=0,"",COUNTIF(I162:I173,"=x"))</f>
        <v/>
      </c>
      <c r="J174" s="355">
        <f>IF(COUNTIF(J162:J173,"=x")=0,"",COUNTIF(J162:J173,"=x"))</f>
        <v>12</v>
      </c>
      <c r="K174" s="356" t="str">
        <f>IF(COUNTIF(K162:K173,"=x")=0,"",COUNTIF(K162:K173,"=x"))</f>
        <v/>
      </c>
      <c r="L174" s="258"/>
      <c r="M174" s="332"/>
      <c r="N174" s="336"/>
      <c r="O174" s="200"/>
      <c r="P174" s="326"/>
      <c r="Q174" s="422">
        <f>SUM(U162:U173)</f>
        <v>0</v>
      </c>
      <c r="R174" s="422">
        <f t="shared" ref="R174:S174" si="241">SUM(V162:V173)</f>
        <v>814</v>
      </c>
      <c r="S174" s="422">
        <f t="shared" si="241"/>
        <v>0</v>
      </c>
      <c r="T174" s="325"/>
      <c r="U174" s="197">
        <f>SUM(U162:U173)</f>
        <v>0</v>
      </c>
      <c r="V174" s="197">
        <f t="shared" ref="V174:W174" si="242">SUM(V162:V173)</f>
        <v>814</v>
      </c>
      <c r="W174" s="197">
        <f t="shared" si="242"/>
        <v>0</v>
      </c>
      <c r="X174" s="197"/>
      <c r="Y174" s="324"/>
      <c r="Z174" s="422">
        <f>SUM(AD162:AD173)</f>
        <v>0</v>
      </c>
      <c r="AA174" s="422">
        <f t="shared" ref="AA174:AB174" si="243">SUM(AE162:AE173)</f>
        <v>814</v>
      </c>
      <c r="AB174" s="422">
        <f t="shared" si="243"/>
        <v>0</v>
      </c>
      <c r="AC174" s="325"/>
      <c r="AD174" s="197">
        <f>SUM(AD162:AD173)</f>
        <v>0</v>
      </c>
      <c r="AE174" s="197">
        <f t="shared" ref="AE174:AF174" si="244">SUM(AE162:AE173)</f>
        <v>814</v>
      </c>
      <c r="AF174" s="197">
        <f t="shared" si="244"/>
        <v>0</v>
      </c>
      <c r="AG174" s="197"/>
      <c r="AH174" s="324"/>
      <c r="AI174" s="422">
        <f>SUM(AM162:AM173)</f>
        <v>0</v>
      </c>
      <c r="AJ174" s="422">
        <f t="shared" ref="AJ174:AK174" si="245">SUM(AN162:AN173)</f>
        <v>814</v>
      </c>
      <c r="AK174" s="422">
        <f t="shared" si="245"/>
        <v>0</v>
      </c>
      <c r="AL174" s="325"/>
      <c r="AM174" s="197">
        <f>SUM(AM162:AM173)</f>
        <v>0</v>
      </c>
      <c r="AN174" s="197">
        <f t="shared" ref="AN174:AO174" si="246">SUM(AN162:AN173)</f>
        <v>814</v>
      </c>
      <c r="AO174" s="197">
        <f t="shared" si="246"/>
        <v>0</v>
      </c>
      <c r="AP174" s="197"/>
      <c r="AQ174" s="324"/>
      <c r="AR174" s="422">
        <f>SUM(AV162:AV173)</f>
        <v>0</v>
      </c>
      <c r="AS174" s="422">
        <f t="shared" ref="AS174:AT174" si="247">SUM(AW162:AW173)</f>
        <v>814</v>
      </c>
      <c r="AT174" s="422">
        <f t="shared" si="247"/>
        <v>0</v>
      </c>
      <c r="AU174" s="325"/>
      <c r="AV174" s="197">
        <f>SUM(AV162:AV173)</f>
        <v>0</v>
      </c>
      <c r="AW174" s="197">
        <f t="shared" ref="AW174:AX174" si="248">SUM(AW162:AW173)</f>
        <v>814</v>
      </c>
      <c r="AX174" s="197">
        <f t="shared" si="248"/>
        <v>0</v>
      </c>
      <c r="AY174" s="197"/>
      <c r="AZ174" s="324"/>
      <c r="BA174" s="422">
        <f>SUM(BE162:BE173)</f>
        <v>0</v>
      </c>
      <c r="BB174" s="422">
        <f t="shared" ref="BB174:BC174" si="249">SUM(BF162:BF173)</f>
        <v>814</v>
      </c>
      <c r="BC174" s="422">
        <f t="shared" si="249"/>
        <v>0</v>
      </c>
      <c r="BD174" s="325"/>
      <c r="BE174" s="197">
        <f>SUM(BE162:BE173)</f>
        <v>0</v>
      </c>
      <c r="BF174" s="197">
        <f t="shared" ref="BF174:BG174" si="250">SUM(BF162:BF173)</f>
        <v>814</v>
      </c>
      <c r="BG174" s="197">
        <f t="shared" si="250"/>
        <v>0</v>
      </c>
      <c r="BH174" s="197"/>
      <c r="BI174" s="324"/>
      <c r="BJ174" s="422">
        <f>SUM(BN162:BN173)</f>
        <v>0</v>
      </c>
      <c r="BK174" s="422">
        <f t="shared" ref="BK174" si="251">SUM(BO162:BO173)</f>
        <v>814</v>
      </c>
      <c r="BL174" s="422">
        <f t="shared" ref="BL174" si="252">SUM(BP162:BP173)</f>
        <v>0</v>
      </c>
      <c r="BM174" s="325"/>
      <c r="BN174" s="197">
        <f>SUM(BN162:BN173)</f>
        <v>0</v>
      </c>
      <c r="BO174" s="197">
        <f t="shared" ref="BO174:BP174" si="253">SUM(BO162:BO173)</f>
        <v>814</v>
      </c>
      <c r="BP174" s="197">
        <f t="shared" si="253"/>
        <v>0</v>
      </c>
      <c r="BQ174" s="197"/>
      <c r="BR174" s="324"/>
      <c r="BS174" s="422">
        <f>SUM(BW162:BW173)</f>
        <v>0</v>
      </c>
      <c r="BT174" s="422">
        <f t="shared" ref="BT174:BU174" si="254">SUM(BX162:BX173)</f>
        <v>814</v>
      </c>
      <c r="BU174" s="422">
        <f t="shared" si="254"/>
        <v>0</v>
      </c>
      <c r="BV174" s="325"/>
      <c r="BW174" s="197">
        <f>SUM(BW162:BW173)</f>
        <v>0</v>
      </c>
      <c r="BX174" s="197">
        <f t="shared" ref="BX174:BY174" si="255">SUM(BX162:BX173)</f>
        <v>814</v>
      </c>
      <c r="BY174" s="197">
        <f t="shared" si="255"/>
        <v>0</v>
      </c>
      <c r="BZ174" s="197"/>
      <c r="CA174" s="326"/>
      <c r="CB174" s="422">
        <f>SUM(CF162:CF173)</f>
        <v>0</v>
      </c>
      <c r="CC174" s="422">
        <f t="shared" ref="CC174:CD174" si="256">SUM(CG162:CG173)</f>
        <v>814</v>
      </c>
      <c r="CD174" s="422">
        <f t="shared" si="256"/>
        <v>0</v>
      </c>
      <c r="CE174" s="325"/>
      <c r="CF174" s="197">
        <f>SUM(CF162:CF173)</f>
        <v>0</v>
      </c>
      <c r="CG174" s="197">
        <f t="shared" ref="CG174:CH174" si="257">SUM(CG162:CG173)</f>
        <v>814</v>
      </c>
      <c r="CH174" s="197">
        <f t="shared" si="257"/>
        <v>0</v>
      </c>
      <c r="CI174" s="197"/>
      <c r="CJ174" s="197"/>
      <c r="CK174" s="422">
        <f>SUM(CO162:CO173)</f>
        <v>0</v>
      </c>
      <c r="CL174" s="422">
        <f t="shared" ref="CL174:CM174" si="258">SUM(CP162:CP173)</f>
        <v>814</v>
      </c>
      <c r="CM174" s="422">
        <f t="shared" si="258"/>
        <v>0</v>
      </c>
      <c r="CN174" s="325"/>
      <c r="CO174" s="197">
        <f>SUM(CO162:CO173)</f>
        <v>0</v>
      </c>
      <c r="CP174" s="197">
        <f t="shared" ref="CP174:CQ174" si="259">SUM(CP162:CP173)</f>
        <v>814</v>
      </c>
      <c r="CQ174" s="197">
        <f t="shared" si="259"/>
        <v>0</v>
      </c>
      <c r="CR174" s="197"/>
      <c r="CS174" s="197"/>
      <c r="CT174" s="197"/>
      <c r="CU174" s="259"/>
      <c r="CV174" s="209"/>
      <c r="CW174" s="228"/>
    </row>
    <row r="175" spans="1:101" x14ac:dyDescent="0.2">
      <c r="A175" s="227"/>
      <c r="B175" s="227"/>
      <c r="C175" s="168"/>
      <c r="D175" s="249"/>
      <c r="E175" s="242"/>
      <c r="F175" s="243"/>
      <c r="G175" s="242"/>
      <c r="H175" s="242"/>
      <c r="I175" s="242"/>
      <c r="J175" s="242"/>
      <c r="K175" s="242"/>
      <c r="L175" s="252"/>
      <c r="M175" s="260"/>
      <c r="N175" s="337"/>
      <c r="O175" s="333"/>
      <c r="P175" s="244"/>
      <c r="Q175" s="245"/>
      <c r="R175" s="245"/>
      <c r="S175" s="245"/>
      <c r="T175" s="246"/>
      <c r="U175" s="247"/>
      <c r="V175" s="247"/>
      <c r="W175" s="247"/>
      <c r="X175" s="247"/>
      <c r="Y175" s="244"/>
      <c r="Z175" s="245"/>
      <c r="AA175" s="245"/>
      <c r="AB175" s="245"/>
      <c r="AC175" s="246"/>
      <c r="AD175" s="247"/>
      <c r="AE175" s="247"/>
      <c r="AF175" s="247"/>
      <c r="AG175" s="247"/>
      <c r="AH175" s="244"/>
      <c r="AI175" s="245"/>
      <c r="AJ175" s="245"/>
      <c r="AK175" s="245"/>
      <c r="AL175" s="246"/>
      <c r="AM175" s="247"/>
      <c r="AN175" s="247"/>
      <c r="AO175" s="247"/>
      <c r="AP175" s="247"/>
      <c r="AQ175" s="244"/>
      <c r="AR175" s="245"/>
      <c r="AS175" s="245"/>
      <c r="AT175" s="245"/>
      <c r="AU175" s="246"/>
      <c r="AV175" s="247"/>
      <c r="AW175" s="247"/>
      <c r="AX175" s="247"/>
      <c r="AY175" s="247"/>
      <c r="AZ175" s="244"/>
      <c r="BA175" s="245"/>
      <c r="BB175" s="245"/>
      <c r="BC175" s="245"/>
      <c r="BD175" s="246"/>
      <c r="BE175" s="247"/>
      <c r="BF175" s="247"/>
      <c r="BG175" s="247"/>
      <c r="BH175" s="247"/>
      <c r="BI175" s="244"/>
      <c r="BJ175" s="244"/>
      <c r="BK175" s="244"/>
      <c r="BL175" s="244"/>
      <c r="BM175" s="244"/>
      <c r="BN175" s="247"/>
      <c r="BO175" s="247"/>
      <c r="BP175" s="247"/>
      <c r="BQ175" s="247"/>
      <c r="BR175" s="244"/>
      <c r="BS175" s="244"/>
      <c r="BT175" s="244"/>
      <c r="BU175" s="244"/>
      <c r="BV175" s="244"/>
      <c r="BW175" s="247"/>
      <c r="BX175" s="247"/>
      <c r="BY175" s="247"/>
      <c r="BZ175" s="247"/>
      <c r="CA175" s="244"/>
      <c r="CB175" s="244"/>
      <c r="CC175" s="244"/>
      <c r="CD175" s="244"/>
      <c r="CE175" s="244"/>
      <c r="CF175" s="247"/>
      <c r="CG175" s="247"/>
      <c r="CH175" s="247"/>
      <c r="CI175" s="247"/>
      <c r="CJ175" s="248"/>
      <c r="CK175" s="248"/>
      <c r="CL175" s="248"/>
      <c r="CM175" s="248"/>
      <c r="CN175" s="248"/>
      <c r="CO175" s="247"/>
      <c r="CP175" s="247"/>
      <c r="CQ175" s="247"/>
      <c r="CR175" s="247"/>
      <c r="CS175" s="248"/>
      <c r="CT175" s="242"/>
      <c r="CU175" s="253"/>
      <c r="CV175" s="209"/>
      <c r="CW175" s="228"/>
    </row>
    <row r="176" spans="1:101" x14ac:dyDescent="0.2">
      <c r="A176" s="219"/>
      <c r="B176" s="219"/>
      <c r="C176" s="175"/>
      <c r="D176" s="176"/>
      <c r="E176" s="210"/>
      <c r="F176" s="211"/>
      <c r="G176" s="210"/>
      <c r="H176" s="210"/>
      <c r="I176" s="210"/>
      <c r="J176" s="210"/>
      <c r="K176" s="210"/>
      <c r="L176" s="212"/>
      <c r="M176" s="213"/>
      <c r="N176" s="213"/>
      <c r="O176" s="213"/>
      <c r="P176" s="213"/>
      <c r="Q176" s="210"/>
      <c r="R176" s="210"/>
      <c r="S176" s="210"/>
      <c r="T176" s="214"/>
      <c r="U176" s="215"/>
      <c r="V176" s="215"/>
      <c r="W176" s="215"/>
      <c r="X176" s="215"/>
      <c r="Y176" s="213"/>
      <c r="Z176" s="210"/>
      <c r="AA176" s="210"/>
      <c r="AB176" s="210"/>
      <c r="AC176" s="214"/>
      <c r="AD176" s="215"/>
      <c r="AE176" s="215"/>
      <c r="AF176" s="215"/>
      <c r="AG176" s="215"/>
      <c r="AH176" s="213"/>
      <c r="AI176" s="210"/>
      <c r="AJ176" s="210"/>
      <c r="AK176" s="210"/>
      <c r="AL176" s="214"/>
      <c r="AM176" s="215"/>
      <c r="AN176" s="215"/>
      <c r="AO176" s="215"/>
      <c r="AP176" s="215"/>
      <c r="AQ176" s="213"/>
      <c r="AR176" s="210"/>
      <c r="AS176" s="210"/>
      <c r="AT176" s="210"/>
      <c r="AU176" s="214"/>
      <c r="AV176" s="215"/>
      <c r="AW176" s="215"/>
      <c r="AX176" s="215"/>
      <c r="AY176" s="215"/>
      <c r="AZ176" s="213"/>
      <c r="BA176" s="210"/>
      <c r="BB176" s="210"/>
      <c r="BC176" s="210"/>
      <c r="BD176" s="214"/>
      <c r="BE176" s="215"/>
      <c r="BF176" s="215"/>
      <c r="BG176" s="215"/>
      <c r="BH176" s="215"/>
      <c r="BI176" s="213"/>
      <c r="BJ176" s="210"/>
      <c r="BK176" s="210"/>
      <c r="BL176" s="210"/>
      <c r="BM176" s="214"/>
      <c r="BN176" s="215"/>
      <c r="BO176" s="215"/>
      <c r="BP176" s="215"/>
      <c r="BQ176" s="215"/>
      <c r="BR176" s="177"/>
      <c r="BS176" s="210"/>
      <c r="BT176" s="210"/>
      <c r="BU176" s="210"/>
      <c r="BV176" s="213"/>
      <c r="BW176" s="215"/>
      <c r="BX176" s="215"/>
      <c r="BY176" s="215"/>
      <c r="BZ176" s="215"/>
      <c r="CA176" s="210"/>
      <c r="CB176" s="216"/>
      <c r="CC176" s="216"/>
      <c r="CD176" s="216"/>
      <c r="CE176" s="216"/>
      <c r="CF176" s="215"/>
      <c r="CG176" s="215"/>
      <c r="CH176" s="215"/>
      <c r="CI176" s="215"/>
      <c r="CJ176" s="210"/>
      <c r="CK176" s="210"/>
      <c r="CL176" s="210"/>
      <c r="CM176" s="210"/>
      <c r="CN176" s="210"/>
      <c r="CO176" s="215"/>
      <c r="CP176" s="215"/>
      <c r="CQ176" s="215"/>
      <c r="CR176" s="215"/>
      <c r="CS176" s="210"/>
      <c r="CT176" s="210"/>
      <c r="CU176" s="210"/>
      <c r="CV176" s="217"/>
      <c r="CW176" s="218"/>
    </row>
    <row r="177" spans="1:101" ht="14.25" thickTop="1" thickBot="1" x14ac:dyDescent="0.25">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392"/>
      <c r="CC177" s="392"/>
      <c r="CD177" s="392"/>
      <c r="CE177" s="392"/>
      <c r="CF177" s="218"/>
      <c r="CG177" s="218"/>
      <c r="CH177" s="218"/>
      <c r="CI177" s="218"/>
      <c r="CJ177" s="218"/>
      <c r="CK177" s="218"/>
      <c r="CL177" s="218"/>
      <c r="CM177" s="218"/>
      <c r="CN177" s="218"/>
      <c r="CO177" s="218"/>
      <c r="CP177" s="218"/>
      <c r="CQ177" s="218"/>
      <c r="CR177" s="218"/>
      <c r="CS177" s="218"/>
      <c r="CT177" s="218"/>
      <c r="CU177" s="218"/>
      <c r="CV177" s="218"/>
      <c r="CW177" s="218"/>
    </row>
    <row r="178" spans="1:101" ht="21" thickTop="1" x14ac:dyDescent="0.3">
      <c r="A178" s="219"/>
      <c r="B178" s="219"/>
      <c r="C178" s="157"/>
      <c r="D178" s="158"/>
      <c r="E178" s="731" t="s">
        <v>44</v>
      </c>
      <c r="F178" s="229"/>
      <c r="G178" s="229"/>
      <c r="H178" s="229"/>
      <c r="I178" s="877" t="e" vm="1">
        <v>#VALUE!</v>
      </c>
      <c r="J178" s="877"/>
      <c r="K178" s="877"/>
      <c r="L178" s="877"/>
      <c r="M178" s="159"/>
      <c r="N178" s="159"/>
      <c r="O178" s="159"/>
      <c r="P178" s="160"/>
      <c r="Q178" s="159"/>
      <c r="R178" s="159"/>
      <c r="S178" s="159"/>
      <c r="T178" s="161"/>
      <c r="U178" s="162"/>
      <c r="V178" s="162"/>
      <c r="W178" s="162"/>
      <c r="X178" s="162"/>
      <c r="Y178" s="160"/>
      <c r="Z178" s="159"/>
      <c r="AA178" s="159"/>
      <c r="AB178" s="159"/>
      <c r="AC178" s="161"/>
      <c r="AD178" s="162"/>
      <c r="AE178" s="162"/>
      <c r="AF178" s="162"/>
      <c r="AG178" s="162"/>
      <c r="AH178" s="160"/>
      <c r="AI178" s="159"/>
      <c r="AJ178" s="201"/>
      <c r="AK178" s="201"/>
      <c r="AL178" s="164"/>
      <c r="AM178" s="162"/>
      <c r="AN178" s="162"/>
      <c r="AO178" s="162"/>
      <c r="AP178" s="162"/>
      <c r="AQ178" s="202"/>
      <c r="AR178" s="203"/>
      <c r="AS178" s="165"/>
      <c r="AT178" s="166"/>
      <c r="AU178" s="164"/>
      <c r="AV178" s="162"/>
      <c r="AW178" s="162"/>
      <c r="AX178" s="162"/>
      <c r="AY178" s="162"/>
      <c r="AZ178" s="202"/>
      <c r="BA178" s="203"/>
      <c r="BB178" s="166"/>
      <c r="BC178" s="201"/>
      <c r="BD178" s="204"/>
      <c r="BE178" s="162"/>
      <c r="BF178" s="162"/>
      <c r="BG178" s="162"/>
      <c r="BH178" s="162"/>
      <c r="BI178" s="205"/>
      <c r="BJ178" s="201"/>
      <c r="BK178" s="201"/>
      <c r="BL178" s="201"/>
      <c r="BM178" s="204"/>
      <c r="BN178" s="162"/>
      <c r="BO178" s="162"/>
      <c r="BP178" s="162"/>
      <c r="BQ178" s="162"/>
      <c r="BR178" s="167"/>
      <c r="BS178" s="201"/>
      <c r="BT178" s="201"/>
      <c r="BU178" s="201"/>
      <c r="BV178" s="205"/>
      <c r="BW178" s="162"/>
      <c r="BX178" s="162"/>
      <c r="BY178" s="162"/>
      <c r="BZ178" s="162"/>
      <c r="CA178" s="201"/>
      <c r="CB178" s="393"/>
      <c r="CC178" s="393"/>
      <c r="CD178" s="393"/>
      <c r="CE178" s="393"/>
      <c r="CF178" s="162"/>
      <c r="CG178" s="162"/>
      <c r="CH178" s="162"/>
      <c r="CI178" s="162"/>
      <c r="CJ178" s="163"/>
      <c r="CK178" s="163"/>
      <c r="CL178" s="163"/>
      <c r="CM178" s="163"/>
      <c r="CN178" s="163"/>
      <c r="CO178" s="162"/>
      <c r="CP178" s="162"/>
      <c r="CQ178" s="162"/>
      <c r="CR178" s="162"/>
      <c r="CS178" s="163"/>
      <c r="CT178" s="358"/>
      <c r="CU178" s="201"/>
      <c r="CV178" s="206"/>
      <c r="CW178" s="218"/>
    </row>
    <row r="179" spans="1:101" ht="15.75" customHeight="1" thickBot="1" x14ac:dyDescent="0.25">
      <c r="A179" s="219"/>
      <c r="B179" s="219"/>
      <c r="C179" s="168"/>
      <c r="D179" s="785"/>
      <c r="E179" s="869" t="s">
        <v>45</v>
      </c>
      <c r="F179" s="363"/>
      <c r="G179" s="363"/>
      <c r="H179" s="363"/>
      <c r="I179" s="878"/>
      <c r="J179" s="878"/>
      <c r="K179" s="878"/>
      <c r="L179" s="878"/>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H179" s="363"/>
      <c r="BI179" s="363"/>
      <c r="BJ179" s="363"/>
      <c r="BK179" s="363"/>
      <c r="BL179" s="363"/>
      <c r="BM179" s="363"/>
      <c r="BN179" s="363"/>
      <c r="BO179" s="363"/>
      <c r="BP179" s="363"/>
      <c r="BQ179" s="363"/>
      <c r="BR179" s="363"/>
      <c r="BS179" s="363"/>
      <c r="BT179" s="363"/>
      <c r="BU179" s="363"/>
      <c r="BV179" s="363"/>
      <c r="BW179" s="363"/>
      <c r="BX179" s="363"/>
      <c r="BY179" s="363"/>
      <c r="BZ179" s="363"/>
      <c r="CA179" s="363"/>
      <c r="CB179" s="394"/>
      <c r="CC179" s="394"/>
      <c r="CD179" s="394"/>
      <c r="CE179" s="394"/>
      <c r="CF179" s="363"/>
      <c r="CG179" s="363"/>
      <c r="CH179" s="363"/>
      <c r="CI179" s="363"/>
      <c r="CJ179" s="363"/>
      <c r="CK179" s="363"/>
      <c r="CL179" s="363"/>
      <c r="CM179" s="363"/>
      <c r="CN179" s="323"/>
      <c r="CO179" s="363"/>
      <c r="CP179" s="363"/>
      <c r="CQ179" s="363"/>
      <c r="CR179" s="363"/>
      <c r="CS179" s="323"/>
      <c r="CT179" s="155"/>
      <c r="CU179" s="269"/>
      <c r="CV179" s="209"/>
      <c r="CW179" s="218"/>
    </row>
    <row r="180" spans="1:101" ht="18.75" customHeight="1" thickTop="1" x14ac:dyDescent="0.2">
      <c r="A180" s="219"/>
      <c r="B180" s="219"/>
      <c r="C180" s="174"/>
      <c r="D180" s="778"/>
      <c r="E180" s="777"/>
      <c r="F180" s="235"/>
      <c r="G180" s="234"/>
      <c r="H180" s="234"/>
      <c r="I180" s="875">
        <f>WEEKNUM(E181)</f>
        <v>41</v>
      </c>
      <c r="J180" s="875"/>
      <c r="K180" s="875"/>
      <c r="L180" s="250"/>
      <c r="M180" s="261"/>
      <c r="N180" s="205"/>
      <c r="O180" s="236"/>
      <c r="P180" s="236"/>
      <c r="Q180" s="675">
        <f>IF($F184="","",SUM(Q196:S196)-S182)</f>
        <v>888</v>
      </c>
      <c r="R180" s="675"/>
      <c r="S180" s="675"/>
      <c r="T180" s="237"/>
      <c r="U180" s="238"/>
      <c r="V180" s="238"/>
      <c r="W180" s="238"/>
      <c r="X180" s="238"/>
      <c r="Y180" s="236"/>
      <c r="Z180" s="675">
        <f>IF($F184="","",SUM(Z196:AB196)-AB182)</f>
        <v>888</v>
      </c>
      <c r="AA180" s="675"/>
      <c r="AB180" s="675"/>
      <c r="AC180" s="237"/>
      <c r="AD180" s="238"/>
      <c r="AE180" s="238"/>
      <c r="AF180" s="238"/>
      <c r="AG180" s="238"/>
      <c r="AH180" s="236"/>
      <c r="AI180" s="675">
        <f>IF($F184="","",SUM(AI196:AK196)-AK182)</f>
        <v>888</v>
      </c>
      <c r="AJ180" s="675"/>
      <c r="AK180" s="675"/>
      <c r="AL180" s="237"/>
      <c r="AM180" s="238"/>
      <c r="AN180" s="238"/>
      <c r="AO180" s="238"/>
      <c r="AP180" s="238"/>
      <c r="AQ180" s="236"/>
      <c r="AR180" s="675">
        <f>IF($F184="","",SUM(AR196:AT196)-AT182)</f>
        <v>888</v>
      </c>
      <c r="AS180" s="675"/>
      <c r="AT180" s="675"/>
      <c r="AU180" s="239"/>
      <c r="AV180" s="238"/>
      <c r="AW180" s="238"/>
      <c r="AX180" s="238"/>
      <c r="AY180" s="238"/>
      <c r="AZ180" s="240"/>
      <c r="BA180" s="675">
        <f>IF($F184="","",SUM(BA196:BC196)-BC182)</f>
        <v>888</v>
      </c>
      <c r="BB180" s="675"/>
      <c r="BC180" s="675"/>
      <c r="BD180" s="239"/>
      <c r="BE180" s="238"/>
      <c r="BF180" s="238"/>
      <c r="BG180" s="238"/>
      <c r="BH180" s="238"/>
      <c r="BI180" s="240"/>
      <c r="BJ180" s="675">
        <f>IF($F184="","",SUM(BJ196:BL196)-BL182)</f>
        <v>888</v>
      </c>
      <c r="BK180" s="675"/>
      <c r="BL180" s="675"/>
      <c r="BM180" s="239"/>
      <c r="BN180" s="238"/>
      <c r="BO180" s="238"/>
      <c r="BP180" s="238"/>
      <c r="BQ180" s="238"/>
      <c r="BR180" s="241"/>
      <c r="BS180" s="675">
        <f>IF($F184="","",SUM(BS196:BU196)-BU182)</f>
        <v>888</v>
      </c>
      <c r="BT180" s="675"/>
      <c r="BU180" s="675"/>
      <c r="BV180" s="240"/>
      <c r="BW180" s="238"/>
      <c r="BX180" s="238"/>
      <c r="BY180" s="238"/>
      <c r="BZ180" s="238"/>
      <c r="CA180" s="241"/>
      <c r="CB180" s="675">
        <f>IF($F184="","",SUM(CB196:CD196)-CD182)</f>
        <v>888</v>
      </c>
      <c r="CC180" s="675"/>
      <c r="CD180" s="675"/>
      <c r="CE180" s="240"/>
      <c r="CF180" s="238"/>
      <c r="CG180" s="238"/>
      <c r="CH180" s="238"/>
      <c r="CI180" s="238"/>
      <c r="CJ180" s="234"/>
      <c r="CK180" s="675">
        <f>IF($F184="","",SUM(CK196:CM196))</f>
        <v>888</v>
      </c>
      <c r="CL180" s="675"/>
      <c r="CM180" s="675"/>
      <c r="CN180" s="240"/>
      <c r="CO180" s="238"/>
      <c r="CP180" s="238"/>
      <c r="CQ180" s="238"/>
      <c r="CR180" s="238"/>
      <c r="CS180" s="234"/>
      <c r="CT180" s="234"/>
      <c r="CU180" s="251"/>
      <c r="CV180" s="209"/>
      <c r="CW180" s="218"/>
    </row>
    <row r="181" spans="1:101" ht="12.75" customHeight="1" x14ac:dyDescent="0.2">
      <c r="A181" s="219"/>
      <c r="B181" s="219"/>
      <c r="C181" s="174"/>
      <c r="D181" s="779"/>
      <c r="E181" s="543">
        <f>E159+7</f>
        <v>46305</v>
      </c>
      <c r="F181" s="178"/>
      <c r="G181" s="179"/>
      <c r="H181" s="179"/>
      <c r="I181" s="876"/>
      <c r="J181" s="876"/>
      <c r="K181" s="876"/>
      <c r="L181" s="254"/>
      <c r="M181" s="329"/>
      <c r="N181" s="208"/>
      <c r="O181" s="180"/>
      <c r="P181" s="180"/>
      <c r="Q181" s="584">
        <f>IF(Q180="","",Q180/Data!$X$1)</f>
        <v>0.74</v>
      </c>
      <c r="R181" s="584"/>
      <c r="S181" s="585" t="str">
        <f>IF(SUM(X184:X195)=0,"",SUM(X184:X195))</f>
        <v/>
      </c>
      <c r="T181" s="181"/>
      <c r="U181" s="182"/>
      <c r="V181" s="182"/>
      <c r="W181" s="182"/>
      <c r="X181" s="182"/>
      <c r="Y181" s="180"/>
      <c r="Z181" s="584">
        <f>IF(Z180="","",Z180/Data!$X$1)</f>
        <v>0.74</v>
      </c>
      <c r="AA181" s="584"/>
      <c r="AB181" s="585" t="str">
        <f>IF(SUM(AG184:AG195)=0,"",SUM(AG184:AG195))</f>
        <v/>
      </c>
      <c r="AC181" s="181"/>
      <c r="AD181" s="182"/>
      <c r="AE181" s="182"/>
      <c r="AF181" s="182"/>
      <c r="AG181" s="182"/>
      <c r="AH181" s="180"/>
      <c r="AI181" s="584">
        <f>IF(AI180="","",AI180/Data!$X$1)</f>
        <v>0.74</v>
      </c>
      <c r="AJ181" s="584"/>
      <c r="AK181" s="585" t="str">
        <f>IF(SUM(AP184:AP195)=0,"",SUM(AP184:AP195))</f>
        <v/>
      </c>
      <c r="AL181" s="181"/>
      <c r="AM181" s="182"/>
      <c r="AN181" s="182"/>
      <c r="AO181" s="182"/>
      <c r="AP181" s="182"/>
      <c r="AQ181" s="180"/>
      <c r="AR181" s="584">
        <f>IF(AR180="","",AR180/Data!$X$1)</f>
        <v>0.74</v>
      </c>
      <c r="AS181" s="584"/>
      <c r="AT181" s="585" t="str">
        <f>IF(SUM(AY184:AY195)=0,"",SUM(AY184:AY195))</f>
        <v/>
      </c>
      <c r="AU181" s="183"/>
      <c r="AV181" s="182"/>
      <c r="AW181" s="182"/>
      <c r="AX181" s="182"/>
      <c r="AY181" s="182"/>
      <c r="AZ181" s="184"/>
      <c r="BA181" s="584">
        <f>IF(BA180="","",BA180/Data!$X$1)</f>
        <v>0.74</v>
      </c>
      <c r="BB181" s="584"/>
      <c r="BC181" s="585" t="str">
        <f>IF(SUM(BH184:BH195)=0,"",SUM(BH184:BH195))</f>
        <v/>
      </c>
      <c r="BD181" s="183"/>
      <c r="BE181" s="182"/>
      <c r="BF181" s="182"/>
      <c r="BG181" s="182"/>
      <c r="BH181" s="182"/>
      <c r="BI181" s="184"/>
      <c r="BJ181" s="584">
        <f>IF(BJ180="","",BJ180/Data!$X$1)</f>
        <v>0.74</v>
      </c>
      <c r="BK181" s="584"/>
      <c r="BL181" s="585" t="str">
        <f>IF(SUM(BQ184:BQ195)=0,"",SUM(BQ184:BQ195))</f>
        <v/>
      </c>
      <c r="BM181" s="183"/>
      <c r="BN181" s="182"/>
      <c r="BO181" s="182"/>
      <c r="BP181" s="182"/>
      <c r="BQ181" s="182"/>
      <c r="BR181" s="185"/>
      <c r="BS181" s="584">
        <f>IF(BS180="","",BS180/Data!$X$1)</f>
        <v>0.74</v>
      </c>
      <c r="BT181" s="584"/>
      <c r="BU181" s="585" t="str">
        <f>IF(SUM(BZ184:BZ195)=0,"",SUM(BZ184:BZ195))</f>
        <v/>
      </c>
      <c r="BV181" s="184"/>
      <c r="BW181" s="182"/>
      <c r="BX181" s="182"/>
      <c r="BY181" s="182"/>
      <c r="BZ181" s="182"/>
      <c r="CA181" s="185"/>
      <c r="CB181" s="584">
        <f>IF(CB180="","",CB180/Data!$X$1)</f>
        <v>0.74</v>
      </c>
      <c r="CC181" s="584"/>
      <c r="CD181" s="585" t="str">
        <f>IF(SUM(CI184:CI195)=0,"",SUM(CI184:CI195))</f>
        <v/>
      </c>
      <c r="CE181" s="184"/>
      <c r="CF181" s="182"/>
      <c r="CG181" s="182"/>
      <c r="CH181" s="182"/>
      <c r="CI181" s="182"/>
      <c r="CJ181" s="182"/>
      <c r="CK181" s="584">
        <f>IF(CK180="","",CK180/Data!$X$1)</f>
        <v>0.74</v>
      </c>
      <c r="CL181" s="584"/>
      <c r="CM181" s="585" t="str">
        <f>IF(SUM(CR184:CR195)=0,"",SUM(CR184:CR195))</f>
        <v/>
      </c>
      <c r="CN181" s="184"/>
      <c r="CO181" s="182"/>
      <c r="CP181" s="182"/>
      <c r="CQ181" s="182"/>
      <c r="CR181" s="182"/>
      <c r="CS181" s="182"/>
      <c r="CT181" s="182"/>
      <c r="CU181" s="255"/>
      <c r="CV181" s="209"/>
      <c r="CW181" s="218"/>
    </row>
    <row r="182" spans="1:101" ht="13.5" thickBot="1" x14ac:dyDescent="0.25">
      <c r="A182" s="219"/>
      <c r="B182" s="219"/>
      <c r="C182" s="174"/>
      <c r="D182" s="230"/>
      <c r="E182" s="359"/>
      <c r="F182" s="186"/>
      <c r="G182" s="187"/>
      <c r="H182" s="187"/>
      <c r="I182" s="673"/>
      <c r="J182" s="674"/>
      <c r="K182" s="674"/>
      <c r="L182" s="256"/>
      <c r="M182" s="330"/>
      <c r="N182" s="334"/>
      <c r="O182" s="187"/>
      <c r="P182" s="187"/>
      <c r="Q182" s="342" t="str">
        <f>Data!$E$11</f>
        <v>AHH</v>
      </c>
      <c r="R182" s="343">
        <f>IF($F195="","",RANK(Q180,$Q180:$CL180))</f>
        <v>1</v>
      </c>
      <c r="S182" s="466"/>
      <c r="T182" s="181"/>
      <c r="U182" s="182"/>
      <c r="V182" s="182"/>
      <c r="W182" s="182"/>
      <c r="X182" s="197">
        <f>COUNTIF(U184:W195,"&gt;0")</f>
        <v>12</v>
      </c>
      <c r="Y182" s="180"/>
      <c r="Z182" s="342" t="str">
        <f>Data!$E$12</f>
        <v>RB</v>
      </c>
      <c r="AA182" s="343">
        <f>IF($F195="","",RANK(Z180,$Q180:$CL180))</f>
        <v>1</v>
      </c>
      <c r="AB182" s="466"/>
      <c r="AC182" s="181"/>
      <c r="AD182" s="182"/>
      <c r="AE182" s="182"/>
      <c r="AF182" s="182"/>
      <c r="AG182" s="197">
        <f>COUNTIF(AD184:AF195,"&gt;0")</f>
        <v>12</v>
      </c>
      <c r="AH182" s="180"/>
      <c r="AI182" s="342" t="str">
        <f>Data!$E$13</f>
        <v>EB</v>
      </c>
      <c r="AJ182" s="343">
        <f>IF($F195="","",RANK(AI180,$Q180:$CL180))</f>
        <v>1</v>
      </c>
      <c r="AK182" s="466"/>
      <c r="AL182" s="181"/>
      <c r="AM182" s="182"/>
      <c r="AN182" s="182"/>
      <c r="AO182" s="182"/>
      <c r="AP182" s="197">
        <f>COUNTIF(AM184:AO195,"&gt;0")</f>
        <v>12</v>
      </c>
      <c r="AQ182" s="180"/>
      <c r="AR182" s="305" t="str">
        <f>Data!$E$14</f>
        <v>KAF</v>
      </c>
      <c r="AS182" s="343">
        <f>IF($F195="","",RANK(AR180,$Q180:$CL180))</f>
        <v>1</v>
      </c>
      <c r="AT182" s="466"/>
      <c r="AU182" s="181"/>
      <c r="AV182" s="182"/>
      <c r="AW182" s="182"/>
      <c r="AX182" s="182"/>
      <c r="AY182" s="197">
        <f>COUNTIF(AV184:AX195,"&gt;0")</f>
        <v>12</v>
      </c>
      <c r="AZ182" s="180"/>
      <c r="BA182" s="305" t="str">
        <f>Data!$E$15</f>
        <v>ØG</v>
      </c>
      <c r="BB182" s="343">
        <f>IF($F195="","",RANK(BA180,$Q180:$CL180))</f>
        <v>1</v>
      </c>
      <c r="BC182" s="466"/>
      <c r="BD182" s="181"/>
      <c r="BE182" s="182"/>
      <c r="BF182" s="182"/>
      <c r="BG182" s="182"/>
      <c r="BH182" s="197">
        <f>COUNTIF(BE184:BG195,"&gt;0")</f>
        <v>12</v>
      </c>
      <c r="BI182" s="180"/>
      <c r="BJ182" s="305" t="str">
        <f>Data!$E$16</f>
        <v>JH</v>
      </c>
      <c r="BK182" s="343">
        <f>IF($F195="","",RANK(BJ180,$Q180:$CL180))</f>
        <v>1</v>
      </c>
      <c r="BL182" s="466"/>
      <c r="BM182" s="181"/>
      <c r="BN182" s="182"/>
      <c r="BO182" s="182"/>
      <c r="BP182" s="182"/>
      <c r="BQ182" s="197">
        <f>COUNTIF(BN184:BP195,"&gt;0")</f>
        <v>12</v>
      </c>
      <c r="BR182" s="188"/>
      <c r="BS182" s="305" t="str">
        <f>Data!$E$17</f>
        <v>TOH</v>
      </c>
      <c r="BT182" s="343">
        <f>IF($F195="","",RANK(BS180,$Q180:$CL180))</f>
        <v>1</v>
      </c>
      <c r="BU182" s="466"/>
      <c r="BV182" s="180"/>
      <c r="BW182" s="182"/>
      <c r="BX182" s="182"/>
      <c r="BY182" s="182"/>
      <c r="BZ182" s="197">
        <f>COUNTIF(BW184:BY195,"&gt;0")</f>
        <v>12</v>
      </c>
      <c r="CA182" s="188"/>
      <c r="CB182" s="305" t="s">
        <v>26</v>
      </c>
      <c r="CC182" s="343">
        <f>IF($F195="","",RANK(CB180,$Q180:$CM180))</f>
        <v>1</v>
      </c>
      <c r="CD182" s="467"/>
      <c r="CE182" s="180"/>
      <c r="CF182" s="182"/>
      <c r="CG182" s="182"/>
      <c r="CH182" s="182"/>
      <c r="CI182" s="197">
        <f>COUNTIF(CF184:CH195,"&gt;0")</f>
        <v>12</v>
      </c>
      <c r="CJ182" s="182"/>
      <c r="CK182" s="305" t="s">
        <v>27</v>
      </c>
      <c r="CL182" s="343">
        <f>IF($F195="","",RANK(CK180,$Q180:$CM180))</f>
        <v>1</v>
      </c>
      <c r="CM182" s="669"/>
      <c r="CN182" s="180"/>
      <c r="CO182" s="182"/>
      <c r="CP182" s="182"/>
      <c r="CQ182" s="182"/>
      <c r="CR182" s="197">
        <f>COUNTIF(CO184:CQ195,"&gt;0")</f>
        <v>12</v>
      </c>
      <c r="CS182" s="182"/>
      <c r="CT182" s="182"/>
      <c r="CU182" s="255"/>
      <c r="CV182" s="209"/>
      <c r="CW182" s="218"/>
    </row>
    <row r="183" spans="1:101" ht="13.5" thickBot="1" x14ac:dyDescent="0.25">
      <c r="A183" s="227"/>
      <c r="B183" s="227"/>
      <c r="C183" s="168"/>
      <c r="D183" s="231"/>
      <c r="E183" s="189"/>
      <c r="F183" s="190"/>
      <c r="G183" s="191"/>
      <c r="H183" s="191"/>
      <c r="I183" s="192" t="s">
        <v>47</v>
      </c>
      <c r="J183" s="193" t="s">
        <v>48</v>
      </c>
      <c r="K183" s="194" t="s">
        <v>49</v>
      </c>
      <c r="L183" s="257"/>
      <c r="M183" s="331"/>
      <c r="N183" s="335"/>
      <c r="O183" s="195"/>
      <c r="P183" s="195"/>
      <c r="Q183" s="192" t="s">
        <v>47</v>
      </c>
      <c r="R183" s="193" t="s">
        <v>48</v>
      </c>
      <c r="S183" s="194" t="s">
        <v>49</v>
      </c>
      <c r="T183" s="196"/>
      <c r="U183" s="197"/>
      <c r="V183" s="197"/>
      <c r="W183" s="197"/>
      <c r="X183" s="197"/>
      <c r="Y183" s="195"/>
      <c r="Z183" s="192" t="s">
        <v>47</v>
      </c>
      <c r="AA183" s="193" t="s">
        <v>48</v>
      </c>
      <c r="AB183" s="194" t="s">
        <v>49</v>
      </c>
      <c r="AC183" s="196"/>
      <c r="AD183" s="197"/>
      <c r="AE183" s="197"/>
      <c r="AF183" s="197"/>
      <c r="AG183" s="197"/>
      <c r="AH183" s="195"/>
      <c r="AI183" s="192" t="s">
        <v>47</v>
      </c>
      <c r="AJ183" s="193" t="s">
        <v>48</v>
      </c>
      <c r="AK183" s="194" t="s">
        <v>49</v>
      </c>
      <c r="AL183" s="196"/>
      <c r="AM183" s="197"/>
      <c r="AN183" s="197"/>
      <c r="AO183" s="197"/>
      <c r="AP183" s="197"/>
      <c r="AQ183" s="195"/>
      <c r="AR183" s="192" t="s">
        <v>47</v>
      </c>
      <c r="AS183" s="193" t="s">
        <v>48</v>
      </c>
      <c r="AT183" s="194" t="s">
        <v>49</v>
      </c>
      <c r="AU183" s="196"/>
      <c r="AV183" s="197"/>
      <c r="AW183" s="197"/>
      <c r="AX183" s="197"/>
      <c r="AY183" s="197"/>
      <c r="AZ183" s="195"/>
      <c r="BA183" s="192" t="s">
        <v>47</v>
      </c>
      <c r="BB183" s="193" t="s">
        <v>48</v>
      </c>
      <c r="BC183" s="194" t="s">
        <v>49</v>
      </c>
      <c r="BD183" s="196"/>
      <c r="BE183" s="197"/>
      <c r="BF183" s="197"/>
      <c r="BG183" s="197"/>
      <c r="BH183" s="197"/>
      <c r="BI183" s="195"/>
      <c r="BJ183" s="192" t="s">
        <v>47</v>
      </c>
      <c r="BK183" s="193" t="s">
        <v>48</v>
      </c>
      <c r="BL183" s="194" t="s">
        <v>49</v>
      </c>
      <c r="BM183" s="196"/>
      <c r="BN183" s="197"/>
      <c r="BO183" s="197"/>
      <c r="BP183" s="197"/>
      <c r="BQ183" s="197"/>
      <c r="BR183" s="195"/>
      <c r="BS183" s="192" t="s">
        <v>47</v>
      </c>
      <c r="BT183" s="193" t="s">
        <v>48</v>
      </c>
      <c r="BU183" s="194" t="s">
        <v>49</v>
      </c>
      <c r="BV183" s="196"/>
      <c r="BW183" s="197"/>
      <c r="BX183" s="197"/>
      <c r="BY183" s="197"/>
      <c r="BZ183" s="197"/>
      <c r="CA183" s="195"/>
      <c r="CB183" s="192" t="s">
        <v>47</v>
      </c>
      <c r="CC183" s="193" t="s">
        <v>48</v>
      </c>
      <c r="CD183" s="194" t="s">
        <v>49</v>
      </c>
      <c r="CE183" s="196"/>
      <c r="CF183" s="197"/>
      <c r="CG183" s="197"/>
      <c r="CH183" s="197"/>
      <c r="CI183" s="197"/>
      <c r="CJ183" s="197"/>
      <c r="CK183" s="192" t="s">
        <v>47</v>
      </c>
      <c r="CL183" s="193" t="s">
        <v>48</v>
      </c>
      <c r="CM183" s="194" t="s">
        <v>49</v>
      </c>
      <c r="CN183" s="196"/>
      <c r="CO183" s="197"/>
      <c r="CP183" s="197"/>
      <c r="CQ183" s="197"/>
      <c r="CR183" s="197"/>
      <c r="CS183" s="197"/>
      <c r="CT183" s="198"/>
      <c r="CU183" s="255"/>
      <c r="CV183" s="209"/>
      <c r="CW183" s="228"/>
    </row>
    <row r="184" spans="1:101" x14ac:dyDescent="0.2">
      <c r="A184" s="227"/>
      <c r="B184" s="227"/>
      <c r="C184" s="168"/>
      <c r="D184" s="232"/>
      <c r="E184" s="134" t="s">
        <v>149</v>
      </c>
      <c r="F184" s="424">
        <v>1</v>
      </c>
      <c r="G184" s="428" t="s">
        <v>51</v>
      </c>
      <c r="H184" s="429">
        <v>1</v>
      </c>
      <c r="I184" s="138" t="str">
        <f t="shared" ref="I184:I195" si="260">IF($F184&gt;$H184,"x","")</f>
        <v/>
      </c>
      <c r="J184" s="344" t="str">
        <f t="shared" ref="J184:J195" si="261">IF(F184&lt;&gt;"",IF(H184&lt;&gt;"",IF(F184=H184,"x",""),""),"")</f>
        <v>x</v>
      </c>
      <c r="K184" s="345" t="str">
        <f t="shared" ref="K184:K195" si="262">IF($F184&lt;$H184,"x","")</f>
        <v/>
      </c>
      <c r="L184" s="258"/>
      <c r="M184" s="332"/>
      <c r="N184" s="336"/>
      <c r="O184" s="200"/>
      <c r="P184" s="200"/>
      <c r="Q184" s="436">
        <v>10</v>
      </c>
      <c r="R184" s="437">
        <v>80</v>
      </c>
      <c r="S184" s="438">
        <f t="shared" ref="S184:S195" si="263">IF(Q184="","",100-SUM(Q184:R184))</f>
        <v>10</v>
      </c>
      <c r="T184" s="328"/>
      <c r="U184" s="197" t="str">
        <f>IF(AND($I184="x",AND(MAX(Q184:S184)=Q184,Q184&gt;=0)),Data!$BI$2,"")</f>
        <v/>
      </c>
      <c r="V184" s="197">
        <f>IF(AND($J184="x",AND(MAX(Q184:S184)=R184,R184&gt;=0)),Data!$BJ$2,"")</f>
        <v>74</v>
      </c>
      <c r="W184" s="197" t="str">
        <f>IF(AND($K184="x",AND(MAX(Q184:S184)=S184,S184&gt;=0)),Data!$BK$2,"")</f>
        <v/>
      </c>
      <c r="X184" s="197"/>
      <c r="Y184" s="328"/>
      <c r="Z184" s="451">
        <v>10</v>
      </c>
      <c r="AA184" s="452">
        <v>80</v>
      </c>
      <c r="AB184" s="438">
        <f t="shared" ref="AB184:AB195" si="264">IF(Z184="","",100-SUM(Z184:AA184))</f>
        <v>10</v>
      </c>
      <c r="AC184" s="328"/>
      <c r="AD184" s="197" t="str">
        <f>IF(AND($I184="x",AND(MAX(Z184:AB184)=Z184,Z184&lt;&gt;"")),Data!$BI$2,"")</f>
        <v/>
      </c>
      <c r="AE184" s="197">
        <f>IF(AND($J184="x",AND(MAX(Z184:AB184)=AA184,AA184&lt;&gt;"")),Data!$BJ$2,"")</f>
        <v>74</v>
      </c>
      <c r="AF184" s="197" t="str">
        <f>IF(AND($K184="x",AND(MAX(Z184:AB184)=AB184,AB184&lt;&gt;"")),Data!$BK$2,"")</f>
        <v/>
      </c>
      <c r="AG184" s="197"/>
      <c r="AH184" s="328"/>
      <c r="AI184" s="451">
        <v>10</v>
      </c>
      <c r="AJ184" s="452">
        <v>80</v>
      </c>
      <c r="AK184" s="438">
        <f t="shared" ref="AK184:AK195" si="265">IF(AI184="","",100-SUM(AI184:AJ184))</f>
        <v>10</v>
      </c>
      <c r="AL184" s="328"/>
      <c r="AM184" s="197" t="str">
        <f>IF(AND($I184="x",AND(MAX(AI184:AK184)=AI184,AI184&lt;&gt;"")),Data!$BI$2,"")</f>
        <v/>
      </c>
      <c r="AN184" s="197">
        <f>IF(AND($J184="x",AND(MAX(AI184:AK184)=AJ184,AJ184&lt;&gt;"")),Data!$BJ$2,"")</f>
        <v>74</v>
      </c>
      <c r="AO184" s="197" t="str">
        <f>IF(AND($K184="x",AND(MAX(AI184:AK184)=AK184,AK184&lt;&gt;"")),Data!$BK$2,"")</f>
        <v/>
      </c>
      <c r="AP184" s="197"/>
      <c r="AQ184" s="328"/>
      <c r="AR184" s="451">
        <v>10</v>
      </c>
      <c r="AS184" s="452">
        <v>80</v>
      </c>
      <c r="AT184" s="438">
        <f t="shared" ref="AT184:AT195" si="266">IF(AR184="","",100-SUM(AR184:AS184))</f>
        <v>10</v>
      </c>
      <c r="AU184" s="328"/>
      <c r="AV184" s="197" t="str">
        <f>IF(AND($I184="x",AND(MAX(AR184:AT184)=AR184,AR184&lt;&gt;"")),Data!$BI$2,"")</f>
        <v/>
      </c>
      <c r="AW184" s="197">
        <f>IF(AND($J184="x",AND(MAX(AR184:AT184)=AS184,AS184&lt;&gt;"")),Data!$BJ$2,"")</f>
        <v>74</v>
      </c>
      <c r="AX184" s="197" t="str">
        <f>IF(AND($K184="x",AND(MAX(AR184:AT184)=AT184,AT184&lt;&gt;"")),Data!$BK$2,"")</f>
        <v/>
      </c>
      <c r="AY184" s="197"/>
      <c r="AZ184" s="328"/>
      <c r="BA184" s="451">
        <v>10</v>
      </c>
      <c r="BB184" s="452">
        <v>80</v>
      </c>
      <c r="BC184" s="438">
        <f t="shared" ref="BC184:BC195" si="267">IF(BA184="","",100-SUM(BA184:BB184))</f>
        <v>10</v>
      </c>
      <c r="BD184" s="328"/>
      <c r="BE184" s="197" t="str">
        <f>IF(AND($I184="x",AND(MAX(BA184:BC184)=BA184,BA184&lt;&gt;"")),Data!$BI$2,"")</f>
        <v/>
      </c>
      <c r="BF184" s="197">
        <f>IF(AND($J184="x",AND(MAX(BA184:BC184)=BB184,BB184&lt;&gt;"")),Data!$BJ$2,"")</f>
        <v>74</v>
      </c>
      <c r="BG184" s="197" t="str">
        <f>IF(AND($K184="x",AND(MAX(BA184:BC184)=BC184,BC184&lt;&gt;"")),Data!$BK$2,"")</f>
        <v/>
      </c>
      <c r="BH184" s="197"/>
      <c r="BI184" s="328"/>
      <c r="BJ184" s="451">
        <v>10</v>
      </c>
      <c r="BK184" s="452">
        <v>80</v>
      </c>
      <c r="BL184" s="438">
        <f t="shared" ref="BL184:BL195" si="268">IF(BJ184="","",100-SUM(BJ184:BK184))</f>
        <v>10</v>
      </c>
      <c r="BM184" s="328"/>
      <c r="BN184" s="197" t="str">
        <f>IF(AND($I184="x",AND(MAX(BJ184:BL184)=BJ184,BJ184&lt;&gt;"")),Data!$BI$2,"")</f>
        <v/>
      </c>
      <c r="BO184" s="197">
        <f>IF(AND($J184="x",AND(MAX(BJ184:BL184)=BK184,BK184&lt;&gt;"")),Data!$BJ$2,"")</f>
        <v>74</v>
      </c>
      <c r="BP184" s="197" t="str">
        <f>IF(AND($K184="x",AND(MAX(BJ184:BL184)=BL184,BL184&lt;&gt;"")),Data!$BK$2,"")</f>
        <v/>
      </c>
      <c r="BQ184" s="197"/>
      <c r="BR184" s="328"/>
      <c r="BS184" s="451">
        <v>10</v>
      </c>
      <c r="BT184" s="452">
        <v>80</v>
      </c>
      <c r="BU184" s="438">
        <f t="shared" ref="BU184:BU195" si="269">IF(BS184="","",100-SUM(BS184:BT184))</f>
        <v>10</v>
      </c>
      <c r="BV184" s="328"/>
      <c r="BW184" s="197" t="str">
        <f>IF(AND($I184="x",AND(MAX(BS184:BU184)=BS184,BS184&lt;&gt;"")),Data!$BI$2,"")</f>
        <v/>
      </c>
      <c r="BX184" s="197">
        <f>IF(AND($J184="x",AND(MAX(BS184:BU184)=BT184,BT184&lt;&gt;"")),Data!$BJ$2,"")</f>
        <v>74</v>
      </c>
      <c r="BY184" s="197" t="str">
        <f>IF(AND($K184="x",AND(MAX(BS184:BU184)=BU184,BU184&lt;&gt;"")),Data!$BK$2,"")</f>
        <v/>
      </c>
      <c r="BZ184" s="197"/>
      <c r="CA184" s="328"/>
      <c r="CB184" s="457">
        <f t="shared" ref="CB184:CB195" si="270">IFERROR(ROUNDUP((SUM(Q184,Z184,AI184,AR184,BA184,BJ184,BS184)/SUM($Q184:$S184,$Z184:$AB184,$AI184:$AK184,$AR184:$AT184,$BA184:$BC184,$BJ184:$BL184,$BS184:$BU184))*100,-1),"")</f>
        <v>10</v>
      </c>
      <c r="CC184" s="458">
        <f t="shared" ref="CC184:CC195" si="271">IFERROR(ROUNDDOWN((SUM(R184,AA184,AJ184,AS184,BB184,BK184,BT184)/SUM($Q184:$S184,$Z184:$AB184,$AI184:$AK184,$AR184:$AT184,$BA184:$BC184,$BJ184:$BL184,$BS184:$BU184))*100,-1),"")</f>
        <v>80</v>
      </c>
      <c r="CD184" s="459">
        <f t="shared" ref="CD184:CD195" si="272">IF(CB184="","",100-SUM(CB184:CC184))</f>
        <v>10</v>
      </c>
      <c r="CE184" s="328"/>
      <c r="CF184" s="197" t="str">
        <f>IF(AND($I184="x",AND(MAX(CB184:CD184)=CB184,CB184&lt;&gt;"")),Data!$BI$2,"")</f>
        <v/>
      </c>
      <c r="CG184" s="197">
        <f>IF(AND($J184="x",AND(MAX(CB184:CD184)=CC184,CC184&lt;&gt;"")),Data!$BJ$2,"")</f>
        <v>74</v>
      </c>
      <c r="CH184" s="197" t="str">
        <f>IF(AND($K184="x",AND(MAX(CB184:CD184)=CD184,CD184&lt;&gt;"")),Data!$BK$2,"")</f>
        <v/>
      </c>
      <c r="CI184" s="197"/>
      <c r="CJ184" s="197"/>
      <c r="CK184" s="451">
        <v>10</v>
      </c>
      <c r="CL184" s="452">
        <v>80</v>
      </c>
      <c r="CM184" s="438">
        <f t="shared" ref="CM184:CM195" si="273">IF(CK184="","",100-SUM(CK184:CL184))</f>
        <v>10</v>
      </c>
      <c r="CN184" s="328"/>
      <c r="CO184" s="197" t="str">
        <f>IF(AND($I184="x",AND(MAX(CK184:CM184)=CK184,CK184&lt;&gt;"")),Data!$BI$2,"")</f>
        <v/>
      </c>
      <c r="CP184" s="197">
        <f>IF(AND($J184="x",AND(MAX(CK184:CM184)=CL184,CL184&lt;&gt;"")),Data!$BJ$2,"")</f>
        <v>74</v>
      </c>
      <c r="CQ184" s="197" t="str">
        <f>IF(AND($K184="x",AND(MAX(CK184:CM184)=CM184,CM184&lt;&gt;"")),Data!$BK$2,"")</f>
        <v/>
      </c>
      <c r="CR184" s="197"/>
      <c r="CS184" s="197"/>
      <c r="CT184" s="328"/>
      <c r="CU184" s="255"/>
      <c r="CV184" s="209"/>
      <c r="CW184" s="227"/>
    </row>
    <row r="185" spans="1:101" x14ac:dyDescent="0.2">
      <c r="A185" s="227"/>
      <c r="B185" s="227"/>
      <c r="C185" s="168"/>
      <c r="D185" s="232"/>
      <c r="E185" s="135" t="s">
        <v>150</v>
      </c>
      <c r="F185" s="425">
        <v>1</v>
      </c>
      <c r="G185" s="430" t="s">
        <v>51</v>
      </c>
      <c r="H185" s="431">
        <v>1</v>
      </c>
      <c r="I185" s="346" t="str">
        <f t="shared" si="260"/>
        <v/>
      </c>
      <c r="J185" s="347" t="str">
        <f t="shared" si="261"/>
        <v>x</v>
      </c>
      <c r="K185" s="348" t="str">
        <f t="shared" si="262"/>
        <v/>
      </c>
      <c r="L185" s="258"/>
      <c r="M185" s="332"/>
      <c r="N185" s="336"/>
      <c r="O185" s="200"/>
      <c r="P185" s="200"/>
      <c r="Q185" s="439">
        <v>10</v>
      </c>
      <c r="R185" s="440">
        <v>80</v>
      </c>
      <c r="S185" s="441">
        <f t="shared" si="263"/>
        <v>10</v>
      </c>
      <c r="T185" s="328"/>
      <c r="U185" s="197" t="str">
        <f>IF(AND($I185="x",AND(MAX(Q185:S185)=Q185,Q185&gt;=0)),Data!$BI$2,"")</f>
        <v/>
      </c>
      <c r="V185" s="197">
        <f>IF(AND($J185="x",AND(MAX(Q185:S185)=R185,R185&gt;=0)),Data!$BJ$2,"")</f>
        <v>74</v>
      </c>
      <c r="W185" s="197" t="str">
        <f>IF(AND($K185="x",AND(MAX(Q185:S185)=S185,S185&gt;=0)),Data!$BK$2,"")</f>
        <v/>
      </c>
      <c r="X185" s="197"/>
      <c r="Y185" s="328"/>
      <c r="Z185" s="453">
        <v>10</v>
      </c>
      <c r="AA185" s="454">
        <v>80</v>
      </c>
      <c r="AB185" s="441">
        <f t="shared" si="264"/>
        <v>10</v>
      </c>
      <c r="AC185" s="328"/>
      <c r="AD185" s="197" t="str">
        <f>IF(AND($I185="x",AND(MAX(Z185:AB185)=Z185,Z185&lt;&gt;"")),Data!$BI$2,"")</f>
        <v/>
      </c>
      <c r="AE185" s="197">
        <f>IF(AND($J185="x",AND(MAX(Z185:AB185)=AA185,AA185&lt;&gt;"")),Data!$BJ$2,"")</f>
        <v>74</v>
      </c>
      <c r="AF185" s="197" t="str">
        <f>IF(AND($K185="x",AND(MAX(Z185:AB185)=AB185,AB185&lt;&gt;"")),Data!$BK$2,"")</f>
        <v/>
      </c>
      <c r="AG185" s="197"/>
      <c r="AH185" s="328"/>
      <c r="AI185" s="453">
        <v>10</v>
      </c>
      <c r="AJ185" s="454">
        <v>80</v>
      </c>
      <c r="AK185" s="441">
        <f t="shared" si="265"/>
        <v>10</v>
      </c>
      <c r="AL185" s="328"/>
      <c r="AM185" s="197" t="str">
        <f>IF(AND($I185="x",AND(MAX(AI185:AK185)=AI185,AI185&lt;&gt;"")),Data!$BI$2,"")</f>
        <v/>
      </c>
      <c r="AN185" s="197">
        <f>IF(AND($J185="x",AND(MAX(AI185:AK185)=AJ185,AJ185&lt;&gt;"")),Data!$BJ$2,"")</f>
        <v>74</v>
      </c>
      <c r="AO185" s="197" t="str">
        <f>IF(AND($K185="x",AND(MAX(AI185:AK185)=AK185,AK185&lt;&gt;"")),Data!$BK$2,"")</f>
        <v/>
      </c>
      <c r="AP185" s="197"/>
      <c r="AQ185" s="328"/>
      <c r="AR185" s="453">
        <v>10</v>
      </c>
      <c r="AS185" s="454">
        <v>80</v>
      </c>
      <c r="AT185" s="441">
        <f t="shared" si="266"/>
        <v>10</v>
      </c>
      <c r="AU185" s="328"/>
      <c r="AV185" s="197" t="str">
        <f>IF(AND($I185="x",AND(MAX(AR185:AT185)=AR185,AR185&lt;&gt;"")),Data!$BI$2,"")</f>
        <v/>
      </c>
      <c r="AW185" s="197">
        <f>IF(AND($J185="x",AND(MAX(AR185:AT185)=AS185,AS185&lt;&gt;"")),Data!$BJ$2,"")</f>
        <v>74</v>
      </c>
      <c r="AX185" s="197" t="str">
        <f>IF(AND($K185="x",AND(MAX(AR185:AT185)=AT185,AT185&lt;&gt;"")),Data!$BK$2,"")</f>
        <v/>
      </c>
      <c r="AY185" s="197"/>
      <c r="AZ185" s="328"/>
      <c r="BA185" s="453">
        <v>10</v>
      </c>
      <c r="BB185" s="454">
        <v>80</v>
      </c>
      <c r="BC185" s="441">
        <f t="shared" si="267"/>
        <v>10</v>
      </c>
      <c r="BD185" s="328"/>
      <c r="BE185" s="197" t="str">
        <f>IF(AND($I185="x",AND(MAX(BA185:BC185)=BA185,BA185&lt;&gt;"")),Data!$BI$2,"")</f>
        <v/>
      </c>
      <c r="BF185" s="197">
        <f>IF(AND($J185="x",AND(MAX(BA185:BC185)=BB185,BB185&lt;&gt;"")),Data!$BJ$2,"")</f>
        <v>74</v>
      </c>
      <c r="BG185" s="197" t="str">
        <f>IF(AND($K185="x",AND(MAX(BA185:BC185)=BC185,BC185&lt;&gt;"")),Data!$BK$2,"")</f>
        <v/>
      </c>
      <c r="BH185" s="197"/>
      <c r="BI185" s="328"/>
      <c r="BJ185" s="453">
        <v>10</v>
      </c>
      <c r="BK185" s="454">
        <v>80</v>
      </c>
      <c r="BL185" s="441">
        <f t="shared" si="268"/>
        <v>10</v>
      </c>
      <c r="BM185" s="328"/>
      <c r="BN185" s="197" t="str">
        <f>IF(AND($I185="x",AND(MAX(BJ185:BL185)=BJ185,BJ185&lt;&gt;"")),Data!$BI$2,"")</f>
        <v/>
      </c>
      <c r="BO185" s="197">
        <f>IF(AND($J185="x",AND(MAX(BJ185:BL185)=BK185,BK185&lt;&gt;"")),Data!$BJ$2,"")</f>
        <v>74</v>
      </c>
      <c r="BP185" s="197" t="str">
        <f>IF(AND($K185="x",AND(MAX(BJ185:BL185)=BL185,BL185&lt;&gt;"")),Data!$BK$2,"")</f>
        <v/>
      </c>
      <c r="BQ185" s="197"/>
      <c r="BR185" s="328"/>
      <c r="BS185" s="453">
        <v>10</v>
      </c>
      <c r="BT185" s="454">
        <v>80</v>
      </c>
      <c r="BU185" s="441">
        <f t="shared" si="269"/>
        <v>10</v>
      </c>
      <c r="BV185" s="328"/>
      <c r="BW185" s="197" t="str">
        <f>IF(AND($I185="x",AND(MAX(BS185:BU185)=BS185,BS185&lt;&gt;"")),Data!$BI$2,"")</f>
        <v/>
      </c>
      <c r="BX185" s="197">
        <f>IF(AND($J185="x",AND(MAX(BS185:BU185)=BT185,BT185&lt;&gt;"")),Data!$BJ$2,"")</f>
        <v>74</v>
      </c>
      <c r="BY185" s="197" t="str">
        <f>IF(AND($K185="x",AND(MAX(BS185:BU185)=BU185,BU185&lt;&gt;"")),Data!$BK$2,"")</f>
        <v/>
      </c>
      <c r="BZ185" s="197"/>
      <c r="CA185" s="328"/>
      <c r="CB185" s="460">
        <f t="shared" si="270"/>
        <v>10</v>
      </c>
      <c r="CC185" s="461">
        <f t="shared" si="271"/>
        <v>80</v>
      </c>
      <c r="CD185" s="462">
        <f t="shared" si="272"/>
        <v>10</v>
      </c>
      <c r="CE185" s="328"/>
      <c r="CF185" s="197" t="str">
        <f>IF(AND($I185="x",AND(MAX(CB185:CD185)=CB185,CB185&lt;&gt;"")),Data!$BI$2,"")</f>
        <v/>
      </c>
      <c r="CG185" s="197">
        <f>IF(AND($J185="x",AND(MAX(CB185:CD185)=CC185,CC185&lt;&gt;"")),Data!$BJ$2,"")</f>
        <v>74</v>
      </c>
      <c r="CH185" s="197" t="str">
        <f>IF(AND($K185="x",AND(MAX(CB185:CD185)=CD185,CD185&lt;&gt;"")),Data!$BK$2,"")</f>
        <v/>
      </c>
      <c r="CI185" s="197"/>
      <c r="CJ185" s="197"/>
      <c r="CK185" s="453">
        <v>10</v>
      </c>
      <c r="CL185" s="454">
        <v>80</v>
      </c>
      <c r="CM185" s="441">
        <f t="shared" si="273"/>
        <v>10</v>
      </c>
      <c r="CN185" s="328"/>
      <c r="CO185" s="197" t="str">
        <f>IF(AND($I185="x",AND(MAX(CK185:CM185)=CK185,CK185&lt;&gt;"")),Data!$BI$2,"")</f>
        <v/>
      </c>
      <c r="CP185" s="197">
        <f>IF(AND($J185="x",AND(MAX(CK185:CM185)=CL185,CL185&lt;&gt;"")),Data!$BJ$2,"")</f>
        <v>74</v>
      </c>
      <c r="CQ185" s="197" t="str">
        <f>IF(AND($K185="x",AND(MAX(CK185:CM185)=CM185,CM185&lt;&gt;"")),Data!$BK$2,"")</f>
        <v/>
      </c>
      <c r="CR185" s="197"/>
      <c r="CS185" s="197"/>
      <c r="CT185" s="328"/>
      <c r="CU185" s="255"/>
      <c r="CV185" s="209"/>
      <c r="CW185" s="227"/>
    </row>
    <row r="186" spans="1:101" x14ac:dyDescent="0.2">
      <c r="A186" s="227"/>
      <c r="B186" s="227"/>
      <c r="C186" s="168"/>
      <c r="D186" s="232"/>
      <c r="E186" s="136" t="s">
        <v>151</v>
      </c>
      <c r="F186" s="426">
        <v>1</v>
      </c>
      <c r="G186" s="432" t="s">
        <v>51</v>
      </c>
      <c r="H186" s="433">
        <v>1</v>
      </c>
      <c r="I186" s="349" t="str">
        <f t="shared" si="260"/>
        <v/>
      </c>
      <c r="J186" s="350" t="str">
        <f t="shared" si="261"/>
        <v>x</v>
      </c>
      <c r="K186" s="351" t="str">
        <f t="shared" si="262"/>
        <v/>
      </c>
      <c r="L186" s="258"/>
      <c r="M186" s="332"/>
      <c r="N186" s="336"/>
      <c r="O186" s="200"/>
      <c r="P186" s="200"/>
      <c r="Q186" s="442">
        <v>10</v>
      </c>
      <c r="R186" s="443">
        <v>80</v>
      </c>
      <c r="S186" s="444">
        <f t="shared" si="263"/>
        <v>10</v>
      </c>
      <c r="T186" s="328"/>
      <c r="U186" s="197" t="str">
        <f>IF(AND($I186="x",AND(MAX(Q186:S186)=Q186,Q186&gt;=0)),Data!$BI$2,"")</f>
        <v/>
      </c>
      <c r="V186" s="197">
        <f>IF(AND($J186="x",AND(MAX(Q186:S186)=R186,R186&gt;=0)),Data!$BJ$2,"")</f>
        <v>74</v>
      </c>
      <c r="W186" s="197" t="str">
        <f>IF(AND($K186="x",AND(MAX(Q186:S186)=S186,S186&gt;=0)),Data!$BK$2,"")</f>
        <v/>
      </c>
      <c r="X186" s="197"/>
      <c r="Y186" s="328"/>
      <c r="Z186" s="455">
        <v>10</v>
      </c>
      <c r="AA186" s="456">
        <v>80</v>
      </c>
      <c r="AB186" s="444">
        <f t="shared" si="264"/>
        <v>10</v>
      </c>
      <c r="AC186" s="328"/>
      <c r="AD186" s="197" t="str">
        <f>IF(AND($I186="x",AND(MAX(Z186:AB186)=Z186,Z186&lt;&gt;"")),Data!$BI$2,"")</f>
        <v/>
      </c>
      <c r="AE186" s="197">
        <f>IF(AND($J186="x",AND(MAX(Z186:AB186)=AA186,AA186&lt;&gt;"")),Data!$BJ$2,"")</f>
        <v>74</v>
      </c>
      <c r="AF186" s="197" t="str">
        <f>IF(AND($K186="x",AND(MAX(Z186:AB186)=AB186,AB186&lt;&gt;"")),Data!$BK$2,"")</f>
        <v/>
      </c>
      <c r="AG186" s="197"/>
      <c r="AH186" s="328"/>
      <c r="AI186" s="455">
        <v>10</v>
      </c>
      <c r="AJ186" s="456">
        <v>80</v>
      </c>
      <c r="AK186" s="444">
        <f t="shared" si="265"/>
        <v>10</v>
      </c>
      <c r="AL186" s="328"/>
      <c r="AM186" s="197" t="str">
        <f>IF(AND($I186="x",AND(MAX(AI186:AK186)=AI186,AI186&lt;&gt;"")),Data!$BI$2,"")</f>
        <v/>
      </c>
      <c r="AN186" s="197">
        <f>IF(AND($J186="x",AND(MAX(AI186:AK186)=AJ186,AJ186&lt;&gt;"")),Data!$BJ$2,"")</f>
        <v>74</v>
      </c>
      <c r="AO186" s="197" t="str">
        <f>IF(AND($K186="x",AND(MAX(AI186:AK186)=AK186,AK186&lt;&gt;"")),Data!$BK$2,"")</f>
        <v/>
      </c>
      <c r="AP186" s="197"/>
      <c r="AQ186" s="328"/>
      <c r="AR186" s="455">
        <v>10</v>
      </c>
      <c r="AS186" s="456">
        <v>80</v>
      </c>
      <c r="AT186" s="444">
        <f t="shared" si="266"/>
        <v>10</v>
      </c>
      <c r="AU186" s="328"/>
      <c r="AV186" s="197" t="str">
        <f>IF(AND($I186="x",AND(MAX(AR186:AT186)=AR186,AR186&lt;&gt;"")),Data!$BI$2,"")</f>
        <v/>
      </c>
      <c r="AW186" s="197">
        <f>IF(AND($J186="x",AND(MAX(AR186:AT186)=AS186,AS186&lt;&gt;"")),Data!$BJ$2,"")</f>
        <v>74</v>
      </c>
      <c r="AX186" s="197" t="str">
        <f>IF(AND($K186="x",AND(MAX(AR186:AT186)=AT186,AT186&lt;&gt;"")),Data!$BK$2,"")</f>
        <v/>
      </c>
      <c r="AY186" s="197"/>
      <c r="AZ186" s="328"/>
      <c r="BA186" s="455">
        <v>10</v>
      </c>
      <c r="BB186" s="456">
        <v>80</v>
      </c>
      <c r="BC186" s="444">
        <f t="shared" si="267"/>
        <v>10</v>
      </c>
      <c r="BD186" s="328"/>
      <c r="BE186" s="197" t="str">
        <f>IF(AND($I186="x",AND(MAX(BA186:BC186)=BA186,BA186&lt;&gt;"")),Data!$BI$2,"")</f>
        <v/>
      </c>
      <c r="BF186" s="197">
        <f>IF(AND($J186="x",AND(MAX(BA186:BC186)=BB186,BB186&lt;&gt;"")),Data!$BJ$2,"")</f>
        <v>74</v>
      </c>
      <c r="BG186" s="197" t="str">
        <f>IF(AND($K186="x",AND(MAX(BA186:BC186)=BC186,BC186&lt;&gt;"")),Data!$BK$2,"")</f>
        <v/>
      </c>
      <c r="BH186" s="197"/>
      <c r="BI186" s="328"/>
      <c r="BJ186" s="455">
        <v>10</v>
      </c>
      <c r="BK186" s="456">
        <v>80</v>
      </c>
      <c r="BL186" s="444">
        <f t="shared" si="268"/>
        <v>10</v>
      </c>
      <c r="BM186" s="328"/>
      <c r="BN186" s="197" t="str">
        <f>IF(AND($I186="x",AND(MAX(BJ186:BL186)=BJ186,BJ186&lt;&gt;"")),Data!$BI$2,"")</f>
        <v/>
      </c>
      <c r="BO186" s="197">
        <f>IF(AND($J186="x",AND(MAX(BJ186:BL186)=BK186,BK186&lt;&gt;"")),Data!$BJ$2,"")</f>
        <v>74</v>
      </c>
      <c r="BP186" s="197" t="str">
        <f>IF(AND($K186="x",AND(MAX(BJ186:BL186)=BL186,BL186&lt;&gt;"")),Data!$BK$2,"")</f>
        <v/>
      </c>
      <c r="BQ186" s="197"/>
      <c r="BR186" s="328"/>
      <c r="BS186" s="455">
        <v>10</v>
      </c>
      <c r="BT186" s="456">
        <v>80</v>
      </c>
      <c r="BU186" s="444">
        <f t="shared" si="269"/>
        <v>10</v>
      </c>
      <c r="BV186" s="328"/>
      <c r="BW186" s="197" t="str">
        <f>IF(AND($I186="x",AND(MAX(BS186:BU186)=BS186,BS186&lt;&gt;"")),Data!$BI$2,"")</f>
        <v/>
      </c>
      <c r="BX186" s="197">
        <f>IF(AND($J186="x",AND(MAX(BS186:BU186)=BT186,BT186&lt;&gt;"")),Data!$BJ$2,"")</f>
        <v>74</v>
      </c>
      <c r="BY186" s="197" t="str">
        <f>IF(AND($K186="x",AND(MAX(BS186:BU186)=BU186,BU186&lt;&gt;"")),Data!$BK$2,"")</f>
        <v/>
      </c>
      <c r="BZ186" s="197"/>
      <c r="CA186" s="328"/>
      <c r="CB186" s="463">
        <f t="shared" si="270"/>
        <v>10</v>
      </c>
      <c r="CC186" s="464">
        <f t="shared" si="271"/>
        <v>80</v>
      </c>
      <c r="CD186" s="465">
        <f t="shared" si="272"/>
        <v>10</v>
      </c>
      <c r="CE186" s="328"/>
      <c r="CF186" s="197" t="str">
        <f>IF(AND($I186="x",AND(MAX(CB186:CD186)=CB186,CB186&lt;&gt;"")),Data!$BI$2,"")</f>
        <v/>
      </c>
      <c r="CG186" s="197">
        <f>IF(AND($J186="x",AND(MAX(CB186:CD186)=CC186,CC186&lt;&gt;"")),Data!$BJ$2,"")</f>
        <v>74</v>
      </c>
      <c r="CH186" s="197" t="str">
        <f>IF(AND($K186="x",AND(MAX(CB186:CD186)=CD186,CD186&lt;&gt;"")),Data!$BK$2,"")</f>
        <v/>
      </c>
      <c r="CI186" s="197"/>
      <c r="CJ186" s="197"/>
      <c r="CK186" s="455">
        <v>10</v>
      </c>
      <c r="CL186" s="456">
        <v>80</v>
      </c>
      <c r="CM186" s="444">
        <f t="shared" si="273"/>
        <v>10</v>
      </c>
      <c r="CN186" s="328"/>
      <c r="CO186" s="197" t="str">
        <f>IF(AND($I186="x",AND(MAX(CK186:CM186)=CK186,CK186&lt;&gt;"")),Data!$BI$2,"")</f>
        <v/>
      </c>
      <c r="CP186" s="197">
        <f>IF(AND($J186="x",AND(MAX(CK186:CM186)=CL186,CL186&lt;&gt;"")),Data!$BJ$2,"")</f>
        <v>74</v>
      </c>
      <c r="CQ186" s="197" t="str">
        <f>IF(AND($K186="x",AND(MAX(CK186:CM186)=CM186,CM186&lt;&gt;"")),Data!$BK$2,"")</f>
        <v/>
      </c>
      <c r="CR186" s="197"/>
      <c r="CS186" s="197"/>
      <c r="CT186" s="328"/>
      <c r="CU186" s="255"/>
      <c r="CV186" s="209"/>
      <c r="CW186" s="227"/>
    </row>
    <row r="187" spans="1:101" x14ac:dyDescent="0.2">
      <c r="A187" s="227"/>
      <c r="B187" s="227"/>
      <c r="C187" s="168"/>
      <c r="D187" s="232"/>
      <c r="E187" s="134" t="s">
        <v>152</v>
      </c>
      <c r="F187" s="424">
        <v>1</v>
      </c>
      <c r="G187" s="428" t="s">
        <v>51</v>
      </c>
      <c r="H187" s="429">
        <v>1</v>
      </c>
      <c r="I187" s="138" t="str">
        <f t="shared" si="260"/>
        <v/>
      </c>
      <c r="J187" s="344" t="str">
        <f t="shared" si="261"/>
        <v>x</v>
      </c>
      <c r="K187" s="345" t="str">
        <f t="shared" si="262"/>
        <v/>
      </c>
      <c r="L187" s="258"/>
      <c r="M187" s="332"/>
      <c r="N187" s="336"/>
      <c r="O187" s="200"/>
      <c r="P187" s="200"/>
      <c r="Q187" s="436">
        <v>10</v>
      </c>
      <c r="R187" s="437">
        <v>80</v>
      </c>
      <c r="S187" s="438">
        <f t="shared" si="263"/>
        <v>10</v>
      </c>
      <c r="T187" s="328"/>
      <c r="U187" s="197" t="str">
        <f>IF(AND($I187="x",AND(MAX(Q187:S187)=Q187,Q187&gt;=0)),Data!$BI$2,"")</f>
        <v/>
      </c>
      <c r="V187" s="197">
        <f>IF(AND($J187="x",AND(MAX(Q187:S187)=R187,R187&gt;=0)),Data!$BJ$2,"")</f>
        <v>74</v>
      </c>
      <c r="W187" s="197" t="str">
        <f>IF(AND($K187="x",AND(MAX(Q187:S187)=S187,S187&gt;=0)),Data!$BK$2,"")</f>
        <v/>
      </c>
      <c r="X187" s="197"/>
      <c r="Y187" s="328"/>
      <c r="Z187" s="451">
        <v>10</v>
      </c>
      <c r="AA187" s="452">
        <v>80</v>
      </c>
      <c r="AB187" s="438">
        <f t="shared" si="264"/>
        <v>10</v>
      </c>
      <c r="AC187" s="328"/>
      <c r="AD187" s="197" t="str">
        <f>IF(AND($I187="x",AND(MAX(Z187:AB187)=Z187,Z187&lt;&gt;"")),Data!$BI$2,"")</f>
        <v/>
      </c>
      <c r="AE187" s="197">
        <f>IF(AND($J187="x",AND(MAX(Z187:AB187)=AA187,AA187&lt;&gt;"")),Data!$BJ$2,"")</f>
        <v>74</v>
      </c>
      <c r="AF187" s="197" t="str">
        <f>IF(AND($K187="x",AND(MAX(Z187:AB187)=AB187,AB187&lt;&gt;"")),Data!$BK$2,"")</f>
        <v/>
      </c>
      <c r="AG187" s="197"/>
      <c r="AH187" s="328"/>
      <c r="AI187" s="451">
        <v>10</v>
      </c>
      <c r="AJ187" s="452">
        <v>80</v>
      </c>
      <c r="AK187" s="438">
        <f t="shared" si="265"/>
        <v>10</v>
      </c>
      <c r="AL187" s="328"/>
      <c r="AM187" s="197" t="str">
        <f>IF(AND($I187="x",AND(MAX(AI187:AK187)=AI187,AI187&lt;&gt;"")),Data!$BI$2,"")</f>
        <v/>
      </c>
      <c r="AN187" s="197">
        <f>IF(AND($J187="x",AND(MAX(AI187:AK187)=AJ187,AJ187&lt;&gt;"")),Data!$BJ$2,"")</f>
        <v>74</v>
      </c>
      <c r="AO187" s="197" t="str">
        <f>IF(AND($K187="x",AND(MAX(AI187:AK187)=AK187,AK187&lt;&gt;"")),Data!$BK$2,"")</f>
        <v/>
      </c>
      <c r="AP187" s="197"/>
      <c r="AQ187" s="328"/>
      <c r="AR187" s="451">
        <v>10</v>
      </c>
      <c r="AS187" s="452">
        <v>80</v>
      </c>
      <c r="AT187" s="438">
        <f t="shared" si="266"/>
        <v>10</v>
      </c>
      <c r="AU187" s="328"/>
      <c r="AV187" s="197" t="str">
        <f>IF(AND($I187="x",AND(MAX(AR187:AT187)=AR187,AR187&lt;&gt;"")),Data!$BI$2,"")</f>
        <v/>
      </c>
      <c r="AW187" s="197">
        <f>IF(AND($J187="x",AND(MAX(AR187:AT187)=AS187,AS187&lt;&gt;"")),Data!$BJ$2,"")</f>
        <v>74</v>
      </c>
      <c r="AX187" s="197" t="str">
        <f>IF(AND($K187="x",AND(MAX(AR187:AT187)=AT187,AT187&lt;&gt;"")),Data!$BK$2,"")</f>
        <v/>
      </c>
      <c r="AY187" s="197"/>
      <c r="AZ187" s="328"/>
      <c r="BA187" s="451">
        <v>10</v>
      </c>
      <c r="BB187" s="452">
        <v>80</v>
      </c>
      <c r="BC187" s="438">
        <f t="shared" si="267"/>
        <v>10</v>
      </c>
      <c r="BD187" s="328"/>
      <c r="BE187" s="197" t="str">
        <f>IF(AND($I187="x",AND(MAX(BA187:BC187)=BA187,BA187&lt;&gt;"")),Data!$BI$2,"")</f>
        <v/>
      </c>
      <c r="BF187" s="197">
        <f>IF(AND($J187="x",AND(MAX(BA187:BC187)=BB187,BB187&lt;&gt;"")),Data!$BJ$2,"")</f>
        <v>74</v>
      </c>
      <c r="BG187" s="197" t="str">
        <f>IF(AND($K187="x",AND(MAX(BA187:BC187)=BC187,BC187&lt;&gt;"")),Data!$BK$2,"")</f>
        <v/>
      </c>
      <c r="BH187" s="197"/>
      <c r="BI187" s="328"/>
      <c r="BJ187" s="451">
        <v>10</v>
      </c>
      <c r="BK187" s="452">
        <v>80</v>
      </c>
      <c r="BL187" s="438">
        <f t="shared" si="268"/>
        <v>10</v>
      </c>
      <c r="BM187" s="328"/>
      <c r="BN187" s="197" t="str">
        <f>IF(AND($I187="x",AND(MAX(BJ187:BL187)=BJ187,BJ187&lt;&gt;"")),Data!$BI$2,"")</f>
        <v/>
      </c>
      <c r="BO187" s="197">
        <f>IF(AND($J187="x",AND(MAX(BJ187:BL187)=BK187,BK187&lt;&gt;"")),Data!$BJ$2,"")</f>
        <v>74</v>
      </c>
      <c r="BP187" s="197" t="str">
        <f>IF(AND($K187="x",AND(MAX(BJ187:BL187)=BL187,BL187&lt;&gt;"")),Data!$BK$2,"")</f>
        <v/>
      </c>
      <c r="BQ187" s="197"/>
      <c r="BR187" s="328"/>
      <c r="BS187" s="451">
        <v>10</v>
      </c>
      <c r="BT187" s="452">
        <v>80</v>
      </c>
      <c r="BU187" s="438">
        <f t="shared" si="269"/>
        <v>10</v>
      </c>
      <c r="BV187" s="328"/>
      <c r="BW187" s="197" t="str">
        <f>IF(AND($I187="x",AND(MAX(BS187:BU187)=BS187,BS187&lt;&gt;"")),Data!$BI$2,"")</f>
        <v/>
      </c>
      <c r="BX187" s="197">
        <f>IF(AND($J187="x",AND(MAX(BS187:BU187)=BT187,BT187&lt;&gt;"")),Data!$BJ$2,"")</f>
        <v>74</v>
      </c>
      <c r="BY187" s="197" t="str">
        <f>IF(AND($K187="x",AND(MAX(BS187:BU187)=BU187,BU187&lt;&gt;"")),Data!$BK$2,"")</f>
        <v/>
      </c>
      <c r="BZ187" s="197"/>
      <c r="CA187" s="328"/>
      <c r="CB187" s="457">
        <f t="shared" si="270"/>
        <v>10</v>
      </c>
      <c r="CC187" s="458">
        <f t="shared" si="271"/>
        <v>80</v>
      </c>
      <c r="CD187" s="459">
        <f t="shared" si="272"/>
        <v>10</v>
      </c>
      <c r="CE187" s="328"/>
      <c r="CF187" s="197" t="str">
        <f>IF(AND($I187="x",AND(MAX(CB187:CD187)=CB187,CB187&lt;&gt;"")),Data!$BI$2,"")</f>
        <v/>
      </c>
      <c r="CG187" s="197">
        <f>IF(AND($J187="x",AND(MAX(CB187:CD187)=CC187,CC187&lt;&gt;"")),Data!$BJ$2,"")</f>
        <v>74</v>
      </c>
      <c r="CH187" s="197" t="str">
        <f>IF(AND($K187="x",AND(MAX(CB187:CD187)=CD187,CD187&lt;&gt;"")),Data!$BK$2,"")</f>
        <v/>
      </c>
      <c r="CI187" s="197"/>
      <c r="CJ187" s="197"/>
      <c r="CK187" s="451">
        <v>10</v>
      </c>
      <c r="CL187" s="452">
        <v>80</v>
      </c>
      <c r="CM187" s="438">
        <f t="shared" si="273"/>
        <v>10</v>
      </c>
      <c r="CN187" s="328"/>
      <c r="CO187" s="197" t="str">
        <f>IF(AND($I187="x",AND(MAX(CK187:CM187)=CK187,CK187&lt;&gt;"")),Data!$BI$2,"")</f>
        <v/>
      </c>
      <c r="CP187" s="197">
        <f>IF(AND($J187="x",AND(MAX(CK187:CM187)=CL187,CL187&lt;&gt;"")),Data!$BJ$2,"")</f>
        <v>74</v>
      </c>
      <c r="CQ187" s="197" t="str">
        <f>IF(AND($K187="x",AND(MAX(CK187:CM187)=CM187,CM187&lt;&gt;"")),Data!$BK$2,"")</f>
        <v/>
      </c>
      <c r="CR187" s="197"/>
      <c r="CS187" s="197"/>
      <c r="CT187" s="328"/>
      <c r="CU187" s="255"/>
      <c r="CV187" s="209"/>
      <c r="CW187" s="227"/>
    </row>
    <row r="188" spans="1:101" x14ac:dyDescent="0.2">
      <c r="A188" s="227"/>
      <c r="B188" s="227"/>
      <c r="C188" s="168"/>
      <c r="D188" s="232"/>
      <c r="E188" s="135" t="s">
        <v>153</v>
      </c>
      <c r="F188" s="425">
        <v>1</v>
      </c>
      <c r="G188" s="430" t="s">
        <v>51</v>
      </c>
      <c r="H188" s="431">
        <v>1</v>
      </c>
      <c r="I188" s="346" t="str">
        <f t="shared" si="260"/>
        <v/>
      </c>
      <c r="J188" s="347" t="str">
        <f t="shared" si="261"/>
        <v>x</v>
      </c>
      <c r="K188" s="348" t="str">
        <f t="shared" si="262"/>
        <v/>
      </c>
      <c r="L188" s="258"/>
      <c r="M188" s="332"/>
      <c r="N188" s="336"/>
      <c r="O188" s="200"/>
      <c r="P188" s="200"/>
      <c r="Q188" s="439">
        <v>10</v>
      </c>
      <c r="R188" s="440">
        <v>80</v>
      </c>
      <c r="S188" s="441">
        <f t="shared" si="263"/>
        <v>10</v>
      </c>
      <c r="T188" s="328"/>
      <c r="U188" s="197" t="str">
        <f>IF(AND($I188="x",AND(MAX(Q188:S188)=Q188,Q188&gt;=0)),Data!$BI$2,"")</f>
        <v/>
      </c>
      <c r="V188" s="197">
        <f>IF(AND($J188="x",AND(MAX(Q188:S188)=R188,R188&gt;=0)),Data!$BJ$2,"")</f>
        <v>74</v>
      </c>
      <c r="W188" s="197" t="str">
        <f>IF(AND($K188="x",AND(MAX(Q188:S188)=S188,S188&gt;=0)),Data!$BK$2,"")</f>
        <v/>
      </c>
      <c r="X188" s="197"/>
      <c r="Y188" s="328"/>
      <c r="Z188" s="453">
        <v>10</v>
      </c>
      <c r="AA188" s="454">
        <v>80</v>
      </c>
      <c r="AB188" s="441">
        <f t="shared" si="264"/>
        <v>10</v>
      </c>
      <c r="AC188" s="328"/>
      <c r="AD188" s="197" t="str">
        <f>IF(AND($I188="x",AND(MAX(Z188:AB188)=Z188,Z188&lt;&gt;"")),Data!$BI$2,"")</f>
        <v/>
      </c>
      <c r="AE188" s="197">
        <f>IF(AND($J188="x",AND(MAX(Z188:AB188)=AA188,AA188&lt;&gt;"")),Data!$BJ$2,"")</f>
        <v>74</v>
      </c>
      <c r="AF188" s="197" t="str">
        <f>IF(AND($K188="x",AND(MAX(Z188:AB188)=AB188,AB188&lt;&gt;"")),Data!$BK$2,"")</f>
        <v/>
      </c>
      <c r="AG188" s="197"/>
      <c r="AH188" s="328"/>
      <c r="AI188" s="453">
        <v>10</v>
      </c>
      <c r="AJ188" s="454">
        <v>80</v>
      </c>
      <c r="AK188" s="441">
        <f t="shared" si="265"/>
        <v>10</v>
      </c>
      <c r="AL188" s="328"/>
      <c r="AM188" s="197" t="str">
        <f>IF(AND($I188="x",AND(MAX(AI188:AK188)=AI188,AI188&lt;&gt;"")),Data!$BI$2,"")</f>
        <v/>
      </c>
      <c r="AN188" s="197">
        <f>IF(AND($J188="x",AND(MAX(AI188:AK188)=AJ188,AJ188&lt;&gt;"")),Data!$BJ$2,"")</f>
        <v>74</v>
      </c>
      <c r="AO188" s="197" t="str">
        <f>IF(AND($K188="x",AND(MAX(AI188:AK188)=AK188,AK188&lt;&gt;"")),Data!$BK$2,"")</f>
        <v/>
      </c>
      <c r="AP188" s="197"/>
      <c r="AQ188" s="328"/>
      <c r="AR188" s="453">
        <v>10</v>
      </c>
      <c r="AS188" s="454">
        <v>80</v>
      </c>
      <c r="AT188" s="441">
        <f t="shared" si="266"/>
        <v>10</v>
      </c>
      <c r="AU188" s="328"/>
      <c r="AV188" s="197" t="str">
        <f>IF(AND($I188="x",AND(MAX(AR188:AT188)=AR188,AR188&lt;&gt;"")),Data!$BI$2,"")</f>
        <v/>
      </c>
      <c r="AW188" s="197">
        <f>IF(AND($J188="x",AND(MAX(AR188:AT188)=AS188,AS188&lt;&gt;"")),Data!$BJ$2,"")</f>
        <v>74</v>
      </c>
      <c r="AX188" s="197" t="str">
        <f>IF(AND($K188="x",AND(MAX(AR188:AT188)=AT188,AT188&lt;&gt;"")),Data!$BK$2,"")</f>
        <v/>
      </c>
      <c r="AY188" s="197"/>
      <c r="AZ188" s="328"/>
      <c r="BA188" s="453">
        <v>10</v>
      </c>
      <c r="BB188" s="454">
        <v>80</v>
      </c>
      <c r="BC188" s="441">
        <f t="shared" si="267"/>
        <v>10</v>
      </c>
      <c r="BD188" s="328"/>
      <c r="BE188" s="197" t="str">
        <f>IF(AND($I188="x",AND(MAX(BA188:BC188)=BA188,BA188&lt;&gt;"")),Data!$BI$2,"")</f>
        <v/>
      </c>
      <c r="BF188" s="197">
        <f>IF(AND($J188="x",AND(MAX(BA188:BC188)=BB188,BB188&lt;&gt;"")),Data!$BJ$2,"")</f>
        <v>74</v>
      </c>
      <c r="BG188" s="197" t="str">
        <f>IF(AND($K188="x",AND(MAX(BA188:BC188)=BC188,BC188&lt;&gt;"")),Data!$BK$2,"")</f>
        <v/>
      </c>
      <c r="BH188" s="197"/>
      <c r="BI188" s="328"/>
      <c r="BJ188" s="453">
        <v>10</v>
      </c>
      <c r="BK188" s="454">
        <v>80</v>
      </c>
      <c r="BL188" s="441">
        <f t="shared" si="268"/>
        <v>10</v>
      </c>
      <c r="BM188" s="328"/>
      <c r="BN188" s="197" t="str">
        <f>IF(AND($I188="x",AND(MAX(BJ188:BL188)=BJ188,BJ188&lt;&gt;"")),Data!$BI$2,"")</f>
        <v/>
      </c>
      <c r="BO188" s="197">
        <f>IF(AND($J188="x",AND(MAX(BJ188:BL188)=BK188,BK188&lt;&gt;"")),Data!$BJ$2,"")</f>
        <v>74</v>
      </c>
      <c r="BP188" s="197" t="str">
        <f>IF(AND($K188="x",AND(MAX(BJ188:BL188)=BL188,BL188&lt;&gt;"")),Data!$BK$2,"")</f>
        <v/>
      </c>
      <c r="BQ188" s="197"/>
      <c r="BR188" s="328"/>
      <c r="BS188" s="453">
        <v>10</v>
      </c>
      <c r="BT188" s="454">
        <v>80</v>
      </c>
      <c r="BU188" s="441">
        <f t="shared" si="269"/>
        <v>10</v>
      </c>
      <c r="BV188" s="328"/>
      <c r="BW188" s="197" t="str">
        <f>IF(AND($I188="x",AND(MAX(BS188:BU188)=BS188,BS188&lt;&gt;"")),Data!$BI$2,"")</f>
        <v/>
      </c>
      <c r="BX188" s="197">
        <f>IF(AND($J188="x",AND(MAX(BS188:BU188)=BT188,BT188&lt;&gt;"")),Data!$BJ$2,"")</f>
        <v>74</v>
      </c>
      <c r="BY188" s="197" t="str">
        <f>IF(AND($K188="x",AND(MAX(BS188:BU188)=BU188,BU188&lt;&gt;"")),Data!$BK$2,"")</f>
        <v/>
      </c>
      <c r="BZ188" s="197"/>
      <c r="CA188" s="328"/>
      <c r="CB188" s="460">
        <f t="shared" si="270"/>
        <v>10</v>
      </c>
      <c r="CC188" s="461">
        <f t="shared" si="271"/>
        <v>80</v>
      </c>
      <c r="CD188" s="462">
        <f t="shared" si="272"/>
        <v>10</v>
      </c>
      <c r="CE188" s="328"/>
      <c r="CF188" s="197" t="str">
        <f>IF(AND($I188="x",AND(MAX(CB188:CD188)=CB188,CB188&lt;&gt;"")),Data!$BI$2,"")</f>
        <v/>
      </c>
      <c r="CG188" s="197">
        <f>IF(AND($J188="x",AND(MAX(CB188:CD188)=CC188,CC188&lt;&gt;"")),Data!$BJ$2,"")</f>
        <v>74</v>
      </c>
      <c r="CH188" s="197" t="str">
        <f>IF(AND($K188="x",AND(MAX(CB188:CD188)=CD188,CD188&lt;&gt;"")),Data!$BK$2,"")</f>
        <v/>
      </c>
      <c r="CI188" s="197"/>
      <c r="CJ188" s="197"/>
      <c r="CK188" s="453">
        <v>10</v>
      </c>
      <c r="CL188" s="454">
        <v>80</v>
      </c>
      <c r="CM188" s="441">
        <f t="shared" si="273"/>
        <v>10</v>
      </c>
      <c r="CN188" s="328"/>
      <c r="CO188" s="197" t="str">
        <f>IF(AND($I188="x",AND(MAX(CK188:CM188)=CK188,CK188&lt;&gt;"")),Data!$BI$2,"")</f>
        <v/>
      </c>
      <c r="CP188" s="197">
        <f>IF(AND($J188="x",AND(MAX(CK188:CM188)=CL188,CL188&lt;&gt;"")),Data!$BJ$2,"")</f>
        <v>74</v>
      </c>
      <c r="CQ188" s="197" t="str">
        <f>IF(AND($K188="x",AND(MAX(CK188:CM188)=CM188,CM188&lt;&gt;"")),Data!$BK$2,"")</f>
        <v/>
      </c>
      <c r="CR188" s="197"/>
      <c r="CS188" s="197"/>
      <c r="CT188" s="328"/>
      <c r="CU188" s="255"/>
      <c r="CV188" s="209"/>
      <c r="CW188" s="227"/>
    </row>
    <row r="189" spans="1:101" x14ac:dyDescent="0.2">
      <c r="A189" s="227"/>
      <c r="B189" s="227"/>
      <c r="C189" s="168"/>
      <c r="D189" s="232"/>
      <c r="E189" s="136" t="s">
        <v>154</v>
      </c>
      <c r="F189" s="426">
        <v>1</v>
      </c>
      <c r="G189" s="432" t="s">
        <v>51</v>
      </c>
      <c r="H189" s="433">
        <v>1</v>
      </c>
      <c r="I189" s="349" t="str">
        <f t="shared" si="260"/>
        <v/>
      </c>
      <c r="J189" s="350" t="str">
        <f t="shared" si="261"/>
        <v>x</v>
      </c>
      <c r="K189" s="351" t="str">
        <f t="shared" si="262"/>
        <v/>
      </c>
      <c r="L189" s="258"/>
      <c r="M189" s="332"/>
      <c r="N189" s="336"/>
      <c r="O189" s="200"/>
      <c r="P189" s="200"/>
      <c r="Q189" s="445">
        <v>10</v>
      </c>
      <c r="R189" s="446">
        <v>80</v>
      </c>
      <c r="S189" s="447">
        <f t="shared" si="263"/>
        <v>10</v>
      </c>
      <c r="T189" s="328"/>
      <c r="U189" s="197" t="str">
        <f>IF(AND($I189="x",AND(MAX(Q189:S189)=Q189,Q189&gt;=0)),Data!$BI$2,"")</f>
        <v/>
      </c>
      <c r="V189" s="197">
        <f>IF(AND($J189="x",AND(MAX(Q189:S189)=R189,R189&gt;=0)),Data!$BJ$2,"")</f>
        <v>74</v>
      </c>
      <c r="W189" s="197" t="str">
        <f>IF(AND($K189="x",AND(MAX(Q189:S189)=S189,S189&gt;=0)),Data!$BK$2,"")</f>
        <v/>
      </c>
      <c r="X189" s="197"/>
      <c r="Y189" s="328"/>
      <c r="Z189" s="455">
        <v>10</v>
      </c>
      <c r="AA189" s="456">
        <v>80</v>
      </c>
      <c r="AB189" s="447">
        <f t="shared" si="264"/>
        <v>10</v>
      </c>
      <c r="AC189" s="328"/>
      <c r="AD189" s="197" t="str">
        <f>IF(AND($I189="x",AND(MAX(Z189:AB189)=Z189,Z189&lt;&gt;"")),Data!$BI$2,"")</f>
        <v/>
      </c>
      <c r="AE189" s="197">
        <f>IF(AND($J189="x",AND(MAX(Z189:AB189)=AA189,AA189&lt;&gt;"")),Data!$BJ$2,"")</f>
        <v>74</v>
      </c>
      <c r="AF189" s="197" t="str">
        <f>IF(AND($K189="x",AND(MAX(Z189:AB189)=AB189,AB189&lt;&gt;"")),Data!$BK$2,"")</f>
        <v/>
      </c>
      <c r="AG189" s="197"/>
      <c r="AH189" s="328"/>
      <c r="AI189" s="455">
        <v>10</v>
      </c>
      <c r="AJ189" s="456">
        <v>80</v>
      </c>
      <c r="AK189" s="447">
        <f t="shared" si="265"/>
        <v>10</v>
      </c>
      <c r="AL189" s="328"/>
      <c r="AM189" s="197" t="str">
        <f>IF(AND($I189="x",AND(MAX(AI189:AK189)=AI189,AI189&lt;&gt;"")),Data!$BI$2,"")</f>
        <v/>
      </c>
      <c r="AN189" s="197">
        <f>IF(AND($J189="x",AND(MAX(AI189:AK189)=AJ189,AJ189&lt;&gt;"")),Data!$BJ$2,"")</f>
        <v>74</v>
      </c>
      <c r="AO189" s="197" t="str">
        <f>IF(AND($K189="x",AND(MAX(AI189:AK189)=AK189,AK189&lt;&gt;"")),Data!$BK$2,"")</f>
        <v/>
      </c>
      <c r="AP189" s="197"/>
      <c r="AQ189" s="328"/>
      <c r="AR189" s="455">
        <v>10</v>
      </c>
      <c r="AS189" s="456">
        <v>80</v>
      </c>
      <c r="AT189" s="447">
        <f t="shared" si="266"/>
        <v>10</v>
      </c>
      <c r="AU189" s="328"/>
      <c r="AV189" s="197" t="str">
        <f>IF(AND($I189="x",AND(MAX(AR189:AT189)=AR189,AR189&lt;&gt;"")),Data!$BI$2,"")</f>
        <v/>
      </c>
      <c r="AW189" s="197">
        <f>IF(AND($J189="x",AND(MAX(AR189:AT189)=AS189,AS189&lt;&gt;"")),Data!$BJ$2,"")</f>
        <v>74</v>
      </c>
      <c r="AX189" s="197" t="str">
        <f>IF(AND($K189="x",AND(MAX(AR189:AT189)=AT189,AT189&lt;&gt;"")),Data!$BK$2,"")</f>
        <v/>
      </c>
      <c r="AY189" s="197"/>
      <c r="AZ189" s="328"/>
      <c r="BA189" s="455">
        <v>10</v>
      </c>
      <c r="BB189" s="456">
        <v>80</v>
      </c>
      <c r="BC189" s="447">
        <f t="shared" si="267"/>
        <v>10</v>
      </c>
      <c r="BD189" s="328"/>
      <c r="BE189" s="197" t="str">
        <f>IF(AND($I189="x",AND(MAX(BA189:BC189)=BA189,BA189&lt;&gt;"")),Data!$BI$2,"")</f>
        <v/>
      </c>
      <c r="BF189" s="197">
        <f>IF(AND($J189="x",AND(MAX(BA189:BC189)=BB189,BB189&lt;&gt;"")),Data!$BJ$2,"")</f>
        <v>74</v>
      </c>
      <c r="BG189" s="197" t="str">
        <f>IF(AND($K189="x",AND(MAX(BA189:BC189)=BC189,BC189&lt;&gt;"")),Data!$BK$2,"")</f>
        <v/>
      </c>
      <c r="BH189" s="197"/>
      <c r="BI189" s="328"/>
      <c r="BJ189" s="455">
        <v>10</v>
      </c>
      <c r="BK189" s="456">
        <v>80</v>
      </c>
      <c r="BL189" s="447">
        <f t="shared" si="268"/>
        <v>10</v>
      </c>
      <c r="BM189" s="328"/>
      <c r="BN189" s="197" t="str">
        <f>IF(AND($I189="x",AND(MAX(BJ189:BL189)=BJ189,BJ189&lt;&gt;"")),Data!$BI$2,"")</f>
        <v/>
      </c>
      <c r="BO189" s="197">
        <f>IF(AND($J189="x",AND(MAX(BJ189:BL189)=BK189,BK189&lt;&gt;"")),Data!$BJ$2,"")</f>
        <v>74</v>
      </c>
      <c r="BP189" s="197" t="str">
        <f>IF(AND($K189="x",AND(MAX(BJ189:BL189)=BL189,BL189&lt;&gt;"")),Data!$BK$2,"")</f>
        <v/>
      </c>
      <c r="BQ189" s="197"/>
      <c r="BR189" s="328"/>
      <c r="BS189" s="455">
        <v>10</v>
      </c>
      <c r="BT189" s="456">
        <v>80</v>
      </c>
      <c r="BU189" s="447">
        <f t="shared" si="269"/>
        <v>10</v>
      </c>
      <c r="BV189" s="328"/>
      <c r="BW189" s="197" t="str">
        <f>IF(AND($I189="x",AND(MAX(BS189:BU189)=BS189,BS189&lt;&gt;"")),Data!$BI$2,"")</f>
        <v/>
      </c>
      <c r="BX189" s="197">
        <f>IF(AND($J189="x",AND(MAX(BS189:BU189)=BT189,BT189&lt;&gt;"")),Data!$BJ$2,"")</f>
        <v>74</v>
      </c>
      <c r="BY189" s="197" t="str">
        <f>IF(AND($K189="x",AND(MAX(BS189:BU189)=BU189,BU189&lt;&gt;"")),Data!$BK$2,"")</f>
        <v/>
      </c>
      <c r="BZ189" s="197"/>
      <c r="CA189" s="328"/>
      <c r="CB189" s="463">
        <f t="shared" si="270"/>
        <v>10</v>
      </c>
      <c r="CC189" s="464">
        <f t="shared" si="271"/>
        <v>80</v>
      </c>
      <c r="CD189" s="465">
        <f t="shared" si="272"/>
        <v>10</v>
      </c>
      <c r="CE189" s="328"/>
      <c r="CF189" s="197" t="str">
        <f>IF(AND($I189="x",AND(MAX(CB189:CD189)=CB189,CB189&lt;&gt;"")),Data!$BI$2,"")</f>
        <v/>
      </c>
      <c r="CG189" s="197">
        <f>IF(AND($J189="x",AND(MAX(CB189:CD189)=CC189,CC189&lt;&gt;"")),Data!$BJ$2,"")</f>
        <v>74</v>
      </c>
      <c r="CH189" s="197" t="str">
        <f>IF(AND($K189="x",AND(MAX(CB189:CD189)=CD189,CD189&lt;&gt;"")),Data!$BK$2,"")</f>
        <v/>
      </c>
      <c r="CI189" s="197"/>
      <c r="CJ189" s="197"/>
      <c r="CK189" s="455">
        <v>10</v>
      </c>
      <c r="CL189" s="456">
        <v>80</v>
      </c>
      <c r="CM189" s="447">
        <f t="shared" si="273"/>
        <v>10</v>
      </c>
      <c r="CN189" s="328"/>
      <c r="CO189" s="197" t="str">
        <f>IF(AND($I189="x",AND(MAX(CK189:CM189)=CK189,CK189&lt;&gt;"")),Data!$BI$2,"")</f>
        <v/>
      </c>
      <c r="CP189" s="197">
        <f>IF(AND($J189="x",AND(MAX(CK189:CM189)=CL189,CL189&lt;&gt;"")),Data!$BJ$2,"")</f>
        <v>74</v>
      </c>
      <c r="CQ189" s="197" t="str">
        <f>IF(AND($K189="x",AND(MAX(CK189:CM189)=CM189,CM189&lt;&gt;"")),Data!$BK$2,"")</f>
        <v/>
      </c>
      <c r="CR189" s="197"/>
      <c r="CS189" s="197"/>
      <c r="CT189" s="328"/>
      <c r="CU189" s="255"/>
      <c r="CV189" s="209"/>
      <c r="CW189" s="227"/>
    </row>
    <row r="190" spans="1:101" x14ac:dyDescent="0.2">
      <c r="A190" s="227"/>
      <c r="B190" s="227"/>
      <c r="C190" s="168"/>
      <c r="D190" s="232"/>
      <c r="E190" s="134" t="s">
        <v>155</v>
      </c>
      <c r="F190" s="424">
        <v>1</v>
      </c>
      <c r="G190" s="428" t="s">
        <v>51</v>
      </c>
      <c r="H190" s="429">
        <v>1</v>
      </c>
      <c r="I190" s="138" t="str">
        <f t="shared" si="260"/>
        <v/>
      </c>
      <c r="J190" s="344" t="str">
        <f t="shared" si="261"/>
        <v>x</v>
      </c>
      <c r="K190" s="345" t="str">
        <f t="shared" si="262"/>
        <v/>
      </c>
      <c r="L190" s="258"/>
      <c r="M190" s="332"/>
      <c r="N190" s="336"/>
      <c r="O190" s="200"/>
      <c r="P190" s="200"/>
      <c r="Q190" s="436">
        <v>10</v>
      </c>
      <c r="R190" s="437">
        <v>80</v>
      </c>
      <c r="S190" s="438">
        <f t="shared" si="263"/>
        <v>10</v>
      </c>
      <c r="T190" s="328"/>
      <c r="U190" s="197" t="str">
        <f>IF(AND($I190="x",AND(MAX(Q190:S190)=Q190,Q190&gt;=0)),Data!$BI$2,"")</f>
        <v/>
      </c>
      <c r="V190" s="197">
        <f>IF(AND($J190="x",AND(MAX(Q190:S190)=R190,R190&gt;=0)),Data!$BJ$2,"")</f>
        <v>74</v>
      </c>
      <c r="W190" s="197" t="str">
        <f>IF(AND($K190="x",AND(MAX(Q190:S190)=S190,S190&gt;=0)),Data!$BK$2,"")</f>
        <v/>
      </c>
      <c r="X190" s="197"/>
      <c r="Y190" s="328"/>
      <c r="Z190" s="451">
        <v>10</v>
      </c>
      <c r="AA190" s="452">
        <v>80</v>
      </c>
      <c r="AB190" s="438">
        <f t="shared" si="264"/>
        <v>10</v>
      </c>
      <c r="AC190" s="328"/>
      <c r="AD190" s="197" t="str">
        <f>IF(AND($I190="x",AND(MAX(Z190:AB190)=Z190,Z190&lt;&gt;"")),Data!$BI$2,"")</f>
        <v/>
      </c>
      <c r="AE190" s="197">
        <f>IF(AND($J190="x",AND(MAX(Z190:AB190)=AA190,AA190&lt;&gt;"")),Data!$BJ$2,"")</f>
        <v>74</v>
      </c>
      <c r="AF190" s="197" t="str">
        <f>IF(AND($K190="x",AND(MAX(Z190:AB190)=AB190,AB190&lt;&gt;"")),Data!$BK$2,"")</f>
        <v/>
      </c>
      <c r="AG190" s="197"/>
      <c r="AH190" s="328"/>
      <c r="AI190" s="451">
        <v>10</v>
      </c>
      <c r="AJ190" s="452">
        <v>80</v>
      </c>
      <c r="AK190" s="438">
        <f t="shared" si="265"/>
        <v>10</v>
      </c>
      <c r="AL190" s="328"/>
      <c r="AM190" s="197" t="str">
        <f>IF(AND($I190="x",AND(MAX(AI190:AK190)=AI190,AI190&lt;&gt;"")),Data!$BI$2,"")</f>
        <v/>
      </c>
      <c r="AN190" s="197">
        <f>IF(AND($J190="x",AND(MAX(AI190:AK190)=AJ190,AJ190&lt;&gt;"")),Data!$BJ$2,"")</f>
        <v>74</v>
      </c>
      <c r="AO190" s="197" t="str">
        <f>IF(AND($K190="x",AND(MAX(AI190:AK190)=AK190,AK190&lt;&gt;"")),Data!$BK$2,"")</f>
        <v/>
      </c>
      <c r="AP190" s="197"/>
      <c r="AQ190" s="328"/>
      <c r="AR190" s="451">
        <v>10</v>
      </c>
      <c r="AS190" s="452">
        <v>80</v>
      </c>
      <c r="AT190" s="438">
        <f t="shared" si="266"/>
        <v>10</v>
      </c>
      <c r="AU190" s="328"/>
      <c r="AV190" s="197" t="str">
        <f>IF(AND($I190="x",AND(MAX(AR190:AT190)=AR190,AR190&lt;&gt;"")),Data!$BI$2,"")</f>
        <v/>
      </c>
      <c r="AW190" s="197">
        <f>IF(AND($J190="x",AND(MAX(AR190:AT190)=AS190,AS190&lt;&gt;"")),Data!$BJ$2,"")</f>
        <v>74</v>
      </c>
      <c r="AX190" s="197" t="str">
        <f>IF(AND($K190="x",AND(MAX(AR190:AT190)=AT190,AT190&lt;&gt;"")),Data!$BK$2,"")</f>
        <v/>
      </c>
      <c r="AY190" s="197"/>
      <c r="AZ190" s="328"/>
      <c r="BA190" s="451">
        <v>10</v>
      </c>
      <c r="BB190" s="452">
        <v>80</v>
      </c>
      <c r="BC190" s="438">
        <f t="shared" si="267"/>
        <v>10</v>
      </c>
      <c r="BD190" s="328"/>
      <c r="BE190" s="197" t="str">
        <f>IF(AND($I190="x",AND(MAX(BA190:BC190)=BA190,BA190&lt;&gt;"")),Data!$BI$2,"")</f>
        <v/>
      </c>
      <c r="BF190" s="197">
        <f>IF(AND($J190="x",AND(MAX(BA190:BC190)=BB190,BB190&lt;&gt;"")),Data!$BJ$2,"")</f>
        <v>74</v>
      </c>
      <c r="BG190" s="197" t="str">
        <f>IF(AND($K190="x",AND(MAX(BA190:BC190)=BC190,BC190&lt;&gt;"")),Data!$BK$2,"")</f>
        <v/>
      </c>
      <c r="BH190" s="197"/>
      <c r="BI190" s="328"/>
      <c r="BJ190" s="451">
        <v>10</v>
      </c>
      <c r="BK190" s="452">
        <v>80</v>
      </c>
      <c r="BL190" s="438">
        <f t="shared" si="268"/>
        <v>10</v>
      </c>
      <c r="BM190" s="328"/>
      <c r="BN190" s="197" t="str">
        <f>IF(AND($I190="x",AND(MAX(BJ190:BL190)=BJ190,BJ190&lt;&gt;"")),Data!$BI$2,"")</f>
        <v/>
      </c>
      <c r="BO190" s="197">
        <f>IF(AND($J190="x",AND(MAX(BJ190:BL190)=BK190,BK190&lt;&gt;"")),Data!$BJ$2,"")</f>
        <v>74</v>
      </c>
      <c r="BP190" s="197" t="str">
        <f>IF(AND($K190="x",AND(MAX(BJ190:BL190)=BL190,BL190&lt;&gt;"")),Data!$BK$2,"")</f>
        <v/>
      </c>
      <c r="BQ190" s="197"/>
      <c r="BR190" s="328"/>
      <c r="BS190" s="451">
        <v>10</v>
      </c>
      <c r="BT190" s="452">
        <v>80</v>
      </c>
      <c r="BU190" s="438">
        <f t="shared" si="269"/>
        <v>10</v>
      </c>
      <c r="BV190" s="328"/>
      <c r="BW190" s="197" t="str">
        <f>IF(AND($I190="x",AND(MAX(BS190:BU190)=BS190,BS190&lt;&gt;"")),Data!$BI$2,"")</f>
        <v/>
      </c>
      <c r="BX190" s="197">
        <f>IF(AND($J190="x",AND(MAX(BS190:BU190)=BT190,BT190&lt;&gt;"")),Data!$BJ$2,"")</f>
        <v>74</v>
      </c>
      <c r="BY190" s="197" t="str">
        <f>IF(AND($K190="x",AND(MAX(BS190:BU190)=BU190,BU190&lt;&gt;"")),Data!$BK$2,"")</f>
        <v/>
      </c>
      <c r="BZ190" s="197"/>
      <c r="CA190" s="328"/>
      <c r="CB190" s="457">
        <f t="shared" si="270"/>
        <v>10</v>
      </c>
      <c r="CC190" s="458">
        <f t="shared" si="271"/>
        <v>80</v>
      </c>
      <c r="CD190" s="459">
        <f t="shared" si="272"/>
        <v>10</v>
      </c>
      <c r="CE190" s="328"/>
      <c r="CF190" s="197" t="str">
        <f>IF(AND($I190="x",AND(MAX(CB190:CD190)=CB190,CB190&lt;&gt;"")),Data!$BI$2,"")</f>
        <v/>
      </c>
      <c r="CG190" s="197">
        <f>IF(AND($J190="x",AND(MAX(CB190:CD190)=CC190,CC190&lt;&gt;"")),Data!$BJ$2,"")</f>
        <v>74</v>
      </c>
      <c r="CH190" s="197" t="str">
        <f>IF(AND($K190="x",AND(MAX(CB190:CD190)=CD190,CD190&lt;&gt;"")),Data!$BK$2,"")</f>
        <v/>
      </c>
      <c r="CI190" s="197"/>
      <c r="CJ190" s="197"/>
      <c r="CK190" s="451">
        <v>10</v>
      </c>
      <c r="CL190" s="452">
        <v>80</v>
      </c>
      <c r="CM190" s="438">
        <f t="shared" si="273"/>
        <v>10</v>
      </c>
      <c r="CN190" s="328"/>
      <c r="CO190" s="197" t="str">
        <f>IF(AND($I190="x",AND(MAX(CK190:CM190)=CK190,CK190&lt;&gt;"")),Data!$BI$2,"")</f>
        <v/>
      </c>
      <c r="CP190" s="197">
        <f>IF(AND($J190="x",AND(MAX(CK190:CM190)=CL190,CL190&lt;&gt;"")),Data!$BJ$2,"")</f>
        <v>74</v>
      </c>
      <c r="CQ190" s="197" t="str">
        <f>IF(AND($K190="x",AND(MAX(CK190:CM190)=CM190,CM190&lt;&gt;"")),Data!$BK$2,"")</f>
        <v/>
      </c>
      <c r="CR190" s="197"/>
      <c r="CS190" s="197"/>
      <c r="CT190" s="328"/>
      <c r="CU190" s="259"/>
      <c r="CV190" s="209"/>
      <c r="CW190" s="227"/>
    </row>
    <row r="191" spans="1:101" x14ac:dyDescent="0.2">
      <c r="A191" s="227"/>
      <c r="B191" s="227"/>
      <c r="C191" s="168"/>
      <c r="D191" s="232"/>
      <c r="E191" s="135" t="s">
        <v>156</v>
      </c>
      <c r="F191" s="425">
        <v>1</v>
      </c>
      <c r="G191" s="430" t="s">
        <v>51</v>
      </c>
      <c r="H191" s="431">
        <v>1</v>
      </c>
      <c r="I191" s="346" t="str">
        <f t="shared" si="260"/>
        <v/>
      </c>
      <c r="J191" s="347" t="str">
        <f t="shared" si="261"/>
        <v>x</v>
      </c>
      <c r="K191" s="348" t="str">
        <f t="shared" si="262"/>
        <v/>
      </c>
      <c r="L191" s="258"/>
      <c r="M191" s="332"/>
      <c r="N191" s="336"/>
      <c r="O191" s="200"/>
      <c r="P191" s="200"/>
      <c r="Q191" s="439">
        <v>10</v>
      </c>
      <c r="R191" s="440">
        <v>80</v>
      </c>
      <c r="S191" s="441">
        <f t="shared" si="263"/>
        <v>10</v>
      </c>
      <c r="T191" s="328"/>
      <c r="U191" s="197" t="str">
        <f>IF(AND($I191="x",AND(MAX(Q191:S191)=Q191,Q191&gt;=0)),Data!$BI$2,"")</f>
        <v/>
      </c>
      <c r="V191" s="197">
        <f>IF(AND($J191="x",AND(MAX(Q191:S191)=R191,R191&gt;=0)),Data!$BJ$2,"")</f>
        <v>74</v>
      </c>
      <c r="W191" s="197" t="str">
        <f>IF(AND($K191="x",AND(MAX(Q191:S191)=S191,S191&gt;=0)),Data!$BK$2,"")</f>
        <v/>
      </c>
      <c r="X191" s="197"/>
      <c r="Y191" s="328"/>
      <c r="Z191" s="453">
        <v>10</v>
      </c>
      <c r="AA191" s="454">
        <v>80</v>
      </c>
      <c r="AB191" s="441">
        <f t="shared" si="264"/>
        <v>10</v>
      </c>
      <c r="AC191" s="328"/>
      <c r="AD191" s="197" t="str">
        <f>IF(AND($I191="x",AND(MAX(Z191:AB191)=Z191,Z191&lt;&gt;"")),Data!$BI$2,"")</f>
        <v/>
      </c>
      <c r="AE191" s="197">
        <f>IF(AND($J191="x",AND(MAX(Z191:AB191)=AA191,AA191&lt;&gt;"")),Data!$BJ$2,"")</f>
        <v>74</v>
      </c>
      <c r="AF191" s="197" t="str">
        <f>IF(AND($K191="x",AND(MAX(Z191:AB191)=AB191,AB191&lt;&gt;"")),Data!$BK$2,"")</f>
        <v/>
      </c>
      <c r="AG191" s="197"/>
      <c r="AH191" s="328"/>
      <c r="AI191" s="453">
        <v>10</v>
      </c>
      <c r="AJ191" s="454">
        <v>80</v>
      </c>
      <c r="AK191" s="441">
        <f t="shared" si="265"/>
        <v>10</v>
      </c>
      <c r="AL191" s="328"/>
      <c r="AM191" s="197" t="str">
        <f>IF(AND($I191="x",AND(MAX(AI191:AK191)=AI191,AI191&lt;&gt;"")),Data!$BI$2,"")</f>
        <v/>
      </c>
      <c r="AN191" s="197">
        <f>IF(AND($J191="x",AND(MAX(AI191:AK191)=AJ191,AJ191&lt;&gt;"")),Data!$BJ$2,"")</f>
        <v>74</v>
      </c>
      <c r="AO191" s="197" t="str">
        <f>IF(AND($K191="x",AND(MAX(AI191:AK191)=AK191,AK191&lt;&gt;"")),Data!$BK$2,"")</f>
        <v/>
      </c>
      <c r="AP191" s="197"/>
      <c r="AQ191" s="328"/>
      <c r="AR191" s="453">
        <v>10</v>
      </c>
      <c r="AS191" s="454">
        <v>80</v>
      </c>
      <c r="AT191" s="441">
        <f t="shared" si="266"/>
        <v>10</v>
      </c>
      <c r="AU191" s="328"/>
      <c r="AV191" s="197" t="str">
        <f>IF(AND($I191="x",AND(MAX(AR191:AT191)=AR191,AR191&lt;&gt;"")),Data!$BI$2,"")</f>
        <v/>
      </c>
      <c r="AW191" s="197">
        <f>IF(AND($J191="x",AND(MAX(AR191:AT191)=AS191,AS191&lt;&gt;"")),Data!$BJ$2,"")</f>
        <v>74</v>
      </c>
      <c r="AX191" s="197" t="str">
        <f>IF(AND($K191="x",AND(MAX(AR191:AT191)=AT191,AT191&lt;&gt;"")),Data!$BK$2,"")</f>
        <v/>
      </c>
      <c r="AY191" s="197"/>
      <c r="AZ191" s="328"/>
      <c r="BA191" s="453">
        <v>10</v>
      </c>
      <c r="BB191" s="454">
        <v>80</v>
      </c>
      <c r="BC191" s="441">
        <f t="shared" si="267"/>
        <v>10</v>
      </c>
      <c r="BD191" s="328"/>
      <c r="BE191" s="197" t="str">
        <f>IF(AND($I191="x",AND(MAX(BA191:BC191)=BA191,BA191&lt;&gt;"")),Data!$BI$2,"")</f>
        <v/>
      </c>
      <c r="BF191" s="197">
        <f>IF(AND($J191="x",AND(MAX(BA191:BC191)=BB191,BB191&lt;&gt;"")),Data!$BJ$2,"")</f>
        <v>74</v>
      </c>
      <c r="BG191" s="197" t="str">
        <f>IF(AND($K191="x",AND(MAX(BA191:BC191)=BC191,BC191&lt;&gt;"")),Data!$BK$2,"")</f>
        <v/>
      </c>
      <c r="BH191" s="197"/>
      <c r="BI191" s="328"/>
      <c r="BJ191" s="453">
        <v>10</v>
      </c>
      <c r="BK191" s="454">
        <v>80</v>
      </c>
      <c r="BL191" s="441">
        <f t="shared" si="268"/>
        <v>10</v>
      </c>
      <c r="BM191" s="328"/>
      <c r="BN191" s="197" t="str">
        <f>IF(AND($I191="x",AND(MAX(BJ191:BL191)=BJ191,BJ191&lt;&gt;"")),Data!$BI$2,"")</f>
        <v/>
      </c>
      <c r="BO191" s="197">
        <f>IF(AND($J191="x",AND(MAX(BJ191:BL191)=BK191,BK191&lt;&gt;"")),Data!$BJ$2,"")</f>
        <v>74</v>
      </c>
      <c r="BP191" s="197" t="str">
        <f>IF(AND($K191="x",AND(MAX(BJ191:BL191)=BL191,BL191&lt;&gt;"")),Data!$BK$2,"")</f>
        <v/>
      </c>
      <c r="BQ191" s="197"/>
      <c r="BR191" s="328"/>
      <c r="BS191" s="453">
        <v>10</v>
      </c>
      <c r="BT191" s="454">
        <v>80</v>
      </c>
      <c r="BU191" s="441">
        <f t="shared" si="269"/>
        <v>10</v>
      </c>
      <c r="BV191" s="328"/>
      <c r="BW191" s="197" t="str">
        <f>IF(AND($I191="x",AND(MAX(BS191:BU191)=BS191,BS191&lt;&gt;"")),Data!$BI$2,"")</f>
        <v/>
      </c>
      <c r="BX191" s="197">
        <f>IF(AND($J191="x",AND(MAX(BS191:BU191)=BT191,BT191&lt;&gt;"")),Data!$BJ$2,"")</f>
        <v>74</v>
      </c>
      <c r="BY191" s="197" t="str">
        <f>IF(AND($K191="x",AND(MAX(BS191:BU191)=BU191,BU191&lt;&gt;"")),Data!$BK$2,"")</f>
        <v/>
      </c>
      <c r="BZ191" s="197"/>
      <c r="CA191" s="328"/>
      <c r="CB191" s="460">
        <f t="shared" si="270"/>
        <v>10</v>
      </c>
      <c r="CC191" s="461">
        <f t="shared" si="271"/>
        <v>80</v>
      </c>
      <c r="CD191" s="462">
        <f t="shared" si="272"/>
        <v>10</v>
      </c>
      <c r="CE191" s="328"/>
      <c r="CF191" s="197" t="str">
        <f>IF(AND($I191="x",AND(MAX(CB191:CD191)=CB191,CB191&lt;&gt;"")),Data!$BI$2,"")</f>
        <v/>
      </c>
      <c r="CG191" s="197">
        <f>IF(AND($J191="x",AND(MAX(CB191:CD191)=CC191,CC191&lt;&gt;"")),Data!$BJ$2,"")</f>
        <v>74</v>
      </c>
      <c r="CH191" s="197" t="str">
        <f>IF(AND($K191="x",AND(MAX(CB191:CD191)=CD191,CD191&lt;&gt;"")),Data!$BK$2,"")</f>
        <v/>
      </c>
      <c r="CI191" s="197"/>
      <c r="CJ191" s="197"/>
      <c r="CK191" s="453">
        <v>10</v>
      </c>
      <c r="CL191" s="454">
        <v>80</v>
      </c>
      <c r="CM191" s="441">
        <f t="shared" si="273"/>
        <v>10</v>
      </c>
      <c r="CN191" s="328"/>
      <c r="CO191" s="197" t="str">
        <f>IF(AND($I191="x",AND(MAX(CK191:CM191)=CK191,CK191&lt;&gt;"")),Data!$BI$2,"")</f>
        <v/>
      </c>
      <c r="CP191" s="197">
        <f>IF(AND($J191="x",AND(MAX(CK191:CM191)=CL191,CL191&lt;&gt;"")),Data!$BJ$2,"")</f>
        <v>74</v>
      </c>
      <c r="CQ191" s="197" t="str">
        <f>IF(AND($K191="x",AND(MAX(CK191:CM191)=CM191,CM191&lt;&gt;"")),Data!$BK$2,"")</f>
        <v/>
      </c>
      <c r="CR191" s="197"/>
      <c r="CS191" s="197"/>
      <c r="CT191" s="328"/>
      <c r="CU191" s="259"/>
      <c r="CV191" s="209"/>
      <c r="CW191" s="227"/>
    </row>
    <row r="192" spans="1:101" x14ac:dyDescent="0.2">
      <c r="A192" s="227"/>
      <c r="B192" s="227"/>
      <c r="C192" s="168"/>
      <c r="D192" s="232"/>
      <c r="E192" s="136" t="s">
        <v>157</v>
      </c>
      <c r="F192" s="426">
        <v>1</v>
      </c>
      <c r="G192" s="432" t="s">
        <v>51</v>
      </c>
      <c r="H192" s="433">
        <v>1</v>
      </c>
      <c r="I192" s="349" t="str">
        <f t="shared" si="260"/>
        <v/>
      </c>
      <c r="J192" s="350" t="str">
        <f t="shared" si="261"/>
        <v>x</v>
      </c>
      <c r="K192" s="351" t="str">
        <f t="shared" si="262"/>
        <v/>
      </c>
      <c r="L192" s="258"/>
      <c r="M192" s="332"/>
      <c r="N192" s="336"/>
      <c r="O192" s="200"/>
      <c r="P192" s="200"/>
      <c r="Q192" s="445">
        <v>10</v>
      </c>
      <c r="R192" s="446">
        <v>80</v>
      </c>
      <c r="S192" s="447">
        <f t="shared" si="263"/>
        <v>10</v>
      </c>
      <c r="T192" s="328"/>
      <c r="U192" s="197" t="str">
        <f>IF(AND($I192="x",AND(MAX(Q192:S192)=Q192,Q192&gt;=0)),Data!$BI$2,"")</f>
        <v/>
      </c>
      <c r="V192" s="197">
        <f>IF(AND($J192="x",AND(MAX(Q192:S192)=R192,R192&gt;=0)),Data!$BJ$2,"")</f>
        <v>74</v>
      </c>
      <c r="W192" s="197" t="str">
        <f>IF(AND($K192="x",AND(MAX(Q192:S192)=S192,S192&gt;=0)),Data!$BK$2,"")</f>
        <v/>
      </c>
      <c r="X192" s="197"/>
      <c r="Y192" s="328"/>
      <c r="Z192" s="455">
        <v>10</v>
      </c>
      <c r="AA192" s="456">
        <v>80</v>
      </c>
      <c r="AB192" s="447">
        <f t="shared" si="264"/>
        <v>10</v>
      </c>
      <c r="AC192" s="328"/>
      <c r="AD192" s="197" t="str">
        <f>IF(AND($I192="x",AND(MAX(Z192:AB192)=Z192,Z192&lt;&gt;"")),Data!$BI$2,"")</f>
        <v/>
      </c>
      <c r="AE192" s="197">
        <f>IF(AND($J192="x",AND(MAX(Z192:AB192)=AA192,AA192&lt;&gt;"")),Data!$BJ$2,"")</f>
        <v>74</v>
      </c>
      <c r="AF192" s="197" t="str">
        <f>IF(AND($K192="x",AND(MAX(Z192:AB192)=AB192,AB192&lt;&gt;"")),Data!$BK$2,"")</f>
        <v/>
      </c>
      <c r="AG192" s="197"/>
      <c r="AH192" s="328"/>
      <c r="AI192" s="455">
        <v>10</v>
      </c>
      <c r="AJ192" s="456">
        <v>80</v>
      </c>
      <c r="AK192" s="447">
        <f t="shared" si="265"/>
        <v>10</v>
      </c>
      <c r="AL192" s="328"/>
      <c r="AM192" s="197" t="str">
        <f>IF(AND($I192="x",AND(MAX(AI192:AK192)=AI192,AI192&lt;&gt;"")),Data!$BI$2,"")</f>
        <v/>
      </c>
      <c r="AN192" s="197">
        <f>IF(AND($J192="x",AND(MAX(AI192:AK192)=AJ192,AJ192&lt;&gt;"")),Data!$BJ$2,"")</f>
        <v>74</v>
      </c>
      <c r="AO192" s="197" t="str">
        <f>IF(AND($K192="x",AND(MAX(AI192:AK192)=AK192,AK192&lt;&gt;"")),Data!$BK$2,"")</f>
        <v/>
      </c>
      <c r="AP192" s="197"/>
      <c r="AQ192" s="328"/>
      <c r="AR192" s="455">
        <v>10</v>
      </c>
      <c r="AS192" s="456">
        <v>80</v>
      </c>
      <c r="AT192" s="447">
        <f t="shared" si="266"/>
        <v>10</v>
      </c>
      <c r="AU192" s="328"/>
      <c r="AV192" s="197" t="str">
        <f>IF(AND($I192="x",AND(MAX(AR192:AT192)=AR192,AR192&lt;&gt;"")),Data!$BI$2,"")</f>
        <v/>
      </c>
      <c r="AW192" s="197">
        <f>IF(AND($J192="x",AND(MAX(AR192:AT192)=AS192,AS192&lt;&gt;"")),Data!$BJ$2,"")</f>
        <v>74</v>
      </c>
      <c r="AX192" s="197" t="str">
        <f>IF(AND($K192="x",AND(MAX(AR192:AT192)=AT192,AT192&lt;&gt;"")),Data!$BK$2,"")</f>
        <v/>
      </c>
      <c r="AY192" s="197"/>
      <c r="AZ192" s="328"/>
      <c r="BA192" s="455">
        <v>10</v>
      </c>
      <c r="BB192" s="456">
        <v>80</v>
      </c>
      <c r="BC192" s="447">
        <f t="shared" si="267"/>
        <v>10</v>
      </c>
      <c r="BD192" s="328"/>
      <c r="BE192" s="197" t="str">
        <f>IF(AND($I192="x",AND(MAX(BA192:BC192)=BA192,BA192&lt;&gt;"")),Data!$BI$2,"")</f>
        <v/>
      </c>
      <c r="BF192" s="197">
        <f>IF(AND($J192="x",AND(MAX(BA192:BC192)=BB192,BB192&lt;&gt;"")),Data!$BJ$2,"")</f>
        <v>74</v>
      </c>
      <c r="BG192" s="197" t="str">
        <f>IF(AND($K192="x",AND(MAX(BA192:BC192)=BC192,BC192&lt;&gt;"")),Data!$BK$2,"")</f>
        <v/>
      </c>
      <c r="BH192" s="197"/>
      <c r="BI192" s="328"/>
      <c r="BJ192" s="455">
        <v>10</v>
      </c>
      <c r="BK192" s="456">
        <v>80</v>
      </c>
      <c r="BL192" s="447">
        <f t="shared" si="268"/>
        <v>10</v>
      </c>
      <c r="BM192" s="328"/>
      <c r="BN192" s="197" t="str">
        <f>IF(AND($I192="x",AND(MAX(BJ192:BL192)=BJ192,BJ192&lt;&gt;"")),Data!$BI$2,"")</f>
        <v/>
      </c>
      <c r="BO192" s="197">
        <f>IF(AND($J192="x",AND(MAX(BJ192:BL192)=BK192,BK192&lt;&gt;"")),Data!$BJ$2,"")</f>
        <v>74</v>
      </c>
      <c r="BP192" s="197" t="str">
        <f>IF(AND($K192="x",AND(MAX(BJ192:BL192)=BL192,BL192&lt;&gt;"")),Data!$BK$2,"")</f>
        <v/>
      </c>
      <c r="BQ192" s="197"/>
      <c r="BR192" s="328"/>
      <c r="BS192" s="455">
        <v>10</v>
      </c>
      <c r="BT192" s="456">
        <v>80</v>
      </c>
      <c r="BU192" s="447">
        <f t="shared" si="269"/>
        <v>10</v>
      </c>
      <c r="BV192" s="328"/>
      <c r="BW192" s="197" t="str">
        <f>IF(AND($I192="x",AND(MAX(BS192:BU192)=BS192,BS192&lt;&gt;"")),Data!$BI$2,"")</f>
        <v/>
      </c>
      <c r="BX192" s="197">
        <f>IF(AND($J192="x",AND(MAX(BS192:BU192)=BT192,BT192&lt;&gt;"")),Data!$BJ$2,"")</f>
        <v>74</v>
      </c>
      <c r="BY192" s="197" t="str">
        <f>IF(AND($K192="x",AND(MAX(BS192:BU192)=BU192,BU192&lt;&gt;"")),Data!$BK$2,"")</f>
        <v/>
      </c>
      <c r="BZ192" s="197"/>
      <c r="CA192" s="328"/>
      <c r="CB192" s="463">
        <f t="shared" si="270"/>
        <v>10</v>
      </c>
      <c r="CC192" s="464">
        <f t="shared" si="271"/>
        <v>80</v>
      </c>
      <c r="CD192" s="465">
        <f t="shared" si="272"/>
        <v>10</v>
      </c>
      <c r="CE192" s="328"/>
      <c r="CF192" s="197" t="str">
        <f>IF(AND($I192="x",AND(MAX(CB192:CD192)=CB192,CB192&lt;&gt;"")),Data!$BI$2,"")</f>
        <v/>
      </c>
      <c r="CG192" s="197">
        <f>IF(AND($J192="x",AND(MAX(CB192:CD192)=CC192,CC192&lt;&gt;"")),Data!$BJ$2,"")</f>
        <v>74</v>
      </c>
      <c r="CH192" s="197" t="str">
        <f>IF(AND($K192="x",AND(MAX(CB192:CD192)=CD192,CD192&lt;&gt;"")),Data!$BK$2,"")</f>
        <v/>
      </c>
      <c r="CI192" s="197"/>
      <c r="CJ192" s="197"/>
      <c r="CK192" s="455">
        <v>10</v>
      </c>
      <c r="CL192" s="456">
        <v>80</v>
      </c>
      <c r="CM192" s="447">
        <f t="shared" si="273"/>
        <v>10</v>
      </c>
      <c r="CN192" s="328"/>
      <c r="CO192" s="197" t="str">
        <f>IF(AND($I192="x",AND(MAX(CK192:CM192)=CK192,CK192&lt;&gt;"")),Data!$BI$2,"")</f>
        <v/>
      </c>
      <c r="CP192" s="197">
        <f>IF(AND($J192="x",AND(MAX(CK192:CM192)=CL192,CL192&lt;&gt;"")),Data!$BJ$2,"")</f>
        <v>74</v>
      </c>
      <c r="CQ192" s="197" t="str">
        <f>IF(AND($K192="x",AND(MAX(CK192:CM192)=CM192,CM192&lt;&gt;"")),Data!$BK$2,"")</f>
        <v/>
      </c>
      <c r="CR192" s="197"/>
      <c r="CS192" s="197"/>
      <c r="CT192" s="328"/>
      <c r="CU192" s="259"/>
      <c r="CV192" s="209"/>
      <c r="CW192" s="227"/>
    </row>
    <row r="193" spans="1:101" x14ac:dyDescent="0.2">
      <c r="A193" s="227"/>
      <c r="B193" s="227"/>
      <c r="C193" s="168"/>
      <c r="D193" s="232"/>
      <c r="E193" s="137" t="s">
        <v>158</v>
      </c>
      <c r="F193" s="427">
        <v>1</v>
      </c>
      <c r="G193" s="434" t="s">
        <v>51</v>
      </c>
      <c r="H193" s="435">
        <v>1</v>
      </c>
      <c r="I193" s="138" t="str">
        <f t="shared" si="260"/>
        <v/>
      </c>
      <c r="J193" s="344" t="str">
        <f t="shared" si="261"/>
        <v>x</v>
      </c>
      <c r="K193" s="345" t="str">
        <f t="shared" si="262"/>
        <v/>
      </c>
      <c r="L193" s="258"/>
      <c r="M193" s="332"/>
      <c r="N193" s="336"/>
      <c r="O193" s="200"/>
      <c r="P193" s="200"/>
      <c r="Q193" s="448">
        <v>10</v>
      </c>
      <c r="R193" s="449">
        <v>80</v>
      </c>
      <c r="S193" s="450">
        <f t="shared" si="263"/>
        <v>10</v>
      </c>
      <c r="T193" s="328"/>
      <c r="U193" s="197" t="str">
        <f>IF(AND($I193="x",AND(MAX(Q193:S193)=Q193,Q193&gt;=0)),Data!$BI$2,"")</f>
        <v/>
      </c>
      <c r="V193" s="197">
        <f>IF(AND($J193="x",AND(MAX(Q193:S193)=R193,R193&gt;=0)),Data!$BJ$2,"")</f>
        <v>74</v>
      </c>
      <c r="W193" s="197" t="str">
        <f>IF(AND($K193="x",AND(MAX(Q193:S193)=S193,S193&gt;=0)),Data!$BK$2,"")</f>
        <v/>
      </c>
      <c r="X193" s="197"/>
      <c r="Y193" s="328"/>
      <c r="Z193" s="451">
        <v>10</v>
      </c>
      <c r="AA193" s="452">
        <v>80</v>
      </c>
      <c r="AB193" s="450">
        <f t="shared" si="264"/>
        <v>10</v>
      </c>
      <c r="AC193" s="328"/>
      <c r="AD193" s="197" t="str">
        <f>IF(AND($I193="x",AND(MAX(Z193:AB193)=Z193,Z193&lt;&gt;"")),Data!$BI$2,"")</f>
        <v/>
      </c>
      <c r="AE193" s="197">
        <f>IF(AND($J193="x",AND(MAX(Z193:AB193)=AA193,AA193&lt;&gt;"")),Data!$BJ$2,"")</f>
        <v>74</v>
      </c>
      <c r="AF193" s="197" t="str">
        <f>IF(AND($K193="x",AND(MAX(Z193:AB193)=AB193,AB193&lt;&gt;"")),Data!$BK$2,"")</f>
        <v/>
      </c>
      <c r="AG193" s="197"/>
      <c r="AH193" s="328"/>
      <c r="AI193" s="451">
        <v>10</v>
      </c>
      <c r="AJ193" s="452">
        <v>80</v>
      </c>
      <c r="AK193" s="450">
        <f t="shared" si="265"/>
        <v>10</v>
      </c>
      <c r="AL193" s="328"/>
      <c r="AM193" s="197" t="str">
        <f>IF(AND($I193="x",AND(MAX(AI193:AK193)=AI193,AI193&lt;&gt;"")),Data!$BI$2,"")</f>
        <v/>
      </c>
      <c r="AN193" s="197">
        <f>IF(AND($J193="x",AND(MAX(AI193:AK193)=AJ193,AJ193&lt;&gt;"")),Data!$BJ$2,"")</f>
        <v>74</v>
      </c>
      <c r="AO193" s="197" t="str">
        <f>IF(AND($K193="x",AND(MAX(AI193:AK193)=AK193,AK193&lt;&gt;"")),Data!$BK$2,"")</f>
        <v/>
      </c>
      <c r="AP193" s="197"/>
      <c r="AQ193" s="328"/>
      <c r="AR193" s="451">
        <v>10</v>
      </c>
      <c r="AS193" s="452">
        <v>80</v>
      </c>
      <c r="AT193" s="450">
        <f t="shared" si="266"/>
        <v>10</v>
      </c>
      <c r="AU193" s="328"/>
      <c r="AV193" s="197" t="str">
        <f>IF(AND($I193="x",AND(MAX(AR193:AT193)=AR193,AR193&lt;&gt;"")),Data!$BI$2,"")</f>
        <v/>
      </c>
      <c r="AW193" s="197">
        <f>IF(AND($J193="x",AND(MAX(AR193:AT193)=AS193,AS193&lt;&gt;"")),Data!$BJ$2,"")</f>
        <v>74</v>
      </c>
      <c r="AX193" s="197" t="str">
        <f>IF(AND($K193="x",AND(MAX(AR193:AT193)=AT193,AT193&lt;&gt;"")),Data!$BK$2,"")</f>
        <v/>
      </c>
      <c r="AY193" s="197"/>
      <c r="AZ193" s="328"/>
      <c r="BA193" s="451">
        <v>10</v>
      </c>
      <c r="BB193" s="452">
        <v>80</v>
      </c>
      <c r="BC193" s="450">
        <f t="shared" si="267"/>
        <v>10</v>
      </c>
      <c r="BD193" s="328"/>
      <c r="BE193" s="197" t="str">
        <f>IF(AND($I193="x",AND(MAX(BA193:BC193)=BA193,BA193&lt;&gt;"")),Data!$BI$2,"")</f>
        <v/>
      </c>
      <c r="BF193" s="197">
        <f>IF(AND($J193="x",AND(MAX(BA193:BC193)=BB193,BB193&lt;&gt;"")),Data!$BJ$2,"")</f>
        <v>74</v>
      </c>
      <c r="BG193" s="197" t="str">
        <f>IF(AND($K193="x",AND(MAX(BA193:BC193)=BC193,BC193&lt;&gt;"")),Data!$BK$2,"")</f>
        <v/>
      </c>
      <c r="BH193" s="197"/>
      <c r="BI193" s="328"/>
      <c r="BJ193" s="451">
        <v>10</v>
      </c>
      <c r="BK193" s="452">
        <v>80</v>
      </c>
      <c r="BL193" s="450">
        <f t="shared" si="268"/>
        <v>10</v>
      </c>
      <c r="BM193" s="328"/>
      <c r="BN193" s="197" t="str">
        <f>IF(AND($I193="x",AND(MAX(BJ193:BL193)=BJ193,BJ193&lt;&gt;"")),Data!$BI$2,"")</f>
        <v/>
      </c>
      <c r="BO193" s="197">
        <f>IF(AND($J193="x",AND(MAX(BJ193:BL193)=BK193,BK193&lt;&gt;"")),Data!$BJ$2,"")</f>
        <v>74</v>
      </c>
      <c r="BP193" s="197" t="str">
        <f>IF(AND($K193="x",AND(MAX(BJ193:BL193)=BL193,BL193&lt;&gt;"")),Data!$BK$2,"")</f>
        <v/>
      </c>
      <c r="BQ193" s="197"/>
      <c r="BR193" s="328"/>
      <c r="BS193" s="451">
        <v>10</v>
      </c>
      <c r="BT193" s="452">
        <v>80</v>
      </c>
      <c r="BU193" s="450">
        <f t="shared" si="269"/>
        <v>10</v>
      </c>
      <c r="BV193" s="328"/>
      <c r="BW193" s="197" t="str">
        <f>IF(AND($I193="x",AND(MAX(BS193:BU193)=BS193,BS193&lt;&gt;"")),Data!$BI$2,"")</f>
        <v/>
      </c>
      <c r="BX193" s="197">
        <f>IF(AND($J193="x",AND(MAX(BS193:BU193)=BT193,BT193&lt;&gt;"")),Data!$BJ$2,"")</f>
        <v>74</v>
      </c>
      <c r="BY193" s="197" t="str">
        <f>IF(AND($K193="x",AND(MAX(BS193:BU193)=BU193,BU193&lt;&gt;"")),Data!$BK$2,"")</f>
        <v/>
      </c>
      <c r="BZ193" s="197"/>
      <c r="CA193" s="328"/>
      <c r="CB193" s="457">
        <f t="shared" si="270"/>
        <v>10</v>
      </c>
      <c r="CC193" s="458">
        <f t="shared" si="271"/>
        <v>80</v>
      </c>
      <c r="CD193" s="459">
        <f t="shared" si="272"/>
        <v>10</v>
      </c>
      <c r="CE193" s="328"/>
      <c r="CF193" s="197" t="str">
        <f>IF(AND($I193="x",AND(MAX(CB193:CD193)=CB193,CB193&lt;&gt;"")),Data!$BI$2,"")</f>
        <v/>
      </c>
      <c r="CG193" s="197">
        <f>IF(AND($J193="x",AND(MAX(CB193:CD193)=CC193,CC193&lt;&gt;"")),Data!$BJ$2,"")</f>
        <v>74</v>
      </c>
      <c r="CH193" s="197" t="str">
        <f>IF(AND($K193="x",AND(MAX(CB193:CD193)=CD193,CD193&lt;&gt;"")),Data!$BK$2,"")</f>
        <v/>
      </c>
      <c r="CI193" s="197"/>
      <c r="CJ193" s="197"/>
      <c r="CK193" s="451">
        <v>10</v>
      </c>
      <c r="CL193" s="452">
        <v>80</v>
      </c>
      <c r="CM193" s="450">
        <f t="shared" si="273"/>
        <v>10</v>
      </c>
      <c r="CN193" s="328"/>
      <c r="CO193" s="197" t="str">
        <f>IF(AND($I193="x",AND(MAX(CK193:CM193)=CK193,CK193&lt;&gt;"")),Data!$BI$2,"")</f>
        <v/>
      </c>
      <c r="CP193" s="197">
        <f>IF(AND($J193="x",AND(MAX(CK193:CM193)=CL193,CL193&lt;&gt;"")),Data!$BJ$2,"")</f>
        <v>74</v>
      </c>
      <c r="CQ193" s="197" t="str">
        <f>IF(AND($K193="x",AND(MAX(CK193:CM193)=CM193,CM193&lt;&gt;"")),Data!$BK$2,"")</f>
        <v/>
      </c>
      <c r="CR193" s="197"/>
      <c r="CS193" s="197"/>
      <c r="CT193" s="328"/>
      <c r="CU193" s="259"/>
      <c r="CV193" s="209"/>
      <c r="CW193" s="227"/>
    </row>
    <row r="194" spans="1:101" x14ac:dyDescent="0.2">
      <c r="A194" s="227"/>
      <c r="B194" s="227"/>
      <c r="C194" s="168"/>
      <c r="D194" s="232"/>
      <c r="E194" s="135" t="s">
        <v>159</v>
      </c>
      <c r="F194" s="425">
        <v>1</v>
      </c>
      <c r="G194" s="430" t="s">
        <v>51</v>
      </c>
      <c r="H194" s="431">
        <v>1</v>
      </c>
      <c r="I194" s="346" t="str">
        <f t="shared" si="260"/>
        <v/>
      </c>
      <c r="J194" s="347" t="str">
        <f t="shared" si="261"/>
        <v>x</v>
      </c>
      <c r="K194" s="348" t="str">
        <f t="shared" si="262"/>
        <v/>
      </c>
      <c r="L194" s="258"/>
      <c r="M194" s="332"/>
      <c r="N194" s="336"/>
      <c r="O194" s="200"/>
      <c r="P194" s="200"/>
      <c r="Q194" s="439">
        <v>10</v>
      </c>
      <c r="R194" s="440">
        <v>80</v>
      </c>
      <c r="S194" s="441">
        <f t="shared" si="263"/>
        <v>10</v>
      </c>
      <c r="T194" s="328"/>
      <c r="U194" s="197" t="str">
        <f>IF(AND($I194="x",AND(MAX(Q194:S194)=Q194,Q194&gt;=0)),Data!$BI$2,"")</f>
        <v/>
      </c>
      <c r="V194" s="197">
        <f>IF(AND($J194="x",AND(MAX(Q194:S194)=R194,R194&gt;=0)),Data!$BJ$2,"")</f>
        <v>74</v>
      </c>
      <c r="W194" s="197" t="str">
        <f>IF(AND($K194="x",AND(MAX(Q194:S194)=S194,S194&gt;=0)),Data!$BK$2,"")</f>
        <v/>
      </c>
      <c r="X194" s="197"/>
      <c r="Y194" s="328"/>
      <c r="Z194" s="453">
        <v>10</v>
      </c>
      <c r="AA194" s="454">
        <v>80</v>
      </c>
      <c r="AB194" s="441">
        <f t="shared" si="264"/>
        <v>10</v>
      </c>
      <c r="AC194" s="328"/>
      <c r="AD194" s="197" t="str">
        <f>IF(AND($I194="x",AND(MAX(Z194:AB194)=Z194,Z194&lt;&gt;"")),Data!$BI$2,"")</f>
        <v/>
      </c>
      <c r="AE194" s="197">
        <f>IF(AND($J194="x",AND(MAX(Z194:AB194)=AA194,AA194&lt;&gt;"")),Data!$BJ$2,"")</f>
        <v>74</v>
      </c>
      <c r="AF194" s="197" t="str">
        <f>IF(AND($K194="x",AND(MAX(Z194:AB194)=AB194,AB194&lt;&gt;"")),Data!$BK$2,"")</f>
        <v/>
      </c>
      <c r="AG194" s="197"/>
      <c r="AH194" s="328"/>
      <c r="AI194" s="453">
        <v>10</v>
      </c>
      <c r="AJ194" s="454">
        <v>80</v>
      </c>
      <c r="AK194" s="441">
        <f t="shared" si="265"/>
        <v>10</v>
      </c>
      <c r="AL194" s="328"/>
      <c r="AM194" s="197" t="str">
        <f>IF(AND($I194="x",AND(MAX(AI194:AK194)=AI194,AI194&lt;&gt;"")),Data!$BI$2,"")</f>
        <v/>
      </c>
      <c r="AN194" s="197">
        <f>IF(AND($J194="x",AND(MAX(AI194:AK194)=AJ194,AJ194&lt;&gt;"")),Data!$BJ$2,"")</f>
        <v>74</v>
      </c>
      <c r="AO194" s="197" t="str">
        <f>IF(AND($K194="x",AND(MAX(AI194:AK194)=AK194,AK194&lt;&gt;"")),Data!$BK$2,"")</f>
        <v/>
      </c>
      <c r="AP194" s="197"/>
      <c r="AQ194" s="328"/>
      <c r="AR194" s="453">
        <v>10</v>
      </c>
      <c r="AS194" s="454">
        <v>80</v>
      </c>
      <c r="AT194" s="441">
        <f t="shared" si="266"/>
        <v>10</v>
      </c>
      <c r="AU194" s="328"/>
      <c r="AV194" s="197" t="str">
        <f>IF(AND($I194="x",AND(MAX(AR194:AT194)=AR194,AR194&lt;&gt;"")),Data!$BI$2,"")</f>
        <v/>
      </c>
      <c r="AW194" s="197">
        <f>IF(AND($J194="x",AND(MAX(AR194:AT194)=AS194,AS194&lt;&gt;"")),Data!$BJ$2,"")</f>
        <v>74</v>
      </c>
      <c r="AX194" s="197" t="str">
        <f>IF(AND($K194="x",AND(MAX(AR194:AT194)=AT194,AT194&lt;&gt;"")),Data!$BK$2,"")</f>
        <v/>
      </c>
      <c r="AY194" s="197"/>
      <c r="AZ194" s="328"/>
      <c r="BA194" s="453">
        <v>10</v>
      </c>
      <c r="BB194" s="454">
        <v>80</v>
      </c>
      <c r="BC194" s="441">
        <f t="shared" si="267"/>
        <v>10</v>
      </c>
      <c r="BD194" s="328"/>
      <c r="BE194" s="197" t="str">
        <f>IF(AND($I194="x",AND(MAX(BA194:BC194)=BA194,BA194&lt;&gt;"")),Data!$BI$2,"")</f>
        <v/>
      </c>
      <c r="BF194" s="197">
        <f>IF(AND($J194="x",AND(MAX(BA194:BC194)=BB194,BB194&lt;&gt;"")),Data!$BJ$2,"")</f>
        <v>74</v>
      </c>
      <c r="BG194" s="197" t="str">
        <f>IF(AND($K194="x",AND(MAX(BA194:BC194)=BC194,BC194&lt;&gt;"")),Data!$BK$2,"")</f>
        <v/>
      </c>
      <c r="BH194" s="197"/>
      <c r="BI194" s="328"/>
      <c r="BJ194" s="453">
        <v>10</v>
      </c>
      <c r="BK194" s="454">
        <v>80</v>
      </c>
      <c r="BL194" s="441">
        <f t="shared" si="268"/>
        <v>10</v>
      </c>
      <c r="BM194" s="328"/>
      <c r="BN194" s="197" t="str">
        <f>IF(AND($I194="x",AND(MAX(BJ194:BL194)=BJ194,BJ194&lt;&gt;"")),Data!$BI$2,"")</f>
        <v/>
      </c>
      <c r="BO194" s="197">
        <f>IF(AND($J194="x",AND(MAX(BJ194:BL194)=BK194,BK194&lt;&gt;"")),Data!$BJ$2,"")</f>
        <v>74</v>
      </c>
      <c r="BP194" s="197" t="str">
        <f>IF(AND($K194="x",AND(MAX(BJ194:BL194)=BL194,BL194&lt;&gt;"")),Data!$BK$2,"")</f>
        <v/>
      </c>
      <c r="BQ194" s="197"/>
      <c r="BR194" s="328"/>
      <c r="BS194" s="453">
        <v>10</v>
      </c>
      <c r="BT194" s="454">
        <v>80</v>
      </c>
      <c r="BU194" s="441">
        <f t="shared" si="269"/>
        <v>10</v>
      </c>
      <c r="BV194" s="328"/>
      <c r="BW194" s="197" t="str">
        <f>IF(AND($I194="x",AND(MAX(BS194:BU194)=BS194,BS194&lt;&gt;"")),Data!$BI$2,"")</f>
        <v/>
      </c>
      <c r="BX194" s="197">
        <f>IF(AND($J194="x",AND(MAX(BS194:BU194)=BT194,BT194&lt;&gt;"")),Data!$BJ$2,"")</f>
        <v>74</v>
      </c>
      <c r="BY194" s="197" t="str">
        <f>IF(AND($K194="x",AND(MAX(BS194:BU194)=BU194,BU194&lt;&gt;"")),Data!$BK$2,"")</f>
        <v/>
      </c>
      <c r="BZ194" s="197"/>
      <c r="CA194" s="328"/>
      <c r="CB194" s="460">
        <f t="shared" si="270"/>
        <v>10</v>
      </c>
      <c r="CC194" s="461">
        <f t="shared" si="271"/>
        <v>80</v>
      </c>
      <c r="CD194" s="462">
        <f t="shared" si="272"/>
        <v>10</v>
      </c>
      <c r="CE194" s="328"/>
      <c r="CF194" s="197" t="str">
        <f>IF(AND($I194="x",AND(MAX(CB194:CD194)=CB194,CB194&lt;&gt;"")),Data!$BI$2,"")</f>
        <v/>
      </c>
      <c r="CG194" s="197">
        <f>IF(AND($J194="x",AND(MAX(CB194:CD194)=CC194,CC194&lt;&gt;"")),Data!$BJ$2,"")</f>
        <v>74</v>
      </c>
      <c r="CH194" s="197" t="str">
        <f>IF(AND($K194="x",AND(MAX(CB194:CD194)=CD194,CD194&lt;&gt;"")),Data!$BK$2,"")</f>
        <v/>
      </c>
      <c r="CI194" s="197"/>
      <c r="CJ194" s="197"/>
      <c r="CK194" s="453">
        <v>10</v>
      </c>
      <c r="CL194" s="454">
        <v>80</v>
      </c>
      <c r="CM194" s="441">
        <f t="shared" si="273"/>
        <v>10</v>
      </c>
      <c r="CN194" s="328"/>
      <c r="CO194" s="197" t="str">
        <f>IF(AND($I194="x",AND(MAX(CK194:CM194)=CK194,CK194&lt;&gt;"")),Data!$BI$2,"")</f>
        <v/>
      </c>
      <c r="CP194" s="197">
        <f>IF(AND($J194="x",AND(MAX(CK194:CM194)=CL194,CL194&lt;&gt;"")),Data!$BJ$2,"")</f>
        <v>74</v>
      </c>
      <c r="CQ194" s="197" t="str">
        <f>IF(AND($K194="x",AND(MAX(CK194:CM194)=CM194,CM194&lt;&gt;"")),Data!$BK$2,"")</f>
        <v/>
      </c>
      <c r="CR194" s="197"/>
      <c r="CS194" s="197"/>
      <c r="CT194" s="328"/>
      <c r="CU194" s="259"/>
      <c r="CV194" s="209"/>
      <c r="CW194" s="227"/>
    </row>
    <row r="195" spans="1:101" x14ac:dyDescent="0.2">
      <c r="A195" s="227"/>
      <c r="B195" s="227"/>
      <c r="C195" s="168"/>
      <c r="D195" s="232"/>
      <c r="E195" s="136" t="s">
        <v>160</v>
      </c>
      <c r="F195" s="426">
        <v>1</v>
      </c>
      <c r="G195" s="432" t="s">
        <v>51</v>
      </c>
      <c r="H195" s="433">
        <v>1</v>
      </c>
      <c r="I195" s="349" t="str">
        <f t="shared" si="260"/>
        <v/>
      </c>
      <c r="J195" s="350" t="str">
        <f t="shared" si="261"/>
        <v>x</v>
      </c>
      <c r="K195" s="351" t="str">
        <f t="shared" si="262"/>
        <v/>
      </c>
      <c r="L195" s="258"/>
      <c r="M195" s="332"/>
      <c r="N195" s="336"/>
      <c r="O195" s="200"/>
      <c r="P195" s="200"/>
      <c r="Q195" s="445">
        <v>10</v>
      </c>
      <c r="R195" s="446">
        <v>80</v>
      </c>
      <c r="S195" s="447">
        <f t="shared" si="263"/>
        <v>10</v>
      </c>
      <c r="T195" s="328"/>
      <c r="U195" s="197" t="str">
        <f>IF(AND($I195="x",AND(MAX(Q195:S195)=Q195,Q195&gt;=0)),Data!$BI$2,"")</f>
        <v/>
      </c>
      <c r="V195" s="197">
        <f>IF(AND($J195="x",AND(MAX(Q195:S195)=R195,R195&gt;=0)),Data!$BJ$2,"")</f>
        <v>74</v>
      </c>
      <c r="W195" s="197" t="str">
        <f>IF(AND($K195="x",AND(MAX(Q195:S195)=S195,S195&gt;=0)),Data!$BK$2,"")</f>
        <v/>
      </c>
      <c r="X195" s="197"/>
      <c r="Y195" s="328"/>
      <c r="Z195" s="455">
        <v>10</v>
      </c>
      <c r="AA195" s="456">
        <v>80</v>
      </c>
      <c r="AB195" s="447">
        <f t="shared" si="264"/>
        <v>10</v>
      </c>
      <c r="AC195" s="328"/>
      <c r="AD195" s="197" t="str">
        <f>IF(AND($I195="x",AND(MAX(Z195:AB195)=Z195,Z195&lt;&gt;"")),Data!$BI$2,"")</f>
        <v/>
      </c>
      <c r="AE195" s="197">
        <f>IF(AND($J195="x",AND(MAX(Z195:AB195)=AA195,AA195&lt;&gt;"")),Data!$BJ$2,"")</f>
        <v>74</v>
      </c>
      <c r="AF195" s="197" t="str">
        <f>IF(AND($K195="x",AND(MAX(Z195:AB195)=AB195,AB195&lt;&gt;"")),Data!$BK$2,"")</f>
        <v/>
      </c>
      <c r="AG195" s="197"/>
      <c r="AH195" s="328"/>
      <c r="AI195" s="455">
        <v>10</v>
      </c>
      <c r="AJ195" s="456">
        <v>80</v>
      </c>
      <c r="AK195" s="447">
        <f t="shared" si="265"/>
        <v>10</v>
      </c>
      <c r="AL195" s="328"/>
      <c r="AM195" s="197" t="str">
        <f>IF(AND($I195="x",AND(MAX(AI195:AK195)=AI195,AI195&lt;&gt;"")),Data!$BI$2,"")</f>
        <v/>
      </c>
      <c r="AN195" s="197">
        <f>IF(AND($J195="x",AND(MAX(AI195:AK195)=AJ195,AJ195&lt;&gt;"")),Data!$BJ$2,"")</f>
        <v>74</v>
      </c>
      <c r="AO195" s="197" t="str">
        <f>IF(AND($K195="x",AND(MAX(AI195:AK195)=AK195,AK195&lt;&gt;"")),Data!$BK$2,"")</f>
        <v/>
      </c>
      <c r="AP195" s="197"/>
      <c r="AQ195" s="328"/>
      <c r="AR195" s="455">
        <v>10</v>
      </c>
      <c r="AS195" s="456">
        <v>80</v>
      </c>
      <c r="AT195" s="447">
        <f t="shared" si="266"/>
        <v>10</v>
      </c>
      <c r="AU195" s="328"/>
      <c r="AV195" s="197" t="str">
        <f>IF(AND($I195="x",AND(MAX(AR195:AT195)=AR195,AR195&lt;&gt;"")),Data!$BI$2,"")</f>
        <v/>
      </c>
      <c r="AW195" s="197">
        <f>IF(AND($J195="x",AND(MAX(AR195:AT195)=AS195,AS195&lt;&gt;"")),Data!$BJ$2,"")</f>
        <v>74</v>
      </c>
      <c r="AX195" s="197" t="str">
        <f>IF(AND($K195="x",AND(MAX(AR195:AT195)=AT195,AT195&lt;&gt;"")),Data!$BK$2,"")</f>
        <v/>
      </c>
      <c r="AY195" s="197"/>
      <c r="AZ195" s="328"/>
      <c r="BA195" s="455">
        <v>10</v>
      </c>
      <c r="BB195" s="456">
        <v>80</v>
      </c>
      <c r="BC195" s="447">
        <f t="shared" si="267"/>
        <v>10</v>
      </c>
      <c r="BD195" s="328"/>
      <c r="BE195" s="197" t="str">
        <f>IF(AND($I195="x",AND(MAX(BA195:BC195)=BA195,BA195&lt;&gt;"")),Data!$BI$2,"")</f>
        <v/>
      </c>
      <c r="BF195" s="197">
        <f>IF(AND($J195="x",AND(MAX(BA195:BC195)=BB195,BB195&lt;&gt;"")),Data!$BJ$2,"")</f>
        <v>74</v>
      </c>
      <c r="BG195" s="197" t="str">
        <f>IF(AND($K195="x",AND(MAX(BA195:BC195)=BC195,BC195&lt;&gt;"")),Data!$BK$2,"")</f>
        <v/>
      </c>
      <c r="BH195" s="197"/>
      <c r="BI195" s="328"/>
      <c r="BJ195" s="455">
        <v>10</v>
      </c>
      <c r="BK195" s="456">
        <v>80</v>
      </c>
      <c r="BL195" s="447">
        <f t="shared" si="268"/>
        <v>10</v>
      </c>
      <c r="BM195" s="328"/>
      <c r="BN195" s="197" t="str">
        <f>IF(AND($I195="x",AND(MAX(BJ195:BL195)=BJ195,BJ195&lt;&gt;"")),Data!$BI$2,"")</f>
        <v/>
      </c>
      <c r="BO195" s="197">
        <f>IF(AND($J195="x",AND(MAX(BJ195:BL195)=BK195,BK195&lt;&gt;"")),Data!$BJ$2,"")</f>
        <v>74</v>
      </c>
      <c r="BP195" s="197" t="str">
        <f>IF(AND($K195="x",AND(MAX(BJ195:BL195)=BL195,BL195&lt;&gt;"")),Data!$BK$2,"")</f>
        <v/>
      </c>
      <c r="BQ195" s="197"/>
      <c r="BR195" s="328"/>
      <c r="BS195" s="455">
        <v>10</v>
      </c>
      <c r="BT195" s="456">
        <v>80</v>
      </c>
      <c r="BU195" s="447">
        <f t="shared" si="269"/>
        <v>10</v>
      </c>
      <c r="BV195" s="328"/>
      <c r="BW195" s="197" t="str">
        <f>IF(AND($I195="x",AND(MAX(BS195:BU195)=BS195,BS195&lt;&gt;"")),Data!$BI$2,"")</f>
        <v/>
      </c>
      <c r="BX195" s="197">
        <f>IF(AND($J195="x",AND(MAX(BS195:BU195)=BT195,BT195&lt;&gt;"")),Data!$BJ$2,"")</f>
        <v>74</v>
      </c>
      <c r="BY195" s="197" t="str">
        <f>IF(AND($K195="x",AND(MAX(BS195:BU195)=BU195,BU195&lt;&gt;"")),Data!$BK$2,"")</f>
        <v/>
      </c>
      <c r="BZ195" s="197"/>
      <c r="CA195" s="328"/>
      <c r="CB195" s="463">
        <f t="shared" si="270"/>
        <v>10</v>
      </c>
      <c r="CC195" s="464">
        <f t="shared" si="271"/>
        <v>80</v>
      </c>
      <c r="CD195" s="465">
        <f t="shared" si="272"/>
        <v>10</v>
      </c>
      <c r="CE195" s="328"/>
      <c r="CF195" s="197" t="str">
        <f>IF(AND($I195="x",AND(MAX(CB195:CD195)=CB195,CB195&lt;&gt;"")),Data!$BI$2,"")</f>
        <v/>
      </c>
      <c r="CG195" s="197">
        <f>IF(AND($J195="x",AND(MAX(CB195:CD195)=CC195,CC195&lt;&gt;"")),Data!$BJ$2,"")</f>
        <v>74</v>
      </c>
      <c r="CH195" s="197" t="str">
        <f>IF(AND($K195="x",AND(MAX(CB195:CD195)=CD195,CD195&lt;&gt;"")),Data!$BK$2,"")</f>
        <v/>
      </c>
      <c r="CI195" s="197"/>
      <c r="CJ195" s="197"/>
      <c r="CK195" s="455">
        <v>10</v>
      </c>
      <c r="CL195" s="456">
        <v>80</v>
      </c>
      <c r="CM195" s="447">
        <f t="shared" si="273"/>
        <v>10</v>
      </c>
      <c r="CN195" s="328"/>
      <c r="CO195" s="197" t="str">
        <f>IF(AND($I195="x",AND(MAX(CK195:CM195)=CK195,CK195&lt;&gt;"")),Data!$BI$2,"")</f>
        <v/>
      </c>
      <c r="CP195" s="197">
        <f>IF(AND($J195="x",AND(MAX(CK195:CM195)=CL195,CL195&lt;&gt;"")),Data!$BJ$2,"")</f>
        <v>74</v>
      </c>
      <c r="CQ195" s="197" t="str">
        <f>IF(AND($K195="x",AND(MAX(CK195:CM195)=CM195,CM195&lt;&gt;"")),Data!$BK$2,"")</f>
        <v/>
      </c>
      <c r="CR195" s="197"/>
      <c r="CS195" s="197"/>
      <c r="CT195" s="328"/>
      <c r="CU195" s="259"/>
      <c r="CV195" s="209"/>
      <c r="CW195" s="227"/>
    </row>
    <row r="196" spans="1:101" x14ac:dyDescent="0.2">
      <c r="A196" s="227"/>
      <c r="B196" s="227"/>
      <c r="C196" s="168"/>
      <c r="D196" s="233"/>
      <c r="E196" s="199"/>
      <c r="F196" s="352">
        <f>IF(SUM(F184:F195)=0,"",SUM(F184:F195))</f>
        <v>12</v>
      </c>
      <c r="G196" s="327" t="s">
        <v>51</v>
      </c>
      <c r="H196" s="353">
        <f>IF(SUM(H184:H195)=0,"",SUM(H184:H195))</f>
        <v>12</v>
      </c>
      <c r="I196" s="354" t="str">
        <f>IF(COUNTIF(I184:I195,"=x")=0,"",COUNTIF(I184:I195,"=x"))</f>
        <v/>
      </c>
      <c r="J196" s="355">
        <f>IF(COUNTIF(J184:J195,"=x")=0,"",COUNTIF(J184:J195,"=x"))</f>
        <v>12</v>
      </c>
      <c r="K196" s="356" t="str">
        <f>IF(COUNTIF(K184:K195,"=x")=0,"",COUNTIF(K184:K195,"=x"))</f>
        <v/>
      </c>
      <c r="L196" s="258"/>
      <c r="M196" s="332"/>
      <c r="N196" s="336"/>
      <c r="O196" s="200"/>
      <c r="P196" s="326"/>
      <c r="Q196" s="422">
        <f>SUM(U184:U195)</f>
        <v>0</v>
      </c>
      <c r="R196" s="422">
        <f t="shared" ref="R196:S196" si="274">SUM(V184:V195)</f>
        <v>888</v>
      </c>
      <c r="S196" s="422">
        <f t="shared" si="274"/>
        <v>0</v>
      </c>
      <c r="T196" s="325"/>
      <c r="U196" s="197">
        <f>SUM(U184:U195)</f>
        <v>0</v>
      </c>
      <c r="V196" s="197">
        <f t="shared" ref="V196:W196" si="275">SUM(V184:V195)</f>
        <v>888</v>
      </c>
      <c r="W196" s="197">
        <f t="shared" si="275"/>
        <v>0</v>
      </c>
      <c r="X196" s="197"/>
      <c r="Y196" s="324"/>
      <c r="Z196" s="422">
        <f>SUM(AD184:AD195)</f>
        <v>0</v>
      </c>
      <c r="AA196" s="422">
        <f t="shared" ref="AA196:AB196" si="276">SUM(AE184:AE195)</f>
        <v>888</v>
      </c>
      <c r="AB196" s="422">
        <f t="shared" si="276"/>
        <v>0</v>
      </c>
      <c r="AC196" s="325"/>
      <c r="AD196" s="197">
        <f>SUM(AD184:AD195)</f>
        <v>0</v>
      </c>
      <c r="AE196" s="197">
        <f t="shared" ref="AE196:AF196" si="277">SUM(AE184:AE195)</f>
        <v>888</v>
      </c>
      <c r="AF196" s="197">
        <f t="shared" si="277"/>
        <v>0</v>
      </c>
      <c r="AG196" s="197"/>
      <c r="AH196" s="324"/>
      <c r="AI196" s="422">
        <f>SUM(AM184:AM195)</f>
        <v>0</v>
      </c>
      <c r="AJ196" s="422">
        <f t="shared" ref="AJ196:AK196" si="278">SUM(AN184:AN195)</f>
        <v>888</v>
      </c>
      <c r="AK196" s="422">
        <f t="shared" si="278"/>
        <v>0</v>
      </c>
      <c r="AL196" s="325"/>
      <c r="AM196" s="197">
        <f>SUM(AM184:AM195)</f>
        <v>0</v>
      </c>
      <c r="AN196" s="197">
        <f t="shared" ref="AN196:AO196" si="279">SUM(AN184:AN195)</f>
        <v>888</v>
      </c>
      <c r="AO196" s="197">
        <f t="shared" si="279"/>
        <v>0</v>
      </c>
      <c r="AP196" s="197"/>
      <c r="AQ196" s="324"/>
      <c r="AR196" s="422">
        <f>SUM(AV184:AV195)</f>
        <v>0</v>
      </c>
      <c r="AS196" s="422">
        <f t="shared" ref="AS196:AT196" si="280">SUM(AW184:AW195)</f>
        <v>888</v>
      </c>
      <c r="AT196" s="422">
        <f t="shared" si="280"/>
        <v>0</v>
      </c>
      <c r="AU196" s="325"/>
      <c r="AV196" s="197">
        <f>SUM(AV184:AV195)</f>
        <v>0</v>
      </c>
      <c r="AW196" s="197">
        <f t="shared" ref="AW196:AX196" si="281">SUM(AW184:AW195)</f>
        <v>888</v>
      </c>
      <c r="AX196" s="197">
        <f t="shared" si="281"/>
        <v>0</v>
      </c>
      <c r="AY196" s="197"/>
      <c r="AZ196" s="324"/>
      <c r="BA196" s="422">
        <f>SUM(BE184:BE195)</f>
        <v>0</v>
      </c>
      <c r="BB196" s="422">
        <f t="shared" ref="BB196:BC196" si="282">SUM(BF184:BF195)</f>
        <v>888</v>
      </c>
      <c r="BC196" s="422">
        <f t="shared" si="282"/>
        <v>0</v>
      </c>
      <c r="BD196" s="325"/>
      <c r="BE196" s="197">
        <f>SUM(BE184:BE195)</f>
        <v>0</v>
      </c>
      <c r="BF196" s="197">
        <f t="shared" ref="BF196:BG196" si="283">SUM(BF184:BF195)</f>
        <v>888</v>
      </c>
      <c r="BG196" s="197">
        <f t="shared" si="283"/>
        <v>0</v>
      </c>
      <c r="BH196" s="197"/>
      <c r="BI196" s="324"/>
      <c r="BJ196" s="422">
        <f>SUM(BN184:BN195)</f>
        <v>0</v>
      </c>
      <c r="BK196" s="422">
        <f t="shared" ref="BK196" si="284">SUM(BO184:BO195)</f>
        <v>888</v>
      </c>
      <c r="BL196" s="422">
        <f t="shared" ref="BL196" si="285">SUM(BP184:BP195)</f>
        <v>0</v>
      </c>
      <c r="BM196" s="325"/>
      <c r="BN196" s="197">
        <f>SUM(BN184:BN195)</f>
        <v>0</v>
      </c>
      <c r="BO196" s="197">
        <f t="shared" ref="BO196:BP196" si="286">SUM(BO184:BO195)</f>
        <v>888</v>
      </c>
      <c r="BP196" s="197">
        <f t="shared" si="286"/>
        <v>0</v>
      </c>
      <c r="BQ196" s="197"/>
      <c r="BR196" s="324"/>
      <c r="BS196" s="422">
        <f>SUM(BW184:BW195)</f>
        <v>0</v>
      </c>
      <c r="BT196" s="422">
        <f t="shared" ref="BT196:BU196" si="287">SUM(BX184:BX195)</f>
        <v>888</v>
      </c>
      <c r="BU196" s="422">
        <f t="shared" si="287"/>
        <v>0</v>
      </c>
      <c r="BV196" s="325"/>
      <c r="BW196" s="197">
        <f>SUM(BW184:BW195)</f>
        <v>0</v>
      </c>
      <c r="BX196" s="197">
        <f t="shared" ref="BX196:BY196" si="288">SUM(BX184:BX195)</f>
        <v>888</v>
      </c>
      <c r="BY196" s="197">
        <f t="shared" si="288"/>
        <v>0</v>
      </c>
      <c r="BZ196" s="197"/>
      <c r="CA196" s="326"/>
      <c r="CB196" s="422">
        <f>SUM(CF184:CF195)</f>
        <v>0</v>
      </c>
      <c r="CC196" s="422">
        <f t="shared" ref="CC196:CD196" si="289">SUM(CG184:CG195)</f>
        <v>888</v>
      </c>
      <c r="CD196" s="422">
        <f t="shared" si="289"/>
        <v>0</v>
      </c>
      <c r="CE196" s="325"/>
      <c r="CF196" s="197">
        <f>SUM(CF184:CF195)</f>
        <v>0</v>
      </c>
      <c r="CG196" s="197">
        <f t="shared" ref="CG196:CH196" si="290">SUM(CG184:CG195)</f>
        <v>888</v>
      </c>
      <c r="CH196" s="197">
        <f t="shared" si="290"/>
        <v>0</v>
      </c>
      <c r="CI196" s="197"/>
      <c r="CJ196" s="197"/>
      <c r="CK196" s="422">
        <f>SUM(CO184:CO195)</f>
        <v>0</v>
      </c>
      <c r="CL196" s="422">
        <f t="shared" ref="CL196:CM196" si="291">SUM(CP184:CP195)</f>
        <v>888</v>
      </c>
      <c r="CM196" s="422">
        <f t="shared" si="291"/>
        <v>0</v>
      </c>
      <c r="CN196" s="325"/>
      <c r="CO196" s="197">
        <f>SUM(CO184:CO195)</f>
        <v>0</v>
      </c>
      <c r="CP196" s="197">
        <f t="shared" ref="CP196:CQ196" si="292">SUM(CP184:CP195)</f>
        <v>888</v>
      </c>
      <c r="CQ196" s="197">
        <f t="shared" si="292"/>
        <v>0</v>
      </c>
      <c r="CR196" s="197"/>
      <c r="CS196" s="197"/>
      <c r="CT196" s="197"/>
      <c r="CU196" s="259"/>
      <c r="CV196" s="209"/>
      <c r="CW196" s="228"/>
    </row>
    <row r="197" spans="1:101" x14ac:dyDescent="0.2">
      <c r="A197" s="227"/>
      <c r="B197" s="227"/>
      <c r="C197" s="168"/>
      <c r="D197" s="249"/>
      <c r="E197" s="242"/>
      <c r="F197" s="243"/>
      <c r="G197" s="242"/>
      <c r="H197" s="242"/>
      <c r="I197" s="242"/>
      <c r="J197" s="242"/>
      <c r="K197" s="242"/>
      <c r="L197" s="252"/>
      <c r="M197" s="260"/>
      <c r="N197" s="337"/>
      <c r="O197" s="333"/>
      <c r="P197" s="244"/>
      <c r="Q197" s="245"/>
      <c r="R197" s="245"/>
      <c r="S197" s="245"/>
      <c r="T197" s="246"/>
      <c r="U197" s="247"/>
      <c r="V197" s="247"/>
      <c r="W197" s="247"/>
      <c r="X197" s="247"/>
      <c r="Y197" s="244"/>
      <c r="Z197" s="245"/>
      <c r="AA197" s="245"/>
      <c r="AB197" s="245"/>
      <c r="AC197" s="246"/>
      <c r="AD197" s="247"/>
      <c r="AE197" s="247"/>
      <c r="AF197" s="247"/>
      <c r="AG197" s="247"/>
      <c r="AH197" s="244"/>
      <c r="AI197" s="245"/>
      <c r="AJ197" s="245"/>
      <c r="AK197" s="245"/>
      <c r="AL197" s="246"/>
      <c r="AM197" s="247"/>
      <c r="AN197" s="247"/>
      <c r="AO197" s="247"/>
      <c r="AP197" s="247"/>
      <c r="AQ197" s="244"/>
      <c r="AR197" s="245"/>
      <c r="AS197" s="245"/>
      <c r="AT197" s="245"/>
      <c r="AU197" s="246"/>
      <c r="AV197" s="247"/>
      <c r="AW197" s="247"/>
      <c r="AX197" s="247"/>
      <c r="AY197" s="247"/>
      <c r="AZ197" s="244"/>
      <c r="BA197" s="245"/>
      <c r="BB197" s="245"/>
      <c r="BC197" s="245"/>
      <c r="BD197" s="246"/>
      <c r="BE197" s="247"/>
      <c r="BF197" s="247"/>
      <c r="BG197" s="247"/>
      <c r="BH197" s="247"/>
      <c r="BI197" s="244"/>
      <c r="BJ197" s="244"/>
      <c r="BK197" s="244"/>
      <c r="BL197" s="244"/>
      <c r="BM197" s="244"/>
      <c r="BN197" s="247"/>
      <c r="BO197" s="247"/>
      <c r="BP197" s="247"/>
      <c r="BQ197" s="247"/>
      <c r="BR197" s="244"/>
      <c r="BS197" s="244"/>
      <c r="BT197" s="244"/>
      <c r="BU197" s="244"/>
      <c r="BV197" s="244"/>
      <c r="BW197" s="247"/>
      <c r="BX197" s="247"/>
      <c r="BY197" s="247"/>
      <c r="BZ197" s="247"/>
      <c r="CA197" s="244"/>
      <c r="CB197" s="244"/>
      <c r="CC197" s="244"/>
      <c r="CD197" s="244"/>
      <c r="CE197" s="244"/>
      <c r="CF197" s="247"/>
      <c r="CG197" s="247"/>
      <c r="CH197" s="247"/>
      <c r="CI197" s="247"/>
      <c r="CJ197" s="248"/>
      <c r="CK197" s="248"/>
      <c r="CL197" s="248"/>
      <c r="CM197" s="248"/>
      <c r="CN197" s="248"/>
      <c r="CO197" s="247"/>
      <c r="CP197" s="247"/>
      <c r="CQ197" s="247"/>
      <c r="CR197" s="247"/>
      <c r="CS197" s="248"/>
      <c r="CT197" s="242"/>
      <c r="CU197" s="253"/>
      <c r="CV197" s="209"/>
      <c r="CW197" s="228"/>
    </row>
    <row r="198" spans="1:101" x14ac:dyDescent="0.2">
      <c r="A198" s="219"/>
      <c r="B198" s="219"/>
      <c r="C198" s="175"/>
      <c r="D198" s="176"/>
      <c r="E198" s="210"/>
      <c r="F198" s="211"/>
      <c r="G198" s="210"/>
      <c r="H198" s="210"/>
      <c r="I198" s="210"/>
      <c r="J198" s="210"/>
      <c r="K198" s="210"/>
      <c r="L198" s="212"/>
      <c r="M198" s="213"/>
      <c r="N198" s="213"/>
      <c r="O198" s="213"/>
      <c r="P198" s="213"/>
      <c r="Q198" s="210"/>
      <c r="R198" s="210"/>
      <c r="S198" s="210"/>
      <c r="T198" s="214"/>
      <c r="U198" s="215"/>
      <c r="V198" s="215"/>
      <c r="W198" s="215"/>
      <c r="X198" s="215"/>
      <c r="Y198" s="213"/>
      <c r="Z198" s="210"/>
      <c r="AA198" s="210"/>
      <c r="AB198" s="210"/>
      <c r="AC198" s="214"/>
      <c r="AD198" s="215"/>
      <c r="AE198" s="215"/>
      <c r="AF198" s="215"/>
      <c r="AG198" s="215"/>
      <c r="AH198" s="213"/>
      <c r="AI198" s="210"/>
      <c r="AJ198" s="210"/>
      <c r="AK198" s="210"/>
      <c r="AL198" s="214"/>
      <c r="AM198" s="215"/>
      <c r="AN198" s="215"/>
      <c r="AO198" s="215"/>
      <c r="AP198" s="215"/>
      <c r="AQ198" s="213"/>
      <c r="AR198" s="210"/>
      <c r="AS198" s="210"/>
      <c r="AT198" s="210"/>
      <c r="AU198" s="214"/>
      <c r="AV198" s="215"/>
      <c r="AW198" s="215"/>
      <c r="AX198" s="215"/>
      <c r="AY198" s="215"/>
      <c r="AZ198" s="213"/>
      <c r="BA198" s="210"/>
      <c r="BB198" s="210"/>
      <c r="BC198" s="210"/>
      <c r="BD198" s="214"/>
      <c r="BE198" s="215"/>
      <c r="BF198" s="215"/>
      <c r="BG198" s="215"/>
      <c r="BH198" s="215"/>
      <c r="BI198" s="213"/>
      <c r="BJ198" s="210"/>
      <c r="BK198" s="210"/>
      <c r="BL198" s="210"/>
      <c r="BM198" s="214"/>
      <c r="BN198" s="215"/>
      <c r="BO198" s="215"/>
      <c r="BP198" s="215"/>
      <c r="BQ198" s="215"/>
      <c r="BR198" s="177"/>
      <c r="BS198" s="210"/>
      <c r="BT198" s="210"/>
      <c r="BU198" s="210"/>
      <c r="BV198" s="213"/>
      <c r="BW198" s="215"/>
      <c r="BX198" s="215"/>
      <c r="BY198" s="215"/>
      <c r="BZ198" s="215"/>
      <c r="CA198" s="210"/>
      <c r="CB198" s="216"/>
      <c r="CC198" s="216"/>
      <c r="CD198" s="216"/>
      <c r="CE198" s="216"/>
      <c r="CF198" s="215"/>
      <c r="CG198" s="215"/>
      <c r="CH198" s="215"/>
      <c r="CI198" s="215"/>
      <c r="CJ198" s="210"/>
      <c r="CK198" s="210"/>
      <c r="CL198" s="210"/>
      <c r="CM198" s="210"/>
      <c r="CN198" s="210"/>
      <c r="CO198" s="215"/>
      <c r="CP198" s="215"/>
      <c r="CQ198" s="215"/>
      <c r="CR198" s="215"/>
      <c r="CS198" s="210"/>
      <c r="CT198" s="210"/>
      <c r="CU198" s="210"/>
      <c r="CV198" s="217"/>
      <c r="CW198" s="218"/>
    </row>
    <row r="199" spans="1:101" ht="14.25" thickTop="1" thickBot="1" x14ac:dyDescent="0.25">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c r="AM199" s="218"/>
      <c r="AN199" s="218"/>
      <c r="AO199" s="218"/>
      <c r="AP199" s="218"/>
      <c r="AQ199" s="218"/>
      <c r="AR199" s="218"/>
      <c r="AS199" s="218"/>
      <c r="AT199" s="218"/>
      <c r="AU199" s="218"/>
      <c r="AV199" s="218"/>
      <c r="AW199" s="218"/>
      <c r="AX199" s="218"/>
      <c r="AY199" s="218"/>
      <c r="AZ199" s="218"/>
      <c r="BA199" s="218"/>
      <c r="BB199" s="218"/>
      <c r="BC199" s="218"/>
      <c r="BD199" s="218"/>
      <c r="BE199" s="218"/>
      <c r="BF199" s="218"/>
      <c r="BG199" s="218"/>
      <c r="BH199" s="218"/>
      <c r="BI199" s="218"/>
      <c r="BJ199" s="218"/>
      <c r="BK199" s="218"/>
      <c r="BL199" s="218"/>
      <c r="BM199" s="218"/>
      <c r="BN199" s="218"/>
      <c r="BO199" s="218"/>
      <c r="BP199" s="218"/>
      <c r="BQ199" s="218"/>
      <c r="BR199" s="218"/>
      <c r="BS199" s="218"/>
      <c r="BT199" s="218"/>
      <c r="BU199" s="218"/>
      <c r="BV199" s="218"/>
      <c r="BW199" s="218"/>
      <c r="BX199" s="218"/>
      <c r="BY199" s="218"/>
      <c r="BZ199" s="218"/>
      <c r="CA199" s="218"/>
      <c r="CB199" s="392"/>
      <c r="CC199" s="392"/>
      <c r="CD199" s="392"/>
      <c r="CE199" s="392"/>
      <c r="CF199" s="218"/>
      <c r="CG199" s="218"/>
      <c r="CH199" s="218"/>
      <c r="CI199" s="218"/>
      <c r="CJ199" s="218"/>
      <c r="CK199" s="218"/>
      <c r="CL199" s="218"/>
      <c r="CM199" s="218"/>
      <c r="CN199" s="218"/>
      <c r="CO199" s="218"/>
      <c r="CP199" s="218"/>
      <c r="CQ199" s="218"/>
      <c r="CR199" s="218"/>
      <c r="CS199" s="218"/>
      <c r="CT199" s="218"/>
      <c r="CU199" s="218"/>
      <c r="CV199" s="218"/>
      <c r="CW199" s="218"/>
    </row>
    <row r="200" spans="1:101" ht="21" thickTop="1" x14ac:dyDescent="0.3">
      <c r="A200" s="219"/>
      <c r="B200" s="219"/>
      <c r="C200" s="157"/>
      <c r="D200" s="158"/>
      <c r="E200" s="731" t="s">
        <v>44</v>
      </c>
      <c r="F200" s="229"/>
      <c r="G200" s="229"/>
      <c r="H200" s="229"/>
      <c r="I200" s="877" t="e" vm="1">
        <v>#VALUE!</v>
      </c>
      <c r="J200" s="877"/>
      <c r="K200" s="877"/>
      <c r="L200" s="877"/>
      <c r="M200" s="159"/>
      <c r="N200" s="159"/>
      <c r="O200" s="159"/>
      <c r="P200" s="160"/>
      <c r="Q200" s="159"/>
      <c r="R200" s="159"/>
      <c r="S200" s="159"/>
      <c r="T200" s="161"/>
      <c r="U200" s="162"/>
      <c r="V200" s="162"/>
      <c r="W200" s="162"/>
      <c r="X200" s="162"/>
      <c r="Y200" s="160"/>
      <c r="Z200" s="159"/>
      <c r="AA200" s="159"/>
      <c r="AB200" s="159"/>
      <c r="AC200" s="161"/>
      <c r="AD200" s="162"/>
      <c r="AE200" s="162"/>
      <c r="AF200" s="162"/>
      <c r="AG200" s="162"/>
      <c r="AH200" s="160"/>
      <c r="AI200" s="159"/>
      <c r="AJ200" s="201"/>
      <c r="AK200" s="201"/>
      <c r="AL200" s="164"/>
      <c r="AM200" s="162"/>
      <c r="AN200" s="162"/>
      <c r="AO200" s="162"/>
      <c r="AP200" s="162"/>
      <c r="AQ200" s="202"/>
      <c r="AR200" s="203"/>
      <c r="AS200" s="165"/>
      <c r="AT200" s="166"/>
      <c r="AU200" s="164"/>
      <c r="AV200" s="162"/>
      <c r="AW200" s="162"/>
      <c r="AX200" s="162"/>
      <c r="AY200" s="162"/>
      <c r="AZ200" s="202"/>
      <c r="BA200" s="203"/>
      <c r="BB200" s="166"/>
      <c r="BC200" s="201"/>
      <c r="BD200" s="204"/>
      <c r="BE200" s="162"/>
      <c r="BF200" s="162"/>
      <c r="BG200" s="162"/>
      <c r="BH200" s="162"/>
      <c r="BI200" s="205"/>
      <c r="BJ200" s="201"/>
      <c r="BK200" s="201"/>
      <c r="BL200" s="201"/>
      <c r="BM200" s="204"/>
      <c r="BN200" s="162"/>
      <c r="BO200" s="162"/>
      <c r="BP200" s="162"/>
      <c r="BQ200" s="162"/>
      <c r="BR200" s="167"/>
      <c r="BS200" s="201"/>
      <c r="BT200" s="201"/>
      <c r="BU200" s="201"/>
      <c r="BV200" s="205"/>
      <c r="BW200" s="162"/>
      <c r="BX200" s="162"/>
      <c r="BY200" s="162"/>
      <c r="BZ200" s="162"/>
      <c r="CA200" s="201"/>
      <c r="CB200" s="393"/>
      <c r="CC200" s="393"/>
      <c r="CD200" s="393"/>
      <c r="CE200" s="393"/>
      <c r="CF200" s="162"/>
      <c r="CG200" s="162"/>
      <c r="CH200" s="162"/>
      <c r="CI200" s="162"/>
      <c r="CJ200" s="163"/>
      <c r="CK200" s="163"/>
      <c r="CL200" s="163"/>
      <c r="CM200" s="163"/>
      <c r="CN200" s="163"/>
      <c r="CO200" s="162"/>
      <c r="CP200" s="162"/>
      <c r="CQ200" s="162"/>
      <c r="CR200" s="162"/>
      <c r="CS200" s="163"/>
      <c r="CT200" s="358"/>
      <c r="CU200" s="201"/>
      <c r="CV200" s="206"/>
      <c r="CW200" s="218"/>
    </row>
    <row r="201" spans="1:101" ht="15.75" customHeight="1" thickBot="1" x14ac:dyDescent="0.25">
      <c r="A201" s="219"/>
      <c r="B201" s="219"/>
      <c r="C201" s="168"/>
      <c r="D201" s="785"/>
      <c r="E201" s="869" t="s">
        <v>45</v>
      </c>
      <c r="F201" s="363"/>
      <c r="G201" s="363"/>
      <c r="H201" s="363"/>
      <c r="I201" s="878"/>
      <c r="J201" s="878"/>
      <c r="K201" s="878"/>
      <c r="L201" s="878"/>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H201" s="363"/>
      <c r="BI201" s="363"/>
      <c r="BJ201" s="363"/>
      <c r="BK201" s="363"/>
      <c r="BL201" s="363"/>
      <c r="BM201" s="363"/>
      <c r="BN201" s="363"/>
      <c r="BO201" s="363"/>
      <c r="BP201" s="363"/>
      <c r="BQ201" s="363"/>
      <c r="BR201" s="363"/>
      <c r="BS201" s="363"/>
      <c r="BT201" s="363"/>
      <c r="BU201" s="363"/>
      <c r="BV201" s="363"/>
      <c r="BW201" s="363"/>
      <c r="BX201" s="363"/>
      <c r="BY201" s="363"/>
      <c r="BZ201" s="363"/>
      <c r="CA201" s="363"/>
      <c r="CB201" s="394"/>
      <c r="CC201" s="394"/>
      <c r="CD201" s="394"/>
      <c r="CE201" s="394"/>
      <c r="CF201" s="363"/>
      <c r="CG201" s="363"/>
      <c r="CH201" s="363"/>
      <c r="CI201" s="363"/>
      <c r="CJ201" s="363"/>
      <c r="CK201" s="363"/>
      <c r="CL201" s="363"/>
      <c r="CM201" s="363"/>
      <c r="CN201" s="323"/>
      <c r="CO201" s="363"/>
      <c r="CP201" s="363"/>
      <c r="CQ201" s="363"/>
      <c r="CR201" s="363"/>
      <c r="CS201" s="323"/>
      <c r="CT201" s="155"/>
      <c r="CU201" s="269"/>
      <c r="CV201" s="209"/>
      <c r="CW201" s="218"/>
    </row>
    <row r="202" spans="1:101" ht="18.75" customHeight="1" thickTop="1" x14ac:dyDescent="0.2">
      <c r="A202" s="219"/>
      <c r="B202" s="219"/>
      <c r="C202" s="174"/>
      <c r="D202" s="778"/>
      <c r="E202" s="777"/>
      <c r="F202" s="235"/>
      <c r="G202" s="234"/>
      <c r="H202" s="234"/>
      <c r="I202" s="875">
        <f>WEEKNUM(E203)</f>
        <v>42</v>
      </c>
      <c r="J202" s="875"/>
      <c r="K202" s="875"/>
      <c r="L202" s="250"/>
      <c r="M202" s="261"/>
      <c r="N202" s="205"/>
      <c r="O202" s="236"/>
      <c r="P202" s="236"/>
      <c r="Q202" s="675" t="str">
        <f>IF($F206="","",SUM(Q218:S218)-S204)</f>
        <v/>
      </c>
      <c r="R202" s="675"/>
      <c r="S202" s="675"/>
      <c r="T202" s="237"/>
      <c r="U202" s="238"/>
      <c r="V202" s="238"/>
      <c r="W202" s="238"/>
      <c r="X202" s="238"/>
      <c r="Y202" s="236"/>
      <c r="Z202" s="675" t="str">
        <f>IF($F206="","",SUM(Z218:AB218)-AB204)</f>
        <v/>
      </c>
      <c r="AA202" s="675"/>
      <c r="AB202" s="675"/>
      <c r="AC202" s="237"/>
      <c r="AD202" s="238"/>
      <c r="AE202" s="238"/>
      <c r="AF202" s="238"/>
      <c r="AG202" s="238"/>
      <c r="AH202" s="236"/>
      <c r="AI202" s="675" t="str">
        <f>IF($F206="","",SUM(AI218:AK218)-AK204)</f>
        <v/>
      </c>
      <c r="AJ202" s="675"/>
      <c r="AK202" s="675"/>
      <c r="AL202" s="237"/>
      <c r="AM202" s="238"/>
      <c r="AN202" s="238"/>
      <c r="AO202" s="238"/>
      <c r="AP202" s="238"/>
      <c r="AQ202" s="236"/>
      <c r="AR202" s="675" t="str">
        <f>IF($F206="","",SUM(AR218:AT218)-AT204)</f>
        <v/>
      </c>
      <c r="AS202" s="675"/>
      <c r="AT202" s="675"/>
      <c r="AU202" s="239"/>
      <c r="AV202" s="238"/>
      <c r="AW202" s="238"/>
      <c r="AX202" s="238"/>
      <c r="AY202" s="238"/>
      <c r="AZ202" s="240"/>
      <c r="BA202" s="675" t="str">
        <f>IF($F206="","",SUM(BA218:BC218)-BC204)</f>
        <v/>
      </c>
      <c r="BB202" s="675"/>
      <c r="BC202" s="675"/>
      <c r="BD202" s="239"/>
      <c r="BE202" s="238"/>
      <c r="BF202" s="238"/>
      <c r="BG202" s="238"/>
      <c r="BH202" s="238"/>
      <c r="BI202" s="240"/>
      <c r="BJ202" s="675" t="str">
        <f>IF($F206="","",SUM(BJ218:BL218)-BL204)</f>
        <v/>
      </c>
      <c r="BK202" s="675"/>
      <c r="BL202" s="675"/>
      <c r="BM202" s="239"/>
      <c r="BN202" s="238"/>
      <c r="BO202" s="238"/>
      <c r="BP202" s="238"/>
      <c r="BQ202" s="238"/>
      <c r="BR202" s="241"/>
      <c r="BS202" s="675" t="str">
        <f>IF($F206="","",SUM(BS218:BU218)-BU204)</f>
        <v/>
      </c>
      <c r="BT202" s="675"/>
      <c r="BU202" s="675"/>
      <c r="BV202" s="240"/>
      <c r="BW202" s="238"/>
      <c r="BX202" s="238"/>
      <c r="BY202" s="238"/>
      <c r="BZ202" s="238"/>
      <c r="CA202" s="241"/>
      <c r="CB202" s="675" t="str">
        <f>IF($F206="","",SUM(CB218:CD218)-CD204)</f>
        <v/>
      </c>
      <c r="CC202" s="675"/>
      <c r="CD202" s="675"/>
      <c r="CE202" s="240"/>
      <c r="CF202" s="238"/>
      <c r="CG202" s="238"/>
      <c r="CH202" s="238"/>
      <c r="CI202" s="238"/>
      <c r="CJ202" s="234"/>
      <c r="CK202" s="675" t="str">
        <f>IF($F206="","",SUM(CK218:CM218))</f>
        <v/>
      </c>
      <c r="CL202" s="675"/>
      <c r="CM202" s="675"/>
      <c r="CN202" s="240"/>
      <c r="CO202" s="238"/>
      <c r="CP202" s="238"/>
      <c r="CQ202" s="238"/>
      <c r="CR202" s="238"/>
      <c r="CS202" s="234"/>
      <c r="CT202" s="234"/>
      <c r="CU202" s="251"/>
      <c r="CV202" s="209"/>
      <c r="CW202" s="218"/>
    </row>
    <row r="203" spans="1:101" ht="12.75" customHeight="1" x14ac:dyDescent="0.2">
      <c r="A203" s="219"/>
      <c r="B203" s="219"/>
      <c r="C203" s="174"/>
      <c r="D203" s="779"/>
      <c r="E203" s="543">
        <f>E181+7</f>
        <v>46312</v>
      </c>
      <c r="F203" s="178"/>
      <c r="G203" s="179"/>
      <c r="H203" s="179"/>
      <c r="I203" s="876"/>
      <c r="J203" s="876"/>
      <c r="K203" s="876"/>
      <c r="L203" s="254"/>
      <c r="M203" s="329"/>
      <c r="N203" s="208"/>
      <c r="O203" s="180"/>
      <c r="P203" s="180"/>
      <c r="Q203" s="584" t="str">
        <f>IF(Q202="","",Q202/Data!$X$1)</f>
        <v/>
      </c>
      <c r="R203" s="584"/>
      <c r="S203" s="585" t="str">
        <f>IF(SUM(X206:X217)=0,"",SUM(X206:X217))</f>
        <v/>
      </c>
      <c r="T203" s="181"/>
      <c r="U203" s="182"/>
      <c r="V203" s="182"/>
      <c r="W203" s="182"/>
      <c r="X203" s="182"/>
      <c r="Y203" s="180"/>
      <c r="Z203" s="584" t="str">
        <f>IF(Z202="","",Z202/Data!$X$1)</f>
        <v/>
      </c>
      <c r="AA203" s="584"/>
      <c r="AB203" s="585" t="str">
        <f>IF(SUM(AG206:AG217)=0,"",SUM(AG206:AG217))</f>
        <v/>
      </c>
      <c r="AC203" s="181"/>
      <c r="AD203" s="182"/>
      <c r="AE203" s="182"/>
      <c r="AF203" s="182"/>
      <c r="AG203" s="182"/>
      <c r="AH203" s="180"/>
      <c r="AI203" s="584" t="str">
        <f>IF(AI202="","",AI202/Data!$X$1)</f>
        <v/>
      </c>
      <c r="AJ203" s="584"/>
      <c r="AK203" s="585" t="str">
        <f>IF(SUM(AP206:AP217)=0,"",SUM(AP206:AP217))</f>
        <v/>
      </c>
      <c r="AL203" s="181"/>
      <c r="AM203" s="182"/>
      <c r="AN203" s="182"/>
      <c r="AO203" s="182"/>
      <c r="AP203" s="182"/>
      <c r="AQ203" s="180"/>
      <c r="AR203" s="584" t="str">
        <f>IF(AR202="","",AR202/Data!$X$1)</f>
        <v/>
      </c>
      <c r="AS203" s="584"/>
      <c r="AT203" s="585" t="str">
        <f>IF(SUM(AY206:AY217)=0,"",SUM(AY206:AY217))</f>
        <v/>
      </c>
      <c r="AU203" s="183"/>
      <c r="AV203" s="182"/>
      <c r="AW203" s="182"/>
      <c r="AX203" s="182"/>
      <c r="AY203" s="182"/>
      <c r="AZ203" s="184"/>
      <c r="BA203" s="584" t="str">
        <f>IF(BA202="","",BA202/Data!$X$1)</f>
        <v/>
      </c>
      <c r="BB203" s="584"/>
      <c r="BC203" s="585" t="str">
        <f>IF(SUM(BH206:BH217)=0,"",SUM(BH206:BH217))</f>
        <v/>
      </c>
      <c r="BD203" s="183"/>
      <c r="BE203" s="182"/>
      <c r="BF203" s="182"/>
      <c r="BG203" s="182"/>
      <c r="BH203" s="182"/>
      <c r="BI203" s="184"/>
      <c r="BJ203" s="584" t="str">
        <f>IF(BJ202="","",BJ202/Data!$X$1)</f>
        <v/>
      </c>
      <c r="BK203" s="584"/>
      <c r="BL203" s="585" t="str">
        <f>IF(SUM(BQ206:BQ217)=0,"",SUM(BQ206:BQ217))</f>
        <v/>
      </c>
      <c r="BM203" s="183"/>
      <c r="BN203" s="182"/>
      <c r="BO203" s="182"/>
      <c r="BP203" s="182"/>
      <c r="BQ203" s="182"/>
      <c r="BR203" s="185"/>
      <c r="BS203" s="584" t="str">
        <f>IF(BS202="","",BS202/Data!$X$1)</f>
        <v/>
      </c>
      <c r="BT203" s="584"/>
      <c r="BU203" s="585" t="str">
        <f>IF(SUM(BZ206:BZ217)=0,"",SUM(BZ206:BZ217))</f>
        <v/>
      </c>
      <c r="BV203" s="184"/>
      <c r="BW203" s="182"/>
      <c r="BX203" s="182"/>
      <c r="BY203" s="182"/>
      <c r="BZ203" s="182"/>
      <c r="CA203" s="185"/>
      <c r="CB203" s="584" t="str">
        <f>IF(CB202="","",CB202/Data!$X$1)</f>
        <v/>
      </c>
      <c r="CC203" s="584"/>
      <c r="CD203" s="585" t="str">
        <f>IF(SUM(CI206:CI217)=0,"",SUM(CI206:CI217))</f>
        <v/>
      </c>
      <c r="CE203" s="184"/>
      <c r="CF203" s="182"/>
      <c r="CG203" s="182"/>
      <c r="CH203" s="182"/>
      <c r="CI203" s="182"/>
      <c r="CJ203" s="182"/>
      <c r="CK203" s="584" t="str">
        <f>IF(CK202="","",CK202/Data!$X$1)</f>
        <v/>
      </c>
      <c r="CL203" s="584"/>
      <c r="CM203" s="585" t="str">
        <f>IF(SUM(CR206:CR217)=0,"",SUM(CR206:CR217))</f>
        <v/>
      </c>
      <c r="CN203" s="184"/>
      <c r="CO203" s="182"/>
      <c r="CP203" s="182"/>
      <c r="CQ203" s="182"/>
      <c r="CR203" s="182"/>
      <c r="CS203" s="182"/>
      <c r="CT203" s="182"/>
      <c r="CU203" s="255"/>
      <c r="CV203" s="209"/>
      <c r="CW203" s="218"/>
    </row>
    <row r="204" spans="1:101" ht="13.5" thickBot="1" x14ac:dyDescent="0.25">
      <c r="A204" s="219"/>
      <c r="B204" s="219"/>
      <c r="C204" s="174"/>
      <c r="D204" s="230"/>
      <c r="E204" s="359"/>
      <c r="F204" s="186"/>
      <c r="G204" s="187"/>
      <c r="H204" s="187"/>
      <c r="I204" s="673"/>
      <c r="J204" s="674"/>
      <c r="K204" s="674"/>
      <c r="L204" s="256"/>
      <c r="M204" s="330"/>
      <c r="N204" s="334"/>
      <c r="O204" s="187"/>
      <c r="P204" s="187"/>
      <c r="Q204" s="342" t="str">
        <f>Data!$E$11</f>
        <v>AHH</v>
      </c>
      <c r="R204" s="343" t="str">
        <f>IF($F217="","",RANK(Q202,$Q202:$CL202))</f>
        <v/>
      </c>
      <c r="S204" s="466"/>
      <c r="T204" s="181"/>
      <c r="U204" s="182"/>
      <c r="V204" s="182"/>
      <c r="W204" s="182"/>
      <c r="X204" s="197">
        <f>COUNTIF(U206:W217,"&gt;0")</f>
        <v>0</v>
      </c>
      <c r="Y204" s="180"/>
      <c r="Z204" s="342" t="str">
        <f>Data!$E$12</f>
        <v>RB</v>
      </c>
      <c r="AA204" s="343" t="str">
        <f>IF($F217="","",RANK(Z202,$Q202:$CL202))</f>
        <v/>
      </c>
      <c r="AB204" s="466"/>
      <c r="AC204" s="181"/>
      <c r="AD204" s="182"/>
      <c r="AE204" s="182"/>
      <c r="AF204" s="182"/>
      <c r="AG204" s="197">
        <f>COUNTIF(AD206:AF217,"&gt;0")</f>
        <v>0</v>
      </c>
      <c r="AH204" s="180"/>
      <c r="AI204" s="342" t="str">
        <f>Data!$E$13</f>
        <v>EB</v>
      </c>
      <c r="AJ204" s="343" t="str">
        <f>IF($F217="","",RANK(AI202,$Q202:$CL202))</f>
        <v/>
      </c>
      <c r="AK204" s="466"/>
      <c r="AL204" s="181"/>
      <c r="AM204" s="182"/>
      <c r="AN204" s="182"/>
      <c r="AO204" s="182"/>
      <c r="AP204" s="197">
        <f>COUNTIF(AM206:AO217,"&gt;0")</f>
        <v>0</v>
      </c>
      <c r="AQ204" s="180"/>
      <c r="AR204" s="305" t="str">
        <f>Data!$E$14</f>
        <v>KAF</v>
      </c>
      <c r="AS204" s="343" t="str">
        <f>IF($F217="","",RANK(AR202,$Q202:$CL202))</f>
        <v/>
      </c>
      <c r="AT204" s="466"/>
      <c r="AU204" s="181"/>
      <c r="AV204" s="182"/>
      <c r="AW204" s="182"/>
      <c r="AX204" s="182"/>
      <c r="AY204" s="197">
        <f>COUNTIF(AV206:AX217,"&gt;0")</f>
        <v>0</v>
      </c>
      <c r="AZ204" s="180"/>
      <c r="BA204" s="305" t="str">
        <f>Data!$E$15</f>
        <v>ØG</v>
      </c>
      <c r="BB204" s="343" t="str">
        <f>IF($F217="","",RANK(BA202,$Q202:$CL202))</f>
        <v/>
      </c>
      <c r="BC204" s="466"/>
      <c r="BD204" s="181"/>
      <c r="BE204" s="182"/>
      <c r="BF204" s="182"/>
      <c r="BG204" s="182"/>
      <c r="BH204" s="197">
        <f>COUNTIF(BE206:BG217,"&gt;0")</f>
        <v>0</v>
      </c>
      <c r="BI204" s="180"/>
      <c r="BJ204" s="305" t="str">
        <f>Data!$E$16</f>
        <v>JH</v>
      </c>
      <c r="BK204" s="343" t="str">
        <f>IF($F217="","",RANK(BJ202,$Q202:$CL202))</f>
        <v/>
      </c>
      <c r="BL204" s="466"/>
      <c r="BM204" s="181"/>
      <c r="BN204" s="182"/>
      <c r="BO204" s="182"/>
      <c r="BP204" s="182"/>
      <c r="BQ204" s="197">
        <f>COUNTIF(BN206:BP217,"&gt;0")</f>
        <v>0</v>
      </c>
      <c r="BR204" s="188"/>
      <c r="BS204" s="305" t="str">
        <f>Data!$E$17</f>
        <v>TOH</v>
      </c>
      <c r="BT204" s="343" t="str">
        <f>IF($F217="","",RANK(BS202,$Q202:$CL202))</f>
        <v/>
      </c>
      <c r="BU204" s="466"/>
      <c r="BV204" s="180"/>
      <c r="BW204" s="182"/>
      <c r="BX204" s="182"/>
      <c r="BY204" s="182"/>
      <c r="BZ204" s="197">
        <f>COUNTIF(BW206:BY217,"&gt;0")</f>
        <v>0</v>
      </c>
      <c r="CA204" s="188"/>
      <c r="CB204" s="305" t="s">
        <v>26</v>
      </c>
      <c r="CC204" s="343" t="str">
        <f>IF($F217="","",RANK(CB202,$Q202:$CM202))</f>
        <v/>
      </c>
      <c r="CD204" s="467"/>
      <c r="CE204" s="180"/>
      <c r="CF204" s="182"/>
      <c r="CG204" s="182"/>
      <c r="CH204" s="182"/>
      <c r="CI204" s="197">
        <f>COUNTIF(CF206:CH217,"&gt;0")</f>
        <v>0</v>
      </c>
      <c r="CJ204" s="182"/>
      <c r="CK204" s="305" t="s">
        <v>27</v>
      </c>
      <c r="CL204" s="343" t="str">
        <f>IF($F217="","",RANK(CK202,$Q202:$CM202))</f>
        <v/>
      </c>
      <c r="CM204" s="669"/>
      <c r="CN204" s="180"/>
      <c r="CO204" s="182"/>
      <c r="CP204" s="182"/>
      <c r="CQ204" s="182"/>
      <c r="CR204" s="197">
        <f>COUNTIF(CO206:CQ217,"&gt;0")</f>
        <v>0</v>
      </c>
      <c r="CS204" s="182"/>
      <c r="CT204" s="182"/>
      <c r="CU204" s="255"/>
      <c r="CV204" s="209"/>
      <c r="CW204" s="218"/>
    </row>
    <row r="205" spans="1:101" ht="13.5" thickBot="1" x14ac:dyDescent="0.25">
      <c r="A205" s="227"/>
      <c r="B205" s="227"/>
      <c r="C205" s="168"/>
      <c r="D205" s="231"/>
      <c r="E205" s="189"/>
      <c r="F205" s="190"/>
      <c r="G205" s="191"/>
      <c r="H205" s="191"/>
      <c r="I205" s="192" t="s">
        <v>47</v>
      </c>
      <c r="J205" s="193" t="s">
        <v>48</v>
      </c>
      <c r="K205" s="194" t="s">
        <v>49</v>
      </c>
      <c r="L205" s="257"/>
      <c r="M205" s="331"/>
      <c r="N205" s="335"/>
      <c r="O205" s="195"/>
      <c r="P205" s="195"/>
      <c r="Q205" s="192" t="s">
        <v>47</v>
      </c>
      <c r="R205" s="193" t="s">
        <v>48</v>
      </c>
      <c r="S205" s="194" t="s">
        <v>49</v>
      </c>
      <c r="T205" s="196"/>
      <c r="U205" s="197"/>
      <c r="V205" s="197"/>
      <c r="W205" s="197"/>
      <c r="X205" s="197"/>
      <c r="Y205" s="195"/>
      <c r="Z205" s="192" t="s">
        <v>47</v>
      </c>
      <c r="AA205" s="193" t="s">
        <v>48</v>
      </c>
      <c r="AB205" s="194" t="s">
        <v>49</v>
      </c>
      <c r="AC205" s="196"/>
      <c r="AD205" s="197"/>
      <c r="AE205" s="197"/>
      <c r="AF205" s="197"/>
      <c r="AG205" s="197"/>
      <c r="AH205" s="195"/>
      <c r="AI205" s="192" t="s">
        <v>47</v>
      </c>
      <c r="AJ205" s="193" t="s">
        <v>48</v>
      </c>
      <c r="AK205" s="194" t="s">
        <v>49</v>
      </c>
      <c r="AL205" s="196"/>
      <c r="AM205" s="197"/>
      <c r="AN205" s="197"/>
      <c r="AO205" s="197"/>
      <c r="AP205" s="197"/>
      <c r="AQ205" s="195"/>
      <c r="AR205" s="192" t="s">
        <v>47</v>
      </c>
      <c r="AS205" s="193" t="s">
        <v>48</v>
      </c>
      <c r="AT205" s="194" t="s">
        <v>49</v>
      </c>
      <c r="AU205" s="196"/>
      <c r="AV205" s="197"/>
      <c r="AW205" s="197"/>
      <c r="AX205" s="197"/>
      <c r="AY205" s="197"/>
      <c r="AZ205" s="195"/>
      <c r="BA205" s="192" t="s">
        <v>47</v>
      </c>
      <c r="BB205" s="193" t="s">
        <v>48</v>
      </c>
      <c r="BC205" s="194" t="s">
        <v>49</v>
      </c>
      <c r="BD205" s="196"/>
      <c r="BE205" s="197"/>
      <c r="BF205" s="197"/>
      <c r="BG205" s="197"/>
      <c r="BH205" s="197"/>
      <c r="BI205" s="195"/>
      <c r="BJ205" s="192" t="s">
        <v>47</v>
      </c>
      <c r="BK205" s="193" t="s">
        <v>48</v>
      </c>
      <c r="BL205" s="194" t="s">
        <v>49</v>
      </c>
      <c r="BM205" s="196"/>
      <c r="BN205" s="197"/>
      <c r="BO205" s="197"/>
      <c r="BP205" s="197"/>
      <c r="BQ205" s="197"/>
      <c r="BR205" s="195"/>
      <c r="BS205" s="192" t="s">
        <v>47</v>
      </c>
      <c r="BT205" s="193" t="s">
        <v>48</v>
      </c>
      <c r="BU205" s="194" t="s">
        <v>49</v>
      </c>
      <c r="BV205" s="196"/>
      <c r="BW205" s="197"/>
      <c r="BX205" s="197"/>
      <c r="BY205" s="197"/>
      <c r="BZ205" s="197"/>
      <c r="CA205" s="195"/>
      <c r="CB205" s="192" t="s">
        <v>47</v>
      </c>
      <c r="CC205" s="193" t="s">
        <v>48</v>
      </c>
      <c r="CD205" s="194" t="s">
        <v>49</v>
      </c>
      <c r="CE205" s="196"/>
      <c r="CF205" s="197"/>
      <c r="CG205" s="197"/>
      <c r="CH205" s="197"/>
      <c r="CI205" s="197"/>
      <c r="CJ205" s="197"/>
      <c r="CK205" s="192" t="s">
        <v>47</v>
      </c>
      <c r="CL205" s="193" t="s">
        <v>48</v>
      </c>
      <c r="CM205" s="194" t="s">
        <v>49</v>
      </c>
      <c r="CN205" s="196"/>
      <c r="CO205" s="197"/>
      <c r="CP205" s="197"/>
      <c r="CQ205" s="197"/>
      <c r="CR205" s="197"/>
      <c r="CS205" s="197"/>
      <c r="CT205" s="198"/>
      <c r="CU205" s="255"/>
      <c r="CV205" s="209"/>
      <c r="CW205" s="228"/>
    </row>
    <row r="206" spans="1:101" x14ac:dyDescent="0.2">
      <c r="A206" s="227"/>
      <c r="B206" s="227"/>
      <c r="C206" s="168"/>
      <c r="D206" s="232"/>
      <c r="E206" s="134" t="s">
        <v>161</v>
      </c>
      <c r="F206" s="424"/>
      <c r="G206" s="428"/>
      <c r="H206" s="429"/>
      <c r="I206" s="138" t="str">
        <f t="shared" ref="I206:I217" si="293">IF($F206&gt;$H206,"x","")</f>
        <v/>
      </c>
      <c r="J206" s="344" t="str">
        <f t="shared" ref="J206:J217" si="294">IF(F206&lt;&gt;"",IF(H206&lt;&gt;"",IF(F206=H206,"x",""),""),"")</f>
        <v/>
      </c>
      <c r="K206" s="345" t="str">
        <f t="shared" ref="K206:K217" si="295">IF($F206&lt;$H206,"x","")</f>
        <v/>
      </c>
      <c r="L206" s="258"/>
      <c r="M206" s="332"/>
      <c r="N206" s="336"/>
      <c r="O206" s="200"/>
      <c r="P206" s="200"/>
      <c r="Q206" s="436"/>
      <c r="R206" s="437"/>
      <c r="S206" s="438" t="str">
        <f t="shared" ref="S206:S217" si="296">IF(Q206="","",100-SUM(Q206:R206))</f>
        <v/>
      </c>
      <c r="T206" s="328"/>
      <c r="U206" s="197" t="str">
        <f>IF(AND($I206="x",AND(MAX(Q206:S206)=Q206,Q206&gt;=0)),Data!$BI$2,"")</f>
        <v/>
      </c>
      <c r="V206" s="197" t="str">
        <f>IF(AND($J206="x",AND(MAX(Q206:S206)=R206,R206&gt;=0)),Data!$BJ$2,"")</f>
        <v/>
      </c>
      <c r="W206" s="197" t="str">
        <f>IF(AND($K206="x",AND(MAX(Q206:S206)=S206,S206&gt;=0)),Data!$BK$2,"")</f>
        <v/>
      </c>
      <c r="X206" s="197"/>
      <c r="Y206" s="328"/>
      <c r="Z206" s="451"/>
      <c r="AA206" s="452"/>
      <c r="AB206" s="438" t="str">
        <f t="shared" ref="AB206:AB217" si="297">IF(Z206="","",100-SUM(Z206:AA206))</f>
        <v/>
      </c>
      <c r="AC206" s="328"/>
      <c r="AD206" s="197" t="str">
        <f>IF(AND($I206="x",AND(MAX(Z206:AB206)=Z206,Z206&lt;&gt;"")),Data!$BI$2,"")</f>
        <v/>
      </c>
      <c r="AE206" s="197" t="str">
        <f>IF(AND($J206="x",AND(MAX(Z206:AB206)=AA206,AA206&lt;&gt;"")),Data!$BJ$2,"")</f>
        <v/>
      </c>
      <c r="AF206" s="197" t="str">
        <f>IF(AND($K206="x",AND(MAX(Z206:AB206)=AB206,AB206&lt;&gt;"")),Data!$BK$2,"")</f>
        <v/>
      </c>
      <c r="AG206" s="197"/>
      <c r="AH206" s="328"/>
      <c r="AI206" s="451"/>
      <c r="AJ206" s="452"/>
      <c r="AK206" s="438" t="str">
        <f t="shared" ref="AK206:AK217" si="298">IF(AI206="","",100-SUM(AI206:AJ206))</f>
        <v/>
      </c>
      <c r="AL206" s="328"/>
      <c r="AM206" s="197" t="str">
        <f>IF(AND($I206="x",AND(MAX(AI206:AK206)=AI206,AI206&lt;&gt;"")),Data!$BI$2,"")</f>
        <v/>
      </c>
      <c r="AN206" s="197" t="str">
        <f>IF(AND($J206="x",AND(MAX(AI206:AK206)=AJ206,AJ206&lt;&gt;"")),Data!$BJ$2,"")</f>
        <v/>
      </c>
      <c r="AO206" s="197" t="str">
        <f>IF(AND($K206="x",AND(MAX(AI206:AK206)=AK206,AK206&lt;&gt;"")),Data!$BK$2,"")</f>
        <v/>
      </c>
      <c r="AP206" s="197"/>
      <c r="AQ206" s="328"/>
      <c r="AR206" s="451"/>
      <c r="AS206" s="452"/>
      <c r="AT206" s="438" t="str">
        <f t="shared" ref="AT206:AT217" si="299">IF(AR206="","",100-SUM(AR206:AS206))</f>
        <v/>
      </c>
      <c r="AU206" s="328"/>
      <c r="AV206" s="197" t="str">
        <f>IF(AND($I206="x",AND(MAX(AR206:AT206)=AR206,AR206&lt;&gt;"")),Data!$BI$2,"")</f>
        <v/>
      </c>
      <c r="AW206" s="197" t="str">
        <f>IF(AND($J206="x",AND(MAX(AR206:AT206)=AS206,AS206&lt;&gt;"")),Data!$BJ$2,"")</f>
        <v/>
      </c>
      <c r="AX206" s="197" t="str">
        <f>IF(AND($K206="x",AND(MAX(AR206:AT206)=AT206,AT206&lt;&gt;"")),Data!$BK$2,"")</f>
        <v/>
      </c>
      <c r="AY206" s="197"/>
      <c r="AZ206" s="328"/>
      <c r="BA206" s="451"/>
      <c r="BB206" s="452"/>
      <c r="BC206" s="438" t="str">
        <f t="shared" ref="BC206:BC217" si="300">IF(BA206="","",100-SUM(BA206:BB206))</f>
        <v/>
      </c>
      <c r="BD206" s="328"/>
      <c r="BE206" s="197" t="str">
        <f>IF(AND($I206="x",AND(MAX(BA206:BC206)=BA206,BA206&lt;&gt;"")),Data!$BI$2,"")</f>
        <v/>
      </c>
      <c r="BF206" s="197" t="str">
        <f>IF(AND($J206="x",AND(MAX(BA206:BC206)=BB206,BB206&lt;&gt;"")),Data!$BJ$2,"")</f>
        <v/>
      </c>
      <c r="BG206" s="197" t="str">
        <f>IF(AND($K206="x",AND(MAX(BA206:BC206)=BC206,BC206&lt;&gt;"")),Data!$BK$2,"")</f>
        <v/>
      </c>
      <c r="BH206" s="197"/>
      <c r="BI206" s="328"/>
      <c r="BJ206" s="451"/>
      <c r="BK206" s="452"/>
      <c r="BL206" s="438" t="str">
        <f t="shared" ref="BL206:BL217" si="301">IF(BJ206="","",100-SUM(BJ206:BK206))</f>
        <v/>
      </c>
      <c r="BM206" s="328"/>
      <c r="BN206" s="197" t="str">
        <f>IF(AND($I206="x",AND(MAX(BJ206:BL206)=BJ206,BJ206&lt;&gt;"")),Data!$BI$2,"")</f>
        <v/>
      </c>
      <c r="BO206" s="197" t="str">
        <f>IF(AND($J206="x",AND(MAX(BJ206:BL206)=BK206,BK206&lt;&gt;"")),Data!$BJ$2,"")</f>
        <v/>
      </c>
      <c r="BP206" s="197" t="str">
        <f>IF(AND($K206="x",AND(MAX(BJ206:BL206)=BL206,BL206&lt;&gt;"")),Data!$BK$2,"")</f>
        <v/>
      </c>
      <c r="BQ206" s="197"/>
      <c r="BR206" s="328"/>
      <c r="BS206" s="451"/>
      <c r="BT206" s="452"/>
      <c r="BU206" s="438" t="str">
        <f t="shared" ref="BU206:BU217" si="302">IF(BS206="","",100-SUM(BS206:BT206))</f>
        <v/>
      </c>
      <c r="BV206" s="328"/>
      <c r="BW206" s="197" t="str">
        <f>IF(AND($I206="x",AND(MAX(BS206:BU206)=BS206,BS206&lt;&gt;"")),Data!$BI$2,"")</f>
        <v/>
      </c>
      <c r="BX206" s="197" t="str">
        <f>IF(AND($J206="x",AND(MAX(BS206:BU206)=BT206,BT206&lt;&gt;"")),Data!$BJ$2,"")</f>
        <v/>
      </c>
      <c r="BY206" s="197" t="str">
        <f>IF(AND($K206="x",AND(MAX(BS206:BU206)=BU206,BU206&lt;&gt;"")),Data!$BK$2,"")</f>
        <v/>
      </c>
      <c r="BZ206" s="197"/>
      <c r="CA206" s="328"/>
      <c r="CB206" s="457" t="str">
        <f t="shared" ref="CB206:CB217" si="303">IFERROR(ROUNDUP((SUM(Q206,Z206,AI206,AR206,BA206,BJ206,BS206)/SUM($Q206:$S206,$Z206:$AB206,$AI206:$AK206,$AR206:$AT206,$BA206:$BC206,$BJ206:$BL206,$BS206:$BU206))*100,-1),"")</f>
        <v/>
      </c>
      <c r="CC206" s="458" t="str">
        <f t="shared" ref="CC206:CC217" si="304">IFERROR(ROUNDDOWN((SUM(R206,AA206,AJ206,AS206,BB206,BK206,BT206)/SUM($Q206:$S206,$Z206:$AB206,$AI206:$AK206,$AR206:$AT206,$BA206:$BC206,$BJ206:$BL206,$BS206:$BU206))*100,-1),"")</f>
        <v/>
      </c>
      <c r="CD206" s="459" t="str">
        <f t="shared" ref="CD206:CD217" si="305">IF(CB206="","",100-SUM(CB206:CC206))</f>
        <v/>
      </c>
      <c r="CE206" s="328"/>
      <c r="CF206" s="197" t="str">
        <f>IF(AND($I206="x",AND(MAX(CB206:CD206)=CB206,CB206&lt;&gt;"")),Data!$BI$2,"")</f>
        <v/>
      </c>
      <c r="CG206" s="197" t="str">
        <f>IF(AND($J206="x",AND(MAX(CB206:CD206)=CC206,CC206&lt;&gt;"")),Data!$BJ$2,"")</f>
        <v/>
      </c>
      <c r="CH206" s="197" t="str">
        <f>IF(AND($K206="x",AND(MAX(CB206:CD206)=CD206,CD206&lt;&gt;"")),Data!$BK$2,"")</f>
        <v/>
      </c>
      <c r="CI206" s="197"/>
      <c r="CJ206" s="197"/>
      <c r="CK206" s="451"/>
      <c r="CL206" s="452"/>
      <c r="CM206" s="438" t="str">
        <f t="shared" ref="CM206:CM217" si="306">IF(CK206="","",100-SUM(CK206:CL206))</f>
        <v/>
      </c>
      <c r="CN206" s="328"/>
      <c r="CO206" s="197" t="str">
        <f>IF(AND($I206="x",AND(MAX(CK206:CM206)=CK206,CK206&lt;&gt;"")),Data!$BI$2,"")</f>
        <v/>
      </c>
      <c r="CP206" s="197" t="str">
        <f>IF(AND($J206="x",AND(MAX(CK206:CM206)=CL206,CL206&lt;&gt;"")),Data!$BJ$2,"")</f>
        <v/>
      </c>
      <c r="CQ206" s="197" t="str">
        <f>IF(AND($K206="x",AND(MAX(CK206:CM206)=CM206,CM206&lt;&gt;"")),Data!$BK$2,"")</f>
        <v/>
      </c>
      <c r="CR206" s="197"/>
      <c r="CS206" s="197"/>
      <c r="CT206" s="328"/>
      <c r="CU206" s="255"/>
      <c r="CV206" s="209"/>
      <c r="CW206" s="227"/>
    </row>
    <row r="207" spans="1:101" x14ac:dyDescent="0.2">
      <c r="A207" s="227"/>
      <c r="B207" s="227"/>
      <c r="C207" s="168"/>
      <c r="D207" s="232"/>
      <c r="E207" s="135" t="s">
        <v>162</v>
      </c>
      <c r="F207" s="425"/>
      <c r="G207" s="430"/>
      <c r="H207" s="431"/>
      <c r="I207" s="346" t="str">
        <f t="shared" si="293"/>
        <v/>
      </c>
      <c r="J207" s="347" t="str">
        <f t="shared" si="294"/>
        <v/>
      </c>
      <c r="K207" s="348" t="str">
        <f t="shared" si="295"/>
        <v/>
      </c>
      <c r="L207" s="258"/>
      <c r="M207" s="332"/>
      <c r="N207" s="336"/>
      <c r="O207" s="200"/>
      <c r="P207" s="200"/>
      <c r="Q207" s="439"/>
      <c r="R207" s="440"/>
      <c r="S207" s="441" t="str">
        <f t="shared" si="296"/>
        <v/>
      </c>
      <c r="T207" s="328"/>
      <c r="U207" s="197" t="str">
        <f>IF(AND($I207="x",AND(MAX(Q207:S207)=Q207,Q207&gt;=0)),Data!$BI$2,"")</f>
        <v/>
      </c>
      <c r="V207" s="197" t="str">
        <f>IF(AND($J207="x",AND(MAX(Q207:S207)=R207,R207&gt;=0)),Data!$BJ$2,"")</f>
        <v/>
      </c>
      <c r="W207" s="197" t="str">
        <f>IF(AND($K207="x",AND(MAX(Q207:S207)=S207,S207&gt;=0)),Data!$BK$2,"")</f>
        <v/>
      </c>
      <c r="X207" s="197"/>
      <c r="Y207" s="328"/>
      <c r="Z207" s="453"/>
      <c r="AA207" s="454"/>
      <c r="AB207" s="441" t="str">
        <f t="shared" si="297"/>
        <v/>
      </c>
      <c r="AC207" s="328"/>
      <c r="AD207" s="197" t="str">
        <f>IF(AND($I207="x",AND(MAX(Z207:AB207)=Z207,Z207&lt;&gt;"")),Data!$BI$2,"")</f>
        <v/>
      </c>
      <c r="AE207" s="197" t="str">
        <f>IF(AND($J207="x",AND(MAX(Z207:AB207)=AA207,AA207&lt;&gt;"")),Data!$BJ$2,"")</f>
        <v/>
      </c>
      <c r="AF207" s="197" t="str">
        <f>IF(AND($K207="x",AND(MAX(Z207:AB207)=AB207,AB207&lt;&gt;"")),Data!$BK$2,"")</f>
        <v/>
      </c>
      <c r="AG207" s="197"/>
      <c r="AH207" s="328"/>
      <c r="AI207" s="453"/>
      <c r="AJ207" s="454"/>
      <c r="AK207" s="441" t="str">
        <f t="shared" si="298"/>
        <v/>
      </c>
      <c r="AL207" s="328"/>
      <c r="AM207" s="197" t="str">
        <f>IF(AND($I207="x",AND(MAX(AI207:AK207)=AI207,AI207&lt;&gt;"")),Data!$BI$2,"")</f>
        <v/>
      </c>
      <c r="AN207" s="197" t="str">
        <f>IF(AND($J207="x",AND(MAX(AI207:AK207)=AJ207,AJ207&lt;&gt;"")),Data!$BJ$2,"")</f>
        <v/>
      </c>
      <c r="AO207" s="197" t="str">
        <f>IF(AND($K207="x",AND(MAX(AI207:AK207)=AK207,AK207&lt;&gt;"")),Data!$BK$2,"")</f>
        <v/>
      </c>
      <c r="AP207" s="197"/>
      <c r="AQ207" s="328"/>
      <c r="AR207" s="453"/>
      <c r="AS207" s="454"/>
      <c r="AT207" s="441" t="str">
        <f t="shared" si="299"/>
        <v/>
      </c>
      <c r="AU207" s="328"/>
      <c r="AV207" s="197" t="str">
        <f>IF(AND($I207="x",AND(MAX(AR207:AT207)=AR207,AR207&lt;&gt;"")),Data!$BI$2,"")</f>
        <v/>
      </c>
      <c r="AW207" s="197" t="str">
        <f>IF(AND($J207="x",AND(MAX(AR207:AT207)=AS207,AS207&lt;&gt;"")),Data!$BJ$2,"")</f>
        <v/>
      </c>
      <c r="AX207" s="197" t="str">
        <f>IF(AND($K207="x",AND(MAX(AR207:AT207)=AT207,AT207&lt;&gt;"")),Data!$BK$2,"")</f>
        <v/>
      </c>
      <c r="AY207" s="197"/>
      <c r="AZ207" s="328"/>
      <c r="BA207" s="453"/>
      <c r="BB207" s="454"/>
      <c r="BC207" s="441" t="str">
        <f t="shared" si="300"/>
        <v/>
      </c>
      <c r="BD207" s="328"/>
      <c r="BE207" s="197" t="str">
        <f>IF(AND($I207="x",AND(MAX(BA207:BC207)=BA207,BA207&lt;&gt;"")),Data!$BI$2,"")</f>
        <v/>
      </c>
      <c r="BF207" s="197" t="str">
        <f>IF(AND($J207="x",AND(MAX(BA207:BC207)=BB207,BB207&lt;&gt;"")),Data!$BJ$2,"")</f>
        <v/>
      </c>
      <c r="BG207" s="197" t="str">
        <f>IF(AND($K207="x",AND(MAX(BA207:BC207)=BC207,BC207&lt;&gt;"")),Data!$BK$2,"")</f>
        <v/>
      </c>
      <c r="BH207" s="197"/>
      <c r="BI207" s="328"/>
      <c r="BJ207" s="453"/>
      <c r="BK207" s="454"/>
      <c r="BL207" s="441" t="str">
        <f t="shared" si="301"/>
        <v/>
      </c>
      <c r="BM207" s="328"/>
      <c r="BN207" s="197" t="str">
        <f>IF(AND($I207="x",AND(MAX(BJ207:BL207)=BJ207,BJ207&lt;&gt;"")),Data!$BI$2,"")</f>
        <v/>
      </c>
      <c r="BO207" s="197" t="str">
        <f>IF(AND($J207="x",AND(MAX(BJ207:BL207)=BK207,BK207&lt;&gt;"")),Data!$BJ$2,"")</f>
        <v/>
      </c>
      <c r="BP207" s="197" t="str">
        <f>IF(AND($K207="x",AND(MAX(BJ207:BL207)=BL207,BL207&lt;&gt;"")),Data!$BK$2,"")</f>
        <v/>
      </c>
      <c r="BQ207" s="197"/>
      <c r="BR207" s="328"/>
      <c r="BS207" s="453"/>
      <c r="BT207" s="454"/>
      <c r="BU207" s="441" t="str">
        <f t="shared" si="302"/>
        <v/>
      </c>
      <c r="BV207" s="328"/>
      <c r="BW207" s="197" t="str">
        <f>IF(AND($I207="x",AND(MAX(BS207:BU207)=BS207,BS207&lt;&gt;"")),Data!$BI$2,"")</f>
        <v/>
      </c>
      <c r="BX207" s="197" t="str">
        <f>IF(AND($J207="x",AND(MAX(BS207:BU207)=BT207,BT207&lt;&gt;"")),Data!$BJ$2,"")</f>
        <v/>
      </c>
      <c r="BY207" s="197" t="str">
        <f>IF(AND($K207="x",AND(MAX(BS207:BU207)=BU207,BU207&lt;&gt;"")),Data!$BK$2,"")</f>
        <v/>
      </c>
      <c r="BZ207" s="197"/>
      <c r="CA207" s="328"/>
      <c r="CB207" s="460" t="str">
        <f t="shared" si="303"/>
        <v/>
      </c>
      <c r="CC207" s="461" t="str">
        <f t="shared" si="304"/>
        <v/>
      </c>
      <c r="CD207" s="462" t="str">
        <f t="shared" si="305"/>
        <v/>
      </c>
      <c r="CE207" s="328"/>
      <c r="CF207" s="197" t="str">
        <f>IF(AND($I207="x",AND(MAX(CB207:CD207)=CB207,CB207&lt;&gt;"")),Data!$BI$2,"")</f>
        <v/>
      </c>
      <c r="CG207" s="197" t="str">
        <f>IF(AND($J207="x",AND(MAX(CB207:CD207)=CC207,CC207&lt;&gt;"")),Data!$BJ$2,"")</f>
        <v/>
      </c>
      <c r="CH207" s="197" t="str">
        <f>IF(AND($K207="x",AND(MAX(CB207:CD207)=CD207,CD207&lt;&gt;"")),Data!$BK$2,"")</f>
        <v/>
      </c>
      <c r="CI207" s="197"/>
      <c r="CJ207" s="197"/>
      <c r="CK207" s="453"/>
      <c r="CL207" s="454"/>
      <c r="CM207" s="441" t="str">
        <f t="shared" si="306"/>
        <v/>
      </c>
      <c r="CN207" s="328"/>
      <c r="CO207" s="197" t="str">
        <f>IF(AND($I207="x",AND(MAX(CK207:CM207)=CK207,CK207&lt;&gt;"")),Data!$BI$2,"")</f>
        <v/>
      </c>
      <c r="CP207" s="197" t="str">
        <f>IF(AND($J207="x",AND(MAX(CK207:CM207)=CL207,CL207&lt;&gt;"")),Data!$BJ$2,"")</f>
        <v/>
      </c>
      <c r="CQ207" s="197" t="str">
        <f>IF(AND($K207="x",AND(MAX(CK207:CM207)=CM207,CM207&lt;&gt;"")),Data!$BK$2,"")</f>
        <v/>
      </c>
      <c r="CR207" s="197"/>
      <c r="CS207" s="197"/>
      <c r="CT207" s="328"/>
      <c r="CU207" s="255"/>
      <c r="CV207" s="209"/>
      <c r="CW207" s="227"/>
    </row>
    <row r="208" spans="1:101" x14ac:dyDescent="0.2">
      <c r="A208" s="227"/>
      <c r="B208" s="227"/>
      <c r="C208" s="168"/>
      <c r="D208" s="232"/>
      <c r="E208" s="136" t="s">
        <v>163</v>
      </c>
      <c r="F208" s="426"/>
      <c r="G208" s="432"/>
      <c r="H208" s="433"/>
      <c r="I208" s="349" t="str">
        <f t="shared" si="293"/>
        <v/>
      </c>
      <c r="J208" s="350" t="str">
        <f t="shared" si="294"/>
        <v/>
      </c>
      <c r="K208" s="351" t="str">
        <f t="shared" si="295"/>
        <v/>
      </c>
      <c r="L208" s="258"/>
      <c r="M208" s="332"/>
      <c r="N208" s="336"/>
      <c r="O208" s="200"/>
      <c r="P208" s="200"/>
      <c r="Q208" s="442"/>
      <c r="R208" s="443"/>
      <c r="S208" s="444" t="str">
        <f t="shared" si="296"/>
        <v/>
      </c>
      <c r="T208" s="328"/>
      <c r="U208" s="197" t="str">
        <f>IF(AND($I208="x",AND(MAX(Q208:S208)=Q208,Q208&gt;=0)),Data!$BI$2,"")</f>
        <v/>
      </c>
      <c r="V208" s="197" t="str">
        <f>IF(AND($J208="x",AND(MAX(Q208:S208)=R208,R208&gt;=0)),Data!$BJ$2,"")</f>
        <v/>
      </c>
      <c r="W208" s="197" t="str">
        <f>IF(AND($K208="x",AND(MAX(Q208:S208)=S208,S208&gt;=0)),Data!$BK$2,"")</f>
        <v/>
      </c>
      <c r="X208" s="197"/>
      <c r="Y208" s="328"/>
      <c r="Z208" s="455"/>
      <c r="AA208" s="456"/>
      <c r="AB208" s="444" t="str">
        <f t="shared" si="297"/>
        <v/>
      </c>
      <c r="AC208" s="328"/>
      <c r="AD208" s="197" t="str">
        <f>IF(AND($I208="x",AND(MAX(Z208:AB208)=Z208,Z208&lt;&gt;"")),Data!$BI$2,"")</f>
        <v/>
      </c>
      <c r="AE208" s="197" t="str">
        <f>IF(AND($J208="x",AND(MAX(Z208:AB208)=AA208,AA208&lt;&gt;"")),Data!$BJ$2,"")</f>
        <v/>
      </c>
      <c r="AF208" s="197" t="str">
        <f>IF(AND($K208="x",AND(MAX(Z208:AB208)=AB208,AB208&lt;&gt;"")),Data!$BK$2,"")</f>
        <v/>
      </c>
      <c r="AG208" s="197"/>
      <c r="AH208" s="328"/>
      <c r="AI208" s="455"/>
      <c r="AJ208" s="456"/>
      <c r="AK208" s="444" t="str">
        <f t="shared" si="298"/>
        <v/>
      </c>
      <c r="AL208" s="328"/>
      <c r="AM208" s="197" t="str">
        <f>IF(AND($I208="x",AND(MAX(AI208:AK208)=AI208,AI208&lt;&gt;"")),Data!$BI$2,"")</f>
        <v/>
      </c>
      <c r="AN208" s="197" t="str">
        <f>IF(AND($J208="x",AND(MAX(AI208:AK208)=AJ208,AJ208&lt;&gt;"")),Data!$BJ$2,"")</f>
        <v/>
      </c>
      <c r="AO208" s="197" t="str">
        <f>IF(AND($K208="x",AND(MAX(AI208:AK208)=AK208,AK208&lt;&gt;"")),Data!$BK$2,"")</f>
        <v/>
      </c>
      <c r="AP208" s="197"/>
      <c r="AQ208" s="328"/>
      <c r="AR208" s="455"/>
      <c r="AS208" s="456"/>
      <c r="AT208" s="444" t="str">
        <f t="shared" si="299"/>
        <v/>
      </c>
      <c r="AU208" s="328"/>
      <c r="AV208" s="197" t="str">
        <f>IF(AND($I208="x",AND(MAX(AR208:AT208)=AR208,AR208&lt;&gt;"")),Data!$BI$2,"")</f>
        <v/>
      </c>
      <c r="AW208" s="197" t="str">
        <f>IF(AND($J208="x",AND(MAX(AR208:AT208)=AS208,AS208&lt;&gt;"")),Data!$BJ$2,"")</f>
        <v/>
      </c>
      <c r="AX208" s="197" t="str">
        <f>IF(AND($K208="x",AND(MAX(AR208:AT208)=AT208,AT208&lt;&gt;"")),Data!$BK$2,"")</f>
        <v/>
      </c>
      <c r="AY208" s="197"/>
      <c r="AZ208" s="328"/>
      <c r="BA208" s="455"/>
      <c r="BB208" s="456"/>
      <c r="BC208" s="444" t="str">
        <f t="shared" si="300"/>
        <v/>
      </c>
      <c r="BD208" s="328"/>
      <c r="BE208" s="197" t="str">
        <f>IF(AND($I208="x",AND(MAX(BA208:BC208)=BA208,BA208&lt;&gt;"")),Data!$BI$2,"")</f>
        <v/>
      </c>
      <c r="BF208" s="197" t="str">
        <f>IF(AND($J208="x",AND(MAX(BA208:BC208)=BB208,BB208&lt;&gt;"")),Data!$BJ$2,"")</f>
        <v/>
      </c>
      <c r="BG208" s="197" t="str">
        <f>IF(AND($K208="x",AND(MAX(BA208:BC208)=BC208,BC208&lt;&gt;"")),Data!$BK$2,"")</f>
        <v/>
      </c>
      <c r="BH208" s="197"/>
      <c r="BI208" s="328"/>
      <c r="BJ208" s="455"/>
      <c r="BK208" s="456"/>
      <c r="BL208" s="444" t="str">
        <f t="shared" si="301"/>
        <v/>
      </c>
      <c r="BM208" s="328"/>
      <c r="BN208" s="197" t="str">
        <f>IF(AND($I208="x",AND(MAX(BJ208:BL208)=BJ208,BJ208&lt;&gt;"")),Data!$BI$2,"")</f>
        <v/>
      </c>
      <c r="BO208" s="197" t="str">
        <f>IF(AND($J208="x",AND(MAX(BJ208:BL208)=BK208,BK208&lt;&gt;"")),Data!$BJ$2,"")</f>
        <v/>
      </c>
      <c r="BP208" s="197" t="str">
        <f>IF(AND($K208="x",AND(MAX(BJ208:BL208)=BL208,BL208&lt;&gt;"")),Data!$BK$2,"")</f>
        <v/>
      </c>
      <c r="BQ208" s="197"/>
      <c r="BR208" s="328"/>
      <c r="BS208" s="455"/>
      <c r="BT208" s="456"/>
      <c r="BU208" s="444" t="str">
        <f t="shared" si="302"/>
        <v/>
      </c>
      <c r="BV208" s="328"/>
      <c r="BW208" s="197" t="str">
        <f>IF(AND($I208="x",AND(MAX(BS208:BU208)=BS208,BS208&lt;&gt;"")),Data!$BI$2,"")</f>
        <v/>
      </c>
      <c r="BX208" s="197" t="str">
        <f>IF(AND($J208="x",AND(MAX(BS208:BU208)=BT208,BT208&lt;&gt;"")),Data!$BJ$2,"")</f>
        <v/>
      </c>
      <c r="BY208" s="197" t="str">
        <f>IF(AND($K208="x",AND(MAX(BS208:BU208)=BU208,BU208&lt;&gt;"")),Data!$BK$2,"")</f>
        <v/>
      </c>
      <c r="BZ208" s="197"/>
      <c r="CA208" s="328"/>
      <c r="CB208" s="463" t="str">
        <f t="shared" si="303"/>
        <v/>
      </c>
      <c r="CC208" s="464" t="str">
        <f t="shared" si="304"/>
        <v/>
      </c>
      <c r="CD208" s="465" t="str">
        <f t="shared" si="305"/>
        <v/>
      </c>
      <c r="CE208" s="328"/>
      <c r="CF208" s="197" t="str">
        <f>IF(AND($I208="x",AND(MAX(CB208:CD208)=CB208,CB208&lt;&gt;"")),Data!$BI$2,"")</f>
        <v/>
      </c>
      <c r="CG208" s="197" t="str">
        <f>IF(AND($J208="x",AND(MAX(CB208:CD208)=CC208,CC208&lt;&gt;"")),Data!$BJ$2,"")</f>
        <v/>
      </c>
      <c r="CH208" s="197" t="str">
        <f>IF(AND($K208="x",AND(MAX(CB208:CD208)=CD208,CD208&lt;&gt;"")),Data!$BK$2,"")</f>
        <v/>
      </c>
      <c r="CI208" s="197"/>
      <c r="CJ208" s="197"/>
      <c r="CK208" s="455"/>
      <c r="CL208" s="456"/>
      <c r="CM208" s="444" t="str">
        <f t="shared" si="306"/>
        <v/>
      </c>
      <c r="CN208" s="328"/>
      <c r="CO208" s="197" t="str">
        <f>IF(AND($I208="x",AND(MAX(CK208:CM208)=CK208,CK208&lt;&gt;"")),Data!$BI$2,"")</f>
        <v/>
      </c>
      <c r="CP208" s="197" t="str">
        <f>IF(AND($J208="x",AND(MAX(CK208:CM208)=CL208,CL208&lt;&gt;"")),Data!$BJ$2,"")</f>
        <v/>
      </c>
      <c r="CQ208" s="197" t="str">
        <f>IF(AND($K208="x",AND(MAX(CK208:CM208)=CM208,CM208&lt;&gt;"")),Data!$BK$2,"")</f>
        <v/>
      </c>
      <c r="CR208" s="197"/>
      <c r="CS208" s="197"/>
      <c r="CT208" s="328"/>
      <c r="CU208" s="255"/>
      <c r="CV208" s="209"/>
      <c r="CW208" s="227"/>
    </row>
    <row r="209" spans="1:101" x14ac:dyDescent="0.2">
      <c r="A209" s="227"/>
      <c r="B209" s="227"/>
      <c r="C209" s="168"/>
      <c r="D209" s="232"/>
      <c r="E209" s="134" t="s">
        <v>164</v>
      </c>
      <c r="F209" s="424"/>
      <c r="G209" s="428"/>
      <c r="H209" s="429"/>
      <c r="I209" s="138" t="str">
        <f t="shared" si="293"/>
        <v/>
      </c>
      <c r="J209" s="344" t="str">
        <f t="shared" si="294"/>
        <v/>
      </c>
      <c r="K209" s="345" t="str">
        <f t="shared" si="295"/>
        <v/>
      </c>
      <c r="L209" s="258"/>
      <c r="M209" s="332"/>
      <c r="N209" s="336"/>
      <c r="O209" s="200"/>
      <c r="P209" s="200"/>
      <c r="Q209" s="436"/>
      <c r="R209" s="437"/>
      <c r="S209" s="438" t="str">
        <f t="shared" si="296"/>
        <v/>
      </c>
      <c r="T209" s="328"/>
      <c r="U209" s="197" t="str">
        <f>IF(AND($I209="x",AND(MAX(Q209:S209)=Q209,Q209&gt;=0)),Data!$BI$2,"")</f>
        <v/>
      </c>
      <c r="V209" s="197" t="str">
        <f>IF(AND($J209="x",AND(MAX(Q209:S209)=R209,R209&gt;=0)),Data!$BJ$2,"")</f>
        <v/>
      </c>
      <c r="W209" s="197" t="str">
        <f>IF(AND($K209="x",AND(MAX(Q209:S209)=S209,S209&gt;=0)),Data!$BK$2,"")</f>
        <v/>
      </c>
      <c r="X209" s="197"/>
      <c r="Y209" s="328"/>
      <c r="Z209" s="451"/>
      <c r="AA209" s="452"/>
      <c r="AB209" s="438" t="str">
        <f t="shared" si="297"/>
        <v/>
      </c>
      <c r="AC209" s="328"/>
      <c r="AD209" s="197" t="str">
        <f>IF(AND($I209="x",AND(MAX(Z209:AB209)=Z209,Z209&lt;&gt;"")),Data!$BI$2,"")</f>
        <v/>
      </c>
      <c r="AE209" s="197" t="str">
        <f>IF(AND($J209="x",AND(MAX(Z209:AB209)=AA209,AA209&lt;&gt;"")),Data!$BJ$2,"")</f>
        <v/>
      </c>
      <c r="AF209" s="197" t="str">
        <f>IF(AND($K209="x",AND(MAX(Z209:AB209)=AB209,AB209&lt;&gt;"")),Data!$BK$2,"")</f>
        <v/>
      </c>
      <c r="AG209" s="197"/>
      <c r="AH209" s="328"/>
      <c r="AI209" s="451"/>
      <c r="AJ209" s="452"/>
      <c r="AK209" s="438" t="str">
        <f t="shared" si="298"/>
        <v/>
      </c>
      <c r="AL209" s="328"/>
      <c r="AM209" s="197" t="str">
        <f>IF(AND($I209="x",AND(MAX(AI209:AK209)=AI209,AI209&lt;&gt;"")),Data!$BI$2,"")</f>
        <v/>
      </c>
      <c r="AN209" s="197" t="str">
        <f>IF(AND($J209="x",AND(MAX(AI209:AK209)=AJ209,AJ209&lt;&gt;"")),Data!$BJ$2,"")</f>
        <v/>
      </c>
      <c r="AO209" s="197" t="str">
        <f>IF(AND($K209="x",AND(MAX(AI209:AK209)=AK209,AK209&lt;&gt;"")),Data!$BK$2,"")</f>
        <v/>
      </c>
      <c r="AP209" s="197"/>
      <c r="AQ209" s="328"/>
      <c r="AR209" s="451"/>
      <c r="AS209" s="452"/>
      <c r="AT209" s="438" t="str">
        <f t="shared" si="299"/>
        <v/>
      </c>
      <c r="AU209" s="328"/>
      <c r="AV209" s="197" t="str">
        <f>IF(AND($I209="x",AND(MAX(AR209:AT209)=AR209,AR209&lt;&gt;"")),Data!$BI$2,"")</f>
        <v/>
      </c>
      <c r="AW209" s="197" t="str">
        <f>IF(AND($J209="x",AND(MAX(AR209:AT209)=AS209,AS209&lt;&gt;"")),Data!$BJ$2,"")</f>
        <v/>
      </c>
      <c r="AX209" s="197" t="str">
        <f>IF(AND($K209="x",AND(MAX(AR209:AT209)=AT209,AT209&lt;&gt;"")),Data!$BK$2,"")</f>
        <v/>
      </c>
      <c r="AY209" s="197"/>
      <c r="AZ209" s="328"/>
      <c r="BA209" s="451"/>
      <c r="BB209" s="452"/>
      <c r="BC209" s="438" t="str">
        <f t="shared" si="300"/>
        <v/>
      </c>
      <c r="BD209" s="328"/>
      <c r="BE209" s="197" t="str">
        <f>IF(AND($I209="x",AND(MAX(BA209:BC209)=BA209,BA209&lt;&gt;"")),Data!$BI$2,"")</f>
        <v/>
      </c>
      <c r="BF209" s="197" t="str">
        <f>IF(AND($J209="x",AND(MAX(BA209:BC209)=BB209,BB209&lt;&gt;"")),Data!$BJ$2,"")</f>
        <v/>
      </c>
      <c r="BG209" s="197" t="str">
        <f>IF(AND($K209="x",AND(MAX(BA209:BC209)=BC209,BC209&lt;&gt;"")),Data!$BK$2,"")</f>
        <v/>
      </c>
      <c r="BH209" s="197"/>
      <c r="BI209" s="328"/>
      <c r="BJ209" s="451"/>
      <c r="BK209" s="452"/>
      <c r="BL209" s="438" t="str">
        <f t="shared" si="301"/>
        <v/>
      </c>
      <c r="BM209" s="328"/>
      <c r="BN209" s="197" t="str">
        <f>IF(AND($I209="x",AND(MAX(BJ209:BL209)=BJ209,BJ209&lt;&gt;"")),Data!$BI$2,"")</f>
        <v/>
      </c>
      <c r="BO209" s="197" t="str">
        <f>IF(AND($J209="x",AND(MAX(BJ209:BL209)=BK209,BK209&lt;&gt;"")),Data!$BJ$2,"")</f>
        <v/>
      </c>
      <c r="BP209" s="197" t="str">
        <f>IF(AND($K209="x",AND(MAX(BJ209:BL209)=BL209,BL209&lt;&gt;"")),Data!$BK$2,"")</f>
        <v/>
      </c>
      <c r="BQ209" s="197"/>
      <c r="BR209" s="328"/>
      <c r="BS209" s="451"/>
      <c r="BT209" s="452"/>
      <c r="BU209" s="438" t="str">
        <f t="shared" si="302"/>
        <v/>
      </c>
      <c r="BV209" s="328"/>
      <c r="BW209" s="197" t="str">
        <f>IF(AND($I209="x",AND(MAX(BS209:BU209)=BS209,BS209&lt;&gt;"")),Data!$BI$2,"")</f>
        <v/>
      </c>
      <c r="BX209" s="197" t="str">
        <f>IF(AND($J209="x",AND(MAX(BS209:BU209)=BT209,BT209&lt;&gt;"")),Data!$BJ$2,"")</f>
        <v/>
      </c>
      <c r="BY209" s="197" t="str">
        <f>IF(AND($K209="x",AND(MAX(BS209:BU209)=BU209,BU209&lt;&gt;"")),Data!$BK$2,"")</f>
        <v/>
      </c>
      <c r="BZ209" s="197"/>
      <c r="CA209" s="328"/>
      <c r="CB209" s="457" t="str">
        <f t="shared" si="303"/>
        <v/>
      </c>
      <c r="CC209" s="458" t="str">
        <f t="shared" si="304"/>
        <v/>
      </c>
      <c r="CD209" s="459" t="str">
        <f t="shared" si="305"/>
        <v/>
      </c>
      <c r="CE209" s="328"/>
      <c r="CF209" s="197" t="str">
        <f>IF(AND($I209="x",AND(MAX(CB209:CD209)=CB209,CB209&lt;&gt;"")),Data!$BI$2,"")</f>
        <v/>
      </c>
      <c r="CG209" s="197" t="str">
        <f>IF(AND($J209="x",AND(MAX(CB209:CD209)=CC209,CC209&lt;&gt;"")),Data!$BJ$2,"")</f>
        <v/>
      </c>
      <c r="CH209" s="197" t="str">
        <f>IF(AND($K209="x",AND(MAX(CB209:CD209)=CD209,CD209&lt;&gt;"")),Data!$BK$2,"")</f>
        <v/>
      </c>
      <c r="CI209" s="197"/>
      <c r="CJ209" s="197"/>
      <c r="CK209" s="451"/>
      <c r="CL209" s="452"/>
      <c r="CM209" s="438" t="str">
        <f t="shared" si="306"/>
        <v/>
      </c>
      <c r="CN209" s="328"/>
      <c r="CO209" s="197" t="str">
        <f>IF(AND($I209="x",AND(MAX(CK209:CM209)=CK209,CK209&lt;&gt;"")),Data!$BI$2,"")</f>
        <v/>
      </c>
      <c r="CP209" s="197" t="str">
        <f>IF(AND($J209="x",AND(MAX(CK209:CM209)=CL209,CL209&lt;&gt;"")),Data!$BJ$2,"")</f>
        <v/>
      </c>
      <c r="CQ209" s="197" t="str">
        <f>IF(AND($K209="x",AND(MAX(CK209:CM209)=CM209,CM209&lt;&gt;"")),Data!$BK$2,"")</f>
        <v/>
      </c>
      <c r="CR209" s="197"/>
      <c r="CS209" s="197"/>
      <c r="CT209" s="328"/>
      <c r="CU209" s="255"/>
      <c r="CV209" s="209"/>
      <c r="CW209" s="227"/>
    </row>
    <row r="210" spans="1:101" x14ac:dyDescent="0.2">
      <c r="A210" s="227"/>
      <c r="B210" s="227"/>
      <c r="C210" s="168"/>
      <c r="D210" s="232"/>
      <c r="E210" s="135" t="s">
        <v>165</v>
      </c>
      <c r="F210" s="425"/>
      <c r="G210" s="430"/>
      <c r="H210" s="431"/>
      <c r="I210" s="346" t="str">
        <f t="shared" si="293"/>
        <v/>
      </c>
      <c r="J210" s="347" t="str">
        <f t="shared" si="294"/>
        <v/>
      </c>
      <c r="K210" s="348" t="str">
        <f t="shared" si="295"/>
        <v/>
      </c>
      <c r="L210" s="258"/>
      <c r="M210" s="332"/>
      <c r="N210" s="336"/>
      <c r="O210" s="200"/>
      <c r="P210" s="200"/>
      <c r="Q210" s="439"/>
      <c r="R210" s="440"/>
      <c r="S210" s="441" t="str">
        <f t="shared" si="296"/>
        <v/>
      </c>
      <c r="T210" s="328"/>
      <c r="U210" s="197" t="str">
        <f>IF(AND($I210="x",AND(MAX(Q210:S210)=Q210,Q210&gt;=0)),Data!$BI$2,"")</f>
        <v/>
      </c>
      <c r="V210" s="197" t="str">
        <f>IF(AND($J210="x",AND(MAX(Q210:S210)=R210,R210&gt;=0)),Data!$BJ$2,"")</f>
        <v/>
      </c>
      <c r="W210" s="197" t="str">
        <f>IF(AND($K210="x",AND(MAX(Q210:S210)=S210,S210&gt;=0)),Data!$BK$2,"")</f>
        <v/>
      </c>
      <c r="X210" s="197"/>
      <c r="Y210" s="328"/>
      <c r="Z210" s="453"/>
      <c r="AA210" s="454"/>
      <c r="AB210" s="441" t="str">
        <f t="shared" si="297"/>
        <v/>
      </c>
      <c r="AC210" s="328"/>
      <c r="AD210" s="197" t="str">
        <f>IF(AND($I210="x",AND(MAX(Z210:AB210)=Z210,Z210&lt;&gt;"")),Data!$BI$2,"")</f>
        <v/>
      </c>
      <c r="AE210" s="197" t="str">
        <f>IF(AND($J210="x",AND(MAX(Z210:AB210)=AA210,AA210&lt;&gt;"")),Data!$BJ$2,"")</f>
        <v/>
      </c>
      <c r="AF210" s="197" t="str">
        <f>IF(AND($K210="x",AND(MAX(Z210:AB210)=AB210,AB210&lt;&gt;"")),Data!$BK$2,"")</f>
        <v/>
      </c>
      <c r="AG210" s="197"/>
      <c r="AH210" s="328"/>
      <c r="AI210" s="453"/>
      <c r="AJ210" s="454"/>
      <c r="AK210" s="441" t="str">
        <f t="shared" si="298"/>
        <v/>
      </c>
      <c r="AL210" s="328"/>
      <c r="AM210" s="197" t="str">
        <f>IF(AND($I210="x",AND(MAX(AI210:AK210)=AI210,AI210&lt;&gt;"")),Data!$BI$2,"")</f>
        <v/>
      </c>
      <c r="AN210" s="197" t="str">
        <f>IF(AND($J210="x",AND(MAX(AI210:AK210)=AJ210,AJ210&lt;&gt;"")),Data!$BJ$2,"")</f>
        <v/>
      </c>
      <c r="AO210" s="197" t="str">
        <f>IF(AND($K210="x",AND(MAX(AI210:AK210)=AK210,AK210&lt;&gt;"")),Data!$BK$2,"")</f>
        <v/>
      </c>
      <c r="AP210" s="197"/>
      <c r="AQ210" s="328"/>
      <c r="AR210" s="453"/>
      <c r="AS210" s="454"/>
      <c r="AT210" s="441" t="str">
        <f t="shared" si="299"/>
        <v/>
      </c>
      <c r="AU210" s="328"/>
      <c r="AV210" s="197" t="str">
        <f>IF(AND($I210="x",AND(MAX(AR210:AT210)=AR210,AR210&lt;&gt;"")),Data!$BI$2,"")</f>
        <v/>
      </c>
      <c r="AW210" s="197" t="str">
        <f>IF(AND($J210="x",AND(MAX(AR210:AT210)=AS210,AS210&lt;&gt;"")),Data!$BJ$2,"")</f>
        <v/>
      </c>
      <c r="AX210" s="197" t="str">
        <f>IF(AND($K210="x",AND(MAX(AR210:AT210)=AT210,AT210&lt;&gt;"")),Data!$BK$2,"")</f>
        <v/>
      </c>
      <c r="AY210" s="197"/>
      <c r="AZ210" s="328"/>
      <c r="BA210" s="453"/>
      <c r="BB210" s="454"/>
      <c r="BC210" s="441" t="str">
        <f t="shared" si="300"/>
        <v/>
      </c>
      <c r="BD210" s="328"/>
      <c r="BE210" s="197" t="str">
        <f>IF(AND($I210="x",AND(MAX(BA210:BC210)=BA210,BA210&lt;&gt;"")),Data!$BI$2,"")</f>
        <v/>
      </c>
      <c r="BF210" s="197" t="str">
        <f>IF(AND($J210="x",AND(MAX(BA210:BC210)=BB210,BB210&lt;&gt;"")),Data!$BJ$2,"")</f>
        <v/>
      </c>
      <c r="BG210" s="197" t="str">
        <f>IF(AND($K210="x",AND(MAX(BA210:BC210)=BC210,BC210&lt;&gt;"")),Data!$BK$2,"")</f>
        <v/>
      </c>
      <c r="BH210" s="197"/>
      <c r="BI210" s="328"/>
      <c r="BJ210" s="453"/>
      <c r="BK210" s="454"/>
      <c r="BL210" s="441" t="str">
        <f t="shared" si="301"/>
        <v/>
      </c>
      <c r="BM210" s="328"/>
      <c r="BN210" s="197" t="str">
        <f>IF(AND($I210="x",AND(MAX(BJ210:BL210)=BJ210,BJ210&lt;&gt;"")),Data!$BI$2,"")</f>
        <v/>
      </c>
      <c r="BO210" s="197" t="str">
        <f>IF(AND($J210="x",AND(MAX(BJ210:BL210)=BK210,BK210&lt;&gt;"")),Data!$BJ$2,"")</f>
        <v/>
      </c>
      <c r="BP210" s="197" t="str">
        <f>IF(AND($K210="x",AND(MAX(BJ210:BL210)=BL210,BL210&lt;&gt;"")),Data!$BK$2,"")</f>
        <v/>
      </c>
      <c r="BQ210" s="197"/>
      <c r="BR210" s="328"/>
      <c r="BS210" s="453"/>
      <c r="BT210" s="454"/>
      <c r="BU210" s="441" t="str">
        <f t="shared" si="302"/>
        <v/>
      </c>
      <c r="BV210" s="328"/>
      <c r="BW210" s="197" t="str">
        <f>IF(AND($I210="x",AND(MAX(BS210:BU210)=BS210,BS210&lt;&gt;"")),Data!$BI$2,"")</f>
        <v/>
      </c>
      <c r="BX210" s="197" t="str">
        <f>IF(AND($J210="x",AND(MAX(BS210:BU210)=BT210,BT210&lt;&gt;"")),Data!$BJ$2,"")</f>
        <v/>
      </c>
      <c r="BY210" s="197" t="str">
        <f>IF(AND($K210="x",AND(MAX(BS210:BU210)=BU210,BU210&lt;&gt;"")),Data!$BK$2,"")</f>
        <v/>
      </c>
      <c r="BZ210" s="197"/>
      <c r="CA210" s="328"/>
      <c r="CB210" s="460" t="str">
        <f t="shared" si="303"/>
        <v/>
      </c>
      <c r="CC210" s="461" t="str">
        <f t="shared" si="304"/>
        <v/>
      </c>
      <c r="CD210" s="462" t="str">
        <f t="shared" si="305"/>
        <v/>
      </c>
      <c r="CE210" s="328"/>
      <c r="CF210" s="197" t="str">
        <f>IF(AND($I210="x",AND(MAX(CB210:CD210)=CB210,CB210&lt;&gt;"")),Data!$BI$2,"")</f>
        <v/>
      </c>
      <c r="CG210" s="197" t="str">
        <f>IF(AND($J210="x",AND(MAX(CB210:CD210)=CC210,CC210&lt;&gt;"")),Data!$BJ$2,"")</f>
        <v/>
      </c>
      <c r="CH210" s="197" t="str">
        <f>IF(AND($K210="x",AND(MAX(CB210:CD210)=CD210,CD210&lt;&gt;"")),Data!$BK$2,"")</f>
        <v/>
      </c>
      <c r="CI210" s="197"/>
      <c r="CJ210" s="197"/>
      <c r="CK210" s="453"/>
      <c r="CL210" s="454"/>
      <c r="CM210" s="441" t="str">
        <f t="shared" si="306"/>
        <v/>
      </c>
      <c r="CN210" s="328"/>
      <c r="CO210" s="197" t="str">
        <f>IF(AND($I210="x",AND(MAX(CK210:CM210)=CK210,CK210&lt;&gt;"")),Data!$BI$2,"")</f>
        <v/>
      </c>
      <c r="CP210" s="197" t="str">
        <f>IF(AND($J210="x",AND(MAX(CK210:CM210)=CL210,CL210&lt;&gt;"")),Data!$BJ$2,"")</f>
        <v/>
      </c>
      <c r="CQ210" s="197" t="str">
        <f>IF(AND($K210="x",AND(MAX(CK210:CM210)=CM210,CM210&lt;&gt;"")),Data!$BK$2,"")</f>
        <v/>
      </c>
      <c r="CR210" s="197"/>
      <c r="CS210" s="197"/>
      <c r="CT210" s="328"/>
      <c r="CU210" s="255"/>
      <c r="CV210" s="209"/>
      <c r="CW210" s="227"/>
    </row>
    <row r="211" spans="1:101" x14ac:dyDescent="0.2">
      <c r="A211" s="227"/>
      <c r="B211" s="227"/>
      <c r="C211" s="168"/>
      <c r="D211" s="232"/>
      <c r="E211" s="136" t="s">
        <v>166</v>
      </c>
      <c r="F211" s="426"/>
      <c r="G211" s="432"/>
      <c r="H211" s="433"/>
      <c r="I211" s="349" t="str">
        <f t="shared" si="293"/>
        <v/>
      </c>
      <c r="J211" s="350" t="str">
        <f t="shared" si="294"/>
        <v/>
      </c>
      <c r="K211" s="351" t="str">
        <f t="shared" si="295"/>
        <v/>
      </c>
      <c r="L211" s="258"/>
      <c r="M211" s="332"/>
      <c r="N211" s="336"/>
      <c r="O211" s="200"/>
      <c r="P211" s="200"/>
      <c r="Q211" s="445"/>
      <c r="R211" s="446"/>
      <c r="S211" s="447" t="str">
        <f t="shared" si="296"/>
        <v/>
      </c>
      <c r="T211" s="328"/>
      <c r="U211" s="197" t="str">
        <f>IF(AND($I211="x",AND(MAX(Q211:S211)=Q211,Q211&gt;=0)),Data!$BI$2,"")</f>
        <v/>
      </c>
      <c r="V211" s="197" t="str">
        <f>IF(AND($J211="x",AND(MAX(Q211:S211)=R211,R211&gt;=0)),Data!$BJ$2,"")</f>
        <v/>
      </c>
      <c r="W211" s="197" t="str">
        <f>IF(AND($K211="x",AND(MAX(Q211:S211)=S211,S211&gt;=0)),Data!$BK$2,"")</f>
        <v/>
      </c>
      <c r="X211" s="197"/>
      <c r="Y211" s="328"/>
      <c r="Z211" s="455"/>
      <c r="AA211" s="456"/>
      <c r="AB211" s="447" t="str">
        <f t="shared" si="297"/>
        <v/>
      </c>
      <c r="AC211" s="328"/>
      <c r="AD211" s="197" t="str">
        <f>IF(AND($I211="x",AND(MAX(Z211:AB211)=Z211,Z211&lt;&gt;"")),Data!$BI$2,"")</f>
        <v/>
      </c>
      <c r="AE211" s="197" t="str">
        <f>IF(AND($J211="x",AND(MAX(Z211:AB211)=AA211,AA211&lt;&gt;"")),Data!$BJ$2,"")</f>
        <v/>
      </c>
      <c r="AF211" s="197" t="str">
        <f>IF(AND($K211="x",AND(MAX(Z211:AB211)=AB211,AB211&lt;&gt;"")),Data!$BK$2,"")</f>
        <v/>
      </c>
      <c r="AG211" s="197"/>
      <c r="AH211" s="328"/>
      <c r="AI211" s="455"/>
      <c r="AJ211" s="456"/>
      <c r="AK211" s="447" t="str">
        <f t="shared" si="298"/>
        <v/>
      </c>
      <c r="AL211" s="328"/>
      <c r="AM211" s="197" t="str">
        <f>IF(AND($I211="x",AND(MAX(AI211:AK211)=AI211,AI211&lt;&gt;"")),Data!$BI$2,"")</f>
        <v/>
      </c>
      <c r="AN211" s="197" t="str">
        <f>IF(AND($J211="x",AND(MAX(AI211:AK211)=AJ211,AJ211&lt;&gt;"")),Data!$BJ$2,"")</f>
        <v/>
      </c>
      <c r="AO211" s="197" t="str">
        <f>IF(AND($K211="x",AND(MAX(AI211:AK211)=AK211,AK211&lt;&gt;"")),Data!$BK$2,"")</f>
        <v/>
      </c>
      <c r="AP211" s="197"/>
      <c r="AQ211" s="328"/>
      <c r="AR211" s="455"/>
      <c r="AS211" s="456"/>
      <c r="AT211" s="447" t="str">
        <f t="shared" si="299"/>
        <v/>
      </c>
      <c r="AU211" s="328"/>
      <c r="AV211" s="197" t="str">
        <f>IF(AND($I211="x",AND(MAX(AR211:AT211)=AR211,AR211&lt;&gt;"")),Data!$BI$2,"")</f>
        <v/>
      </c>
      <c r="AW211" s="197" t="str">
        <f>IF(AND($J211="x",AND(MAX(AR211:AT211)=AS211,AS211&lt;&gt;"")),Data!$BJ$2,"")</f>
        <v/>
      </c>
      <c r="AX211" s="197" t="str">
        <f>IF(AND($K211="x",AND(MAX(AR211:AT211)=AT211,AT211&lt;&gt;"")),Data!$BK$2,"")</f>
        <v/>
      </c>
      <c r="AY211" s="197"/>
      <c r="AZ211" s="328"/>
      <c r="BA211" s="455"/>
      <c r="BB211" s="456"/>
      <c r="BC211" s="447" t="str">
        <f t="shared" si="300"/>
        <v/>
      </c>
      <c r="BD211" s="328"/>
      <c r="BE211" s="197" t="str">
        <f>IF(AND($I211="x",AND(MAX(BA211:BC211)=BA211,BA211&lt;&gt;"")),Data!$BI$2,"")</f>
        <v/>
      </c>
      <c r="BF211" s="197" t="str">
        <f>IF(AND($J211="x",AND(MAX(BA211:BC211)=BB211,BB211&lt;&gt;"")),Data!$BJ$2,"")</f>
        <v/>
      </c>
      <c r="BG211" s="197" t="str">
        <f>IF(AND($K211="x",AND(MAX(BA211:BC211)=BC211,BC211&lt;&gt;"")),Data!$BK$2,"")</f>
        <v/>
      </c>
      <c r="BH211" s="197"/>
      <c r="BI211" s="328"/>
      <c r="BJ211" s="455"/>
      <c r="BK211" s="456"/>
      <c r="BL211" s="447" t="str">
        <f t="shared" si="301"/>
        <v/>
      </c>
      <c r="BM211" s="328"/>
      <c r="BN211" s="197" t="str">
        <f>IF(AND($I211="x",AND(MAX(BJ211:BL211)=BJ211,BJ211&lt;&gt;"")),Data!$BI$2,"")</f>
        <v/>
      </c>
      <c r="BO211" s="197" t="str">
        <f>IF(AND($J211="x",AND(MAX(BJ211:BL211)=BK211,BK211&lt;&gt;"")),Data!$BJ$2,"")</f>
        <v/>
      </c>
      <c r="BP211" s="197" t="str">
        <f>IF(AND($K211="x",AND(MAX(BJ211:BL211)=BL211,BL211&lt;&gt;"")),Data!$BK$2,"")</f>
        <v/>
      </c>
      <c r="BQ211" s="197"/>
      <c r="BR211" s="328"/>
      <c r="BS211" s="455"/>
      <c r="BT211" s="456"/>
      <c r="BU211" s="447" t="str">
        <f t="shared" si="302"/>
        <v/>
      </c>
      <c r="BV211" s="328"/>
      <c r="BW211" s="197" t="str">
        <f>IF(AND($I211="x",AND(MAX(BS211:BU211)=BS211,BS211&lt;&gt;"")),Data!$BI$2,"")</f>
        <v/>
      </c>
      <c r="BX211" s="197" t="str">
        <f>IF(AND($J211="x",AND(MAX(BS211:BU211)=BT211,BT211&lt;&gt;"")),Data!$BJ$2,"")</f>
        <v/>
      </c>
      <c r="BY211" s="197" t="str">
        <f>IF(AND($K211="x",AND(MAX(BS211:BU211)=BU211,BU211&lt;&gt;"")),Data!$BK$2,"")</f>
        <v/>
      </c>
      <c r="BZ211" s="197"/>
      <c r="CA211" s="328"/>
      <c r="CB211" s="463" t="str">
        <f t="shared" si="303"/>
        <v/>
      </c>
      <c r="CC211" s="464" t="str">
        <f t="shared" si="304"/>
        <v/>
      </c>
      <c r="CD211" s="465" t="str">
        <f t="shared" si="305"/>
        <v/>
      </c>
      <c r="CE211" s="328"/>
      <c r="CF211" s="197" t="str">
        <f>IF(AND($I211="x",AND(MAX(CB211:CD211)=CB211,CB211&lt;&gt;"")),Data!$BI$2,"")</f>
        <v/>
      </c>
      <c r="CG211" s="197" t="str">
        <f>IF(AND($J211="x",AND(MAX(CB211:CD211)=CC211,CC211&lt;&gt;"")),Data!$BJ$2,"")</f>
        <v/>
      </c>
      <c r="CH211" s="197" t="str">
        <f>IF(AND($K211="x",AND(MAX(CB211:CD211)=CD211,CD211&lt;&gt;"")),Data!$BK$2,"")</f>
        <v/>
      </c>
      <c r="CI211" s="197"/>
      <c r="CJ211" s="197"/>
      <c r="CK211" s="455"/>
      <c r="CL211" s="456"/>
      <c r="CM211" s="447" t="str">
        <f t="shared" si="306"/>
        <v/>
      </c>
      <c r="CN211" s="328"/>
      <c r="CO211" s="197" t="str">
        <f>IF(AND($I211="x",AND(MAX(CK211:CM211)=CK211,CK211&lt;&gt;"")),Data!$BI$2,"")</f>
        <v/>
      </c>
      <c r="CP211" s="197" t="str">
        <f>IF(AND($J211="x",AND(MAX(CK211:CM211)=CL211,CL211&lt;&gt;"")),Data!$BJ$2,"")</f>
        <v/>
      </c>
      <c r="CQ211" s="197" t="str">
        <f>IF(AND($K211="x",AND(MAX(CK211:CM211)=CM211,CM211&lt;&gt;"")),Data!$BK$2,"")</f>
        <v/>
      </c>
      <c r="CR211" s="197"/>
      <c r="CS211" s="197"/>
      <c r="CT211" s="328"/>
      <c r="CU211" s="255"/>
      <c r="CV211" s="209"/>
      <c r="CW211" s="227"/>
    </row>
    <row r="212" spans="1:101" x14ac:dyDescent="0.2">
      <c r="A212" s="227"/>
      <c r="B212" s="227"/>
      <c r="C212" s="168"/>
      <c r="D212" s="232"/>
      <c r="E212" s="134" t="s">
        <v>167</v>
      </c>
      <c r="F212" s="424"/>
      <c r="G212" s="428"/>
      <c r="H212" s="429"/>
      <c r="I212" s="138" t="str">
        <f t="shared" si="293"/>
        <v/>
      </c>
      <c r="J212" s="344" t="str">
        <f t="shared" si="294"/>
        <v/>
      </c>
      <c r="K212" s="345" t="str">
        <f t="shared" si="295"/>
        <v/>
      </c>
      <c r="L212" s="258"/>
      <c r="M212" s="332"/>
      <c r="N212" s="336"/>
      <c r="O212" s="200"/>
      <c r="P212" s="200"/>
      <c r="Q212" s="436"/>
      <c r="R212" s="437"/>
      <c r="S212" s="438" t="str">
        <f t="shared" si="296"/>
        <v/>
      </c>
      <c r="T212" s="328"/>
      <c r="U212" s="197" t="str">
        <f>IF(AND($I212="x",AND(MAX(Q212:S212)=Q212,Q212&gt;=0)),Data!$BI$2,"")</f>
        <v/>
      </c>
      <c r="V212" s="197" t="str">
        <f>IF(AND($J212="x",AND(MAX(Q212:S212)=R212,R212&gt;=0)),Data!$BJ$2,"")</f>
        <v/>
      </c>
      <c r="W212" s="197" t="str">
        <f>IF(AND($K212="x",AND(MAX(Q212:S212)=S212,S212&gt;=0)),Data!$BK$2,"")</f>
        <v/>
      </c>
      <c r="X212" s="197"/>
      <c r="Y212" s="328"/>
      <c r="Z212" s="451"/>
      <c r="AA212" s="452"/>
      <c r="AB212" s="438" t="str">
        <f t="shared" si="297"/>
        <v/>
      </c>
      <c r="AC212" s="328"/>
      <c r="AD212" s="197" t="str">
        <f>IF(AND($I212="x",AND(MAX(Z212:AB212)=Z212,Z212&lt;&gt;"")),Data!$BI$2,"")</f>
        <v/>
      </c>
      <c r="AE212" s="197" t="str">
        <f>IF(AND($J212="x",AND(MAX(Z212:AB212)=AA212,AA212&lt;&gt;"")),Data!$BJ$2,"")</f>
        <v/>
      </c>
      <c r="AF212" s="197" t="str">
        <f>IF(AND($K212="x",AND(MAX(Z212:AB212)=AB212,AB212&lt;&gt;"")),Data!$BK$2,"")</f>
        <v/>
      </c>
      <c r="AG212" s="197"/>
      <c r="AH212" s="328"/>
      <c r="AI212" s="451"/>
      <c r="AJ212" s="452"/>
      <c r="AK212" s="438" t="str">
        <f t="shared" si="298"/>
        <v/>
      </c>
      <c r="AL212" s="328"/>
      <c r="AM212" s="197" t="str">
        <f>IF(AND($I212="x",AND(MAX(AI212:AK212)=AI212,AI212&lt;&gt;"")),Data!$BI$2,"")</f>
        <v/>
      </c>
      <c r="AN212" s="197" t="str">
        <f>IF(AND($J212="x",AND(MAX(AI212:AK212)=AJ212,AJ212&lt;&gt;"")),Data!$BJ$2,"")</f>
        <v/>
      </c>
      <c r="AO212" s="197" t="str">
        <f>IF(AND($K212="x",AND(MAX(AI212:AK212)=AK212,AK212&lt;&gt;"")),Data!$BK$2,"")</f>
        <v/>
      </c>
      <c r="AP212" s="197"/>
      <c r="AQ212" s="328"/>
      <c r="AR212" s="451"/>
      <c r="AS212" s="452"/>
      <c r="AT212" s="438" t="str">
        <f t="shared" si="299"/>
        <v/>
      </c>
      <c r="AU212" s="328"/>
      <c r="AV212" s="197" t="str">
        <f>IF(AND($I212="x",AND(MAX(AR212:AT212)=AR212,AR212&lt;&gt;"")),Data!$BI$2,"")</f>
        <v/>
      </c>
      <c r="AW212" s="197" t="str">
        <f>IF(AND($J212="x",AND(MAX(AR212:AT212)=AS212,AS212&lt;&gt;"")),Data!$BJ$2,"")</f>
        <v/>
      </c>
      <c r="AX212" s="197" t="str">
        <f>IF(AND($K212="x",AND(MAX(AR212:AT212)=AT212,AT212&lt;&gt;"")),Data!$BK$2,"")</f>
        <v/>
      </c>
      <c r="AY212" s="197"/>
      <c r="AZ212" s="328"/>
      <c r="BA212" s="451"/>
      <c r="BB212" s="452"/>
      <c r="BC212" s="438" t="str">
        <f t="shared" si="300"/>
        <v/>
      </c>
      <c r="BD212" s="328"/>
      <c r="BE212" s="197" t="str">
        <f>IF(AND($I212="x",AND(MAX(BA212:BC212)=BA212,BA212&lt;&gt;"")),Data!$BI$2,"")</f>
        <v/>
      </c>
      <c r="BF212" s="197" t="str">
        <f>IF(AND($J212="x",AND(MAX(BA212:BC212)=BB212,BB212&lt;&gt;"")),Data!$BJ$2,"")</f>
        <v/>
      </c>
      <c r="BG212" s="197" t="str">
        <f>IF(AND($K212="x",AND(MAX(BA212:BC212)=BC212,BC212&lt;&gt;"")),Data!$BK$2,"")</f>
        <v/>
      </c>
      <c r="BH212" s="197"/>
      <c r="BI212" s="328"/>
      <c r="BJ212" s="451"/>
      <c r="BK212" s="452"/>
      <c r="BL212" s="438" t="str">
        <f t="shared" si="301"/>
        <v/>
      </c>
      <c r="BM212" s="328"/>
      <c r="BN212" s="197" t="str">
        <f>IF(AND($I212="x",AND(MAX(BJ212:BL212)=BJ212,BJ212&lt;&gt;"")),Data!$BI$2,"")</f>
        <v/>
      </c>
      <c r="BO212" s="197" t="str">
        <f>IF(AND($J212="x",AND(MAX(BJ212:BL212)=BK212,BK212&lt;&gt;"")),Data!$BJ$2,"")</f>
        <v/>
      </c>
      <c r="BP212" s="197" t="str">
        <f>IF(AND($K212="x",AND(MAX(BJ212:BL212)=BL212,BL212&lt;&gt;"")),Data!$BK$2,"")</f>
        <v/>
      </c>
      <c r="BQ212" s="197"/>
      <c r="BR212" s="328"/>
      <c r="BS212" s="451"/>
      <c r="BT212" s="452"/>
      <c r="BU212" s="438" t="str">
        <f t="shared" si="302"/>
        <v/>
      </c>
      <c r="BV212" s="328"/>
      <c r="BW212" s="197" t="str">
        <f>IF(AND($I212="x",AND(MAX(BS212:BU212)=BS212,BS212&lt;&gt;"")),Data!$BI$2,"")</f>
        <v/>
      </c>
      <c r="BX212" s="197" t="str">
        <f>IF(AND($J212="x",AND(MAX(BS212:BU212)=BT212,BT212&lt;&gt;"")),Data!$BJ$2,"")</f>
        <v/>
      </c>
      <c r="BY212" s="197" t="str">
        <f>IF(AND($K212="x",AND(MAX(BS212:BU212)=BU212,BU212&lt;&gt;"")),Data!$BK$2,"")</f>
        <v/>
      </c>
      <c r="BZ212" s="197"/>
      <c r="CA212" s="328"/>
      <c r="CB212" s="457" t="str">
        <f t="shared" si="303"/>
        <v/>
      </c>
      <c r="CC212" s="458" t="str">
        <f t="shared" si="304"/>
        <v/>
      </c>
      <c r="CD212" s="459" t="str">
        <f t="shared" si="305"/>
        <v/>
      </c>
      <c r="CE212" s="328"/>
      <c r="CF212" s="197" t="str">
        <f>IF(AND($I212="x",AND(MAX(CB212:CD212)=CB212,CB212&lt;&gt;"")),Data!$BI$2,"")</f>
        <v/>
      </c>
      <c r="CG212" s="197" t="str">
        <f>IF(AND($J212="x",AND(MAX(CB212:CD212)=CC212,CC212&lt;&gt;"")),Data!$BJ$2,"")</f>
        <v/>
      </c>
      <c r="CH212" s="197" t="str">
        <f>IF(AND($K212="x",AND(MAX(CB212:CD212)=CD212,CD212&lt;&gt;"")),Data!$BK$2,"")</f>
        <v/>
      </c>
      <c r="CI212" s="197"/>
      <c r="CJ212" s="197"/>
      <c r="CK212" s="451"/>
      <c r="CL212" s="452"/>
      <c r="CM212" s="438" t="str">
        <f t="shared" si="306"/>
        <v/>
      </c>
      <c r="CN212" s="328"/>
      <c r="CO212" s="197" t="str">
        <f>IF(AND($I212="x",AND(MAX(CK212:CM212)=CK212,CK212&lt;&gt;"")),Data!$BI$2,"")</f>
        <v/>
      </c>
      <c r="CP212" s="197" t="str">
        <f>IF(AND($J212="x",AND(MAX(CK212:CM212)=CL212,CL212&lt;&gt;"")),Data!$BJ$2,"")</f>
        <v/>
      </c>
      <c r="CQ212" s="197" t="str">
        <f>IF(AND($K212="x",AND(MAX(CK212:CM212)=CM212,CM212&lt;&gt;"")),Data!$BK$2,"")</f>
        <v/>
      </c>
      <c r="CR212" s="197"/>
      <c r="CS212" s="197"/>
      <c r="CT212" s="328"/>
      <c r="CU212" s="259"/>
      <c r="CV212" s="209"/>
      <c r="CW212" s="227"/>
    </row>
    <row r="213" spans="1:101" x14ac:dyDescent="0.2">
      <c r="A213" s="227"/>
      <c r="B213" s="227"/>
      <c r="C213" s="168"/>
      <c r="D213" s="232"/>
      <c r="E213" s="135" t="s">
        <v>168</v>
      </c>
      <c r="F213" s="425"/>
      <c r="G213" s="430"/>
      <c r="H213" s="431"/>
      <c r="I213" s="346" t="str">
        <f t="shared" si="293"/>
        <v/>
      </c>
      <c r="J213" s="347" t="str">
        <f t="shared" si="294"/>
        <v/>
      </c>
      <c r="K213" s="348" t="str">
        <f t="shared" si="295"/>
        <v/>
      </c>
      <c r="L213" s="258"/>
      <c r="M213" s="332"/>
      <c r="N213" s="336"/>
      <c r="O213" s="200"/>
      <c r="P213" s="200"/>
      <c r="Q213" s="439"/>
      <c r="R213" s="440"/>
      <c r="S213" s="441" t="str">
        <f t="shared" si="296"/>
        <v/>
      </c>
      <c r="T213" s="328"/>
      <c r="U213" s="197" t="str">
        <f>IF(AND($I213="x",AND(MAX(Q213:S213)=Q213,Q213&gt;=0)),Data!$BI$2,"")</f>
        <v/>
      </c>
      <c r="V213" s="197" t="str">
        <f>IF(AND($J213="x",AND(MAX(Q213:S213)=R213,R213&gt;=0)),Data!$BJ$2,"")</f>
        <v/>
      </c>
      <c r="W213" s="197" t="str">
        <f>IF(AND($K213="x",AND(MAX(Q213:S213)=S213,S213&gt;=0)),Data!$BK$2,"")</f>
        <v/>
      </c>
      <c r="X213" s="197"/>
      <c r="Y213" s="328"/>
      <c r="Z213" s="453"/>
      <c r="AA213" s="454"/>
      <c r="AB213" s="441" t="str">
        <f t="shared" si="297"/>
        <v/>
      </c>
      <c r="AC213" s="328"/>
      <c r="AD213" s="197" t="str">
        <f>IF(AND($I213="x",AND(MAX(Z213:AB213)=Z213,Z213&lt;&gt;"")),Data!$BI$2,"")</f>
        <v/>
      </c>
      <c r="AE213" s="197" t="str">
        <f>IF(AND($J213="x",AND(MAX(Z213:AB213)=AA213,AA213&lt;&gt;"")),Data!$BJ$2,"")</f>
        <v/>
      </c>
      <c r="AF213" s="197" t="str">
        <f>IF(AND($K213="x",AND(MAX(Z213:AB213)=AB213,AB213&lt;&gt;"")),Data!$BK$2,"")</f>
        <v/>
      </c>
      <c r="AG213" s="197"/>
      <c r="AH213" s="328"/>
      <c r="AI213" s="453"/>
      <c r="AJ213" s="454"/>
      <c r="AK213" s="441" t="str">
        <f t="shared" si="298"/>
        <v/>
      </c>
      <c r="AL213" s="328"/>
      <c r="AM213" s="197" t="str">
        <f>IF(AND($I213="x",AND(MAX(AI213:AK213)=AI213,AI213&lt;&gt;"")),Data!$BI$2,"")</f>
        <v/>
      </c>
      <c r="AN213" s="197" t="str">
        <f>IF(AND($J213="x",AND(MAX(AI213:AK213)=AJ213,AJ213&lt;&gt;"")),Data!$BJ$2,"")</f>
        <v/>
      </c>
      <c r="AO213" s="197" t="str">
        <f>IF(AND($K213="x",AND(MAX(AI213:AK213)=AK213,AK213&lt;&gt;"")),Data!$BK$2,"")</f>
        <v/>
      </c>
      <c r="AP213" s="197"/>
      <c r="AQ213" s="328"/>
      <c r="AR213" s="453"/>
      <c r="AS213" s="454"/>
      <c r="AT213" s="441" t="str">
        <f t="shared" si="299"/>
        <v/>
      </c>
      <c r="AU213" s="328"/>
      <c r="AV213" s="197" t="str">
        <f>IF(AND($I213="x",AND(MAX(AR213:AT213)=AR213,AR213&lt;&gt;"")),Data!$BI$2,"")</f>
        <v/>
      </c>
      <c r="AW213" s="197" t="str">
        <f>IF(AND($J213="x",AND(MAX(AR213:AT213)=AS213,AS213&lt;&gt;"")),Data!$BJ$2,"")</f>
        <v/>
      </c>
      <c r="AX213" s="197" t="str">
        <f>IF(AND($K213="x",AND(MAX(AR213:AT213)=AT213,AT213&lt;&gt;"")),Data!$BK$2,"")</f>
        <v/>
      </c>
      <c r="AY213" s="197"/>
      <c r="AZ213" s="328"/>
      <c r="BA213" s="453"/>
      <c r="BB213" s="454"/>
      <c r="BC213" s="441" t="str">
        <f t="shared" si="300"/>
        <v/>
      </c>
      <c r="BD213" s="328"/>
      <c r="BE213" s="197" t="str">
        <f>IF(AND($I213="x",AND(MAX(BA213:BC213)=BA213,BA213&lt;&gt;"")),Data!$BI$2,"")</f>
        <v/>
      </c>
      <c r="BF213" s="197" t="str">
        <f>IF(AND($J213="x",AND(MAX(BA213:BC213)=BB213,BB213&lt;&gt;"")),Data!$BJ$2,"")</f>
        <v/>
      </c>
      <c r="BG213" s="197" t="str">
        <f>IF(AND($K213="x",AND(MAX(BA213:BC213)=BC213,BC213&lt;&gt;"")),Data!$BK$2,"")</f>
        <v/>
      </c>
      <c r="BH213" s="197"/>
      <c r="BI213" s="328"/>
      <c r="BJ213" s="453"/>
      <c r="BK213" s="454"/>
      <c r="BL213" s="441" t="str">
        <f t="shared" si="301"/>
        <v/>
      </c>
      <c r="BM213" s="328"/>
      <c r="BN213" s="197" t="str">
        <f>IF(AND($I213="x",AND(MAX(BJ213:BL213)=BJ213,BJ213&lt;&gt;"")),Data!$BI$2,"")</f>
        <v/>
      </c>
      <c r="BO213" s="197" t="str">
        <f>IF(AND($J213="x",AND(MAX(BJ213:BL213)=BK213,BK213&lt;&gt;"")),Data!$BJ$2,"")</f>
        <v/>
      </c>
      <c r="BP213" s="197" t="str">
        <f>IF(AND($K213="x",AND(MAX(BJ213:BL213)=BL213,BL213&lt;&gt;"")),Data!$BK$2,"")</f>
        <v/>
      </c>
      <c r="BQ213" s="197"/>
      <c r="BR213" s="328"/>
      <c r="BS213" s="453"/>
      <c r="BT213" s="454"/>
      <c r="BU213" s="441" t="str">
        <f t="shared" si="302"/>
        <v/>
      </c>
      <c r="BV213" s="328"/>
      <c r="BW213" s="197" t="str">
        <f>IF(AND($I213="x",AND(MAX(BS213:BU213)=BS213,BS213&lt;&gt;"")),Data!$BI$2,"")</f>
        <v/>
      </c>
      <c r="BX213" s="197" t="str">
        <f>IF(AND($J213="x",AND(MAX(BS213:BU213)=BT213,BT213&lt;&gt;"")),Data!$BJ$2,"")</f>
        <v/>
      </c>
      <c r="BY213" s="197" t="str">
        <f>IF(AND($K213="x",AND(MAX(BS213:BU213)=BU213,BU213&lt;&gt;"")),Data!$BK$2,"")</f>
        <v/>
      </c>
      <c r="BZ213" s="197"/>
      <c r="CA213" s="328"/>
      <c r="CB213" s="460" t="str">
        <f t="shared" si="303"/>
        <v/>
      </c>
      <c r="CC213" s="461" t="str">
        <f t="shared" si="304"/>
        <v/>
      </c>
      <c r="CD213" s="462" t="str">
        <f t="shared" si="305"/>
        <v/>
      </c>
      <c r="CE213" s="328"/>
      <c r="CF213" s="197" t="str">
        <f>IF(AND($I213="x",AND(MAX(CB213:CD213)=CB213,CB213&lt;&gt;"")),Data!$BI$2,"")</f>
        <v/>
      </c>
      <c r="CG213" s="197" t="str">
        <f>IF(AND($J213="x",AND(MAX(CB213:CD213)=CC213,CC213&lt;&gt;"")),Data!$BJ$2,"")</f>
        <v/>
      </c>
      <c r="CH213" s="197" t="str">
        <f>IF(AND($K213="x",AND(MAX(CB213:CD213)=CD213,CD213&lt;&gt;"")),Data!$BK$2,"")</f>
        <v/>
      </c>
      <c r="CI213" s="197"/>
      <c r="CJ213" s="197"/>
      <c r="CK213" s="453"/>
      <c r="CL213" s="454"/>
      <c r="CM213" s="441" t="str">
        <f t="shared" si="306"/>
        <v/>
      </c>
      <c r="CN213" s="328"/>
      <c r="CO213" s="197" t="str">
        <f>IF(AND($I213="x",AND(MAX(CK213:CM213)=CK213,CK213&lt;&gt;"")),Data!$BI$2,"")</f>
        <v/>
      </c>
      <c r="CP213" s="197" t="str">
        <f>IF(AND($J213="x",AND(MAX(CK213:CM213)=CL213,CL213&lt;&gt;"")),Data!$BJ$2,"")</f>
        <v/>
      </c>
      <c r="CQ213" s="197" t="str">
        <f>IF(AND($K213="x",AND(MAX(CK213:CM213)=CM213,CM213&lt;&gt;"")),Data!$BK$2,"")</f>
        <v/>
      </c>
      <c r="CR213" s="197"/>
      <c r="CS213" s="197"/>
      <c r="CT213" s="328"/>
      <c r="CU213" s="259"/>
      <c r="CV213" s="209"/>
      <c r="CW213" s="227"/>
    </row>
    <row r="214" spans="1:101" x14ac:dyDescent="0.2">
      <c r="A214" s="227"/>
      <c r="B214" s="227"/>
      <c r="C214" s="168"/>
      <c r="D214" s="232"/>
      <c r="E214" s="136" t="s">
        <v>169</v>
      </c>
      <c r="F214" s="426"/>
      <c r="G214" s="432"/>
      <c r="H214" s="433"/>
      <c r="I214" s="349" t="str">
        <f t="shared" si="293"/>
        <v/>
      </c>
      <c r="J214" s="350" t="str">
        <f t="shared" si="294"/>
        <v/>
      </c>
      <c r="K214" s="351" t="str">
        <f t="shared" si="295"/>
        <v/>
      </c>
      <c r="L214" s="258"/>
      <c r="M214" s="332"/>
      <c r="N214" s="336"/>
      <c r="O214" s="200"/>
      <c r="P214" s="200"/>
      <c r="Q214" s="445"/>
      <c r="R214" s="446"/>
      <c r="S214" s="447" t="str">
        <f t="shared" si="296"/>
        <v/>
      </c>
      <c r="T214" s="328"/>
      <c r="U214" s="197" t="str">
        <f>IF(AND($I214="x",AND(MAX(Q214:S214)=Q214,Q214&gt;=0)),Data!$BI$2,"")</f>
        <v/>
      </c>
      <c r="V214" s="197" t="str">
        <f>IF(AND($J214="x",AND(MAX(Q214:S214)=R214,R214&gt;=0)),Data!$BJ$2,"")</f>
        <v/>
      </c>
      <c r="W214" s="197" t="str">
        <f>IF(AND($K214="x",AND(MAX(Q214:S214)=S214,S214&gt;=0)),Data!$BK$2,"")</f>
        <v/>
      </c>
      <c r="X214" s="197"/>
      <c r="Y214" s="328"/>
      <c r="Z214" s="455"/>
      <c r="AA214" s="456"/>
      <c r="AB214" s="447" t="str">
        <f t="shared" si="297"/>
        <v/>
      </c>
      <c r="AC214" s="328"/>
      <c r="AD214" s="197" t="str">
        <f>IF(AND($I214="x",AND(MAX(Z214:AB214)=Z214,Z214&lt;&gt;"")),Data!$BI$2,"")</f>
        <v/>
      </c>
      <c r="AE214" s="197" t="str">
        <f>IF(AND($J214="x",AND(MAX(Z214:AB214)=AA214,AA214&lt;&gt;"")),Data!$BJ$2,"")</f>
        <v/>
      </c>
      <c r="AF214" s="197" t="str">
        <f>IF(AND($K214="x",AND(MAX(Z214:AB214)=AB214,AB214&lt;&gt;"")),Data!$BK$2,"")</f>
        <v/>
      </c>
      <c r="AG214" s="197"/>
      <c r="AH214" s="328"/>
      <c r="AI214" s="455"/>
      <c r="AJ214" s="456"/>
      <c r="AK214" s="447" t="str">
        <f t="shared" si="298"/>
        <v/>
      </c>
      <c r="AL214" s="328"/>
      <c r="AM214" s="197" t="str">
        <f>IF(AND($I214="x",AND(MAX(AI214:AK214)=AI214,AI214&lt;&gt;"")),Data!$BI$2,"")</f>
        <v/>
      </c>
      <c r="AN214" s="197" t="str">
        <f>IF(AND($J214="x",AND(MAX(AI214:AK214)=AJ214,AJ214&lt;&gt;"")),Data!$BJ$2,"")</f>
        <v/>
      </c>
      <c r="AO214" s="197" t="str">
        <f>IF(AND($K214="x",AND(MAX(AI214:AK214)=AK214,AK214&lt;&gt;"")),Data!$BK$2,"")</f>
        <v/>
      </c>
      <c r="AP214" s="197"/>
      <c r="AQ214" s="328"/>
      <c r="AR214" s="455"/>
      <c r="AS214" s="456"/>
      <c r="AT214" s="447" t="str">
        <f t="shared" si="299"/>
        <v/>
      </c>
      <c r="AU214" s="328"/>
      <c r="AV214" s="197" t="str">
        <f>IF(AND($I214="x",AND(MAX(AR214:AT214)=AR214,AR214&lt;&gt;"")),Data!$BI$2,"")</f>
        <v/>
      </c>
      <c r="AW214" s="197" t="str">
        <f>IF(AND($J214="x",AND(MAX(AR214:AT214)=AS214,AS214&lt;&gt;"")),Data!$BJ$2,"")</f>
        <v/>
      </c>
      <c r="AX214" s="197" t="str">
        <f>IF(AND($K214="x",AND(MAX(AR214:AT214)=AT214,AT214&lt;&gt;"")),Data!$BK$2,"")</f>
        <v/>
      </c>
      <c r="AY214" s="197"/>
      <c r="AZ214" s="328"/>
      <c r="BA214" s="455"/>
      <c r="BB214" s="456"/>
      <c r="BC214" s="447" t="str">
        <f t="shared" si="300"/>
        <v/>
      </c>
      <c r="BD214" s="328"/>
      <c r="BE214" s="197" t="str">
        <f>IF(AND($I214="x",AND(MAX(BA214:BC214)=BA214,BA214&lt;&gt;"")),Data!$BI$2,"")</f>
        <v/>
      </c>
      <c r="BF214" s="197" t="str">
        <f>IF(AND($J214="x",AND(MAX(BA214:BC214)=BB214,BB214&lt;&gt;"")),Data!$BJ$2,"")</f>
        <v/>
      </c>
      <c r="BG214" s="197" t="str">
        <f>IF(AND($K214="x",AND(MAX(BA214:BC214)=BC214,BC214&lt;&gt;"")),Data!$BK$2,"")</f>
        <v/>
      </c>
      <c r="BH214" s="197"/>
      <c r="BI214" s="328"/>
      <c r="BJ214" s="455"/>
      <c r="BK214" s="456"/>
      <c r="BL214" s="447" t="str">
        <f t="shared" si="301"/>
        <v/>
      </c>
      <c r="BM214" s="328"/>
      <c r="BN214" s="197" t="str">
        <f>IF(AND($I214="x",AND(MAX(BJ214:BL214)=BJ214,BJ214&lt;&gt;"")),Data!$BI$2,"")</f>
        <v/>
      </c>
      <c r="BO214" s="197" t="str">
        <f>IF(AND($J214="x",AND(MAX(BJ214:BL214)=BK214,BK214&lt;&gt;"")),Data!$BJ$2,"")</f>
        <v/>
      </c>
      <c r="BP214" s="197" t="str">
        <f>IF(AND($K214="x",AND(MAX(BJ214:BL214)=BL214,BL214&lt;&gt;"")),Data!$BK$2,"")</f>
        <v/>
      </c>
      <c r="BQ214" s="197"/>
      <c r="BR214" s="328"/>
      <c r="BS214" s="455"/>
      <c r="BT214" s="456"/>
      <c r="BU214" s="447" t="str">
        <f t="shared" si="302"/>
        <v/>
      </c>
      <c r="BV214" s="328"/>
      <c r="BW214" s="197" t="str">
        <f>IF(AND($I214="x",AND(MAX(BS214:BU214)=BS214,BS214&lt;&gt;"")),Data!$BI$2,"")</f>
        <v/>
      </c>
      <c r="BX214" s="197" t="str">
        <f>IF(AND($J214="x",AND(MAX(BS214:BU214)=BT214,BT214&lt;&gt;"")),Data!$BJ$2,"")</f>
        <v/>
      </c>
      <c r="BY214" s="197" t="str">
        <f>IF(AND($K214="x",AND(MAX(BS214:BU214)=BU214,BU214&lt;&gt;"")),Data!$BK$2,"")</f>
        <v/>
      </c>
      <c r="BZ214" s="197"/>
      <c r="CA214" s="328"/>
      <c r="CB214" s="463" t="str">
        <f t="shared" si="303"/>
        <v/>
      </c>
      <c r="CC214" s="464" t="str">
        <f t="shared" si="304"/>
        <v/>
      </c>
      <c r="CD214" s="465" t="str">
        <f t="shared" si="305"/>
        <v/>
      </c>
      <c r="CE214" s="328"/>
      <c r="CF214" s="197" t="str">
        <f>IF(AND($I214="x",AND(MAX(CB214:CD214)=CB214,CB214&lt;&gt;"")),Data!$BI$2,"")</f>
        <v/>
      </c>
      <c r="CG214" s="197" t="str">
        <f>IF(AND($J214="x",AND(MAX(CB214:CD214)=CC214,CC214&lt;&gt;"")),Data!$BJ$2,"")</f>
        <v/>
      </c>
      <c r="CH214" s="197" t="str">
        <f>IF(AND($K214="x",AND(MAX(CB214:CD214)=CD214,CD214&lt;&gt;"")),Data!$BK$2,"")</f>
        <v/>
      </c>
      <c r="CI214" s="197"/>
      <c r="CJ214" s="197"/>
      <c r="CK214" s="455"/>
      <c r="CL214" s="456"/>
      <c r="CM214" s="447" t="str">
        <f t="shared" si="306"/>
        <v/>
      </c>
      <c r="CN214" s="328"/>
      <c r="CO214" s="197" t="str">
        <f>IF(AND($I214="x",AND(MAX(CK214:CM214)=CK214,CK214&lt;&gt;"")),Data!$BI$2,"")</f>
        <v/>
      </c>
      <c r="CP214" s="197" t="str">
        <f>IF(AND($J214="x",AND(MAX(CK214:CM214)=CL214,CL214&lt;&gt;"")),Data!$BJ$2,"")</f>
        <v/>
      </c>
      <c r="CQ214" s="197" t="str">
        <f>IF(AND($K214="x",AND(MAX(CK214:CM214)=CM214,CM214&lt;&gt;"")),Data!$BK$2,"")</f>
        <v/>
      </c>
      <c r="CR214" s="197"/>
      <c r="CS214" s="197"/>
      <c r="CT214" s="328"/>
      <c r="CU214" s="259"/>
      <c r="CV214" s="209"/>
      <c r="CW214" s="227"/>
    </row>
    <row r="215" spans="1:101" x14ac:dyDescent="0.2">
      <c r="A215" s="227"/>
      <c r="B215" s="227"/>
      <c r="C215" s="168"/>
      <c r="D215" s="232"/>
      <c r="E215" s="137" t="s">
        <v>170</v>
      </c>
      <c r="F215" s="427"/>
      <c r="G215" s="434"/>
      <c r="H215" s="435"/>
      <c r="I215" s="138" t="str">
        <f t="shared" si="293"/>
        <v/>
      </c>
      <c r="J215" s="344" t="str">
        <f t="shared" si="294"/>
        <v/>
      </c>
      <c r="K215" s="345" t="str">
        <f t="shared" si="295"/>
        <v/>
      </c>
      <c r="L215" s="258"/>
      <c r="M215" s="332"/>
      <c r="N215" s="336"/>
      <c r="O215" s="200"/>
      <c r="P215" s="200"/>
      <c r="Q215" s="448"/>
      <c r="R215" s="449"/>
      <c r="S215" s="450" t="str">
        <f t="shared" si="296"/>
        <v/>
      </c>
      <c r="T215" s="328"/>
      <c r="U215" s="197" t="str">
        <f>IF(AND($I215="x",AND(MAX(Q215:S215)=Q215,Q215&gt;=0)),Data!$BI$2,"")</f>
        <v/>
      </c>
      <c r="V215" s="197" t="str">
        <f>IF(AND($J215="x",AND(MAX(Q215:S215)=R215,R215&gt;=0)),Data!$BJ$2,"")</f>
        <v/>
      </c>
      <c r="W215" s="197" t="str">
        <f>IF(AND($K215="x",AND(MAX(Q215:S215)=S215,S215&gt;=0)),Data!$BK$2,"")</f>
        <v/>
      </c>
      <c r="X215" s="197"/>
      <c r="Y215" s="328"/>
      <c r="Z215" s="451"/>
      <c r="AA215" s="452"/>
      <c r="AB215" s="450" t="str">
        <f t="shared" si="297"/>
        <v/>
      </c>
      <c r="AC215" s="328"/>
      <c r="AD215" s="197" t="str">
        <f>IF(AND($I215="x",AND(MAX(Z215:AB215)=Z215,Z215&lt;&gt;"")),Data!$BI$2,"")</f>
        <v/>
      </c>
      <c r="AE215" s="197" t="str">
        <f>IF(AND($J215="x",AND(MAX(Z215:AB215)=AA215,AA215&lt;&gt;"")),Data!$BJ$2,"")</f>
        <v/>
      </c>
      <c r="AF215" s="197" t="str">
        <f>IF(AND($K215="x",AND(MAX(Z215:AB215)=AB215,AB215&lt;&gt;"")),Data!$BK$2,"")</f>
        <v/>
      </c>
      <c r="AG215" s="197"/>
      <c r="AH215" s="328"/>
      <c r="AI215" s="451"/>
      <c r="AJ215" s="452"/>
      <c r="AK215" s="450" t="str">
        <f t="shared" si="298"/>
        <v/>
      </c>
      <c r="AL215" s="328"/>
      <c r="AM215" s="197" t="str">
        <f>IF(AND($I215="x",AND(MAX(AI215:AK215)=AI215,AI215&lt;&gt;"")),Data!$BI$2,"")</f>
        <v/>
      </c>
      <c r="AN215" s="197" t="str">
        <f>IF(AND($J215="x",AND(MAX(AI215:AK215)=AJ215,AJ215&lt;&gt;"")),Data!$BJ$2,"")</f>
        <v/>
      </c>
      <c r="AO215" s="197" t="str">
        <f>IF(AND($K215="x",AND(MAX(AI215:AK215)=AK215,AK215&lt;&gt;"")),Data!$BK$2,"")</f>
        <v/>
      </c>
      <c r="AP215" s="197"/>
      <c r="AQ215" s="328"/>
      <c r="AR215" s="451"/>
      <c r="AS215" s="452"/>
      <c r="AT215" s="450" t="str">
        <f t="shared" si="299"/>
        <v/>
      </c>
      <c r="AU215" s="328"/>
      <c r="AV215" s="197" t="str">
        <f>IF(AND($I215="x",AND(MAX(AR215:AT215)=AR215,AR215&lt;&gt;"")),Data!$BI$2,"")</f>
        <v/>
      </c>
      <c r="AW215" s="197" t="str">
        <f>IF(AND($J215="x",AND(MAX(AR215:AT215)=AS215,AS215&lt;&gt;"")),Data!$BJ$2,"")</f>
        <v/>
      </c>
      <c r="AX215" s="197" t="str">
        <f>IF(AND($K215="x",AND(MAX(AR215:AT215)=AT215,AT215&lt;&gt;"")),Data!$BK$2,"")</f>
        <v/>
      </c>
      <c r="AY215" s="197"/>
      <c r="AZ215" s="328"/>
      <c r="BA215" s="451"/>
      <c r="BB215" s="452"/>
      <c r="BC215" s="450" t="str">
        <f t="shared" si="300"/>
        <v/>
      </c>
      <c r="BD215" s="328"/>
      <c r="BE215" s="197" t="str">
        <f>IF(AND($I215="x",AND(MAX(BA215:BC215)=BA215,BA215&lt;&gt;"")),Data!$BI$2,"")</f>
        <v/>
      </c>
      <c r="BF215" s="197" t="str">
        <f>IF(AND($J215="x",AND(MAX(BA215:BC215)=BB215,BB215&lt;&gt;"")),Data!$BJ$2,"")</f>
        <v/>
      </c>
      <c r="BG215" s="197" t="str">
        <f>IF(AND($K215="x",AND(MAX(BA215:BC215)=BC215,BC215&lt;&gt;"")),Data!$BK$2,"")</f>
        <v/>
      </c>
      <c r="BH215" s="197"/>
      <c r="BI215" s="328"/>
      <c r="BJ215" s="451"/>
      <c r="BK215" s="452"/>
      <c r="BL215" s="450" t="str">
        <f t="shared" si="301"/>
        <v/>
      </c>
      <c r="BM215" s="328"/>
      <c r="BN215" s="197" t="str">
        <f>IF(AND($I215="x",AND(MAX(BJ215:BL215)=BJ215,BJ215&lt;&gt;"")),Data!$BI$2,"")</f>
        <v/>
      </c>
      <c r="BO215" s="197" t="str">
        <f>IF(AND($J215="x",AND(MAX(BJ215:BL215)=BK215,BK215&lt;&gt;"")),Data!$BJ$2,"")</f>
        <v/>
      </c>
      <c r="BP215" s="197" t="str">
        <f>IF(AND($K215="x",AND(MAX(BJ215:BL215)=BL215,BL215&lt;&gt;"")),Data!$BK$2,"")</f>
        <v/>
      </c>
      <c r="BQ215" s="197"/>
      <c r="BR215" s="328"/>
      <c r="BS215" s="451"/>
      <c r="BT215" s="452"/>
      <c r="BU215" s="450" t="str">
        <f t="shared" si="302"/>
        <v/>
      </c>
      <c r="BV215" s="328"/>
      <c r="BW215" s="197" t="str">
        <f>IF(AND($I215="x",AND(MAX(BS215:BU215)=BS215,BS215&lt;&gt;"")),Data!$BI$2,"")</f>
        <v/>
      </c>
      <c r="BX215" s="197" t="str">
        <f>IF(AND($J215="x",AND(MAX(BS215:BU215)=BT215,BT215&lt;&gt;"")),Data!$BJ$2,"")</f>
        <v/>
      </c>
      <c r="BY215" s="197" t="str">
        <f>IF(AND($K215="x",AND(MAX(BS215:BU215)=BU215,BU215&lt;&gt;"")),Data!$BK$2,"")</f>
        <v/>
      </c>
      <c r="BZ215" s="197"/>
      <c r="CA215" s="328"/>
      <c r="CB215" s="457" t="str">
        <f t="shared" si="303"/>
        <v/>
      </c>
      <c r="CC215" s="458" t="str">
        <f t="shared" si="304"/>
        <v/>
      </c>
      <c r="CD215" s="459" t="str">
        <f t="shared" si="305"/>
        <v/>
      </c>
      <c r="CE215" s="328"/>
      <c r="CF215" s="197" t="str">
        <f>IF(AND($I215="x",AND(MAX(CB215:CD215)=CB215,CB215&lt;&gt;"")),Data!$BI$2,"")</f>
        <v/>
      </c>
      <c r="CG215" s="197" t="str">
        <f>IF(AND($J215="x",AND(MAX(CB215:CD215)=CC215,CC215&lt;&gt;"")),Data!$BJ$2,"")</f>
        <v/>
      </c>
      <c r="CH215" s="197" t="str">
        <f>IF(AND($K215="x",AND(MAX(CB215:CD215)=CD215,CD215&lt;&gt;"")),Data!$BK$2,"")</f>
        <v/>
      </c>
      <c r="CI215" s="197"/>
      <c r="CJ215" s="197"/>
      <c r="CK215" s="451"/>
      <c r="CL215" s="452"/>
      <c r="CM215" s="450" t="str">
        <f t="shared" si="306"/>
        <v/>
      </c>
      <c r="CN215" s="328"/>
      <c r="CO215" s="197" t="str">
        <f>IF(AND($I215="x",AND(MAX(CK215:CM215)=CK215,CK215&lt;&gt;"")),Data!$BI$2,"")</f>
        <v/>
      </c>
      <c r="CP215" s="197" t="str">
        <f>IF(AND($J215="x",AND(MAX(CK215:CM215)=CL215,CL215&lt;&gt;"")),Data!$BJ$2,"")</f>
        <v/>
      </c>
      <c r="CQ215" s="197" t="str">
        <f>IF(AND($K215="x",AND(MAX(CK215:CM215)=CM215,CM215&lt;&gt;"")),Data!$BK$2,"")</f>
        <v/>
      </c>
      <c r="CR215" s="197"/>
      <c r="CS215" s="197"/>
      <c r="CT215" s="328"/>
      <c r="CU215" s="259"/>
      <c r="CV215" s="209"/>
      <c r="CW215" s="227"/>
    </row>
    <row r="216" spans="1:101" x14ac:dyDescent="0.2">
      <c r="A216" s="227"/>
      <c r="B216" s="227"/>
      <c r="C216" s="168"/>
      <c r="D216" s="232"/>
      <c r="E216" s="135" t="s">
        <v>171</v>
      </c>
      <c r="F216" s="425"/>
      <c r="G216" s="430"/>
      <c r="H216" s="431"/>
      <c r="I216" s="346" t="str">
        <f t="shared" si="293"/>
        <v/>
      </c>
      <c r="J216" s="347" t="str">
        <f t="shared" si="294"/>
        <v/>
      </c>
      <c r="K216" s="348" t="str">
        <f t="shared" si="295"/>
        <v/>
      </c>
      <c r="L216" s="258"/>
      <c r="M216" s="332"/>
      <c r="N216" s="336"/>
      <c r="O216" s="200"/>
      <c r="P216" s="200"/>
      <c r="Q216" s="439"/>
      <c r="R216" s="440"/>
      <c r="S216" s="441" t="str">
        <f t="shared" si="296"/>
        <v/>
      </c>
      <c r="T216" s="328"/>
      <c r="U216" s="197" t="str">
        <f>IF(AND($I216="x",AND(MAX(Q216:S216)=Q216,Q216&gt;=0)),Data!$BI$2,"")</f>
        <v/>
      </c>
      <c r="V216" s="197" t="str">
        <f>IF(AND($J216="x",AND(MAX(Q216:S216)=R216,R216&gt;=0)),Data!$BJ$2,"")</f>
        <v/>
      </c>
      <c r="W216" s="197" t="str">
        <f>IF(AND($K216="x",AND(MAX(Q216:S216)=S216,S216&gt;=0)),Data!$BK$2,"")</f>
        <v/>
      </c>
      <c r="X216" s="197"/>
      <c r="Y216" s="328"/>
      <c r="Z216" s="453"/>
      <c r="AA216" s="454"/>
      <c r="AB216" s="441" t="str">
        <f t="shared" si="297"/>
        <v/>
      </c>
      <c r="AC216" s="328"/>
      <c r="AD216" s="197" t="str">
        <f>IF(AND($I216="x",AND(MAX(Z216:AB216)=Z216,Z216&lt;&gt;"")),Data!$BI$2,"")</f>
        <v/>
      </c>
      <c r="AE216" s="197" t="str">
        <f>IF(AND($J216="x",AND(MAX(Z216:AB216)=AA216,AA216&lt;&gt;"")),Data!$BJ$2,"")</f>
        <v/>
      </c>
      <c r="AF216" s="197" t="str">
        <f>IF(AND($K216="x",AND(MAX(Z216:AB216)=AB216,AB216&lt;&gt;"")),Data!$BK$2,"")</f>
        <v/>
      </c>
      <c r="AG216" s="197"/>
      <c r="AH216" s="328"/>
      <c r="AI216" s="453"/>
      <c r="AJ216" s="454"/>
      <c r="AK216" s="441" t="str">
        <f t="shared" si="298"/>
        <v/>
      </c>
      <c r="AL216" s="328"/>
      <c r="AM216" s="197" t="str">
        <f>IF(AND($I216="x",AND(MAX(AI216:AK216)=AI216,AI216&lt;&gt;"")),Data!$BI$2,"")</f>
        <v/>
      </c>
      <c r="AN216" s="197" t="str">
        <f>IF(AND($J216="x",AND(MAX(AI216:AK216)=AJ216,AJ216&lt;&gt;"")),Data!$BJ$2,"")</f>
        <v/>
      </c>
      <c r="AO216" s="197" t="str">
        <f>IF(AND($K216="x",AND(MAX(AI216:AK216)=AK216,AK216&lt;&gt;"")),Data!$BK$2,"")</f>
        <v/>
      </c>
      <c r="AP216" s="197"/>
      <c r="AQ216" s="328"/>
      <c r="AR216" s="453"/>
      <c r="AS216" s="454"/>
      <c r="AT216" s="441" t="str">
        <f t="shared" si="299"/>
        <v/>
      </c>
      <c r="AU216" s="328"/>
      <c r="AV216" s="197" t="str">
        <f>IF(AND($I216="x",AND(MAX(AR216:AT216)=AR216,AR216&lt;&gt;"")),Data!$BI$2,"")</f>
        <v/>
      </c>
      <c r="AW216" s="197" t="str">
        <f>IF(AND($J216="x",AND(MAX(AR216:AT216)=AS216,AS216&lt;&gt;"")),Data!$BJ$2,"")</f>
        <v/>
      </c>
      <c r="AX216" s="197" t="str">
        <f>IF(AND($K216="x",AND(MAX(AR216:AT216)=AT216,AT216&lt;&gt;"")),Data!$BK$2,"")</f>
        <v/>
      </c>
      <c r="AY216" s="197"/>
      <c r="AZ216" s="328"/>
      <c r="BA216" s="453"/>
      <c r="BB216" s="454"/>
      <c r="BC216" s="441" t="str">
        <f t="shared" si="300"/>
        <v/>
      </c>
      <c r="BD216" s="328"/>
      <c r="BE216" s="197" t="str">
        <f>IF(AND($I216="x",AND(MAX(BA216:BC216)=BA216,BA216&lt;&gt;"")),Data!$BI$2,"")</f>
        <v/>
      </c>
      <c r="BF216" s="197" t="str">
        <f>IF(AND($J216="x",AND(MAX(BA216:BC216)=BB216,BB216&lt;&gt;"")),Data!$BJ$2,"")</f>
        <v/>
      </c>
      <c r="BG216" s="197" t="str">
        <f>IF(AND($K216="x",AND(MAX(BA216:BC216)=BC216,BC216&lt;&gt;"")),Data!$BK$2,"")</f>
        <v/>
      </c>
      <c r="BH216" s="197"/>
      <c r="BI216" s="328"/>
      <c r="BJ216" s="453"/>
      <c r="BK216" s="454"/>
      <c r="BL216" s="441" t="str">
        <f t="shared" si="301"/>
        <v/>
      </c>
      <c r="BM216" s="328"/>
      <c r="BN216" s="197" t="str">
        <f>IF(AND($I216="x",AND(MAX(BJ216:BL216)=BJ216,BJ216&lt;&gt;"")),Data!$BI$2,"")</f>
        <v/>
      </c>
      <c r="BO216" s="197" t="str">
        <f>IF(AND($J216="x",AND(MAX(BJ216:BL216)=BK216,BK216&lt;&gt;"")),Data!$BJ$2,"")</f>
        <v/>
      </c>
      <c r="BP216" s="197" t="str">
        <f>IF(AND($K216="x",AND(MAX(BJ216:BL216)=BL216,BL216&lt;&gt;"")),Data!$BK$2,"")</f>
        <v/>
      </c>
      <c r="BQ216" s="197"/>
      <c r="BR216" s="328"/>
      <c r="BS216" s="453"/>
      <c r="BT216" s="454"/>
      <c r="BU216" s="441" t="str">
        <f t="shared" si="302"/>
        <v/>
      </c>
      <c r="BV216" s="328"/>
      <c r="BW216" s="197" t="str">
        <f>IF(AND($I216="x",AND(MAX(BS216:BU216)=BS216,BS216&lt;&gt;"")),Data!$BI$2,"")</f>
        <v/>
      </c>
      <c r="BX216" s="197" t="str">
        <f>IF(AND($J216="x",AND(MAX(BS216:BU216)=BT216,BT216&lt;&gt;"")),Data!$BJ$2,"")</f>
        <v/>
      </c>
      <c r="BY216" s="197" t="str">
        <f>IF(AND($K216="x",AND(MAX(BS216:BU216)=BU216,BU216&lt;&gt;"")),Data!$BK$2,"")</f>
        <v/>
      </c>
      <c r="BZ216" s="197"/>
      <c r="CA216" s="328"/>
      <c r="CB216" s="460" t="str">
        <f t="shared" si="303"/>
        <v/>
      </c>
      <c r="CC216" s="461" t="str">
        <f t="shared" si="304"/>
        <v/>
      </c>
      <c r="CD216" s="462" t="str">
        <f t="shared" si="305"/>
        <v/>
      </c>
      <c r="CE216" s="328"/>
      <c r="CF216" s="197" t="str">
        <f>IF(AND($I216="x",AND(MAX(CB216:CD216)=CB216,CB216&lt;&gt;"")),Data!$BI$2,"")</f>
        <v/>
      </c>
      <c r="CG216" s="197" t="str">
        <f>IF(AND($J216="x",AND(MAX(CB216:CD216)=CC216,CC216&lt;&gt;"")),Data!$BJ$2,"")</f>
        <v/>
      </c>
      <c r="CH216" s="197" t="str">
        <f>IF(AND($K216="x",AND(MAX(CB216:CD216)=CD216,CD216&lt;&gt;"")),Data!$BK$2,"")</f>
        <v/>
      </c>
      <c r="CI216" s="197"/>
      <c r="CJ216" s="197"/>
      <c r="CK216" s="453"/>
      <c r="CL216" s="454"/>
      <c r="CM216" s="441" t="str">
        <f t="shared" si="306"/>
        <v/>
      </c>
      <c r="CN216" s="328"/>
      <c r="CO216" s="197" t="str">
        <f>IF(AND($I216="x",AND(MAX(CK216:CM216)=CK216,CK216&lt;&gt;"")),Data!$BI$2,"")</f>
        <v/>
      </c>
      <c r="CP216" s="197" t="str">
        <f>IF(AND($J216="x",AND(MAX(CK216:CM216)=CL216,CL216&lt;&gt;"")),Data!$BJ$2,"")</f>
        <v/>
      </c>
      <c r="CQ216" s="197" t="str">
        <f>IF(AND($K216="x",AND(MAX(CK216:CM216)=CM216,CM216&lt;&gt;"")),Data!$BK$2,"")</f>
        <v/>
      </c>
      <c r="CR216" s="197"/>
      <c r="CS216" s="197"/>
      <c r="CT216" s="328"/>
      <c r="CU216" s="259"/>
      <c r="CV216" s="209"/>
      <c r="CW216" s="227"/>
    </row>
    <row r="217" spans="1:101" x14ac:dyDescent="0.2">
      <c r="A217" s="227"/>
      <c r="B217" s="227"/>
      <c r="C217" s="168"/>
      <c r="D217" s="232"/>
      <c r="E217" s="136" t="s">
        <v>172</v>
      </c>
      <c r="F217" s="426"/>
      <c r="G217" s="432"/>
      <c r="H217" s="433"/>
      <c r="I217" s="349" t="str">
        <f t="shared" si="293"/>
        <v/>
      </c>
      <c r="J217" s="350" t="str">
        <f t="shared" si="294"/>
        <v/>
      </c>
      <c r="K217" s="351" t="str">
        <f t="shared" si="295"/>
        <v/>
      </c>
      <c r="L217" s="258"/>
      <c r="M217" s="332"/>
      <c r="N217" s="336"/>
      <c r="O217" s="200"/>
      <c r="P217" s="200"/>
      <c r="Q217" s="445"/>
      <c r="R217" s="446"/>
      <c r="S217" s="447" t="str">
        <f t="shared" si="296"/>
        <v/>
      </c>
      <c r="T217" s="328"/>
      <c r="U217" s="197" t="str">
        <f>IF(AND($I217="x",AND(MAX(Q217:S217)=Q217,Q217&gt;=0)),Data!$BI$2,"")</f>
        <v/>
      </c>
      <c r="V217" s="197" t="str">
        <f>IF(AND($J217="x",AND(MAX(Q217:S217)=R217,R217&gt;=0)),Data!$BJ$2,"")</f>
        <v/>
      </c>
      <c r="W217" s="197" t="str">
        <f>IF(AND($K217="x",AND(MAX(Q217:S217)=S217,S217&gt;=0)),Data!$BK$2,"")</f>
        <v/>
      </c>
      <c r="X217" s="197"/>
      <c r="Y217" s="328"/>
      <c r="Z217" s="455"/>
      <c r="AA217" s="456"/>
      <c r="AB217" s="447" t="str">
        <f t="shared" si="297"/>
        <v/>
      </c>
      <c r="AC217" s="328"/>
      <c r="AD217" s="197" t="str">
        <f>IF(AND($I217="x",AND(MAX(Z217:AB217)=Z217,Z217&lt;&gt;"")),Data!$BI$2,"")</f>
        <v/>
      </c>
      <c r="AE217" s="197" t="str">
        <f>IF(AND($J217="x",AND(MAX(Z217:AB217)=AA217,AA217&lt;&gt;"")),Data!$BJ$2,"")</f>
        <v/>
      </c>
      <c r="AF217" s="197" t="str">
        <f>IF(AND($K217="x",AND(MAX(Z217:AB217)=AB217,AB217&lt;&gt;"")),Data!$BK$2,"")</f>
        <v/>
      </c>
      <c r="AG217" s="197"/>
      <c r="AH217" s="328"/>
      <c r="AI217" s="455"/>
      <c r="AJ217" s="456"/>
      <c r="AK217" s="447" t="str">
        <f t="shared" si="298"/>
        <v/>
      </c>
      <c r="AL217" s="328"/>
      <c r="AM217" s="197" t="str">
        <f>IF(AND($I217="x",AND(MAX(AI217:AK217)=AI217,AI217&lt;&gt;"")),Data!$BI$2,"")</f>
        <v/>
      </c>
      <c r="AN217" s="197" t="str">
        <f>IF(AND($J217="x",AND(MAX(AI217:AK217)=AJ217,AJ217&lt;&gt;"")),Data!$BJ$2,"")</f>
        <v/>
      </c>
      <c r="AO217" s="197" t="str">
        <f>IF(AND($K217="x",AND(MAX(AI217:AK217)=AK217,AK217&lt;&gt;"")),Data!$BK$2,"")</f>
        <v/>
      </c>
      <c r="AP217" s="197"/>
      <c r="AQ217" s="328"/>
      <c r="AR217" s="455"/>
      <c r="AS217" s="456"/>
      <c r="AT217" s="447" t="str">
        <f t="shared" si="299"/>
        <v/>
      </c>
      <c r="AU217" s="328"/>
      <c r="AV217" s="197" t="str">
        <f>IF(AND($I217="x",AND(MAX(AR217:AT217)=AR217,AR217&lt;&gt;"")),Data!$BI$2,"")</f>
        <v/>
      </c>
      <c r="AW217" s="197" t="str">
        <f>IF(AND($J217="x",AND(MAX(AR217:AT217)=AS217,AS217&lt;&gt;"")),Data!$BJ$2,"")</f>
        <v/>
      </c>
      <c r="AX217" s="197" t="str">
        <f>IF(AND($K217="x",AND(MAX(AR217:AT217)=AT217,AT217&lt;&gt;"")),Data!$BK$2,"")</f>
        <v/>
      </c>
      <c r="AY217" s="197"/>
      <c r="AZ217" s="328"/>
      <c r="BA217" s="455"/>
      <c r="BB217" s="456"/>
      <c r="BC217" s="447" t="str">
        <f t="shared" si="300"/>
        <v/>
      </c>
      <c r="BD217" s="328"/>
      <c r="BE217" s="197" t="str">
        <f>IF(AND($I217="x",AND(MAX(BA217:BC217)=BA217,BA217&lt;&gt;"")),Data!$BI$2,"")</f>
        <v/>
      </c>
      <c r="BF217" s="197" t="str">
        <f>IF(AND($J217="x",AND(MAX(BA217:BC217)=BB217,BB217&lt;&gt;"")),Data!$BJ$2,"")</f>
        <v/>
      </c>
      <c r="BG217" s="197" t="str">
        <f>IF(AND($K217="x",AND(MAX(BA217:BC217)=BC217,BC217&lt;&gt;"")),Data!$BK$2,"")</f>
        <v/>
      </c>
      <c r="BH217" s="197"/>
      <c r="BI217" s="328"/>
      <c r="BJ217" s="455"/>
      <c r="BK217" s="456"/>
      <c r="BL217" s="447" t="str">
        <f t="shared" si="301"/>
        <v/>
      </c>
      <c r="BM217" s="328"/>
      <c r="BN217" s="197" t="str">
        <f>IF(AND($I217="x",AND(MAX(BJ217:BL217)=BJ217,BJ217&lt;&gt;"")),Data!$BI$2,"")</f>
        <v/>
      </c>
      <c r="BO217" s="197" t="str">
        <f>IF(AND($J217="x",AND(MAX(BJ217:BL217)=BK217,BK217&lt;&gt;"")),Data!$BJ$2,"")</f>
        <v/>
      </c>
      <c r="BP217" s="197" t="str">
        <f>IF(AND($K217="x",AND(MAX(BJ217:BL217)=BL217,BL217&lt;&gt;"")),Data!$BK$2,"")</f>
        <v/>
      </c>
      <c r="BQ217" s="197"/>
      <c r="BR217" s="328"/>
      <c r="BS217" s="455"/>
      <c r="BT217" s="456"/>
      <c r="BU217" s="447" t="str">
        <f t="shared" si="302"/>
        <v/>
      </c>
      <c r="BV217" s="328"/>
      <c r="BW217" s="197" t="str">
        <f>IF(AND($I217="x",AND(MAX(BS217:BU217)=BS217,BS217&lt;&gt;"")),Data!$BI$2,"")</f>
        <v/>
      </c>
      <c r="BX217" s="197" t="str">
        <f>IF(AND($J217="x",AND(MAX(BS217:BU217)=BT217,BT217&lt;&gt;"")),Data!$BJ$2,"")</f>
        <v/>
      </c>
      <c r="BY217" s="197" t="str">
        <f>IF(AND($K217="x",AND(MAX(BS217:BU217)=BU217,BU217&lt;&gt;"")),Data!$BK$2,"")</f>
        <v/>
      </c>
      <c r="BZ217" s="197"/>
      <c r="CA217" s="328"/>
      <c r="CB217" s="463" t="str">
        <f t="shared" si="303"/>
        <v/>
      </c>
      <c r="CC217" s="464" t="str">
        <f t="shared" si="304"/>
        <v/>
      </c>
      <c r="CD217" s="465" t="str">
        <f t="shared" si="305"/>
        <v/>
      </c>
      <c r="CE217" s="328"/>
      <c r="CF217" s="197" t="str">
        <f>IF(AND($I217="x",AND(MAX(CB217:CD217)=CB217,CB217&lt;&gt;"")),Data!$BI$2,"")</f>
        <v/>
      </c>
      <c r="CG217" s="197" t="str">
        <f>IF(AND($J217="x",AND(MAX(CB217:CD217)=CC217,CC217&lt;&gt;"")),Data!$BJ$2,"")</f>
        <v/>
      </c>
      <c r="CH217" s="197" t="str">
        <f>IF(AND($K217="x",AND(MAX(CB217:CD217)=CD217,CD217&lt;&gt;"")),Data!$BK$2,"")</f>
        <v/>
      </c>
      <c r="CI217" s="197"/>
      <c r="CJ217" s="197"/>
      <c r="CK217" s="455"/>
      <c r="CL217" s="456"/>
      <c r="CM217" s="447" t="str">
        <f t="shared" si="306"/>
        <v/>
      </c>
      <c r="CN217" s="328"/>
      <c r="CO217" s="197" t="str">
        <f>IF(AND($I217="x",AND(MAX(CK217:CM217)=CK217,CK217&lt;&gt;"")),Data!$BI$2,"")</f>
        <v/>
      </c>
      <c r="CP217" s="197" t="str">
        <f>IF(AND($J217="x",AND(MAX(CK217:CM217)=CL217,CL217&lt;&gt;"")),Data!$BJ$2,"")</f>
        <v/>
      </c>
      <c r="CQ217" s="197" t="str">
        <f>IF(AND($K217="x",AND(MAX(CK217:CM217)=CM217,CM217&lt;&gt;"")),Data!$BK$2,"")</f>
        <v/>
      </c>
      <c r="CR217" s="197"/>
      <c r="CS217" s="197"/>
      <c r="CT217" s="328"/>
      <c r="CU217" s="259"/>
      <c r="CV217" s="209"/>
      <c r="CW217" s="227"/>
    </row>
    <row r="218" spans="1:101" x14ac:dyDescent="0.2">
      <c r="A218" s="227"/>
      <c r="B218" s="227"/>
      <c r="C218" s="168"/>
      <c r="D218" s="233"/>
      <c r="E218" s="199"/>
      <c r="F218" s="352" t="str">
        <f>IF(SUM(F206:F217)=0,"",SUM(F206:F217))</f>
        <v/>
      </c>
      <c r="G218" s="327" t="s">
        <v>51</v>
      </c>
      <c r="H218" s="353" t="str">
        <f>IF(SUM(H206:H217)=0,"",SUM(H206:H217))</f>
        <v/>
      </c>
      <c r="I218" s="354" t="str">
        <f>IF(COUNTIF(I206:I217,"=x")=0,"",COUNTIF(I206:I217,"=x"))</f>
        <v/>
      </c>
      <c r="J218" s="355" t="str">
        <f>IF(COUNTIF(J206:J217,"=x")=0,"",COUNTIF(J206:J217,"=x"))</f>
        <v/>
      </c>
      <c r="K218" s="356" t="str">
        <f>IF(COUNTIF(K206:K217,"=x")=0,"",COUNTIF(K206:K217,"=x"))</f>
        <v/>
      </c>
      <c r="L218" s="258"/>
      <c r="M218" s="332"/>
      <c r="N218" s="336"/>
      <c r="O218" s="200"/>
      <c r="P218" s="326"/>
      <c r="Q218" s="422">
        <f>SUM(U206:U217)</f>
        <v>0</v>
      </c>
      <c r="R218" s="422">
        <f t="shared" ref="R218:S218" si="307">SUM(V206:V217)</f>
        <v>0</v>
      </c>
      <c r="S218" s="422">
        <f t="shared" si="307"/>
        <v>0</v>
      </c>
      <c r="T218" s="325"/>
      <c r="U218" s="197">
        <f>SUM(U206:U217)</f>
        <v>0</v>
      </c>
      <c r="V218" s="197">
        <f t="shared" ref="V218:W218" si="308">SUM(V206:V217)</f>
        <v>0</v>
      </c>
      <c r="W218" s="197">
        <f t="shared" si="308"/>
        <v>0</v>
      </c>
      <c r="X218" s="197"/>
      <c r="Y218" s="324"/>
      <c r="Z218" s="422">
        <f>SUM(AD206:AD217)</f>
        <v>0</v>
      </c>
      <c r="AA218" s="422">
        <f t="shared" ref="AA218:AB218" si="309">SUM(AE206:AE217)</f>
        <v>0</v>
      </c>
      <c r="AB218" s="422">
        <f t="shared" si="309"/>
        <v>0</v>
      </c>
      <c r="AC218" s="325"/>
      <c r="AD218" s="197">
        <f>SUM(AD206:AD217)</f>
        <v>0</v>
      </c>
      <c r="AE218" s="197">
        <f t="shared" ref="AE218:AF218" si="310">SUM(AE206:AE217)</f>
        <v>0</v>
      </c>
      <c r="AF218" s="197">
        <f t="shared" si="310"/>
        <v>0</v>
      </c>
      <c r="AG218" s="197"/>
      <c r="AH218" s="324"/>
      <c r="AI218" s="422">
        <f>SUM(AM206:AM217)</f>
        <v>0</v>
      </c>
      <c r="AJ218" s="422">
        <f t="shared" ref="AJ218:AK218" si="311">SUM(AN206:AN217)</f>
        <v>0</v>
      </c>
      <c r="AK218" s="422">
        <f t="shared" si="311"/>
        <v>0</v>
      </c>
      <c r="AL218" s="325"/>
      <c r="AM218" s="197">
        <f>SUM(AM206:AM217)</f>
        <v>0</v>
      </c>
      <c r="AN218" s="197">
        <f t="shared" ref="AN218:AO218" si="312">SUM(AN206:AN217)</f>
        <v>0</v>
      </c>
      <c r="AO218" s="197">
        <f t="shared" si="312"/>
        <v>0</v>
      </c>
      <c r="AP218" s="197"/>
      <c r="AQ218" s="324"/>
      <c r="AR218" s="422">
        <f>SUM(AV206:AV217)</f>
        <v>0</v>
      </c>
      <c r="AS218" s="422">
        <f t="shared" ref="AS218:AT218" si="313">SUM(AW206:AW217)</f>
        <v>0</v>
      </c>
      <c r="AT218" s="422">
        <f t="shared" si="313"/>
        <v>0</v>
      </c>
      <c r="AU218" s="325"/>
      <c r="AV218" s="197">
        <f>SUM(AV206:AV217)</f>
        <v>0</v>
      </c>
      <c r="AW218" s="197">
        <f t="shared" ref="AW218:AX218" si="314">SUM(AW206:AW217)</f>
        <v>0</v>
      </c>
      <c r="AX218" s="197">
        <f t="shared" si="314"/>
        <v>0</v>
      </c>
      <c r="AY218" s="197"/>
      <c r="AZ218" s="324"/>
      <c r="BA218" s="422">
        <f>SUM(BE206:BE217)</f>
        <v>0</v>
      </c>
      <c r="BB218" s="422">
        <f t="shared" ref="BB218:BC218" si="315">SUM(BF206:BF217)</f>
        <v>0</v>
      </c>
      <c r="BC218" s="422">
        <f t="shared" si="315"/>
        <v>0</v>
      </c>
      <c r="BD218" s="325"/>
      <c r="BE218" s="197">
        <f>SUM(BE206:BE217)</f>
        <v>0</v>
      </c>
      <c r="BF218" s="197">
        <f t="shared" ref="BF218:BG218" si="316">SUM(BF206:BF217)</f>
        <v>0</v>
      </c>
      <c r="BG218" s="197">
        <f t="shared" si="316"/>
        <v>0</v>
      </c>
      <c r="BH218" s="197"/>
      <c r="BI218" s="324"/>
      <c r="BJ218" s="422">
        <f>SUM(BN206:BN217)</f>
        <v>0</v>
      </c>
      <c r="BK218" s="422">
        <f t="shared" ref="BK218" si="317">SUM(BO206:BO217)</f>
        <v>0</v>
      </c>
      <c r="BL218" s="422">
        <f t="shared" ref="BL218" si="318">SUM(BP206:BP217)</f>
        <v>0</v>
      </c>
      <c r="BM218" s="325"/>
      <c r="BN218" s="197">
        <f>SUM(BN206:BN217)</f>
        <v>0</v>
      </c>
      <c r="BO218" s="197">
        <f t="shared" ref="BO218:BP218" si="319">SUM(BO206:BO217)</f>
        <v>0</v>
      </c>
      <c r="BP218" s="197">
        <f t="shared" si="319"/>
        <v>0</v>
      </c>
      <c r="BQ218" s="197"/>
      <c r="BR218" s="324"/>
      <c r="BS218" s="422">
        <f>SUM(BW206:BW217)</f>
        <v>0</v>
      </c>
      <c r="BT218" s="422">
        <f t="shared" ref="BT218:BU218" si="320">SUM(BX206:BX217)</f>
        <v>0</v>
      </c>
      <c r="BU218" s="422">
        <f t="shared" si="320"/>
        <v>0</v>
      </c>
      <c r="BV218" s="325"/>
      <c r="BW218" s="197">
        <f>SUM(BW206:BW217)</f>
        <v>0</v>
      </c>
      <c r="BX218" s="197">
        <f t="shared" ref="BX218:BY218" si="321">SUM(BX206:BX217)</f>
        <v>0</v>
      </c>
      <c r="BY218" s="197">
        <f t="shared" si="321"/>
        <v>0</v>
      </c>
      <c r="BZ218" s="197"/>
      <c r="CA218" s="326"/>
      <c r="CB218" s="422">
        <f>SUM(CF206:CF217)</f>
        <v>0</v>
      </c>
      <c r="CC218" s="422">
        <f t="shared" ref="CC218:CD218" si="322">SUM(CG206:CG217)</f>
        <v>0</v>
      </c>
      <c r="CD218" s="422">
        <f t="shared" si="322"/>
        <v>0</v>
      </c>
      <c r="CE218" s="325"/>
      <c r="CF218" s="197">
        <f>SUM(CF206:CF217)</f>
        <v>0</v>
      </c>
      <c r="CG218" s="197">
        <f t="shared" ref="CG218:CH218" si="323">SUM(CG206:CG217)</f>
        <v>0</v>
      </c>
      <c r="CH218" s="197">
        <f t="shared" si="323"/>
        <v>0</v>
      </c>
      <c r="CI218" s="197"/>
      <c r="CJ218" s="197"/>
      <c r="CK218" s="422">
        <f>SUM(CO206:CO217)</f>
        <v>0</v>
      </c>
      <c r="CL218" s="422">
        <f t="shared" ref="CL218:CM218" si="324">SUM(CP206:CP217)</f>
        <v>0</v>
      </c>
      <c r="CM218" s="422">
        <f t="shared" si="324"/>
        <v>0</v>
      </c>
      <c r="CN218" s="325"/>
      <c r="CO218" s="197">
        <f>SUM(CO206:CO217)</f>
        <v>0</v>
      </c>
      <c r="CP218" s="197">
        <f t="shared" ref="CP218:CQ218" si="325">SUM(CP206:CP217)</f>
        <v>0</v>
      </c>
      <c r="CQ218" s="197">
        <f t="shared" si="325"/>
        <v>0</v>
      </c>
      <c r="CR218" s="197"/>
      <c r="CS218" s="197"/>
      <c r="CT218" s="197"/>
      <c r="CU218" s="259"/>
      <c r="CV218" s="209"/>
      <c r="CW218" s="228"/>
    </row>
    <row r="219" spans="1:101" x14ac:dyDescent="0.2">
      <c r="A219" s="227"/>
      <c r="B219" s="227"/>
      <c r="C219" s="168"/>
      <c r="D219" s="249"/>
      <c r="E219" s="242"/>
      <c r="F219" s="243"/>
      <c r="G219" s="242"/>
      <c r="H219" s="242"/>
      <c r="I219" s="242"/>
      <c r="J219" s="242"/>
      <c r="K219" s="242"/>
      <c r="L219" s="252"/>
      <c r="M219" s="260"/>
      <c r="N219" s="337"/>
      <c r="O219" s="333"/>
      <c r="P219" s="244"/>
      <c r="Q219" s="245"/>
      <c r="R219" s="245"/>
      <c r="S219" s="245"/>
      <c r="T219" s="246"/>
      <c r="U219" s="247"/>
      <c r="V219" s="247"/>
      <c r="W219" s="247"/>
      <c r="X219" s="247"/>
      <c r="Y219" s="244"/>
      <c r="Z219" s="245"/>
      <c r="AA219" s="245"/>
      <c r="AB219" s="245"/>
      <c r="AC219" s="246"/>
      <c r="AD219" s="247"/>
      <c r="AE219" s="247"/>
      <c r="AF219" s="247"/>
      <c r="AG219" s="247"/>
      <c r="AH219" s="244"/>
      <c r="AI219" s="245"/>
      <c r="AJ219" s="245"/>
      <c r="AK219" s="245"/>
      <c r="AL219" s="246"/>
      <c r="AM219" s="247"/>
      <c r="AN219" s="247"/>
      <c r="AO219" s="247"/>
      <c r="AP219" s="247"/>
      <c r="AQ219" s="244"/>
      <c r="AR219" s="245"/>
      <c r="AS219" s="245"/>
      <c r="AT219" s="245"/>
      <c r="AU219" s="246"/>
      <c r="AV219" s="247"/>
      <c r="AW219" s="247"/>
      <c r="AX219" s="247"/>
      <c r="AY219" s="247"/>
      <c r="AZ219" s="244"/>
      <c r="BA219" s="245"/>
      <c r="BB219" s="245"/>
      <c r="BC219" s="245"/>
      <c r="BD219" s="246"/>
      <c r="BE219" s="247"/>
      <c r="BF219" s="247"/>
      <c r="BG219" s="247"/>
      <c r="BH219" s="247"/>
      <c r="BI219" s="244"/>
      <c r="BJ219" s="244"/>
      <c r="BK219" s="244"/>
      <c r="BL219" s="244"/>
      <c r="BM219" s="244"/>
      <c r="BN219" s="247"/>
      <c r="BO219" s="247"/>
      <c r="BP219" s="247"/>
      <c r="BQ219" s="247"/>
      <c r="BR219" s="244"/>
      <c r="BS219" s="244"/>
      <c r="BT219" s="244"/>
      <c r="BU219" s="244"/>
      <c r="BV219" s="244"/>
      <c r="BW219" s="247"/>
      <c r="BX219" s="247"/>
      <c r="BY219" s="247"/>
      <c r="BZ219" s="247"/>
      <c r="CA219" s="244"/>
      <c r="CB219" s="244"/>
      <c r="CC219" s="244"/>
      <c r="CD219" s="244"/>
      <c r="CE219" s="244"/>
      <c r="CF219" s="247"/>
      <c r="CG219" s="247"/>
      <c r="CH219" s="247"/>
      <c r="CI219" s="247"/>
      <c r="CJ219" s="248"/>
      <c r="CK219" s="248"/>
      <c r="CL219" s="248"/>
      <c r="CM219" s="248"/>
      <c r="CN219" s="248"/>
      <c r="CO219" s="247"/>
      <c r="CP219" s="247"/>
      <c r="CQ219" s="247"/>
      <c r="CR219" s="247"/>
      <c r="CS219" s="248"/>
      <c r="CT219" s="242"/>
      <c r="CU219" s="253"/>
      <c r="CV219" s="209"/>
      <c r="CW219" s="228"/>
    </row>
    <row r="220" spans="1:101" x14ac:dyDescent="0.2">
      <c r="A220" s="219"/>
      <c r="B220" s="219"/>
      <c r="C220" s="175"/>
      <c r="D220" s="176"/>
      <c r="E220" s="210"/>
      <c r="F220" s="211"/>
      <c r="G220" s="210"/>
      <c r="H220" s="210"/>
      <c r="I220" s="210"/>
      <c r="J220" s="210"/>
      <c r="K220" s="210"/>
      <c r="L220" s="212"/>
      <c r="M220" s="213"/>
      <c r="N220" s="213"/>
      <c r="O220" s="213"/>
      <c r="P220" s="213"/>
      <c r="Q220" s="210"/>
      <c r="R220" s="210"/>
      <c r="S220" s="210"/>
      <c r="T220" s="214"/>
      <c r="U220" s="215"/>
      <c r="V220" s="215"/>
      <c r="W220" s="215"/>
      <c r="X220" s="215"/>
      <c r="Y220" s="213"/>
      <c r="Z220" s="210"/>
      <c r="AA220" s="210"/>
      <c r="AB220" s="210"/>
      <c r="AC220" s="214"/>
      <c r="AD220" s="215"/>
      <c r="AE220" s="215"/>
      <c r="AF220" s="215"/>
      <c r="AG220" s="215"/>
      <c r="AH220" s="213"/>
      <c r="AI220" s="210"/>
      <c r="AJ220" s="210"/>
      <c r="AK220" s="210"/>
      <c r="AL220" s="214"/>
      <c r="AM220" s="215"/>
      <c r="AN220" s="215"/>
      <c r="AO220" s="215"/>
      <c r="AP220" s="215"/>
      <c r="AQ220" s="213"/>
      <c r="AR220" s="210"/>
      <c r="AS220" s="210"/>
      <c r="AT220" s="210"/>
      <c r="AU220" s="214"/>
      <c r="AV220" s="215"/>
      <c r="AW220" s="215"/>
      <c r="AX220" s="215"/>
      <c r="AY220" s="215"/>
      <c r="AZ220" s="213"/>
      <c r="BA220" s="210"/>
      <c r="BB220" s="210"/>
      <c r="BC220" s="210"/>
      <c r="BD220" s="214"/>
      <c r="BE220" s="215"/>
      <c r="BF220" s="215"/>
      <c r="BG220" s="215"/>
      <c r="BH220" s="215"/>
      <c r="BI220" s="213"/>
      <c r="BJ220" s="210"/>
      <c r="BK220" s="210"/>
      <c r="BL220" s="210"/>
      <c r="BM220" s="214"/>
      <c r="BN220" s="215"/>
      <c r="BO220" s="215"/>
      <c r="BP220" s="215"/>
      <c r="BQ220" s="215"/>
      <c r="BR220" s="177"/>
      <c r="BS220" s="210"/>
      <c r="BT220" s="210"/>
      <c r="BU220" s="210"/>
      <c r="BV220" s="213"/>
      <c r="BW220" s="215"/>
      <c r="BX220" s="215"/>
      <c r="BY220" s="215"/>
      <c r="BZ220" s="215"/>
      <c r="CA220" s="210"/>
      <c r="CB220" s="216"/>
      <c r="CC220" s="216"/>
      <c r="CD220" s="216"/>
      <c r="CE220" s="216"/>
      <c r="CF220" s="215"/>
      <c r="CG220" s="215"/>
      <c r="CH220" s="215"/>
      <c r="CI220" s="215"/>
      <c r="CJ220" s="210"/>
      <c r="CK220" s="210"/>
      <c r="CL220" s="210"/>
      <c r="CM220" s="210"/>
      <c r="CN220" s="210"/>
      <c r="CO220" s="215"/>
      <c r="CP220" s="215"/>
      <c r="CQ220" s="215"/>
      <c r="CR220" s="215"/>
      <c r="CS220" s="210"/>
      <c r="CT220" s="210"/>
      <c r="CU220" s="210"/>
      <c r="CV220" s="217"/>
      <c r="CW220" s="218"/>
    </row>
    <row r="221" spans="1:101" ht="14.25" thickTop="1" thickBot="1" x14ac:dyDescent="0.25">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18"/>
      <c r="AQ221" s="218"/>
      <c r="AR221" s="218"/>
      <c r="AS221" s="218"/>
      <c r="AT221" s="218"/>
      <c r="AU221" s="218"/>
      <c r="AV221" s="218"/>
      <c r="AW221" s="218"/>
      <c r="AX221" s="218"/>
      <c r="AY221" s="218"/>
      <c r="AZ221" s="218"/>
      <c r="BA221" s="218"/>
      <c r="BB221" s="218"/>
      <c r="BC221" s="218"/>
      <c r="BD221" s="218"/>
      <c r="BE221" s="218"/>
      <c r="BF221" s="218"/>
      <c r="BG221" s="218"/>
      <c r="BH221" s="218"/>
      <c r="BI221" s="218"/>
      <c r="BJ221" s="218"/>
      <c r="BK221" s="218"/>
      <c r="BL221" s="218"/>
      <c r="BM221" s="218"/>
      <c r="BN221" s="218"/>
      <c r="BO221" s="218"/>
      <c r="BP221" s="218"/>
      <c r="BQ221" s="218"/>
      <c r="BR221" s="218"/>
      <c r="BS221" s="218"/>
      <c r="BT221" s="218"/>
      <c r="BU221" s="218"/>
      <c r="BV221" s="218"/>
      <c r="BW221" s="218"/>
      <c r="BX221" s="218"/>
      <c r="BY221" s="218"/>
      <c r="BZ221" s="218"/>
      <c r="CA221" s="218"/>
      <c r="CB221" s="392"/>
      <c r="CC221" s="392"/>
      <c r="CD221" s="392"/>
      <c r="CE221" s="392"/>
      <c r="CF221" s="218"/>
      <c r="CG221" s="218"/>
      <c r="CH221" s="218"/>
      <c r="CI221" s="218"/>
      <c r="CJ221" s="218"/>
      <c r="CK221" s="218"/>
      <c r="CL221" s="218"/>
      <c r="CM221" s="218"/>
      <c r="CN221" s="218"/>
      <c r="CO221" s="218"/>
      <c r="CP221" s="218"/>
      <c r="CQ221" s="218"/>
      <c r="CR221" s="218"/>
      <c r="CS221" s="218"/>
      <c r="CT221" s="218"/>
      <c r="CU221" s="218"/>
      <c r="CV221" s="218"/>
      <c r="CW221" s="218"/>
    </row>
    <row r="222" spans="1:101" ht="21" thickTop="1" x14ac:dyDescent="0.3">
      <c r="A222" s="219"/>
      <c r="B222" s="219"/>
      <c r="C222" s="157"/>
      <c r="D222" s="158"/>
      <c r="E222" s="731" t="s">
        <v>44</v>
      </c>
      <c r="F222" s="229"/>
      <c r="G222" s="229"/>
      <c r="H222" s="229"/>
      <c r="I222" s="877" t="e" vm="1">
        <v>#VALUE!</v>
      </c>
      <c r="J222" s="877"/>
      <c r="K222" s="877"/>
      <c r="L222" s="877"/>
      <c r="M222" s="159"/>
      <c r="N222" s="159"/>
      <c r="O222" s="159"/>
      <c r="P222" s="160"/>
      <c r="Q222" s="159"/>
      <c r="R222" s="159"/>
      <c r="S222" s="159"/>
      <c r="T222" s="161"/>
      <c r="U222" s="162"/>
      <c r="V222" s="162"/>
      <c r="W222" s="162"/>
      <c r="X222" s="162"/>
      <c r="Y222" s="160"/>
      <c r="Z222" s="159"/>
      <c r="AA222" s="159"/>
      <c r="AB222" s="159"/>
      <c r="AC222" s="161"/>
      <c r="AD222" s="162"/>
      <c r="AE222" s="162"/>
      <c r="AF222" s="162"/>
      <c r="AG222" s="162"/>
      <c r="AH222" s="160"/>
      <c r="AI222" s="159"/>
      <c r="AJ222" s="201"/>
      <c r="AK222" s="201"/>
      <c r="AL222" s="164"/>
      <c r="AM222" s="162"/>
      <c r="AN222" s="162"/>
      <c r="AO222" s="162"/>
      <c r="AP222" s="162"/>
      <c r="AQ222" s="202"/>
      <c r="AR222" s="203"/>
      <c r="AS222" s="165"/>
      <c r="AT222" s="166"/>
      <c r="AU222" s="164"/>
      <c r="AV222" s="162"/>
      <c r="AW222" s="162"/>
      <c r="AX222" s="162"/>
      <c r="AY222" s="162"/>
      <c r="AZ222" s="202"/>
      <c r="BA222" s="203"/>
      <c r="BB222" s="166"/>
      <c r="BC222" s="201"/>
      <c r="BD222" s="204"/>
      <c r="BE222" s="162"/>
      <c r="BF222" s="162"/>
      <c r="BG222" s="162"/>
      <c r="BH222" s="162"/>
      <c r="BI222" s="205"/>
      <c r="BJ222" s="201"/>
      <c r="BK222" s="201"/>
      <c r="BL222" s="201"/>
      <c r="BM222" s="204"/>
      <c r="BN222" s="162"/>
      <c r="BO222" s="162"/>
      <c r="BP222" s="162"/>
      <c r="BQ222" s="162"/>
      <c r="BR222" s="167"/>
      <c r="BS222" s="201"/>
      <c r="BT222" s="201"/>
      <c r="BU222" s="201"/>
      <c r="BV222" s="205"/>
      <c r="BW222" s="162"/>
      <c r="BX222" s="162"/>
      <c r="BY222" s="162"/>
      <c r="BZ222" s="162"/>
      <c r="CA222" s="201"/>
      <c r="CB222" s="393"/>
      <c r="CC222" s="393"/>
      <c r="CD222" s="393"/>
      <c r="CE222" s="393"/>
      <c r="CF222" s="162"/>
      <c r="CG222" s="162"/>
      <c r="CH222" s="162"/>
      <c r="CI222" s="162"/>
      <c r="CJ222" s="163"/>
      <c r="CK222" s="163"/>
      <c r="CL222" s="163"/>
      <c r="CM222" s="163"/>
      <c r="CN222" s="163"/>
      <c r="CO222" s="162"/>
      <c r="CP222" s="162"/>
      <c r="CQ222" s="162"/>
      <c r="CR222" s="162"/>
      <c r="CS222" s="163"/>
      <c r="CT222" s="358"/>
      <c r="CU222" s="201"/>
      <c r="CV222" s="206"/>
      <c r="CW222" s="218"/>
    </row>
    <row r="223" spans="1:101" ht="15.75" customHeight="1" thickBot="1" x14ac:dyDescent="0.25">
      <c r="A223" s="219"/>
      <c r="B223" s="219"/>
      <c r="C223" s="168"/>
      <c r="D223" s="785"/>
      <c r="E223" s="869" t="s">
        <v>45</v>
      </c>
      <c r="F223" s="363"/>
      <c r="G223" s="363"/>
      <c r="H223" s="363"/>
      <c r="I223" s="878"/>
      <c r="J223" s="878"/>
      <c r="K223" s="878"/>
      <c r="L223" s="878"/>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H223" s="363"/>
      <c r="BI223" s="363"/>
      <c r="BJ223" s="363"/>
      <c r="BK223" s="363"/>
      <c r="BL223" s="363"/>
      <c r="BM223" s="363"/>
      <c r="BN223" s="363"/>
      <c r="BO223" s="363"/>
      <c r="BP223" s="363"/>
      <c r="BQ223" s="363"/>
      <c r="BR223" s="363"/>
      <c r="BS223" s="363"/>
      <c r="BT223" s="363"/>
      <c r="BU223" s="363"/>
      <c r="BV223" s="363"/>
      <c r="BW223" s="363"/>
      <c r="BX223" s="363"/>
      <c r="BY223" s="363"/>
      <c r="BZ223" s="363"/>
      <c r="CA223" s="363"/>
      <c r="CB223" s="394"/>
      <c r="CC223" s="394"/>
      <c r="CD223" s="394"/>
      <c r="CE223" s="394"/>
      <c r="CF223" s="363"/>
      <c r="CG223" s="363"/>
      <c r="CH223" s="363"/>
      <c r="CI223" s="363"/>
      <c r="CJ223" s="363"/>
      <c r="CK223" s="363"/>
      <c r="CL223" s="363"/>
      <c r="CM223" s="363"/>
      <c r="CN223" s="323"/>
      <c r="CO223" s="363"/>
      <c r="CP223" s="363"/>
      <c r="CQ223" s="363"/>
      <c r="CR223" s="363"/>
      <c r="CS223" s="323"/>
      <c r="CT223" s="155"/>
      <c r="CU223" s="269"/>
      <c r="CV223" s="209"/>
      <c r="CW223" s="218"/>
    </row>
    <row r="224" spans="1:101" ht="18.75" customHeight="1" thickTop="1" x14ac:dyDescent="0.2">
      <c r="A224" s="219"/>
      <c r="B224" s="219"/>
      <c r="C224" s="174"/>
      <c r="D224" s="778"/>
      <c r="E224" s="777"/>
      <c r="F224" s="235"/>
      <c r="G224" s="234"/>
      <c r="H224" s="234"/>
      <c r="I224" s="875">
        <f>WEEKNUM(E225)</f>
        <v>43</v>
      </c>
      <c r="J224" s="875"/>
      <c r="K224" s="875"/>
      <c r="L224" s="250"/>
      <c r="M224" s="261"/>
      <c r="N224" s="205"/>
      <c r="O224" s="236"/>
      <c r="P224" s="236"/>
      <c r="Q224" s="675" t="str">
        <f>IF($F228="","",SUM(Q240:S240)-S226)</f>
        <v/>
      </c>
      <c r="R224" s="675"/>
      <c r="S224" s="675"/>
      <c r="T224" s="237"/>
      <c r="U224" s="238"/>
      <c r="V224" s="238"/>
      <c r="W224" s="238"/>
      <c r="X224" s="238"/>
      <c r="Y224" s="236"/>
      <c r="Z224" s="675" t="str">
        <f>IF($F228="","",SUM(Z240:AB240)-AB226)</f>
        <v/>
      </c>
      <c r="AA224" s="675"/>
      <c r="AB224" s="675"/>
      <c r="AC224" s="237"/>
      <c r="AD224" s="238"/>
      <c r="AE224" s="238"/>
      <c r="AF224" s="238"/>
      <c r="AG224" s="238"/>
      <c r="AH224" s="236"/>
      <c r="AI224" s="675" t="str">
        <f>IF($F228="","",SUM(AI240:AK240)-AK226)</f>
        <v/>
      </c>
      <c r="AJ224" s="675"/>
      <c r="AK224" s="675"/>
      <c r="AL224" s="237"/>
      <c r="AM224" s="238"/>
      <c r="AN224" s="238"/>
      <c r="AO224" s="238"/>
      <c r="AP224" s="238"/>
      <c r="AQ224" s="236"/>
      <c r="AR224" s="675" t="str">
        <f>IF($F228="","",SUM(AR240:AT240)-AT226)</f>
        <v/>
      </c>
      <c r="AS224" s="675"/>
      <c r="AT224" s="675"/>
      <c r="AU224" s="239"/>
      <c r="AV224" s="238"/>
      <c r="AW224" s="238"/>
      <c r="AX224" s="238"/>
      <c r="AY224" s="238"/>
      <c r="AZ224" s="240"/>
      <c r="BA224" s="675" t="str">
        <f>IF($F228="","",SUM(BA240:BC240)-BC226)</f>
        <v/>
      </c>
      <c r="BB224" s="675"/>
      <c r="BC224" s="675"/>
      <c r="BD224" s="239"/>
      <c r="BE224" s="238"/>
      <c r="BF224" s="238"/>
      <c r="BG224" s="238"/>
      <c r="BH224" s="238"/>
      <c r="BI224" s="240"/>
      <c r="BJ224" s="675" t="str">
        <f>IF($F228="","",SUM(BJ240:BL240)-BL226)</f>
        <v/>
      </c>
      <c r="BK224" s="675"/>
      <c r="BL224" s="675"/>
      <c r="BM224" s="239"/>
      <c r="BN224" s="238"/>
      <c r="BO224" s="238"/>
      <c r="BP224" s="238"/>
      <c r="BQ224" s="238"/>
      <c r="BR224" s="241"/>
      <c r="BS224" s="675" t="str">
        <f>IF($F228="","",SUM(BS240:BU240)-BU226)</f>
        <v/>
      </c>
      <c r="BT224" s="675"/>
      <c r="BU224" s="675"/>
      <c r="BV224" s="240"/>
      <c r="BW224" s="238"/>
      <c r="BX224" s="238"/>
      <c r="BY224" s="238"/>
      <c r="BZ224" s="238"/>
      <c r="CA224" s="241"/>
      <c r="CB224" s="675" t="str">
        <f>IF($F228="","",SUM(CB240:CD240)-CD226)</f>
        <v/>
      </c>
      <c r="CC224" s="675"/>
      <c r="CD224" s="675"/>
      <c r="CE224" s="240"/>
      <c r="CF224" s="238"/>
      <c r="CG224" s="238"/>
      <c r="CH224" s="238"/>
      <c r="CI224" s="238"/>
      <c r="CJ224" s="675"/>
      <c r="CK224" s="675" t="str">
        <f>IF($F228="","",SUM(CK240:CM240))</f>
        <v/>
      </c>
      <c r="CL224" s="675"/>
      <c r="CM224" s="675"/>
      <c r="CN224" s="240"/>
      <c r="CO224" s="238"/>
      <c r="CP224" s="238"/>
      <c r="CQ224" s="238"/>
      <c r="CR224" s="238"/>
      <c r="CS224" s="234"/>
      <c r="CT224" s="234"/>
      <c r="CU224" s="251"/>
      <c r="CV224" s="209"/>
      <c r="CW224" s="218"/>
    </row>
    <row r="225" spans="1:101" ht="12.75" customHeight="1" x14ac:dyDescent="0.2">
      <c r="A225" s="219"/>
      <c r="B225" s="219"/>
      <c r="C225" s="174"/>
      <c r="D225" s="779"/>
      <c r="E225" s="543">
        <f>E203+7</f>
        <v>46319</v>
      </c>
      <c r="F225" s="178"/>
      <c r="G225" s="179"/>
      <c r="H225" s="179"/>
      <c r="I225" s="876"/>
      <c r="J225" s="876"/>
      <c r="K225" s="876"/>
      <c r="L225" s="254"/>
      <c r="M225" s="329"/>
      <c r="N225" s="208"/>
      <c r="O225" s="180"/>
      <c r="P225" s="180"/>
      <c r="Q225" s="584" t="str">
        <f>IF(Q224="","",Q224/Data!$X$1)</f>
        <v/>
      </c>
      <c r="R225" s="584"/>
      <c r="S225" s="585" t="str">
        <f>IF(SUM(X228:X239)=0,"",SUM(X228:X239))</f>
        <v/>
      </c>
      <c r="T225" s="181"/>
      <c r="U225" s="182"/>
      <c r="V225" s="182"/>
      <c r="W225" s="182"/>
      <c r="X225" s="182"/>
      <c r="Y225" s="180"/>
      <c r="Z225" s="584" t="str">
        <f>IF(Z224="","",Z224/Data!$X$1)</f>
        <v/>
      </c>
      <c r="AA225" s="584"/>
      <c r="AB225" s="585" t="str">
        <f>IF(SUM(AG228:AG239)=0,"",SUM(AG228:AG239))</f>
        <v/>
      </c>
      <c r="AC225" s="181"/>
      <c r="AD225" s="182"/>
      <c r="AE225" s="182"/>
      <c r="AF225" s="182"/>
      <c r="AG225" s="182"/>
      <c r="AH225" s="180"/>
      <c r="AI225" s="584" t="str">
        <f>IF(AI224="","",AI224/Data!$X$1)</f>
        <v/>
      </c>
      <c r="AJ225" s="584"/>
      <c r="AK225" s="585" t="str">
        <f>IF(SUM(AP228:AP239)=0,"",SUM(AP228:AP239))</f>
        <v/>
      </c>
      <c r="AL225" s="181"/>
      <c r="AM225" s="182"/>
      <c r="AN225" s="182"/>
      <c r="AO225" s="182"/>
      <c r="AP225" s="182"/>
      <c r="AQ225" s="180"/>
      <c r="AR225" s="584" t="str">
        <f>IF(AR224="","",AR224/Data!$X$1)</f>
        <v/>
      </c>
      <c r="AS225" s="584"/>
      <c r="AT225" s="585" t="str">
        <f>IF(SUM(AY228:AY239)=0,"",SUM(AY228:AY239))</f>
        <v/>
      </c>
      <c r="AU225" s="183"/>
      <c r="AV225" s="182"/>
      <c r="AW225" s="182"/>
      <c r="AX225" s="182"/>
      <c r="AY225" s="182"/>
      <c r="AZ225" s="184"/>
      <c r="BA225" s="584" t="str">
        <f>IF(BA224="","",BA224/Data!$X$1)</f>
        <v/>
      </c>
      <c r="BB225" s="584"/>
      <c r="BC225" s="585" t="str">
        <f>IF(SUM(BH228:BH239)=0,"",SUM(BH228:BH239))</f>
        <v/>
      </c>
      <c r="BD225" s="183"/>
      <c r="BE225" s="182"/>
      <c r="BF225" s="182"/>
      <c r="BG225" s="182"/>
      <c r="BH225" s="182"/>
      <c r="BI225" s="184"/>
      <c r="BJ225" s="584" t="str">
        <f>IF(BJ224="","",BJ224/Data!$X$1)</f>
        <v/>
      </c>
      <c r="BK225" s="584"/>
      <c r="BL225" s="585" t="str">
        <f>IF(SUM(BQ228:BQ239)=0,"",SUM(BQ228:BQ239))</f>
        <v/>
      </c>
      <c r="BM225" s="183"/>
      <c r="BN225" s="182"/>
      <c r="BO225" s="182"/>
      <c r="BP225" s="182"/>
      <c r="BQ225" s="182"/>
      <c r="BR225" s="185"/>
      <c r="BS225" s="584" t="str">
        <f>IF(BS224="","",BS224/Data!$X$1)</f>
        <v/>
      </c>
      <c r="BT225" s="584"/>
      <c r="BU225" s="585" t="str">
        <f>IF(SUM(BZ228:BZ239)=0,"",SUM(BZ228:BZ239))</f>
        <v/>
      </c>
      <c r="BV225" s="184"/>
      <c r="BW225" s="182"/>
      <c r="BX225" s="182"/>
      <c r="BY225" s="182"/>
      <c r="BZ225" s="182"/>
      <c r="CA225" s="185"/>
      <c r="CB225" s="584" t="str">
        <f>IF(CB224="","",CB224/Data!$X$1)</f>
        <v/>
      </c>
      <c r="CC225" s="584"/>
      <c r="CD225" s="585" t="str">
        <f>IF(SUM(CI228:CI239)=0,"",SUM(CI228:CI239))</f>
        <v/>
      </c>
      <c r="CE225" s="184"/>
      <c r="CF225" s="182"/>
      <c r="CG225" s="182"/>
      <c r="CH225" s="182"/>
      <c r="CI225" s="182"/>
      <c r="CJ225" s="182"/>
      <c r="CK225" s="584" t="str">
        <f>IF(CK224="","",CK224/Data!$X$1)</f>
        <v/>
      </c>
      <c r="CL225" s="584"/>
      <c r="CM225" s="585" t="str">
        <f>IF(SUM(CR228:CR239)=0,"",SUM(CR228:CR239))</f>
        <v/>
      </c>
      <c r="CN225" s="184"/>
      <c r="CO225" s="182"/>
      <c r="CP225" s="182"/>
      <c r="CQ225" s="182"/>
      <c r="CR225" s="182"/>
      <c r="CS225" s="182"/>
      <c r="CT225" s="182"/>
      <c r="CU225" s="255"/>
      <c r="CV225" s="209"/>
      <c r="CW225" s="218"/>
    </row>
    <row r="226" spans="1:101" ht="13.5" thickBot="1" x14ac:dyDescent="0.25">
      <c r="A226" s="219"/>
      <c r="B226" s="219"/>
      <c r="C226" s="174"/>
      <c r="D226" s="230"/>
      <c r="E226" s="359"/>
      <c r="F226" s="186"/>
      <c r="G226" s="187"/>
      <c r="H226" s="187"/>
      <c r="I226" s="673"/>
      <c r="J226" s="674"/>
      <c r="K226" s="674"/>
      <c r="L226" s="256"/>
      <c r="M226" s="330"/>
      <c r="N226" s="334"/>
      <c r="O226" s="187"/>
      <c r="P226" s="187"/>
      <c r="Q226" s="342" t="str">
        <f>Data!$E$11</f>
        <v>AHH</v>
      </c>
      <c r="R226" s="343" t="str">
        <f>IF($F239="","",RANK(Q224,$Q224:$CL224))</f>
        <v/>
      </c>
      <c r="S226" s="466"/>
      <c r="T226" s="181"/>
      <c r="U226" s="182"/>
      <c r="V226" s="182"/>
      <c r="W226" s="182"/>
      <c r="X226" s="197">
        <f>COUNTIF(U228:W239,"&gt;0")</f>
        <v>0</v>
      </c>
      <c r="Y226" s="180"/>
      <c r="Z226" s="342" t="str">
        <f>Data!$E$12</f>
        <v>RB</v>
      </c>
      <c r="AA226" s="343" t="str">
        <f>IF($F239="","",RANK(Z224,$Q224:$CL224))</f>
        <v/>
      </c>
      <c r="AB226" s="466"/>
      <c r="AC226" s="181"/>
      <c r="AD226" s="182"/>
      <c r="AE226" s="182"/>
      <c r="AF226" s="182"/>
      <c r="AG226" s="197">
        <f>COUNTIF(AD228:AF239,"&gt;0")</f>
        <v>0</v>
      </c>
      <c r="AH226" s="180"/>
      <c r="AI226" s="342" t="str">
        <f>Data!$E$13</f>
        <v>EB</v>
      </c>
      <c r="AJ226" s="343" t="str">
        <f>IF($F239="","",RANK(AI224,$Q224:$CL224))</f>
        <v/>
      </c>
      <c r="AK226" s="466"/>
      <c r="AL226" s="181"/>
      <c r="AM226" s="182"/>
      <c r="AN226" s="182"/>
      <c r="AO226" s="182"/>
      <c r="AP226" s="197">
        <f>COUNTIF(AM228:AO239,"&gt;0")</f>
        <v>0</v>
      </c>
      <c r="AQ226" s="180"/>
      <c r="AR226" s="305" t="str">
        <f>Data!$E$14</f>
        <v>KAF</v>
      </c>
      <c r="AS226" s="343" t="str">
        <f>IF($F239="","",RANK(AR224,$Q224:$CL224))</f>
        <v/>
      </c>
      <c r="AT226" s="466"/>
      <c r="AU226" s="181"/>
      <c r="AV226" s="182"/>
      <c r="AW226" s="182"/>
      <c r="AX226" s="182"/>
      <c r="AY226" s="197">
        <f>COUNTIF(AV228:AX239,"&gt;0")</f>
        <v>0</v>
      </c>
      <c r="AZ226" s="180"/>
      <c r="BA226" s="305" t="str">
        <f>Data!$E$15</f>
        <v>ØG</v>
      </c>
      <c r="BB226" s="343" t="str">
        <f>IF($F239="","",RANK(BA224,$Q224:$CL224))</f>
        <v/>
      </c>
      <c r="BC226" s="466"/>
      <c r="BD226" s="181"/>
      <c r="BE226" s="182"/>
      <c r="BF226" s="182"/>
      <c r="BG226" s="182"/>
      <c r="BH226" s="197">
        <f>COUNTIF(BE228:BG239,"&gt;0")</f>
        <v>0</v>
      </c>
      <c r="BI226" s="180"/>
      <c r="BJ226" s="305" t="str">
        <f>Data!$E$16</f>
        <v>JH</v>
      </c>
      <c r="BK226" s="343" t="str">
        <f>IF($F239="","",RANK(BJ224,$Q224:$CL224))</f>
        <v/>
      </c>
      <c r="BL226" s="466"/>
      <c r="BM226" s="181"/>
      <c r="BN226" s="182"/>
      <c r="BO226" s="182"/>
      <c r="BP226" s="182"/>
      <c r="BQ226" s="197">
        <f>COUNTIF(BN228:BP239,"&gt;0")</f>
        <v>0</v>
      </c>
      <c r="BR226" s="188"/>
      <c r="BS226" s="305" t="str">
        <f>Data!$E$17</f>
        <v>TOH</v>
      </c>
      <c r="BT226" s="343" t="str">
        <f>IF($F239="","",RANK(BS224,$Q224:$CL224))</f>
        <v/>
      </c>
      <c r="BU226" s="466"/>
      <c r="BV226" s="180"/>
      <c r="BW226" s="182"/>
      <c r="BX226" s="182"/>
      <c r="BY226" s="182"/>
      <c r="BZ226" s="197">
        <f>COUNTIF(BW228:BY239,"&gt;0")</f>
        <v>0</v>
      </c>
      <c r="CA226" s="188"/>
      <c r="CB226" s="305" t="s">
        <v>26</v>
      </c>
      <c r="CC226" s="343" t="str">
        <f>IF($F239="","",RANK(CB224,$Q224:$CM224))</f>
        <v/>
      </c>
      <c r="CD226" s="467"/>
      <c r="CE226" s="180"/>
      <c r="CF226" s="182"/>
      <c r="CG226" s="182"/>
      <c r="CH226" s="182"/>
      <c r="CI226" s="197">
        <f>COUNTIF(CF228:CH239,"&gt;0")</f>
        <v>0</v>
      </c>
      <c r="CJ226" s="182"/>
      <c r="CK226" s="305" t="s">
        <v>27</v>
      </c>
      <c r="CL226" s="343" t="str">
        <f>IF($F239="","",RANK(CK224,$Q224:$CM224))</f>
        <v/>
      </c>
      <c r="CM226" s="669" t="s">
        <v>23</v>
      </c>
      <c r="CN226" s="180"/>
      <c r="CO226" s="182"/>
      <c r="CP226" s="182"/>
      <c r="CQ226" s="182"/>
      <c r="CR226" s="197">
        <f>COUNTIF(CO228:CQ239,"&gt;0")</f>
        <v>0</v>
      </c>
      <c r="CS226" s="182"/>
      <c r="CT226" s="182"/>
      <c r="CU226" s="255"/>
      <c r="CV226" s="209"/>
      <c r="CW226" s="218"/>
    </row>
    <row r="227" spans="1:101" ht="13.5" thickBot="1" x14ac:dyDescent="0.25">
      <c r="A227" s="227"/>
      <c r="B227" s="227"/>
      <c r="C227" s="168"/>
      <c r="D227" s="231"/>
      <c r="E227" s="189"/>
      <c r="F227" s="190"/>
      <c r="G227" s="191"/>
      <c r="H227" s="191"/>
      <c r="I227" s="192" t="s">
        <v>47</v>
      </c>
      <c r="J227" s="193" t="s">
        <v>48</v>
      </c>
      <c r="K227" s="194" t="s">
        <v>49</v>
      </c>
      <c r="L227" s="257"/>
      <c r="M227" s="331"/>
      <c r="N227" s="335"/>
      <c r="O227" s="195"/>
      <c r="P227" s="195"/>
      <c r="Q227" s="192" t="s">
        <v>47</v>
      </c>
      <c r="R227" s="193" t="s">
        <v>48</v>
      </c>
      <c r="S227" s="194" t="s">
        <v>49</v>
      </c>
      <c r="T227" s="196"/>
      <c r="U227" s="197"/>
      <c r="V227" s="197"/>
      <c r="W227" s="197"/>
      <c r="X227" s="197"/>
      <c r="Y227" s="195"/>
      <c r="Z227" s="192" t="s">
        <v>47</v>
      </c>
      <c r="AA227" s="193" t="s">
        <v>48</v>
      </c>
      <c r="AB227" s="194" t="s">
        <v>49</v>
      </c>
      <c r="AC227" s="196"/>
      <c r="AD227" s="197"/>
      <c r="AE227" s="197"/>
      <c r="AF227" s="197"/>
      <c r="AG227" s="197"/>
      <c r="AH227" s="195"/>
      <c r="AI227" s="192" t="s">
        <v>47</v>
      </c>
      <c r="AJ227" s="193" t="s">
        <v>48</v>
      </c>
      <c r="AK227" s="194" t="s">
        <v>49</v>
      </c>
      <c r="AL227" s="196"/>
      <c r="AM227" s="197"/>
      <c r="AN227" s="197"/>
      <c r="AO227" s="197"/>
      <c r="AP227" s="197"/>
      <c r="AQ227" s="195"/>
      <c r="AR227" s="192" t="s">
        <v>47</v>
      </c>
      <c r="AS227" s="193" t="s">
        <v>48</v>
      </c>
      <c r="AT227" s="194" t="s">
        <v>49</v>
      </c>
      <c r="AU227" s="196"/>
      <c r="AV227" s="197"/>
      <c r="AW227" s="197"/>
      <c r="AX227" s="197"/>
      <c r="AY227" s="197"/>
      <c r="AZ227" s="195"/>
      <c r="BA227" s="192" t="s">
        <v>47</v>
      </c>
      <c r="BB227" s="193" t="s">
        <v>48</v>
      </c>
      <c r="BC227" s="194" t="s">
        <v>49</v>
      </c>
      <c r="BD227" s="196"/>
      <c r="BE227" s="197"/>
      <c r="BF227" s="197"/>
      <c r="BG227" s="197"/>
      <c r="BH227" s="197"/>
      <c r="BI227" s="195"/>
      <c r="BJ227" s="192" t="s">
        <v>47</v>
      </c>
      <c r="BK227" s="193" t="s">
        <v>48</v>
      </c>
      <c r="BL227" s="194" t="s">
        <v>49</v>
      </c>
      <c r="BM227" s="196"/>
      <c r="BN227" s="197"/>
      <c r="BO227" s="197"/>
      <c r="BP227" s="197"/>
      <c r="BQ227" s="197"/>
      <c r="BR227" s="195"/>
      <c r="BS227" s="192" t="s">
        <v>47</v>
      </c>
      <c r="BT227" s="193" t="s">
        <v>48</v>
      </c>
      <c r="BU227" s="194" t="s">
        <v>49</v>
      </c>
      <c r="BV227" s="196"/>
      <c r="BW227" s="197"/>
      <c r="BX227" s="197"/>
      <c r="BY227" s="197"/>
      <c r="BZ227" s="197"/>
      <c r="CA227" s="195"/>
      <c r="CB227" s="192" t="s">
        <v>47</v>
      </c>
      <c r="CC227" s="193" t="s">
        <v>48</v>
      </c>
      <c r="CD227" s="194" t="s">
        <v>49</v>
      </c>
      <c r="CE227" s="196"/>
      <c r="CF227" s="197"/>
      <c r="CG227" s="197"/>
      <c r="CH227" s="197"/>
      <c r="CI227" s="197"/>
      <c r="CJ227" s="197"/>
      <c r="CK227" s="192" t="s">
        <v>47</v>
      </c>
      <c r="CL227" s="193" t="s">
        <v>48</v>
      </c>
      <c r="CM227" s="194" t="s">
        <v>49</v>
      </c>
      <c r="CN227" s="196"/>
      <c r="CO227" s="197"/>
      <c r="CP227" s="197"/>
      <c r="CQ227" s="197"/>
      <c r="CR227" s="197"/>
      <c r="CS227" s="197"/>
      <c r="CT227" s="198"/>
      <c r="CU227" s="255"/>
      <c r="CV227" s="209"/>
      <c r="CW227" s="228"/>
    </row>
    <row r="228" spans="1:101" x14ac:dyDescent="0.2">
      <c r="A228" s="227"/>
      <c r="B228" s="227"/>
      <c r="C228" s="168"/>
      <c r="D228" s="232"/>
      <c r="E228" s="134" t="s">
        <v>173</v>
      </c>
      <c r="F228" s="424"/>
      <c r="G228" s="428" t="s">
        <v>51</v>
      </c>
      <c r="H228" s="429"/>
      <c r="I228" s="138" t="str">
        <f>IF($F228&gt;$H228,"x","")</f>
        <v/>
      </c>
      <c r="J228" s="344" t="str">
        <f t="shared" ref="J228:J239" si="326">IF(F228&lt;&gt;"",IF(H228&lt;&gt;"",IF(F228=H228,"x",""),""),"")</f>
        <v/>
      </c>
      <c r="K228" s="345" t="str">
        <f t="shared" ref="K228:K239" si="327">IF($F228&lt;$H228,"x","")</f>
        <v/>
      </c>
      <c r="L228" s="258"/>
      <c r="M228" s="332"/>
      <c r="N228" s="336"/>
      <c r="O228" s="200"/>
      <c r="P228" s="200"/>
      <c r="Q228" s="436"/>
      <c r="R228" s="437"/>
      <c r="S228" s="438" t="str">
        <f t="shared" ref="S228:S239" si="328">IF(Q228="","",100-SUM(Q228:R228))</f>
        <v/>
      </c>
      <c r="T228" s="328"/>
      <c r="U228" s="197" t="str">
        <f>IF(AND($I228="x",AND(MAX(Q228:S228)=Q228,Q228&gt;=0)),Data!$BI$2,"")</f>
        <v/>
      </c>
      <c r="V228" s="197" t="str">
        <f>IF(AND($J228="x",AND(MAX(Q228:S228)=R228,R228&gt;=0)),Data!$BJ$2,"")</f>
        <v/>
      </c>
      <c r="W228" s="197" t="str">
        <f>IF(AND($K228="x",AND(MAX(Q228:S228)=S228,S228&gt;=0)),Data!$BK$2,"")</f>
        <v/>
      </c>
      <c r="X228" s="197"/>
      <c r="Y228" s="328"/>
      <c r="Z228" s="451"/>
      <c r="AA228" s="452"/>
      <c r="AB228" s="438" t="str">
        <f t="shared" ref="AB228:AB239" si="329">IF(Z228="","",100-SUM(Z228:AA228))</f>
        <v/>
      </c>
      <c r="AC228" s="328"/>
      <c r="AD228" s="197" t="str">
        <f>IF(AND($I228="x",AND(MAX(Z228:AB228)=Z228,Z228&lt;&gt;"")),Data!$BI$2,"")</f>
        <v/>
      </c>
      <c r="AE228" s="197" t="str">
        <f>IF(AND($J228="x",AND(MAX(Z228:AB228)=AA228,AA228&lt;&gt;"")),Data!$BJ$2,"")</f>
        <v/>
      </c>
      <c r="AF228" s="197" t="str">
        <f>IF(AND($K228="x",AND(MAX(Z228:AB228)=AB228,AB228&lt;&gt;"")),Data!$BK$2,"")</f>
        <v/>
      </c>
      <c r="AG228" s="197"/>
      <c r="AH228" s="328"/>
      <c r="AI228" s="451"/>
      <c r="AJ228" s="452"/>
      <c r="AK228" s="438" t="str">
        <f t="shared" ref="AK228:AK239" si="330">IF(AI228="","",100-SUM(AI228:AJ228))</f>
        <v/>
      </c>
      <c r="AL228" s="328"/>
      <c r="AM228" s="197" t="str">
        <f>IF(AND($I228="x",AND(MAX(AI228:AK228)=AI228,AI228&lt;&gt;"")),Data!$BI$2,"")</f>
        <v/>
      </c>
      <c r="AN228" s="197" t="str">
        <f>IF(AND($J228="x",AND(MAX(AI228:AK228)=AJ228,AJ228&lt;&gt;"")),Data!$BJ$2,"")</f>
        <v/>
      </c>
      <c r="AO228" s="197" t="str">
        <f>IF(AND($K228="x",AND(MAX(AI228:AK228)=AK228,AK228&lt;&gt;"")),Data!$BK$2,"")</f>
        <v/>
      </c>
      <c r="AP228" s="197"/>
      <c r="AQ228" s="328"/>
      <c r="AR228" s="451"/>
      <c r="AS228" s="452"/>
      <c r="AT228" s="438" t="str">
        <f t="shared" ref="AT228:AT239" si="331">IF(AR228="","",100-SUM(AR228:AS228))</f>
        <v/>
      </c>
      <c r="AU228" s="328"/>
      <c r="AV228" s="197" t="str">
        <f>IF(AND($I228="x",AND(MAX(AR228:AT228)=AR228,AR228&lt;&gt;"")),Data!$BI$2,"")</f>
        <v/>
      </c>
      <c r="AW228" s="197" t="str">
        <f>IF(AND($J228="x",AND(MAX(AR228:AT228)=AS228,AS228&lt;&gt;"")),Data!$BJ$2,"")</f>
        <v/>
      </c>
      <c r="AX228" s="197" t="str">
        <f>IF(AND($K228="x",AND(MAX(AR228:AT228)=AT228,AT228&lt;&gt;"")),Data!$BK$2,"")</f>
        <v/>
      </c>
      <c r="AY228" s="197"/>
      <c r="AZ228" s="328"/>
      <c r="BA228" s="451"/>
      <c r="BB228" s="452"/>
      <c r="BC228" s="438" t="str">
        <f t="shared" ref="BC228:BC239" si="332">IF(BA228="","",100-SUM(BA228:BB228))</f>
        <v/>
      </c>
      <c r="BD228" s="328"/>
      <c r="BE228" s="197" t="str">
        <f>IF(AND($I228="x",AND(MAX(BA228:BC228)=BA228,BA228&lt;&gt;"")),Data!$BI$2,"")</f>
        <v/>
      </c>
      <c r="BF228" s="197" t="str">
        <f>IF(AND($J228="x",AND(MAX(BA228:BC228)=BB228,BB228&lt;&gt;"")),Data!$BJ$2,"")</f>
        <v/>
      </c>
      <c r="BG228" s="197" t="str">
        <f>IF(AND($K228="x",AND(MAX(BA228:BC228)=BC228,BC228&lt;&gt;"")),Data!$BK$2,"")</f>
        <v/>
      </c>
      <c r="BH228" s="197"/>
      <c r="BI228" s="328"/>
      <c r="BJ228" s="451"/>
      <c r="BK228" s="452"/>
      <c r="BL228" s="438" t="str">
        <f t="shared" ref="BL228:BL239" si="333">IF(BJ228="","",100-SUM(BJ228:BK228))</f>
        <v/>
      </c>
      <c r="BM228" s="328"/>
      <c r="BN228" s="197" t="str">
        <f>IF(AND($I228="x",AND(MAX(BJ228:BL228)=BJ228,BJ228&lt;&gt;"")),Data!$BI$2,"")</f>
        <v/>
      </c>
      <c r="BO228" s="197" t="str">
        <f>IF(AND($J228="x",AND(MAX(BJ228:BL228)=BK228,BK228&lt;&gt;"")),Data!$BJ$2,"")</f>
        <v/>
      </c>
      <c r="BP228" s="197" t="str">
        <f>IF(AND($K228="x",AND(MAX(BJ228:BL228)=BL228,BL228&lt;&gt;"")),Data!$BK$2,"")</f>
        <v/>
      </c>
      <c r="BQ228" s="197"/>
      <c r="BR228" s="328"/>
      <c r="BS228" s="451"/>
      <c r="BT228" s="452"/>
      <c r="BU228" s="438" t="str">
        <f t="shared" ref="BU228:BU239" si="334">IF(BS228="","",100-SUM(BS228:BT228))</f>
        <v/>
      </c>
      <c r="BV228" s="328"/>
      <c r="BW228" s="197" t="str">
        <f>IF(AND($I228="x",AND(MAX(BS228:BU228)=BS228,BS228&lt;&gt;"")),Data!$BI$2,"")</f>
        <v/>
      </c>
      <c r="BX228" s="197" t="str">
        <f>IF(AND($J228="x",AND(MAX(BS228:BU228)=BT228,BT228&lt;&gt;"")),Data!$BJ$2,"")</f>
        <v/>
      </c>
      <c r="BY228" s="197" t="str">
        <f>IF(AND($K228="x",AND(MAX(BS228:BU228)=BU228,BU228&lt;&gt;"")),Data!$BK$2,"")</f>
        <v/>
      </c>
      <c r="BZ228" s="197"/>
      <c r="CA228" s="328"/>
      <c r="CB228" s="457" t="str">
        <f t="shared" ref="CB228:CB239" si="335">IFERROR(ROUNDUP((SUM(Q228,Z228,AI228,AR228,BA228,BJ228,BS228)/SUM($Q228:$S228,$Z228:$AB228,$AI228:$AK228,$AR228:$AT228,$BA228:$BC228,$BJ228:$BL228,$BS228:$BU228))*100,-1),"")</f>
        <v/>
      </c>
      <c r="CC228" s="458" t="str">
        <f t="shared" ref="CC228:CC239" si="336">IFERROR(ROUNDDOWN((SUM(R228,AA228,AJ228,AS228,BB228,BK228,BT228)/SUM($Q228:$S228,$Z228:$AB228,$AI228:$AK228,$AR228:$AT228,$BA228:$BC228,$BJ228:$BL228,$BS228:$BU228))*100,-1),"")</f>
        <v/>
      </c>
      <c r="CD228" s="459" t="str">
        <f t="shared" ref="CD228:CD239" si="337">IF(CB228="","",100-SUM(CB228:CC228))</f>
        <v/>
      </c>
      <c r="CE228" s="328"/>
      <c r="CF228" s="197" t="str">
        <f>IF(AND($I228="x",AND(MAX(CB228:CD228)=CB228,CB228&lt;&gt;"")),Data!$BI$2,"")</f>
        <v/>
      </c>
      <c r="CG228" s="197" t="str">
        <f>IF(AND($J228="x",AND(MAX(CB228:CD228)=CC228,CC228&lt;&gt;"")),Data!$BJ$2,"")</f>
        <v/>
      </c>
      <c r="CH228" s="197" t="str">
        <f>IF(AND($K228="x",AND(MAX(CB228:CD228)=CD228,CD228&lt;&gt;"")),Data!$BK$2,"")</f>
        <v/>
      </c>
      <c r="CI228" s="197"/>
      <c r="CJ228" s="197"/>
      <c r="CK228" s="451"/>
      <c r="CL228" s="452"/>
      <c r="CM228" s="438" t="str">
        <f t="shared" ref="CM228:CM239" si="338">IF(CK228="","",100-SUM(CK228:CL228))</f>
        <v/>
      </c>
      <c r="CN228" s="328"/>
      <c r="CO228" s="197" t="str">
        <f>IF(AND($I228="x",AND(MAX(CK228:CM228)=CK228,CK228&lt;&gt;"")),Data!$BI$2,"")</f>
        <v/>
      </c>
      <c r="CP228" s="197" t="str">
        <f>IF(AND($J228="x",AND(MAX(CK228:CM228)=CL228,CL228&lt;&gt;"")),Data!$BJ$2,"")</f>
        <v/>
      </c>
      <c r="CQ228" s="197" t="str">
        <f>IF(AND($K228="x",AND(MAX(CK228:CM228)=CM228,CM228&lt;&gt;"")),Data!$BK$2,"")</f>
        <v/>
      </c>
      <c r="CR228" s="197"/>
      <c r="CS228" s="197"/>
      <c r="CT228" s="328"/>
      <c r="CU228" s="255"/>
      <c r="CV228" s="209"/>
      <c r="CW228" s="227"/>
    </row>
    <row r="229" spans="1:101" x14ac:dyDescent="0.2">
      <c r="A229" s="227"/>
      <c r="B229" s="227"/>
      <c r="C229" s="168"/>
      <c r="D229" s="232"/>
      <c r="E229" s="135" t="s">
        <v>174</v>
      </c>
      <c r="F229" s="425"/>
      <c r="G229" s="430" t="s">
        <v>51</v>
      </c>
      <c r="H229" s="431"/>
      <c r="I229" s="346" t="str">
        <f t="shared" ref="I229:I238" si="339">IF($F229&gt;$H229,"x","")</f>
        <v/>
      </c>
      <c r="J229" s="347" t="str">
        <f t="shared" si="326"/>
        <v/>
      </c>
      <c r="K229" s="348" t="str">
        <f t="shared" si="327"/>
        <v/>
      </c>
      <c r="L229" s="258"/>
      <c r="M229" s="332"/>
      <c r="N229" s="336"/>
      <c r="O229" s="200"/>
      <c r="P229" s="200"/>
      <c r="Q229" s="439"/>
      <c r="R229" s="440"/>
      <c r="S229" s="441" t="str">
        <f t="shared" si="328"/>
        <v/>
      </c>
      <c r="T229" s="328"/>
      <c r="U229" s="197" t="str">
        <f>IF(AND($I229="x",AND(MAX(Q229:S229)=Q229,Q229&gt;=0)),Data!$BI$2,"")</f>
        <v/>
      </c>
      <c r="V229" s="197" t="str">
        <f>IF(AND($J229="x",AND(MAX(Q229:S229)=R229,R229&gt;=0)),Data!$BJ$2,"")</f>
        <v/>
      </c>
      <c r="W229" s="197" t="str">
        <f>IF(AND($K229="x",AND(MAX(Q229:S229)=S229,S229&gt;=0)),Data!$BK$2,"")</f>
        <v/>
      </c>
      <c r="X229" s="197"/>
      <c r="Y229" s="328"/>
      <c r="Z229" s="453"/>
      <c r="AA229" s="454"/>
      <c r="AB229" s="441" t="str">
        <f t="shared" si="329"/>
        <v/>
      </c>
      <c r="AC229" s="328"/>
      <c r="AD229" s="197" t="str">
        <f>IF(AND($I229="x",AND(MAX(Z229:AB229)=Z229,Z229&lt;&gt;"")),Data!$BI$2,"")</f>
        <v/>
      </c>
      <c r="AE229" s="197" t="str">
        <f>IF(AND($J229="x",AND(MAX(Z229:AB229)=AA229,AA229&lt;&gt;"")),Data!$BJ$2,"")</f>
        <v/>
      </c>
      <c r="AF229" s="197" t="str">
        <f>IF(AND($K229="x",AND(MAX(Z229:AB229)=AB229,AB229&lt;&gt;"")),Data!$BK$2,"")</f>
        <v/>
      </c>
      <c r="AG229" s="197"/>
      <c r="AH229" s="328"/>
      <c r="AI229" s="453"/>
      <c r="AJ229" s="454"/>
      <c r="AK229" s="441" t="str">
        <f t="shared" si="330"/>
        <v/>
      </c>
      <c r="AL229" s="328"/>
      <c r="AM229" s="197" t="str">
        <f>IF(AND($I229="x",AND(MAX(AI229:AK229)=AI229,AI229&lt;&gt;"")),Data!$BI$2,"")</f>
        <v/>
      </c>
      <c r="AN229" s="197" t="str">
        <f>IF(AND($J229="x",AND(MAX(AI229:AK229)=AJ229,AJ229&lt;&gt;"")),Data!$BJ$2,"")</f>
        <v/>
      </c>
      <c r="AO229" s="197" t="str">
        <f>IF(AND($K229="x",AND(MAX(AI229:AK229)=AK229,AK229&lt;&gt;"")),Data!$BK$2,"")</f>
        <v/>
      </c>
      <c r="AP229" s="197"/>
      <c r="AQ229" s="328"/>
      <c r="AR229" s="453"/>
      <c r="AS229" s="454"/>
      <c r="AT229" s="441" t="str">
        <f t="shared" si="331"/>
        <v/>
      </c>
      <c r="AU229" s="328"/>
      <c r="AV229" s="197" t="str">
        <f>IF(AND($I229="x",AND(MAX(AR229:AT229)=AR229,AR229&lt;&gt;"")),Data!$BI$2,"")</f>
        <v/>
      </c>
      <c r="AW229" s="197" t="str">
        <f>IF(AND($J229="x",AND(MAX(AR229:AT229)=AS229,AS229&lt;&gt;"")),Data!$BJ$2,"")</f>
        <v/>
      </c>
      <c r="AX229" s="197" t="str">
        <f>IF(AND($K229="x",AND(MAX(AR229:AT229)=AT229,AT229&lt;&gt;"")),Data!$BK$2,"")</f>
        <v/>
      </c>
      <c r="AY229" s="197"/>
      <c r="AZ229" s="328"/>
      <c r="BA229" s="453"/>
      <c r="BB229" s="454"/>
      <c r="BC229" s="441" t="str">
        <f t="shared" si="332"/>
        <v/>
      </c>
      <c r="BD229" s="328"/>
      <c r="BE229" s="197" t="str">
        <f>IF(AND($I229="x",AND(MAX(BA229:BC229)=BA229,BA229&lt;&gt;"")),Data!$BI$2,"")</f>
        <v/>
      </c>
      <c r="BF229" s="197" t="str">
        <f>IF(AND($J229="x",AND(MAX(BA229:BC229)=BB229,BB229&lt;&gt;"")),Data!$BJ$2,"")</f>
        <v/>
      </c>
      <c r="BG229" s="197" t="str">
        <f>IF(AND($K229="x",AND(MAX(BA229:BC229)=BC229,BC229&lt;&gt;"")),Data!$BK$2,"")</f>
        <v/>
      </c>
      <c r="BH229" s="197"/>
      <c r="BI229" s="328"/>
      <c r="BJ229" s="453"/>
      <c r="BK229" s="454"/>
      <c r="BL229" s="441" t="str">
        <f t="shared" si="333"/>
        <v/>
      </c>
      <c r="BM229" s="328"/>
      <c r="BN229" s="197" t="str">
        <f>IF(AND($I229="x",AND(MAX(BJ229:BL229)=BJ229,BJ229&lt;&gt;"")),Data!$BI$2,"")</f>
        <v/>
      </c>
      <c r="BO229" s="197" t="str">
        <f>IF(AND($J229="x",AND(MAX(BJ229:BL229)=BK229,BK229&lt;&gt;"")),Data!$BJ$2,"")</f>
        <v/>
      </c>
      <c r="BP229" s="197" t="str">
        <f>IF(AND($K229="x",AND(MAX(BJ229:BL229)=BL229,BL229&lt;&gt;"")),Data!$BK$2,"")</f>
        <v/>
      </c>
      <c r="BQ229" s="197"/>
      <c r="BR229" s="328"/>
      <c r="BS229" s="453"/>
      <c r="BT229" s="454"/>
      <c r="BU229" s="441" t="str">
        <f t="shared" si="334"/>
        <v/>
      </c>
      <c r="BV229" s="328"/>
      <c r="BW229" s="197" t="str">
        <f>IF(AND($I229="x",AND(MAX(BS229:BU229)=BS229,BS229&lt;&gt;"")),Data!$BI$2,"")</f>
        <v/>
      </c>
      <c r="BX229" s="197" t="str">
        <f>IF(AND($J229="x",AND(MAX(BS229:BU229)=BT229,BT229&lt;&gt;"")),Data!$BJ$2,"")</f>
        <v/>
      </c>
      <c r="BY229" s="197" t="str">
        <f>IF(AND($K229="x",AND(MAX(BS229:BU229)=BU229,BU229&lt;&gt;"")),Data!$BK$2,"")</f>
        <v/>
      </c>
      <c r="BZ229" s="197"/>
      <c r="CA229" s="328"/>
      <c r="CB229" s="460" t="str">
        <f t="shared" si="335"/>
        <v/>
      </c>
      <c r="CC229" s="461" t="str">
        <f t="shared" si="336"/>
        <v/>
      </c>
      <c r="CD229" s="462" t="str">
        <f t="shared" si="337"/>
        <v/>
      </c>
      <c r="CE229" s="328"/>
      <c r="CF229" s="197" t="str">
        <f>IF(AND($I229="x",AND(MAX(CB229:CD229)=CB229,CB229&lt;&gt;"")),Data!$BI$2,"")</f>
        <v/>
      </c>
      <c r="CG229" s="197" t="str">
        <f>IF(AND($J229="x",AND(MAX(CB229:CD229)=CC229,CC229&lt;&gt;"")),Data!$BJ$2,"")</f>
        <v/>
      </c>
      <c r="CH229" s="197" t="str">
        <f>IF(AND($K229="x",AND(MAX(CB229:CD229)=CD229,CD229&lt;&gt;"")),Data!$BK$2,"")</f>
        <v/>
      </c>
      <c r="CI229" s="197"/>
      <c r="CJ229" s="197"/>
      <c r="CK229" s="453"/>
      <c r="CL229" s="454"/>
      <c r="CM229" s="441" t="str">
        <f t="shared" si="338"/>
        <v/>
      </c>
      <c r="CN229" s="328"/>
      <c r="CO229" s="197" t="str">
        <f>IF(AND($I229="x",AND(MAX(CK229:CM229)=CK229,CK229&lt;&gt;"")),Data!$BI$2,"")</f>
        <v/>
      </c>
      <c r="CP229" s="197" t="str">
        <f>IF(AND($J229="x",AND(MAX(CK229:CM229)=CL229,CL229&lt;&gt;"")),Data!$BJ$2,"")</f>
        <v/>
      </c>
      <c r="CQ229" s="197" t="str">
        <f>IF(AND($K229="x",AND(MAX(CK229:CM229)=CM229,CM229&lt;&gt;"")),Data!$BK$2,"")</f>
        <v/>
      </c>
      <c r="CR229" s="197"/>
      <c r="CS229" s="197"/>
      <c r="CT229" s="328"/>
      <c r="CU229" s="255"/>
      <c r="CV229" s="209"/>
      <c r="CW229" s="227"/>
    </row>
    <row r="230" spans="1:101" x14ac:dyDescent="0.2">
      <c r="A230" s="227"/>
      <c r="B230" s="227"/>
      <c r="C230" s="168"/>
      <c r="D230" s="232"/>
      <c r="E230" s="136" t="s">
        <v>175</v>
      </c>
      <c r="F230" s="426"/>
      <c r="G230" s="432" t="s">
        <v>51</v>
      </c>
      <c r="H230" s="433"/>
      <c r="I230" s="349" t="str">
        <f t="shared" si="339"/>
        <v/>
      </c>
      <c r="J230" s="350" t="str">
        <f t="shared" si="326"/>
        <v/>
      </c>
      <c r="K230" s="351" t="str">
        <f t="shared" si="327"/>
        <v/>
      </c>
      <c r="L230" s="258"/>
      <c r="M230" s="332"/>
      <c r="N230" s="336"/>
      <c r="O230" s="200"/>
      <c r="P230" s="200"/>
      <c r="Q230" s="442"/>
      <c r="R230" s="443"/>
      <c r="S230" s="444" t="str">
        <f t="shared" si="328"/>
        <v/>
      </c>
      <c r="T230" s="328"/>
      <c r="U230" s="197" t="str">
        <f>IF(AND($I230="x",AND(MAX(Q230:S230)=Q230,Q230&gt;=0)),Data!$BI$2,"")</f>
        <v/>
      </c>
      <c r="V230" s="197" t="str">
        <f>IF(AND($J230="x",AND(MAX(Q230:S230)=R230,R230&gt;=0)),Data!$BJ$2,"")</f>
        <v/>
      </c>
      <c r="W230" s="197" t="str">
        <f>IF(AND($K230="x",AND(MAX(Q230:S230)=S230,S230&gt;=0)),Data!$BK$2,"")</f>
        <v/>
      </c>
      <c r="X230" s="197"/>
      <c r="Y230" s="328"/>
      <c r="Z230" s="455"/>
      <c r="AA230" s="456"/>
      <c r="AB230" s="444" t="str">
        <f t="shared" si="329"/>
        <v/>
      </c>
      <c r="AC230" s="328"/>
      <c r="AD230" s="197" t="str">
        <f>IF(AND($I230="x",AND(MAX(Z230:AB230)=Z230,Z230&lt;&gt;"")),Data!$BI$2,"")</f>
        <v/>
      </c>
      <c r="AE230" s="197" t="str">
        <f>IF(AND($J230="x",AND(MAX(Z230:AB230)=AA230,AA230&lt;&gt;"")),Data!$BJ$2,"")</f>
        <v/>
      </c>
      <c r="AF230" s="197" t="str">
        <f>IF(AND($K230="x",AND(MAX(Z230:AB230)=AB230,AB230&lt;&gt;"")),Data!$BK$2,"")</f>
        <v/>
      </c>
      <c r="AG230" s="197"/>
      <c r="AH230" s="328"/>
      <c r="AI230" s="455"/>
      <c r="AJ230" s="456"/>
      <c r="AK230" s="444" t="str">
        <f t="shared" si="330"/>
        <v/>
      </c>
      <c r="AL230" s="328"/>
      <c r="AM230" s="197" t="str">
        <f>IF(AND($I230="x",AND(MAX(AI230:AK230)=AI230,AI230&lt;&gt;"")),Data!$BI$2,"")</f>
        <v/>
      </c>
      <c r="AN230" s="197" t="str">
        <f>IF(AND($J230="x",AND(MAX(AI230:AK230)=AJ230,AJ230&lt;&gt;"")),Data!$BJ$2,"")</f>
        <v/>
      </c>
      <c r="AO230" s="197" t="str">
        <f>IF(AND($K230="x",AND(MAX(AI230:AK230)=AK230,AK230&lt;&gt;"")),Data!$BK$2,"")</f>
        <v/>
      </c>
      <c r="AP230" s="197"/>
      <c r="AQ230" s="328"/>
      <c r="AR230" s="455"/>
      <c r="AS230" s="456"/>
      <c r="AT230" s="444" t="str">
        <f t="shared" si="331"/>
        <v/>
      </c>
      <c r="AU230" s="328"/>
      <c r="AV230" s="197" t="str">
        <f>IF(AND($I230="x",AND(MAX(AR230:AT230)=AR230,AR230&lt;&gt;"")),Data!$BI$2,"")</f>
        <v/>
      </c>
      <c r="AW230" s="197" t="str">
        <f>IF(AND($J230="x",AND(MAX(AR230:AT230)=AS230,AS230&lt;&gt;"")),Data!$BJ$2,"")</f>
        <v/>
      </c>
      <c r="AX230" s="197" t="str">
        <f>IF(AND($K230="x",AND(MAX(AR230:AT230)=AT230,AT230&lt;&gt;"")),Data!$BK$2,"")</f>
        <v/>
      </c>
      <c r="AY230" s="197"/>
      <c r="AZ230" s="328"/>
      <c r="BA230" s="455"/>
      <c r="BB230" s="456"/>
      <c r="BC230" s="444" t="str">
        <f t="shared" si="332"/>
        <v/>
      </c>
      <c r="BD230" s="328"/>
      <c r="BE230" s="197" t="str">
        <f>IF(AND($I230="x",AND(MAX(BA230:BC230)=BA230,BA230&lt;&gt;"")),Data!$BI$2,"")</f>
        <v/>
      </c>
      <c r="BF230" s="197" t="str">
        <f>IF(AND($J230="x",AND(MAX(BA230:BC230)=BB230,BB230&lt;&gt;"")),Data!$BJ$2,"")</f>
        <v/>
      </c>
      <c r="BG230" s="197" t="str">
        <f>IF(AND($K230="x",AND(MAX(BA230:BC230)=BC230,BC230&lt;&gt;"")),Data!$BK$2,"")</f>
        <v/>
      </c>
      <c r="BH230" s="197"/>
      <c r="BI230" s="328"/>
      <c r="BJ230" s="455"/>
      <c r="BK230" s="456"/>
      <c r="BL230" s="444" t="str">
        <f t="shared" si="333"/>
        <v/>
      </c>
      <c r="BM230" s="328"/>
      <c r="BN230" s="197" t="str">
        <f>IF(AND($I230="x",AND(MAX(BJ230:BL230)=BJ230,BJ230&lt;&gt;"")),Data!$BI$2,"")</f>
        <v/>
      </c>
      <c r="BO230" s="197" t="str">
        <f>IF(AND($J230="x",AND(MAX(BJ230:BL230)=BK230,BK230&lt;&gt;"")),Data!$BJ$2,"")</f>
        <v/>
      </c>
      <c r="BP230" s="197" t="str">
        <f>IF(AND($K230="x",AND(MAX(BJ230:BL230)=BL230,BL230&lt;&gt;"")),Data!$BK$2,"")</f>
        <v/>
      </c>
      <c r="BQ230" s="197"/>
      <c r="BR230" s="328"/>
      <c r="BS230" s="455"/>
      <c r="BT230" s="456"/>
      <c r="BU230" s="444" t="str">
        <f t="shared" si="334"/>
        <v/>
      </c>
      <c r="BV230" s="328"/>
      <c r="BW230" s="197" t="str">
        <f>IF(AND($I230="x",AND(MAX(BS230:BU230)=BS230,BS230&lt;&gt;"")),Data!$BI$2,"")</f>
        <v/>
      </c>
      <c r="BX230" s="197" t="str">
        <f>IF(AND($J230="x",AND(MAX(BS230:BU230)=BT230,BT230&lt;&gt;"")),Data!$BJ$2,"")</f>
        <v/>
      </c>
      <c r="BY230" s="197" t="str">
        <f>IF(AND($K230="x",AND(MAX(BS230:BU230)=BU230,BU230&lt;&gt;"")),Data!$BK$2,"")</f>
        <v/>
      </c>
      <c r="BZ230" s="197"/>
      <c r="CA230" s="328"/>
      <c r="CB230" s="463" t="str">
        <f t="shared" si="335"/>
        <v/>
      </c>
      <c r="CC230" s="464" t="str">
        <f t="shared" si="336"/>
        <v/>
      </c>
      <c r="CD230" s="465" t="str">
        <f t="shared" si="337"/>
        <v/>
      </c>
      <c r="CE230" s="328"/>
      <c r="CF230" s="197" t="str">
        <f>IF(AND($I230="x",AND(MAX(CB230:CD230)=CB230,CB230&lt;&gt;"")),Data!$BI$2,"")</f>
        <v/>
      </c>
      <c r="CG230" s="197" t="str">
        <f>IF(AND($J230="x",AND(MAX(CB230:CD230)=CC230,CC230&lt;&gt;"")),Data!$BJ$2,"")</f>
        <v/>
      </c>
      <c r="CH230" s="197" t="str">
        <f>IF(AND($K230="x",AND(MAX(CB230:CD230)=CD230,CD230&lt;&gt;"")),Data!$BK$2,"")</f>
        <v/>
      </c>
      <c r="CI230" s="197"/>
      <c r="CJ230" s="197"/>
      <c r="CK230" s="455"/>
      <c r="CL230" s="456"/>
      <c r="CM230" s="444" t="str">
        <f t="shared" si="338"/>
        <v/>
      </c>
      <c r="CN230" s="328"/>
      <c r="CO230" s="197" t="str">
        <f>IF(AND($I230="x",AND(MAX(CK230:CM230)=CK230,CK230&lt;&gt;"")),Data!$BI$2,"")</f>
        <v/>
      </c>
      <c r="CP230" s="197" t="str">
        <f>IF(AND($J230="x",AND(MAX(CK230:CM230)=CL230,CL230&lt;&gt;"")),Data!$BJ$2,"")</f>
        <v/>
      </c>
      <c r="CQ230" s="197" t="str">
        <f>IF(AND($K230="x",AND(MAX(CK230:CM230)=CM230,CM230&lt;&gt;"")),Data!$BK$2,"")</f>
        <v/>
      </c>
      <c r="CR230" s="197"/>
      <c r="CS230" s="197"/>
      <c r="CT230" s="328"/>
      <c r="CU230" s="255"/>
      <c r="CV230" s="209"/>
      <c r="CW230" s="227"/>
    </row>
    <row r="231" spans="1:101" x14ac:dyDescent="0.2">
      <c r="A231" s="227"/>
      <c r="B231" s="227"/>
      <c r="C231" s="168"/>
      <c r="D231" s="232"/>
      <c r="E231" s="134" t="s">
        <v>176</v>
      </c>
      <c r="F231" s="424"/>
      <c r="G231" s="428" t="s">
        <v>51</v>
      </c>
      <c r="H231" s="429"/>
      <c r="I231" s="138" t="str">
        <f t="shared" si="339"/>
        <v/>
      </c>
      <c r="J231" s="344" t="str">
        <f t="shared" si="326"/>
        <v/>
      </c>
      <c r="K231" s="345" t="str">
        <f t="shared" si="327"/>
        <v/>
      </c>
      <c r="L231" s="258"/>
      <c r="M231" s="332"/>
      <c r="N231" s="336"/>
      <c r="O231" s="200"/>
      <c r="P231" s="200"/>
      <c r="Q231" s="436"/>
      <c r="R231" s="437"/>
      <c r="S231" s="438" t="str">
        <f t="shared" si="328"/>
        <v/>
      </c>
      <c r="T231" s="328"/>
      <c r="U231" s="197" t="str">
        <f>IF(AND($I231="x",AND(MAX(Q231:S231)=Q231,Q231&gt;=0)),Data!$BI$2,"")</f>
        <v/>
      </c>
      <c r="V231" s="197" t="str">
        <f>IF(AND($J231="x",AND(MAX(Q231:S231)=R231,R231&gt;=0)),Data!$BJ$2,"")</f>
        <v/>
      </c>
      <c r="W231" s="197" t="str">
        <f>IF(AND($K231="x",AND(MAX(Q231:S231)=S231,S231&gt;=0)),Data!$BK$2,"")</f>
        <v/>
      </c>
      <c r="X231" s="197"/>
      <c r="Y231" s="328"/>
      <c r="Z231" s="451"/>
      <c r="AA231" s="452"/>
      <c r="AB231" s="438" t="str">
        <f t="shared" si="329"/>
        <v/>
      </c>
      <c r="AC231" s="328"/>
      <c r="AD231" s="197" t="str">
        <f>IF(AND($I231="x",AND(MAX(Z231:AB231)=Z231,Z231&lt;&gt;"")),Data!$BI$2,"")</f>
        <v/>
      </c>
      <c r="AE231" s="197" t="str">
        <f>IF(AND($J231="x",AND(MAX(Z231:AB231)=AA231,AA231&lt;&gt;"")),Data!$BJ$2,"")</f>
        <v/>
      </c>
      <c r="AF231" s="197" t="str">
        <f>IF(AND($K231="x",AND(MAX(Z231:AB231)=AB231,AB231&lt;&gt;"")),Data!$BK$2,"")</f>
        <v/>
      </c>
      <c r="AG231" s="197"/>
      <c r="AH231" s="328"/>
      <c r="AI231" s="451"/>
      <c r="AJ231" s="452"/>
      <c r="AK231" s="438" t="str">
        <f t="shared" si="330"/>
        <v/>
      </c>
      <c r="AL231" s="328"/>
      <c r="AM231" s="197" t="str">
        <f>IF(AND($I231="x",AND(MAX(AI231:AK231)=AI231,AI231&lt;&gt;"")),Data!$BI$2,"")</f>
        <v/>
      </c>
      <c r="AN231" s="197" t="str">
        <f>IF(AND($J231="x",AND(MAX(AI231:AK231)=AJ231,AJ231&lt;&gt;"")),Data!$BJ$2,"")</f>
        <v/>
      </c>
      <c r="AO231" s="197" t="str">
        <f>IF(AND($K231="x",AND(MAX(AI231:AK231)=AK231,AK231&lt;&gt;"")),Data!$BK$2,"")</f>
        <v/>
      </c>
      <c r="AP231" s="197"/>
      <c r="AQ231" s="328"/>
      <c r="AR231" s="451"/>
      <c r="AS231" s="452"/>
      <c r="AT231" s="438" t="str">
        <f t="shared" si="331"/>
        <v/>
      </c>
      <c r="AU231" s="328"/>
      <c r="AV231" s="197" t="str">
        <f>IF(AND($I231="x",AND(MAX(AR231:AT231)=AR231,AR231&lt;&gt;"")),Data!$BI$2,"")</f>
        <v/>
      </c>
      <c r="AW231" s="197" t="str">
        <f>IF(AND($J231="x",AND(MAX(AR231:AT231)=AS231,AS231&lt;&gt;"")),Data!$BJ$2,"")</f>
        <v/>
      </c>
      <c r="AX231" s="197" t="str">
        <f>IF(AND($K231="x",AND(MAX(AR231:AT231)=AT231,AT231&lt;&gt;"")),Data!$BK$2,"")</f>
        <v/>
      </c>
      <c r="AY231" s="197"/>
      <c r="AZ231" s="328"/>
      <c r="BA231" s="451"/>
      <c r="BB231" s="452"/>
      <c r="BC231" s="438" t="str">
        <f t="shared" si="332"/>
        <v/>
      </c>
      <c r="BD231" s="328"/>
      <c r="BE231" s="197" t="str">
        <f>IF(AND($I231="x",AND(MAX(BA231:BC231)=BA231,BA231&lt;&gt;"")),Data!$BI$2,"")</f>
        <v/>
      </c>
      <c r="BF231" s="197" t="str">
        <f>IF(AND($J231="x",AND(MAX(BA231:BC231)=BB231,BB231&lt;&gt;"")),Data!$BJ$2,"")</f>
        <v/>
      </c>
      <c r="BG231" s="197" t="str">
        <f>IF(AND($K231="x",AND(MAX(BA231:BC231)=BC231,BC231&lt;&gt;"")),Data!$BK$2,"")</f>
        <v/>
      </c>
      <c r="BH231" s="197"/>
      <c r="BI231" s="328"/>
      <c r="BJ231" s="451"/>
      <c r="BK231" s="452"/>
      <c r="BL231" s="438" t="str">
        <f t="shared" si="333"/>
        <v/>
      </c>
      <c r="BM231" s="328"/>
      <c r="BN231" s="197" t="str">
        <f>IF(AND($I231="x",AND(MAX(BJ231:BL231)=BJ231,BJ231&lt;&gt;"")),Data!$BI$2,"")</f>
        <v/>
      </c>
      <c r="BO231" s="197" t="str">
        <f>IF(AND($J231="x",AND(MAX(BJ231:BL231)=BK231,BK231&lt;&gt;"")),Data!$BJ$2,"")</f>
        <v/>
      </c>
      <c r="BP231" s="197" t="str">
        <f>IF(AND($K231="x",AND(MAX(BJ231:BL231)=BL231,BL231&lt;&gt;"")),Data!$BK$2,"")</f>
        <v/>
      </c>
      <c r="BQ231" s="197"/>
      <c r="BR231" s="328"/>
      <c r="BS231" s="451"/>
      <c r="BT231" s="452"/>
      <c r="BU231" s="438" t="str">
        <f t="shared" si="334"/>
        <v/>
      </c>
      <c r="BV231" s="328"/>
      <c r="BW231" s="197" t="str">
        <f>IF(AND($I231="x",AND(MAX(BS231:BU231)=BS231,BS231&lt;&gt;"")),Data!$BI$2,"")</f>
        <v/>
      </c>
      <c r="BX231" s="197" t="str">
        <f>IF(AND($J231="x",AND(MAX(BS231:BU231)=BT231,BT231&lt;&gt;"")),Data!$BJ$2,"")</f>
        <v/>
      </c>
      <c r="BY231" s="197" t="str">
        <f>IF(AND($K231="x",AND(MAX(BS231:BU231)=BU231,BU231&lt;&gt;"")),Data!$BK$2,"")</f>
        <v/>
      </c>
      <c r="BZ231" s="197"/>
      <c r="CA231" s="328"/>
      <c r="CB231" s="457" t="str">
        <f t="shared" si="335"/>
        <v/>
      </c>
      <c r="CC231" s="458" t="str">
        <f t="shared" si="336"/>
        <v/>
      </c>
      <c r="CD231" s="459" t="str">
        <f t="shared" si="337"/>
        <v/>
      </c>
      <c r="CE231" s="328"/>
      <c r="CF231" s="197" t="str">
        <f>IF(AND($I231="x",AND(MAX(CB231:CD231)=CB231,CB231&lt;&gt;"")),Data!$BI$2,"")</f>
        <v/>
      </c>
      <c r="CG231" s="197" t="str">
        <f>IF(AND($J231="x",AND(MAX(CB231:CD231)=CC231,CC231&lt;&gt;"")),Data!$BJ$2,"")</f>
        <v/>
      </c>
      <c r="CH231" s="197" t="str">
        <f>IF(AND($K231="x",AND(MAX(CB231:CD231)=CD231,CD231&lt;&gt;"")),Data!$BK$2,"")</f>
        <v/>
      </c>
      <c r="CI231" s="197"/>
      <c r="CJ231" s="197"/>
      <c r="CK231" s="451"/>
      <c r="CL231" s="452"/>
      <c r="CM231" s="438" t="str">
        <f t="shared" si="338"/>
        <v/>
      </c>
      <c r="CN231" s="328"/>
      <c r="CO231" s="197" t="str">
        <f>IF(AND($I231="x",AND(MAX(CK231:CM231)=CK231,CK231&lt;&gt;"")),Data!$BI$2,"")</f>
        <v/>
      </c>
      <c r="CP231" s="197" t="str">
        <f>IF(AND($J231="x",AND(MAX(CK231:CM231)=CL231,CL231&lt;&gt;"")),Data!$BJ$2,"")</f>
        <v/>
      </c>
      <c r="CQ231" s="197" t="str">
        <f>IF(AND($K231="x",AND(MAX(CK231:CM231)=CM231,CM231&lt;&gt;"")),Data!$BK$2,"")</f>
        <v/>
      </c>
      <c r="CR231" s="197"/>
      <c r="CS231" s="197"/>
      <c r="CT231" s="328"/>
      <c r="CU231" s="255"/>
      <c r="CV231" s="209"/>
      <c r="CW231" s="227"/>
    </row>
    <row r="232" spans="1:101" x14ac:dyDescent="0.2">
      <c r="A232" s="227"/>
      <c r="B232" s="227"/>
      <c r="C232" s="168"/>
      <c r="D232" s="232"/>
      <c r="E232" s="135" t="s">
        <v>177</v>
      </c>
      <c r="F232" s="425"/>
      <c r="G232" s="430" t="s">
        <v>51</v>
      </c>
      <c r="H232" s="431"/>
      <c r="I232" s="346" t="str">
        <f t="shared" si="339"/>
        <v/>
      </c>
      <c r="J232" s="347" t="str">
        <f t="shared" si="326"/>
        <v/>
      </c>
      <c r="K232" s="348" t="str">
        <f t="shared" si="327"/>
        <v/>
      </c>
      <c r="L232" s="258"/>
      <c r="M232" s="332"/>
      <c r="N232" s="336"/>
      <c r="O232" s="200"/>
      <c r="P232" s="200"/>
      <c r="Q232" s="439"/>
      <c r="R232" s="440"/>
      <c r="S232" s="441" t="str">
        <f t="shared" si="328"/>
        <v/>
      </c>
      <c r="T232" s="328"/>
      <c r="U232" s="197" t="str">
        <f>IF(AND($I232="x",AND(MAX(Q232:S232)=Q232,Q232&gt;=0)),Data!$BI$2,"")</f>
        <v/>
      </c>
      <c r="V232" s="197" t="str">
        <f>IF(AND($J232="x",AND(MAX(Q232:S232)=R232,R232&gt;=0)),Data!$BJ$2,"")</f>
        <v/>
      </c>
      <c r="W232" s="197" t="str">
        <f>IF(AND($K232="x",AND(MAX(Q232:S232)=S232,S232&gt;=0)),Data!$BK$2,"")</f>
        <v/>
      </c>
      <c r="X232" s="197"/>
      <c r="Y232" s="328"/>
      <c r="Z232" s="453"/>
      <c r="AA232" s="454"/>
      <c r="AB232" s="441" t="str">
        <f t="shared" si="329"/>
        <v/>
      </c>
      <c r="AC232" s="328"/>
      <c r="AD232" s="197" t="str">
        <f>IF(AND($I232="x",AND(MAX(Z232:AB232)=Z232,Z232&lt;&gt;"")),Data!$BI$2,"")</f>
        <v/>
      </c>
      <c r="AE232" s="197" t="str">
        <f>IF(AND($J232="x",AND(MAX(Z232:AB232)=AA232,AA232&lt;&gt;"")),Data!$BJ$2,"")</f>
        <v/>
      </c>
      <c r="AF232" s="197" t="str">
        <f>IF(AND($K232="x",AND(MAX(Z232:AB232)=AB232,AB232&lt;&gt;"")),Data!$BK$2,"")</f>
        <v/>
      </c>
      <c r="AG232" s="197"/>
      <c r="AH232" s="328"/>
      <c r="AI232" s="453"/>
      <c r="AJ232" s="454"/>
      <c r="AK232" s="441" t="str">
        <f t="shared" si="330"/>
        <v/>
      </c>
      <c r="AL232" s="328"/>
      <c r="AM232" s="197" t="str">
        <f>IF(AND($I232="x",AND(MAX(AI232:AK232)=AI232,AI232&lt;&gt;"")),Data!$BI$2,"")</f>
        <v/>
      </c>
      <c r="AN232" s="197" t="str">
        <f>IF(AND($J232="x",AND(MAX(AI232:AK232)=AJ232,AJ232&lt;&gt;"")),Data!$BJ$2,"")</f>
        <v/>
      </c>
      <c r="AO232" s="197" t="str">
        <f>IF(AND($K232="x",AND(MAX(AI232:AK232)=AK232,AK232&lt;&gt;"")),Data!$BK$2,"")</f>
        <v/>
      </c>
      <c r="AP232" s="197"/>
      <c r="AQ232" s="328"/>
      <c r="AR232" s="453"/>
      <c r="AS232" s="454"/>
      <c r="AT232" s="441" t="str">
        <f t="shared" si="331"/>
        <v/>
      </c>
      <c r="AU232" s="328"/>
      <c r="AV232" s="197" t="str">
        <f>IF(AND($I232="x",AND(MAX(AR232:AT232)=AR232,AR232&lt;&gt;"")),Data!$BI$2,"")</f>
        <v/>
      </c>
      <c r="AW232" s="197" t="str">
        <f>IF(AND($J232="x",AND(MAX(AR232:AT232)=AS232,AS232&lt;&gt;"")),Data!$BJ$2,"")</f>
        <v/>
      </c>
      <c r="AX232" s="197" t="str">
        <f>IF(AND($K232="x",AND(MAX(AR232:AT232)=AT232,AT232&lt;&gt;"")),Data!$BK$2,"")</f>
        <v/>
      </c>
      <c r="AY232" s="197"/>
      <c r="AZ232" s="328"/>
      <c r="BA232" s="453"/>
      <c r="BB232" s="454"/>
      <c r="BC232" s="441" t="str">
        <f t="shared" si="332"/>
        <v/>
      </c>
      <c r="BD232" s="328"/>
      <c r="BE232" s="197" t="str">
        <f>IF(AND($I232="x",AND(MAX(BA232:BC232)=BA232,BA232&lt;&gt;"")),Data!$BI$2,"")</f>
        <v/>
      </c>
      <c r="BF232" s="197" t="str">
        <f>IF(AND($J232="x",AND(MAX(BA232:BC232)=BB232,BB232&lt;&gt;"")),Data!$BJ$2,"")</f>
        <v/>
      </c>
      <c r="BG232" s="197" t="str">
        <f>IF(AND($K232="x",AND(MAX(BA232:BC232)=BC232,BC232&lt;&gt;"")),Data!$BK$2,"")</f>
        <v/>
      </c>
      <c r="BH232" s="197"/>
      <c r="BI232" s="328"/>
      <c r="BJ232" s="453"/>
      <c r="BK232" s="454"/>
      <c r="BL232" s="441" t="str">
        <f t="shared" si="333"/>
        <v/>
      </c>
      <c r="BM232" s="328"/>
      <c r="BN232" s="197" t="str">
        <f>IF(AND($I232="x",AND(MAX(BJ232:BL232)=BJ232,BJ232&lt;&gt;"")),Data!$BI$2,"")</f>
        <v/>
      </c>
      <c r="BO232" s="197" t="str">
        <f>IF(AND($J232="x",AND(MAX(BJ232:BL232)=BK232,BK232&lt;&gt;"")),Data!$BJ$2,"")</f>
        <v/>
      </c>
      <c r="BP232" s="197" t="str">
        <f>IF(AND($K232="x",AND(MAX(BJ232:BL232)=BL232,BL232&lt;&gt;"")),Data!$BK$2,"")</f>
        <v/>
      </c>
      <c r="BQ232" s="197"/>
      <c r="BR232" s="328"/>
      <c r="BS232" s="453"/>
      <c r="BT232" s="454"/>
      <c r="BU232" s="441" t="str">
        <f t="shared" si="334"/>
        <v/>
      </c>
      <c r="BV232" s="328"/>
      <c r="BW232" s="197" t="str">
        <f>IF(AND($I232="x",AND(MAX(BS232:BU232)=BS232,BS232&lt;&gt;"")),Data!$BI$2,"")</f>
        <v/>
      </c>
      <c r="BX232" s="197" t="str">
        <f>IF(AND($J232="x",AND(MAX(BS232:BU232)=BT232,BT232&lt;&gt;"")),Data!$BJ$2,"")</f>
        <v/>
      </c>
      <c r="BY232" s="197" t="str">
        <f>IF(AND($K232="x",AND(MAX(BS232:BU232)=BU232,BU232&lt;&gt;"")),Data!$BK$2,"")</f>
        <v/>
      </c>
      <c r="BZ232" s="197"/>
      <c r="CA232" s="328"/>
      <c r="CB232" s="460" t="str">
        <f t="shared" si="335"/>
        <v/>
      </c>
      <c r="CC232" s="461" t="str">
        <f t="shared" si="336"/>
        <v/>
      </c>
      <c r="CD232" s="462" t="str">
        <f t="shared" si="337"/>
        <v/>
      </c>
      <c r="CE232" s="328"/>
      <c r="CF232" s="197" t="str">
        <f>IF(AND($I232="x",AND(MAX(CB232:CD232)=CB232,CB232&lt;&gt;"")),Data!$BI$2,"")</f>
        <v/>
      </c>
      <c r="CG232" s="197" t="str">
        <f>IF(AND($J232="x",AND(MAX(CB232:CD232)=CC232,CC232&lt;&gt;"")),Data!$BJ$2,"")</f>
        <v/>
      </c>
      <c r="CH232" s="197" t="str">
        <f>IF(AND($K232="x",AND(MAX(CB232:CD232)=CD232,CD232&lt;&gt;"")),Data!$BK$2,"")</f>
        <v/>
      </c>
      <c r="CI232" s="197"/>
      <c r="CJ232" s="197"/>
      <c r="CK232" s="453"/>
      <c r="CL232" s="454"/>
      <c r="CM232" s="441" t="str">
        <f t="shared" si="338"/>
        <v/>
      </c>
      <c r="CN232" s="328"/>
      <c r="CO232" s="197" t="str">
        <f>IF(AND($I232="x",AND(MAX(CK232:CM232)=CK232,CK232&lt;&gt;"")),Data!$BI$2,"")</f>
        <v/>
      </c>
      <c r="CP232" s="197" t="str">
        <f>IF(AND($J232="x",AND(MAX(CK232:CM232)=CL232,CL232&lt;&gt;"")),Data!$BJ$2,"")</f>
        <v/>
      </c>
      <c r="CQ232" s="197" t="str">
        <f>IF(AND($K232="x",AND(MAX(CK232:CM232)=CM232,CM232&lt;&gt;"")),Data!$BK$2,"")</f>
        <v/>
      </c>
      <c r="CR232" s="197"/>
      <c r="CS232" s="197"/>
      <c r="CT232" s="328"/>
      <c r="CU232" s="255"/>
      <c r="CV232" s="209"/>
      <c r="CW232" s="227"/>
    </row>
    <row r="233" spans="1:101" x14ac:dyDescent="0.2">
      <c r="A233" s="227"/>
      <c r="B233" s="227"/>
      <c r="C233" s="168"/>
      <c r="D233" s="232"/>
      <c r="E233" s="136" t="s">
        <v>178</v>
      </c>
      <c r="F233" s="426"/>
      <c r="G233" s="432" t="s">
        <v>51</v>
      </c>
      <c r="H233" s="433"/>
      <c r="I233" s="349" t="str">
        <f t="shared" si="339"/>
        <v/>
      </c>
      <c r="J233" s="350" t="str">
        <f t="shared" si="326"/>
        <v/>
      </c>
      <c r="K233" s="351" t="str">
        <f t="shared" si="327"/>
        <v/>
      </c>
      <c r="L233" s="258"/>
      <c r="M233" s="332"/>
      <c r="N233" s="336"/>
      <c r="O233" s="200"/>
      <c r="P233" s="200"/>
      <c r="Q233" s="445"/>
      <c r="R233" s="446"/>
      <c r="S233" s="447" t="str">
        <f t="shared" si="328"/>
        <v/>
      </c>
      <c r="T233" s="328"/>
      <c r="U233" s="197" t="str">
        <f>IF(AND($I233="x",AND(MAX(Q233:S233)=Q233,Q233&gt;=0)),Data!$BI$2,"")</f>
        <v/>
      </c>
      <c r="V233" s="197" t="str">
        <f>IF(AND($J233="x",AND(MAX(Q233:S233)=R233,R233&gt;=0)),Data!$BJ$2,"")</f>
        <v/>
      </c>
      <c r="W233" s="197" t="str">
        <f>IF(AND($K233="x",AND(MAX(Q233:S233)=S233,S233&gt;=0)),Data!$BK$2,"")</f>
        <v/>
      </c>
      <c r="X233" s="197"/>
      <c r="Y233" s="328"/>
      <c r="Z233" s="455"/>
      <c r="AA233" s="456"/>
      <c r="AB233" s="447" t="str">
        <f t="shared" si="329"/>
        <v/>
      </c>
      <c r="AC233" s="328"/>
      <c r="AD233" s="197" t="str">
        <f>IF(AND($I233="x",AND(MAX(Z233:AB233)=Z233,Z233&lt;&gt;"")),Data!$BI$2,"")</f>
        <v/>
      </c>
      <c r="AE233" s="197" t="str">
        <f>IF(AND($J233="x",AND(MAX(Z233:AB233)=AA233,AA233&lt;&gt;"")),Data!$BJ$2,"")</f>
        <v/>
      </c>
      <c r="AF233" s="197" t="str">
        <f>IF(AND($K233="x",AND(MAX(Z233:AB233)=AB233,AB233&lt;&gt;"")),Data!$BK$2,"")</f>
        <v/>
      </c>
      <c r="AG233" s="197"/>
      <c r="AH233" s="328"/>
      <c r="AI233" s="455"/>
      <c r="AJ233" s="456"/>
      <c r="AK233" s="447" t="str">
        <f t="shared" si="330"/>
        <v/>
      </c>
      <c r="AL233" s="328"/>
      <c r="AM233" s="197" t="str">
        <f>IF(AND($I233="x",AND(MAX(AI233:AK233)=AI233,AI233&lt;&gt;"")),Data!$BI$2,"")</f>
        <v/>
      </c>
      <c r="AN233" s="197" t="str">
        <f>IF(AND($J233="x",AND(MAX(AI233:AK233)=AJ233,AJ233&lt;&gt;"")),Data!$BJ$2,"")</f>
        <v/>
      </c>
      <c r="AO233" s="197" t="str">
        <f>IF(AND($K233="x",AND(MAX(AI233:AK233)=AK233,AK233&lt;&gt;"")),Data!$BK$2,"")</f>
        <v/>
      </c>
      <c r="AP233" s="197"/>
      <c r="AQ233" s="328"/>
      <c r="AR233" s="455"/>
      <c r="AS233" s="456"/>
      <c r="AT233" s="447" t="str">
        <f t="shared" si="331"/>
        <v/>
      </c>
      <c r="AU233" s="328"/>
      <c r="AV233" s="197" t="str">
        <f>IF(AND($I233="x",AND(MAX(AR233:AT233)=AR233,AR233&lt;&gt;"")),Data!$BI$2,"")</f>
        <v/>
      </c>
      <c r="AW233" s="197" t="str">
        <f>IF(AND($J233="x",AND(MAX(AR233:AT233)=AS233,AS233&lt;&gt;"")),Data!$BJ$2,"")</f>
        <v/>
      </c>
      <c r="AX233" s="197" t="str">
        <f>IF(AND($K233="x",AND(MAX(AR233:AT233)=AT233,AT233&lt;&gt;"")),Data!$BK$2,"")</f>
        <v/>
      </c>
      <c r="AY233" s="197"/>
      <c r="AZ233" s="328"/>
      <c r="BA233" s="455"/>
      <c r="BB233" s="456"/>
      <c r="BC233" s="447" t="str">
        <f t="shared" si="332"/>
        <v/>
      </c>
      <c r="BD233" s="328"/>
      <c r="BE233" s="197" t="str">
        <f>IF(AND($I233="x",AND(MAX(BA233:BC233)=BA233,BA233&lt;&gt;"")),Data!$BI$2,"")</f>
        <v/>
      </c>
      <c r="BF233" s="197" t="str">
        <f>IF(AND($J233="x",AND(MAX(BA233:BC233)=BB233,BB233&lt;&gt;"")),Data!$BJ$2,"")</f>
        <v/>
      </c>
      <c r="BG233" s="197" t="str">
        <f>IF(AND($K233="x",AND(MAX(BA233:BC233)=BC233,BC233&lt;&gt;"")),Data!$BK$2,"")</f>
        <v/>
      </c>
      <c r="BH233" s="197"/>
      <c r="BI233" s="328"/>
      <c r="BJ233" s="455"/>
      <c r="BK233" s="456"/>
      <c r="BL233" s="447" t="str">
        <f t="shared" si="333"/>
        <v/>
      </c>
      <c r="BM233" s="328"/>
      <c r="BN233" s="197" t="str">
        <f>IF(AND($I233="x",AND(MAX(BJ233:BL233)=BJ233,BJ233&lt;&gt;"")),Data!$BI$2,"")</f>
        <v/>
      </c>
      <c r="BO233" s="197" t="str">
        <f>IF(AND($J233="x",AND(MAX(BJ233:BL233)=BK233,BK233&lt;&gt;"")),Data!$BJ$2,"")</f>
        <v/>
      </c>
      <c r="BP233" s="197" t="str">
        <f>IF(AND($K233="x",AND(MAX(BJ233:BL233)=BL233,BL233&lt;&gt;"")),Data!$BK$2,"")</f>
        <v/>
      </c>
      <c r="BQ233" s="197"/>
      <c r="BR233" s="328"/>
      <c r="BS233" s="455"/>
      <c r="BT233" s="456"/>
      <c r="BU233" s="447" t="str">
        <f t="shared" si="334"/>
        <v/>
      </c>
      <c r="BV233" s="328"/>
      <c r="BW233" s="197" t="str">
        <f>IF(AND($I233="x",AND(MAX(BS233:BU233)=BS233,BS233&lt;&gt;"")),Data!$BI$2,"")</f>
        <v/>
      </c>
      <c r="BX233" s="197" t="str">
        <f>IF(AND($J233="x",AND(MAX(BS233:BU233)=BT233,BT233&lt;&gt;"")),Data!$BJ$2,"")</f>
        <v/>
      </c>
      <c r="BY233" s="197" t="str">
        <f>IF(AND($K233="x",AND(MAX(BS233:BU233)=BU233,BU233&lt;&gt;"")),Data!$BK$2,"")</f>
        <v/>
      </c>
      <c r="BZ233" s="197"/>
      <c r="CA233" s="328"/>
      <c r="CB233" s="463" t="str">
        <f t="shared" si="335"/>
        <v/>
      </c>
      <c r="CC233" s="464" t="str">
        <f t="shared" si="336"/>
        <v/>
      </c>
      <c r="CD233" s="465" t="str">
        <f t="shared" si="337"/>
        <v/>
      </c>
      <c r="CE233" s="328"/>
      <c r="CF233" s="197" t="str">
        <f>IF(AND($I233="x",AND(MAX(CB233:CD233)=CB233,CB233&lt;&gt;"")),Data!$BI$2,"")</f>
        <v/>
      </c>
      <c r="CG233" s="197" t="str">
        <f>IF(AND($J233="x",AND(MAX(CB233:CD233)=CC233,CC233&lt;&gt;"")),Data!$BJ$2,"")</f>
        <v/>
      </c>
      <c r="CH233" s="197" t="str">
        <f>IF(AND($K233="x",AND(MAX(CB233:CD233)=CD233,CD233&lt;&gt;"")),Data!$BK$2,"")</f>
        <v/>
      </c>
      <c r="CI233" s="197"/>
      <c r="CJ233" s="197"/>
      <c r="CK233" s="455"/>
      <c r="CL233" s="456"/>
      <c r="CM233" s="447" t="str">
        <f t="shared" si="338"/>
        <v/>
      </c>
      <c r="CN233" s="328"/>
      <c r="CO233" s="197" t="str">
        <f>IF(AND($I233="x",AND(MAX(CK233:CM233)=CK233,CK233&lt;&gt;"")),Data!$BI$2,"")</f>
        <v/>
      </c>
      <c r="CP233" s="197" t="str">
        <f>IF(AND($J233="x",AND(MAX(CK233:CM233)=CL233,CL233&lt;&gt;"")),Data!$BJ$2,"")</f>
        <v/>
      </c>
      <c r="CQ233" s="197" t="str">
        <f>IF(AND($K233="x",AND(MAX(CK233:CM233)=CM233,CM233&lt;&gt;"")),Data!$BK$2,"")</f>
        <v/>
      </c>
      <c r="CR233" s="197"/>
      <c r="CS233" s="197"/>
      <c r="CT233" s="328"/>
      <c r="CU233" s="255"/>
      <c r="CV233" s="209"/>
      <c r="CW233" s="227"/>
    </row>
    <row r="234" spans="1:101" x14ac:dyDescent="0.2">
      <c r="A234" s="227"/>
      <c r="B234" s="227"/>
      <c r="C234" s="168"/>
      <c r="D234" s="232"/>
      <c r="E234" s="134" t="s">
        <v>179</v>
      </c>
      <c r="F234" s="424"/>
      <c r="G234" s="428" t="s">
        <v>51</v>
      </c>
      <c r="H234" s="429"/>
      <c r="I234" s="138" t="str">
        <f t="shared" si="339"/>
        <v/>
      </c>
      <c r="J234" s="344" t="str">
        <f t="shared" si="326"/>
        <v/>
      </c>
      <c r="K234" s="345" t="str">
        <f t="shared" si="327"/>
        <v/>
      </c>
      <c r="L234" s="258"/>
      <c r="M234" s="332"/>
      <c r="N234" s="336"/>
      <c r="O234" s="200"/>
      <c r="P234" s="200"/>
      <c r="Q234" s="436"/>
      <c r="R234" s="437"/>
      <c r="S234" s="438" t="str">
        <f t="shared" si="328"/>
        <v/>
      </c>
      <c r="T234" s="328"/>
      <c r="U234" s="197" t="str">
        <f>IF(AND($I234="x",AND(MAX(Q234:S234)=Q234,Q234&gt;=0)),Data!$BI$2,"")</f>
        <v/>
      </c>
      <c r="V234" s="197" t="str">
        <f>IF(AND($J234="x",AND(MAX(Q234:S234)=R234,R234&gt;=0)),Data!$BJ$2,"")</f>
        <v/>
      </c>
      <c r="W234" s="197" t="str">
        <f>IF(AND($K234="x",AND(MAX(Q234:S234)=S234,S234&gt;=0)),Data!$BK$2,"")</f>
        <v/>
      </c>
      <c r="X234" s="197"/>
      <c r="Y234" s="328"/>
      <c r="Z234" s="451"/>
      <c r="AA234" s="452"/>
      <c r="AB234" s="438" t="str">
        <f t="shared" si="329"/>
        <v/>
      </c>
      <c r="AC234" s="328"/>
      <c r="AD234" s="197" t="str">
        <f>IF(AND($I234="x",AND(MAX(Z234:AB234)=Z234,Z234&lt;&gt;"")),Data!$BI$2,"")</f>
        <v/>
      </c>
      <c r="AE234" s="197" t="str">
        <f>IF(AND($J234="x",AND(MAX(Z234:AB234)=AA234,AA234&lt;&gt;"")),Data!$BJ$2,"")</f>
        <v/>
      </c>
      <c r="AF234" s="197" t="str">
        <f>IF(AND($K234="x",AND(MAX(Z234:AB234)=AB234,AB234&lt;&gt;"")),Data!$BK$2,"")</f>
        <v/>
      </c>
      <c r="AG234" s="197"/>
      <c r="AH234" s="328"/>
      <c r="AI234" s="451"/>
      <c r="AJ234" s="452"/>
      <c r="AK234" s="438" t="str">
        <f t="shared" si="330"/>
        <v/>
      </c>
      <c r="AL234" s="328"/>
      <c r="AM234" s="197" t="str">
        <f>IF(AND($I234="x",AND(MAX(AI234:AK234)=AI234,AI234&lt;&gt;"")),Data!$BI$2,"")</f>
        <v/>
      </c>
      <c r="AN234" s="197" t="str">
        <f>IF(AND($J234="x",AND(MAX(AI234:AK234)=AJ234,AJ234&lt;&gt;"")),Data!$BJ$2,"")</f>
        <v/>
      </c>
      <c r="AO234" s="197" t="str">
        <f>IF(AND($K234="x",AND(MAX(AI234:AK234)=AK234,AK234&lt;&gt;"")),Data!$BK$2,"")</f>
        <v/>
      </c>
      <c r="AP234" s="197"/>
      <c r="AQ234" s="328"/>
      <c r="AR234" s="451"/>
      <c r="AS234" s="452"/>
      <c r="AT234" s="438" t="str">
        <f t="shared" si="331"/>
        <v/>
      </c>
      <c r="AU234" s="328"/>
      <c r="AV234" s="197" t="str">
        <f>IF(AND($I234="x",AND(MAX(AR234:AT234)=AR234,AR234&lt;&gt;"")),Data!$BI$2,"")</f>
        <v/>
      </c>
      <c r="AW234" s="197" t="str">
        <f>IF(AND($J234="x",AND(MAX(AR234:AT234)=AS234,AS234&lt;&gt;"")),Data!$BJ$2,"")</f>
        <v/>
      </c>
      <c r="AX234" s="197" t="str">
        <f>IF(AND($K234="x",AND(MAX(AR234:AT234)=AT234,AT234&lt;&gt;"")),Data!$BK$2,"")</f>
        <v/>
      </c>
      <c r="AY234" s="197"/>
      <c r="AZ234" s="328"/>
      <c r="BA234" s="451"/>
      <c r="BB234" s="452"/>
      <c r="BC234" s="438" t="str">
        <f t="shared" si="332"/>
        <v/>
      </c>
      <c r="BD234" s="328"/>
      <c r="BE234" s="197" t="str">
        <f>IF(AND($I234="x",AND(MAX(BA234:BC234)=BA234,BA234&lt;&gt;"")),Data!$BI$2,"")</f>
        <v/>
      </c>
      <c r="BF234" s="197" t="str">
        <f>IF(AND($J234="x",AND(MAX(BA234:BC234)=BB234,BB234&lt;&gt;"")),Data!$BJ$2,"")</f>
        <v/>
      </c>
      <c r="BG234" s="197" t="str">
        <f>IF(AND($K234="x",AND(MAX(BA234:BC234)=BC234,BC234&lt;&gt;"")),Data!$BK$2,"")</f>
        <v/>
      </c>
      <c r="BH234" s="197"/>
      <c r="BI234" s="328"/>
      <c r="BJ234" s="451"/>
      <c r="BK234" s="452"/>
      <c r="BL234" s="438" t="str">
        <f t="shared" si="333"/>
        <v/>
      </c>
      <c r="BM234" s="328"/>
      <c r="BN234" s="197" t="str">
        <f>IF(AND($I234="x",AND(MAX(BJ234:BL234)=BJ234,BJ234&lt;&gt;"")),Data!$BI$2,"")</f>
        <v/>
      </c>
      <c r="BO234" s="197" t="str">
        <f>IF(AND($J234="x",AND(MAX(BJ234:BL234)=BK234,BK234&lt;&gt;"")),Data!$BJ$2,"")</f>
        <v/>
      </c>
      <c r="BP234" s="197" t="str">
        <f>IF(AND($K234="x",AND(MAX(BJ234:BL234)=BL234,BL234&lt;&gt;"")),Data!$BK$2,"")</f>
        <v/>
      </c>
      <c r="BQ234" s="197"/>
      <c r="BR234" s="328"/>
      <c r="BS234" s="451"/>
      <c r="BT234" s="452"/>
      <c r="BU234" s="438" t="str">
        <f t="shared" si="334"/>
        <v/>
      </c>
      <c r="BV234" s="328"/>
      <c r="BW234" s="197" t="str">
        <f>IF(AND($I234="x",AND(MAX(BS234:BU234)=BS234,BS234&lt;&gt;"")),Data!$BI$2,"")</f>
        <v/>
      </c>
      <c r="BX234" s="197" t="str">
        <f>IF(AND($J234="x",AND(MAX(BS234:BU234)=BT234,BT234&lt;&gt;"")),Data!$BJ$2,"")</f>
        <v/>
      </c>
      <c r="BY234" s="197" t="str">
        <f>IF(AND($K234="x",AND(MAX(BS234:BU234)=BU234,BU234&lt;&gt;"")),Data!$BK$2,"")</f>
        <v/>
      </c>
      <c r="BZ234" s="197"/>
      <c r="CA234" s="328"/>
      <c r="CB234" s="457" t="str">
        <f t="shared" si="335"/>
        <v/>
      </c>
      <c r="CC234" s="458" t="str">
        <f t="shared" si="336"/>
        <v/>
      </c>
      <c r="CD234" s="459" t="str">
        <f t="shared" si="337"/>
        <v/>
      </c>
      <c r="CE234" s="328"/>
      <c r="CF234" s="197" t="str">
        <f>IF(AND($I234="x",AND(MAX(CB234:CD234)=CB234,CB234&lt;&gt;"")),Data!$BI$2,"")</f>
        <v/>
      </c>
      <c r="CG234" s="197" t="str">
        <f>IF(AND($J234="x",AND(MAX(CB234:CD234)=CC234,CC234&lt;&gt;"")),Data!$BJ$2,"")</f>
        <v/>
      </c>
      <c r="CH234" s="197" t="str">
        <f>IF(AND($K234="x",AND(MAX(CB234:CD234)=CD234,CD234&lt;&gt;"")),Data!$BK$2,"")</f>
        <v/>
      </c>
      <c r="CI234" s="197"/>
      <c r="CJ234" s="197"/>
      <c r="CK234" s="451"/>
      <c r="CL234" s="452"/>
      <c r="CM234" s="438" t="str">
        <f t="shared" si="338"/>
        <v/>
      </c>
      <c r="CN234" s="328"/>
      <c r="CO234" s="197" t="str">
        <f>IF(AND($I234="x",AND(MAX(CK234:CM234)=CK234,CK234&lt;&gt;"")),Data!$BI$2,"")</f>
        <v/>
      </c>
      <c r="CP234" s="197" t="str">
        <f>IF(AND($J234="x",AND(MAX(CK234:CM234)=CL234,CL234&lt;&gt;"")),Data!$BJ$2,"")</f>
        <v/>
      </c>
      <c r="CQ234" s="197" t="str">
        <f>IF(AND($K234="x",AND(MAX(CK234:CM234)=CM234,CM234&lt;&gt;"")),Data!$BK$2,"")</f>
        <v/>
      </c>
      <c r="CR234" s="197"/>
      <c r="CS234" s="197"/>
      <c r="CT234" s="328"/>
      <c r="CU234" s="259"/>
      <c r="CV234" s="209"/>
      <c r="CW234" s="227"/>
    </row>
    <row r="235" spans="1:101" x14ac:dyDescent="0.2">
      <c r="A235" s="227"/>
      <c r="B235" s="227"/>
      <c r="C235" s="168"/>
      <c r="D235" s="232"/>
      <c r="E235" s="135" t="s">
        <v>180</v>
      </c>
      <c r="F235" s="425"/>
      <c r="G235" s="430" t="s">
        <v>51</v>
      </c>
      <c r="H235" s="431"/>
      <c r="I235" s="346" t="str">
        <f t="shared" si="339"/>
        <v/>
      </c>
      <c r="J235" s="347" t="str">
        <f t="shared" si="326"/>
        <v/>
      </c>
      <c r="K235" s="348" t="str">
        <f t="shared" si="327"/>
        <v/>
      </c>
      <c r="L235" s="258"/>
      <c r="M235" s="332"/>
      <c r="N235" s="336"/>
      <c r="O235" s="200"/>
      <c r="P235" s="200"/>
      <c r="Q235" s="439"/>
      <c r="R235" s="440"/>
      <c r="S235" s="441" t="str">
        <f t="shared" si="328"/>
        <v/>
      </c>
      <c r="T235" s="328"/>
      <c r="U235" s="197" t="str">
        <f>IF(AND($I235="x",AND(MAX(Q235:S235)=Q235,Q235&gt;=0)),Data!$BI$2,"")</f>
        <v/>
      </c>
      <c r="V235" s="197" t="str">
        <f>IF(AND($J235="x",AND(MAX(Q235:S235)=R235,R235&gt;=0)),Data!$BJ$2,"")</f>
        <v/>
      </c>
      <c r="W235" s="197" t="str">
        <f>IF(AND($K235="x",AND(MAX(Q235:S235)=S235,S235&gt;=0)),Data!$BK$2,"")</f>
        <v/>
      </c>
      <c r="X235" s="197"/>
      <c r="Y235" s="328"/>
      <c r="Z235" s="453"/>
      <c r="AA235" s="454"/>
      <c r="AB235" s="441" t="str">
        <f t="shared" si="329"/>
        <v/>
      </c>
      <c r="AC235" s="328"/>
      <c r="AD235" s="197" t="str">
        <f>IF(AND($I235="x",AND(MAX(Z235:AB235)=Z235,Z235&lt;&gt;"")),Data!$BI$2,"")</f>
        <v/>
      </c>
      <c r="AE235" s="197" t="str">
        <f>IF(AND($J235="x",AND(MAX(Z235:AB235)=AA235,AA235&lt;&gt;"")),Data!$BJ$2,"")</f>
        <v/>
      </c>
      <c r="AF235" s="197" t="str">
        <f>IF(AND($K235="x",AND(MAX(Z235:AB235)=AB235,AB235&lt;&gt;"")),Data!$BK$2,"")</f>
        <v/>
      </c>
      <c r="AG235" s="197"/>
      <c r="AH235" s="328"/>
      <c r="AI235" s="453"/>
      <c r="AJ235" s="454"/>
      <c r="AK235" s="441" t="str">
        <f t="shared" si="330"/>
        <v/>
      </c>
      <c r="AL235" s="328"/>
      <c r="AM235" s="197" t="str">
        <f>IF(AND($I235="x",AND(MAX(AI235:AK235)=AI235,AI235&lt;&gt;"")),Data!$BI$2,"")</f>
        <v/>
      </c>
      <c r="AN235" s="197" t="str">
        <f>IF(AND($J235="x",AND(MAX(AI235:AK235)=AJ235,AJ235&lt;&gt;"")),Data!$BJ$2,"")</f>
        <v/>
      </c>
      <c r="AO235" s="197" t="str">
        <f>IF(AND($K235="x",AND(MAX(AI235:AK235)=AK235,AK235&lt;&gt;"")),Data!$BK$2,"")</f>
        <v/>
      </c>
      <c r="AP235" s="197"/>
      <c r="AQ235" s="328"/>
      <c r="AR235" s="453"/>
      <c r="AS235" s="454"/>
      <c r="AT235" s="441" t="str">
        <f t="shared" si="331"/>
        <v/>
      </c>
      <c r="AU235" s="328"/>
      <c r="AV235" s="197" t="str">
        <f>IF(AND($I235="x",AND(MAX(AR235:AT235)=AR235,AR235&lt;&gt;"")),Data!$BI$2,"")</f>
        <v/>
      </c>
      <c r="AW235" s="197" t="str">
        <f>IF(AND($J235="x",AND(MAX(AR235:AT235)=AS235,AS235&lt;&gt;"")),Data!$BJ$2,"")</f>
        <v/>
      </c>
      <c r="AX235" s="197" t="str">
        <f>IF(AND($K235="x",AND(MAX(AR235:AT235)=AT235,AT235&lt;&gt;"")),Data!$BK$2,"")</f>
        <v/>
      </c>
      <c r="AY235" s="197"/>
      <c r="AZ235" s="328"/>
      <c r="BA235" s="453"/>
      <c r="BB235" s="454"/>
      <c r="BC235" s="441" t="str">
        <f t="shared" si="332"/>
        <v/>
      </c>
      <c r="BD235" s="328"/>
      <c r="BE235" s="197" t="str">
        <f>IF(AND($I235="x",AND(MAX(BA235:BC235)=BA235,BA235&lt;&gt;"")),Data!$BI$2,"")</f>
        <v/>
      </c>
      <c r="BF235" s="197" t="str">
        <f>IF(AND($J235="x",AND(MAX(BA235:BC235)=BB235,BB235&lt;&gt;"")),Data!$BJ$2,"")</f>
        <v/>
      </c>
      <c r="BG235" s="197" t="str">
        <f>IF(AND($K235="x",AND(MAX(BA235:BC235)=BC235,BC235&lt;&gt;"")),Data!$BK$2,"")</f>
        <v/>
      </c>
      <c r="BH235" s="197"/>
      <c r="BI235" s="328"/>
      <c r="BJ235" s="453"/>
      <c r="BK235" s="454"/>
      <c r="BL235" s="441" t="str">
        <f t="shared" si="333"/>
        <v/>
      </c>
      <c r="BM235" s="328"/>
      <c r="BN235" s="197" t="str">
        <f>IF(AND($I235="x",AND(MAX(BJ235:BL235)=BJ235,BJ235&lt;&gt;"")),Data!$BI$2,"")</f>
        <v/>
      </c>
      <c r="BO235" s="197" t="str">
        <f>IF(AND($J235="x",AND(MAX(BJ235:BL235)=BK235,BK235&lt;&gt;"")),Data!$BJ$2,"")</f>
        <v/>
      </c>
      <c r="BP235" s="197" t="str">
        <f>IF(AND($K235="x",AND(MAX(BJ235:BL235)=BL235,BL235&lt;&gt;"")),Data!$BK$2,"")</f>
        <v/>
      </c>
      <c r="BQ235" s="197"/>
      <c r="BR235" s="328"/>
      <c r="BS235" s="453"/>
      <c r="BT235" s="454"/>
      <c r="BU235" s="441" t="str">
        <f t="shared" si="334"/>
        <v/>
      </c>
      <c r="BV235" s="328"/>
      <c r="BW235" s="197" t="str">
        <f>IF(AND($I235="x",AND(MAX(BS235:BU235)=BS235,BS235&lt;&gt;"")),Data!$BI$2,"")</f>
        <v/>
      </c>
      <c r="BX235" s="197" t="str">
        <f>IF(AND($J235="x",AND(MAX(BS235:BU235)=BT235,BT235&lt;&gt;"")),Data!$BJ$2,"")</f>
        <v/>
      </c>
      <c r="BY235" s="197" t="str">
        <f>IF(AND($K235="x",AND(MAX(BS235:BU235)=BU235,BU235&lt;&gt;"")),Data!$BK$2,"")</f>
        <v/>
      </c>
      <c r="BZ235" s="197"/>
      <c r="CA235" s="328"/>
      <c r="CB235" s="460" t="str">
        <f t="shared" si="335"/>
        <v/>
      </c>
      <c r="CC235" s="461" t="str">
        <f t="shared" si="336"/>
        <v/>
      </c>
      <c r="CD235" s="462" t="str">
        <f t="shared" si="337"/>
        <v/>
      </c>
      <c r="CE235" s="328"/>
      <c r="CF235" s="197" t="str">
        <f>IF(AND($I235="x",AND(MAX(CB235:CD235)=CB235,CB235&lt;&gt;"")),Data!$BI$2,"")</f>
        <v/>
      </c>
      <c r="CG235" s="197" t="str">
        <f>IF(AND($J235="x",AND(MAX(CB235:CD235)=CC235,CC235&lt;&gt;"")),Data!$BJ$2,"")</f>
        <v/>
      </c>
      <c r="CH235" s="197" t="str">
        <f>IF(AND($K235="x",AND(MAX(CB235:CD235)=CD235,CD235&lt;&gt;"")),Data!$BK$2,"")</f>
        <v/>
      </c>
      <c r="CI235" s="197"/>
      <c r="CJ235" s="197"/>
      <c r="CK235" s="453"/>
      <c r="CL235" s="454"/>
      <c r="CM235" s="441" t="str">
        <f t="shared" si="338"/>
        <v/>
      </c>
      <c r="CN235" s="328"/>
      <c r="CO235" s="197" t="str">
        <f>IF(AND($I235="x",AND(MAX(CK235:CM235)=CK235,CK235&lt;&gt;"")),Data!$BI$2,"")</f>
        <v/>
      </c>
      <c r="CP235" s="197" t="str">
        <f>IF(AND($J235="x",AND(MAX(CK235:CM235)=CL235,CL235&lt;&gt;"")),Data!$BJ$2,"")</f>
        <v/>
      </c>
      <c r="CQ235" s="197" t="str">
        <f>IF(AND($K235="x",AND(MAX(CK235:CM235)=CM235,CM235&lt;&gt;"")),Data!$BK$2,"")</f>
        <v/>
      </c>
      <c r="CR235" s="197"/>
      <c r="CS235" s="197"/>
      <c r="CT235" s="328"/>
      <c r="CU235" s="259"/>
      <c r="CV235" s="209"/>
      <c r="CW235" s="227"/>
    </row>
    <row r="236" spans="1:101" x14ac:dyDescent="0.2">
      <c r="A236" s="227"/>
      <c r="B236" s="227"/>
      <c r="C236" s="168"/>
      <c r="D236" s="232"/>
      <c r="E236" s="136" t="s">
        <v>181</v>
      </c>
      <c r="F236" s="426"/>
      <c r="G236" s="432" t="s">
        <v>51</v>
      </c>
      <c r="H236" s="433"/>
      <c r="I236" s="349" t="str">
        <f t="shared" si="339"/>
        <v/>
      </c>
      <c r="J236" s="350" t="str">
        <f t="shared" si="326"/>
        <v/>
      </c>
      <c r="K236" s="351" t="str">
        <f t="shared" si="327"/>
        <v/>
      </c>
      <c r="L236" s="258"/>
      <c r="M236" s="332"/>
      <c r="N236" s="336"/>
      <c r="O236" s="200"/>
      <c r="P236" s="200"/>
      <c r="Q236" s="445"/>
      <c r="R236" s="446"/>
      <c r="S236" s="447" t="str">
        <f t="shared" si="328"/>
        <v/>
      </c>
      <c r="T236" s="328"/>
      <c r="U236" s="197" t="str">
        <f>IF(AND($I236="x",AND(MAX(Q236:S236)=Q236,Q236&gt;=0)),Data!$BI$2,"")</f>
        <v/>
      </c>
      <c r="V236" s="197" t="str">
        <f>IF(AND($J236="x",AND(MAX(Q236:S236)=R236,R236&gt;=0)),Data!$BJ$2,"")</f>
        <v/>
      </c>
      <c r="W236" s="197" t="str">
        <f>IF(AND($K236="x",AND(MAX(Q236:S236)=S236,S236&gt;=0)),Data!$BK$2,"")</f>
        <v/>
      </c>
      <c r="X236" s="197"/>
      <c r="Y236" s="328"/>
      <c r="Z236" s="455"/>
      <c r="AA236" s="456"/>
      <c r="AB236" s="447" t="str">
        <f t="shared" si="329"/>
        <v/>
      </c>
      <c r="AC236" s="328"/>
      <c r="AD236" s="197" t="str">
        <f>IF(AND($I236="x",AND(MAX(Z236:AB236)=Z236,Z236&lt;&gt;"")),Data!$BI$2,"")</f>
        <v/>
      </c>
      <c r="AE236" s="197" t="str">
        <f>IF(AND($J236="x",AND(MAX(Z236:AB236)=AA236,AA236&lt;&gt;"")),Data!$BJ$2,"")</f>
        <v/>
      </c>
      <c r="AF236" s="197" t="str">
        <f>IF(AND($K236="x",AND(MAX(Z236:AB236)=AB236,AB236&lt;&gt;"")),Data!$BK$2,"")</f>
        <v/>
      </c>
      <c r="AG236" s="197"/>
      <c r="AH236" s="328"/>
      <c r="AI236" s="455"/>
      <c r="AJ236" s="456"/>
      <c r="AK236" s="447" t="str">
        <f t="shared" si="330"/>
        <v/>
      </c>
      <c r="AL236" s="328"/>
      <c r="AM236" s="197" t="str">
        <f>IF(AND($I236="x",AND(MAX(AI236:AK236)=AI236,AI236&lt;&gt;"")),Data!$BI$2,"")</f>
        <v/>
      </c>
      <c r="AN236" s="197" t="str">
        <f>IF(AND($J236="x",AND(MAX(AI236:AK236)=AJ236,AJ236&lt;&gt;"")),Data!$BJ$2,"")</f>
        <v/>
      </c>
      <c r="AO236" s="197" t="str">
        <f>IF(AND($K236="x",AND(MAX(AI236:AK236)=AK236,AK236&lt;&gt;"")),Data!$BK$2,"")</f>
        <v/>
      </c>
      <c r="AP236" s="197"/>
      <c r="AQ236" s="328"/>
      <c r="AR236" s="455"/>
      <c r="AS236" s="456"/>
      <c r="AT236" s="447" t="str">
        <f t="shared" si="331"/>
        <v/>
      </c>
      <c r="AU236" s="328"/>
      <c r="AV236" s="197" t="str">
        <f>IF(AND($I236="x",AND(MAX(AR236:AT236)=AR236,AR236&lt;&gt;"")),Data!$BI$2,"")</f>
        <v/>
      </c>
      <c r="AW236" s="197" t="str">
        <f>IF(AND($J236="x",AND(MAX(AR236:AT236)=AS236,AS236&lt;&gt;"")),Data!$BJ$2,"")</f>
        <v/>
      </c>
      <c r="AX236" s="197" t="str">
        <f>IF(AND($K236="x",AND(MAX(AR236:AT236)=AT236,AT236&lt;&gt;"")),Data!$BK$2,"")</f>
        <v/>
      </c>
      <c r="AY236" s="197"/>
      <c r="AZ236" s="328"/>
      <c r="BA236" s="455"/>
      <c r="BB236" s="456"/>
      <c r="BC236" s="447" t="str">
        <f t="shared" si="332"/>
        <v/>
      </c>
      <c r="BD236" s="328"/>
      <c r="BE236" s="197" t="str">
        <f>IF(AND($I236="x",AND(MAX(BA236:BC236)=BA236,BA236&lt;&gt;"")),Data!$BI$2,"")</f>
        <v/>
      </c>
      <c r="BF236" s="197" t="str">
        <f>IF(AND($J236="x",AND(MAX(BA236:BC236)=BB236,BB236&lt;&gt;"")),Data!$BJ$2,"")</f>
        <v/>
      </c>
      <c r="BG236" s="197" t="str">
        <f>IF(AND($K236="x",AND(MAX(BA236:BC236)=BC236,BC236&lt;&gt;"")),Data!$BK$2,"")</f>
        <v/>
      </c>
      <c r="BH236" s="197"/>
      <c r="BI236" s="328"/>
      <c r="BJ236" s="455"/>
      <c r="BK236" s="456"/>
      <c r="BL236" s="447" t="str">
        <f t="shared" si="333"/>
        <v/>
      </c>
      <c r="BM236" s="328"/>
      <c r="BN236" s="197" t="str">
        <f>IF(AND($I236="x",AND(MAX(BJ236:BL236)=BJ236,BJ236&lt;&gt;"")),Data!$BI$2,"")</f>
        <v/>
      </c>
      <c r="BO236" s="197" t="str">
        <f>IF(AND($J236="x",AND(MAX(BJ236:BL236)=BK236,BK236&lt;&gt;"")),Data!$BJ$2,"")</f>
        <v/>
      </c>
      <c r="BP236" s="197" t="str">
        <f>IF(AND($K236="x",AND(MAX(BJ236:BL236)=BL236,BL236&lt;&gt;"")),Data!$BK$2,"")</f>
        <v/>
      </c>
      <c r="BQ236" s="197"/>
      <c r="BR236" s="328"/>
      <c r="BS236" s="455"/>
      <c r="BT236" s="456"/>
      <c r="BU236" s="447" t="str">
        <f t="shared" si="334"/>
        <v/>
      </c>
      <c r="BV236" s="328"/>
      <c r="BW236" s="197" t="str">
        <f>IF(AND($I236="x",AND(MAX(BS236:BU236)=BS236,BS236&lt;&gt;"")),Data!$BI$2,"")</f>
        <v/>
      </c>
      <c r="BX236" s="197" t="str">
        <f>IF(AND($J236="x",AND(MAX(BS236:BU236)=BT236,BT236&lt;&gt;"")),Data!$BJ$2,"")</f>
        <v/>
      </c>
      <c r="BY236" s="197" t="str">
        <f>IF(AND($K236="x",AND(MAX(BS236:BU236)=BU236,BU236&lt;&gt;"")),Data!$BK$2,"")</f>
        <v/>
      </c>
      <c r="BZ236" s="197"/>
      <c r="CA236" s="328"/>
      <c r="CB236" s="463" t="str">
        <f t="shared" si="335"/>
        <v/>
      </c>
      <c r="CC236" s="464" t="str">
        <f t="shared" si="336"/>
        <v/>
      </c>
      <c r="CD236" s="465" t="str">
        <f t="shared" si="337"/>
        <v/>
      </c>
      <c r="CE236" s="328"/>
      <c r="CF236" s="197" t="str">
        <f>IF(AND($I236="x",AND(MAX(CB236:CD236)=CB236,CB236&lt;&gt;"")),Data!$BI$2,"")</f>
        <v/>
      </c>
      <c r="CG236" s="197" t="str">
        <f>IF(AND($J236="x",AND(MAX(CB236:CD236)=CC236,CC236&lt;&gt;"")),Data!$BJ$2,"")</f>
        <v/>
      </c>
      <c r="CH236" s="197" t="str">
        <f>IF(AND($K236="x",AND(MAX(CB236:CD236)=CD236,CD236&lt;&gt;"")),Data!$BK$2,"")</f>
        <v/>
      </c>
      <c r="CI236" s="197"/>
      <c r="CJ236" s="197"/>
      <c r="CK236" s="455"/>
      <c r="CL236" s="456"/>
      <c r="CM236" s="447" t="str">
        <f t="shared" si="338"/>
        <v/>
      </c>
      <c r="CN236" s="328"/>
      <c r="CO236" s="197" t="str">
        <f>IF(AND($I236="x",AND(MAX(CK236:CM236)=CK236,CK236&lt;&gt;"")),Data!$BI$2,"")</f>
        <v/>
      </c>
      <c r="CP236" s="197" t="str">
        <f>IF(AND($J236="x",AND(MAX(CK236:CM236)=CL236,CL236&lt;&gt;"")),Data!$BJ$2,"")</f>
        <v/>
      </c>
      <c r="CQ236" s="197" t="str">
        <f>IF(AND($K236="x",AND(MAX(CK236:CM236)=CM236,CM236&lt;&gt;"")),Data!$BK$2,"")</f>
        <v/>
      </c>
      <c r="CR236" s="197"/>
      <c r="CS236" s="197"/>
      <c r="CT236" s="328"/>
      <c r="CU236" s="259"/>
      <c r="CV236" s="209"/>
      <c r="CW236" s="227"/>
    </row>
    <row r="237" spans="1:101" x14ac:dyDescent="0.2">
      <c r="A237" s="227"/>
      <c r="B237" s="227"/>
      <c r="C237" s="168"/>
      <c r="D237" s="232"/>
      <c r="E237" s="137" t="s">
        <v>182</v>
      </c>
      <c r="F237" s="427"/>
      <c r="G237" s="434" t="s">
        <v>51</v>
      </c>
      <c r="H237" s="435"/>
      <c r="I237" s="138" t="str">
        <f t="shared" si="339"/>
        <v/>
      </c>
      <c r="J237" s="344" t="str">
        <f t="shared" si="326"/>
        <v/>
      </c>
      <c r="K237" s="345" t="str">
        <f t="shared" si="327"/>
        <v/>
      </c>
      <c r="L237" s="258"/>
      <c r="M237" s="332"/>
      <c r="N237" s="336"/>
      <c r="O237" s="200"/>
      <c r="P237" s="200"/>
      <c r="Q237" s="448"/>
      <c r="R237" s="449"/>
      <c r="S237" s="450" t="str">
        <f t="shared" si="328"/>
        <v/>
      </c>
      <c r="T237" s="328"/>
      <c r="U237" s="197" t="str">
        <f>IF(AND($I237="x",AND(MAX(Q237:S237)=Q237,Q237&gt;=0)),Data!$BI$2,"")</f>
        <v/>
      </c>
      <c r="V237" s="197" t="str">
        <f>IF(AND($J237="x",AND(MAX(Q237:S237)=R237,R237&gt;=0)),Data!$BJ$2,"")</f>
        <v/>
      </c>
      <c r="W237" s="197" t="str">
        <f>IF(AND($K237="x",AND(MAX(Q237:S237)=S237,S237&gt;=0)),Data!$BK$2,"")</f>
        <v/>
      </c>
      <c r="X237" s="197"/>
      <c r="Y237" s="328"/>
      <c r="Z237" s="451"/>
      <c r="AA237" s="452"/>
      <c r="AB237" s="450" t="str">
        <f t="shared" si="329"/>
        <v/>
      </c>
      <c r="AC237" s="328"/>
      <c r="AD237" s="197" t="str">
        <f>IF(AND($I237="x",AND(MAX(Z237:AB237)=Z237,Z237&lt;&gt;"")),Data!$BI$2,"")</f>
        <v/>
      </c>
      <c r="AE237" s="197" t="str">
        <f>IF(AND($J237="x",AND(MAX(Z237:AB237)=AA237,AA237&lt;&gt;"")),Data!$BJ$2,"")</f>
        <v/>
      </c>
      <c r="AF237" s="197" t="str">
        <f>IF(AND($K237="x",AND(MAX(Z237:AB237)=AB237,AB237&lt;&gt;"")),Data!$BK$2,"")</f>
        <v/>
      </c>
      <c r="AG237" s="197"/>
      <c r="AH237" s="328"/>
      <c r="AI237" s="451"/>
      <c r="AJ237" s="452"/>
      <c r="AK237" s="450" t="str">
        <f t="shared" si="330"/>
        <v/>
      </c>
      <c r="AL237" s="328"/>
      <c r="AM237" s="197" t="str">
        <f>IF(AND($I237="x",AND(MAX(AI237:AK237)=AI237,AI237&lt;&gt;"")),Data!$BI$2,"")</f>
        <v/>
      </c>
      <c r="AN237" s="197" t="str">
        <f>IF(AND($J237="x",AND(MAX(AI237:AK237)=AJ237,AJ237&lt;&gt;"")),Data!$BJ$2,"")</f>
        <v/>
      </c>
      <c r="AO237" s="197" t="str">
        <f>IF(AND($K237="x",AND(MAX(AI237:AK237)=AK237,AK237&lt;&gt;"")),Data!$BK$2,"")</f>
        <v/>
      </c>
      <c r="AP237" s="197"/>
      <c r="AQ237" s="328"/>
      <c r="AR237" s="451"/>
      <c r="AS237" s="452"/>
      <c r="AT237" s="450" t="str">
        <f t="shared" si="331"/>
        <v/>
      </c>
      <c r="AU237" s="328"/>
      <c r="AV237" s="197" t="str">
        <f>IF(AND($I237="x",AND(MAX(AR237:AT237)=AR237,AR237&lt;&gt;"")),Data!$BI$2,"")</f>
        <v/>
      </c>
      <c r="AW237" s="197" t="str">
        <f>IF(AND($J237="x",AND(MAX(AR237:AT237)=AS237,AS237&lt;&gt;"")),Data!$BJ$2,"")</f>
        <v/>
      </c>
      <c r="AX237" s="197" t="str">
        <f>IF(AND($K237="x",AND(MAX(AR237:AT237)=AT237,AT237&lt;&gt;"")),Data!$BK$2,"")</f>
        <v/>
      </c>
      <c r="AY237" s="197"/>
      <c r="AZ237" s="328"/>
      <c r="BA237" s="451"/>
      <c r="BB237" s="452"/>
      <c r="BC237" s="450" t="str">
        <f t="shared" si="332"/>
        <v/>
      </c>
      <c r="BD237" s="328"/>
      <c r="BE237" s="197" t="str">
        <f>IF(AND($I237="x",AND(MAX(BA237:BC237)=BA237,BA237&lt;&gt;"")),Data!$BI$2,"")</f>
        <v/>
      </c>
      <c r="BF237" s="197" t="str">
        <f>IF(AND($J237="x",AND(MAX(BA237:BC237)=BB237,BB237&lt;&gt;"")),Data!$BJ$2,"")</f>
        <v/>
      </c>
      <c r="BG237" s="197" t="str">
        <f>IF(AND($K237="x",AND(MAX(BA237:BC237)=BC237,BC237&lt;&gt;"")),Data!$BK$2,"")</f>
        <v/>
      </c>
      <c r="BH237" s="197"/>
      <c r="BI237" s="328"/>
      <c r="BJ237" s="451"/>
      <c r="BK237" s="452"/>
      <c r="BL237" s="450" t="str">
        <f t="shared" si="333"/>
        <v/>
      </c>
      <c r="BM237" s="328"/>
      <c r="BN237" s="197" t="str">
        <f>IF(AND($I237="x",AND(MAX(BJ237:BL237)=BJ237,BJ237&lt;&gt;"")),Data!$BI$2,"")</f>
        <v/>
      </c>
      <c r="BO237" s="197" t="str">
        <f>IF(AND($J237="x",AND(MAX(BJ237:BL237)=BK237,BK237&lt;&gt;"")),Data!$BJ$2,"")</f>
        <v/>
      </c>
      <c r="BP237" s="197" t="str">
        <f>IF(AND($K237="x",AND(MAX(BJ237:BL237)=BL237,BL237&lt;&gt;"")),Data!$BK$2,"")</f>
        <v/>
      </c>
      <c r="BQ237" s="197"/>
      <c r="BR237" s="328"/>
      <c r="BS237" s="451"/>
      <c r="BT237" s="452"/>
      <c r="BU237" s="450" t="str">
        <f t="shared" si="334"/>
        <v/>
      </c>
      <c r="BV237" s="328"/>
      <c r="BW237" s="197" t="str">
        <f>IF(AND($I237="x",AND(MAX(BS237:BU237)=BS237,BS237&lt;&gt;"")),Data!$BI$2,"")</f>
        <v/>
      </c>
      <c r="BX237" s="197" t="str">
        <f>IF(AND($J237="x",AND(MAX(BS237:BU237)=BT237,BT237&lt;&gt;"")),Data!$BJ$2,"")</f>
        <v/>
      </c>
      <c r="BY237" s="197" t="str">
        <f>IF(AND($K237="x",AND(MAX(BS237:BU237)=BU237,BU237&lt;&gt;"")),Data!$BK$2,"")</f>
        <v/>
      </c>
      <c r="BZ237" s="197"/>
      <c r="CA237" s="328"/>
      <c r="CB237" s="457" t="str">
        <f t="shared" si="335"/>
        <v/>
      </c>
      <c r="CC237" s="458" t="str">
        <f t="shared" si="336"/>
        <v/>
      </c>
      <c r="CD237" s="459" t="str">
        <f t="shared" si="337"/>
        <v/>
      </c>
      <c r="CE237" s="328"/>
      <c r="CF237" s="197" t="str">
        <f>IF(AND($I237="x",AND(MAX(CB237:CD237)=CB237,CB237&lt;&gt;"")),Data!$BI$2,"")</f>
        <v/>
      </c>
      <c r="CG237" s="197" t="str">
        <f>IF(AND($J237="x",AND(MAX(CB237:CD237)=CC237,CC237&lt;&gt;"")),Data!$BJ$2,"")</f>
        <v/>
      </c>
      <c r="CH237" s="197" t="str">
        <f>IF(AND($K237="x",AND(MAX(CB237:CD237)=CD237,CD237&lt;&gt;"")),Data!$BK$2,"")</f>
        <v/>
      </c>
      <c r="CI237" s="197"/>
      <c r="CJ237" s="197"/>
      <c r="CK237" s="451"/>
      <c r="CL237" s="452"/>
      <c r="CM237" s="450" t="str">
        <f t="shared" si="338"/>
        <v/>
      </c>
      <c r="CN237" s="328"/>
      <c r="CO237" s="197" t="str">
        <f>IF(AND($I237="x",AND(MAX(CK237:CM237)=CK237,CK237&lt;&gt;"")),Data!$BI$2,"")</f>
        <v/>
      </c>
      <c r="CP237" s="197" t="str">
        <f>IF(AND($J237="x",AND(MAX(CK237:CM237)=CL237,CL237&lt;&gt;"")),Data!$BJ$2,"")</f>
        <v/>
      </c>
      <c r="CQ237" s="197" t="str">
        <f>IF(AND($K237="x",AND(MAX(CK237:CM237)=CM237,CM237&lt;&gt;"")),Data!$BK$2,"")</f>
        <v/>
      </c>
      <c r="CR237" s="197"/>
      <c r="CS237" s="197"/>
      <c r="CT237" s="328"/>
      <c r="CU237" s="259"/>
      <c r="CV237" s="209"/>
      <c r="CW237" s="227"/>
    </row>
    <row r="238" spans="1:101" x14ac:dyDescent="0.2">
      <c r="A238" s="227"/>
      <c r="B238" s="227"/>
      <c r="C238" s="168"/>
      <c r="D238" s="232"/>
      <c r="E238" s="135" t="s">
        <v>183</v>
      </c>
      <c r="F238" s="425"/>
      <c r="G238" s="430" t="s">
        <v>51</v>
      </c>
      <c r="H238" s="431"/>
      <c r="I238" s="346" t="str">
        <f t="shared" si="339"/>
        <v/>
      </c>
      <c r="J238" s="347" t="str">
        <f t="shared" si="326"/>
        <v/>
      </c>
      <c r="K238" s="348" t="str">
        <f t="shared" si="327"/>
        <v/>
      </c>
      <c r="L238" s="258"/>
      <c r="M238" s="332"/>
      <c r="N238" s="336"/>
      <c r="O238" s="200"/>
      <c r="P238" s="200"/>
      <c r="Q238" s="439"/>
      <c r="R238" s="440"/>
      <c r="S238" s="441" t="str">
        <f t="shared" si="328"/>
        <v/>
      </c>
      <c r="T238" s="328"/>
      <c r="U238" s="197" t="str">
        <f>IF(AND($I238="x",AND(MAX(Q238:S238)=Q238,Q238&gt;=0)),Data!$BI$2,"")</f>
        <v/>
      </c>
      <c r="V238" s="197" t="str">
        <f>IF(AND($J238="x",AND(MAX(Q238:S238)=R238,R238&gt;=0)),Data!$BJ$2,"")</f>
        <v/>
      </c>
      <c r="W238" s="197" t="str">
        <f>IF(AND($K238="x",AND(MAX(Q238:S238)=S238,S238&gt;=0)),Data!$BK$2,"")</f>
        <v/>
      </c>
      <c r="X238" s="197"/>
      <c r="Y238" s="328"/>
      <c r="Z238" s="453"/>
      <c r="AA238" s="454"/>
      <c r="AB238" s="441" t="str">
        <f t="shared" si="329"/>
        <v/>
      </c>
      <c r="AC238" s="328"/>
      <c r="AD238" s="197" t="str">
        <f>IF(AND($I238="x",AND(MAX(Z238:AB238)=Z238,Z238&lt;&gt;"")),Data!$BI$2,"")</f>
        <v/>
      </c>
      <c r="AE238" s="197" t="str">
        <f>IF(AND($J238="x",AND(MAX(Z238:AB238)=AA238,AA238&lt;&gt;"")),Data!$BJ$2,"")</f>
        <v/>
      </c>
      <c r="AF238" s="197" t="str">
        <f>IF(AND($K238="x",AND(MAX(Z238:AB238)=AB238,AB238&lt;&gt;"")),Data!$BK$2,"")</f>
        <v/>
      </c>
      <c r="AG238" s="197"/>
      <c r="AH238" s="328"/>
      <c r="AI238" s="453"/>
      <c r="AJ238" s="454"/>
      <c r="AK238" s="441" t="str">
        <f t="shared" si="330"/>
        <v/>
      </c>
      <c r="AL238" s="328"/>
      <c r="AM238" s="197" t="str">
        <f>IF(AND($I238="x",AND(MAX(AI238:AK238)=AI238,AI238&lt;&gt;"")),Data!$BI$2,"")</f>
        <v/>
      </c>
      <c r="AN238" s="197" t="str">
        <f>IF(AND($J238="x",AND(MAX(AI238:AK238)=AJ238,AJ238&lt;&gt;"")),Data!$BJ$2,"")</f>
        <v/>
      </c>
      <c r="AO238" s="197" t="str">
        <f>IF(AND($K238="x",AND(MAX(AI238:AK238)=AK238,AK238&lt;&gt;"")),Data!$BK$2,"")</f>
        <v/>
      </c>
      <c r="AP238" s="197"/>
      <c r="AQ238" s="328"/>
      <c r="AR238" s="453"/>
      <c r="AS238" s="454"/>
      <c r="AT238" s="441" t="str">
        <f t="shared" si="331"/>
        <v/>
      </c>
      <c r="AU238" s="328"/>
      <c r="AV238" s="197" t="str">
        <f>IF(AND($I238="x",AND(MAX(AR238:AT238)=AR238,AR238&lt;&gt;"")),Data!$BI$2,"")</f>
        <v/>
      </c>
      <c r="AW238" s="197" t="str">
        <f>IF(AND($J238="x",AND(MAX(AR238:AT238)=AS238,AS238&lt;&gt;"")),Data!$BJ$2,"")</f>
        <v/>
      </c>
      <c r="AX238" s="197" t="str">
        <f>IF(AND($K238="x",AND(MAX(AR238:AT238)=AT238,AT238&lt;&gt;"")),Data!$BK$2,"")</f>
        <v/>
      </c>
      <c r="AY238" s="197"/>
      <c r="AZ238" s="328"/>
      <c r="BA238" s="453"/>
      <c r="BB238" s="454"/>
      <c r="BC238" s="441" t="str">
        <f t="shared" si="332"/>
        <v/>
      </c>
      <c r="BD238" s="328"/>
      <c r="BE238" s="197" t="str">
        <f>IF(AND($I238="x",AND(MAX(BA238:BC238)=BA238,BA238&lt;&gt;"")),Data!$BI$2,"")</f>
        <v/>
      </c>
      <c r="BF238" s="197" t="str">
        <f>IF(AND($J238="x",AND(MAX(BA238:BC238)=BB238,BB238&lt;&gt;"")),Data!$BJ$2,"")</f>
        <v/>
      </c>
      <c r="BG238" s="197" t="str">
        <f>IF(AND($K238="x",AND(MAX(BA238:BC238)=BC238,BC238&lt;&gt;"")),Data!$BK$2,"")</f>
        <v/>
      </c>
      <c r="BH238" s="197"/>
      <c r="BI238" s="328"/>
      <c r="BJ238" s="453"/>
      <c r="BK238" s="454"/>
      <c r="BL238" s="441" t="str">
        <f t="shared" si="333"/>
        <v/>
      </c>
      <c r="BM238" s="328"/>
      <c r="BN238" s="197" t="str">
        <f>IF(AND($I238="x",AND(MAX(BJ238:BL238)=BJ238,BJ238&lt;&gt;"")),Data!$BI$2,"")</f>
        <v/>
      </c>
      <c r="BO238" s="197" t="str">
        <f>IF(AND($J238="x",AND(MAX(BJ238:BL238)=BK238,BK238&lt;&gt;"")),Data!$BJ$2,"")</f>
        <v/>
      </c>
      <c r="BP238" s="197" t="str">
        <f>IF(AND($K238="x",AND(MAX(BJ238:BL238)=BL238,BL238&lt;&gt;"")),Data!$BK$2,"")</f>
        <v/>
      </c>
      <c r="BQ238" s="197"/>
      <c r="BR238" s="328"/>
      <c r="BS238" s="453"/>
      <c r="BT238" s="454"/>
      <c r="BU238" s="441" t="str">
        <f t="shared" si="334"/>
        <v/>
      </c>
      <c r="BV238" s="328"/>
      <c r="BW238" s="197" t="str">
        <f>IF(AND($I238="x",AND(MAX(BS238:BU238)=BS238,BS238&lt;&gt;"")),Data!$BI$2,"")</f>
        <v/>
      </c>
      <c r="BX238" s="197" t="str">
        <f>IF(AND($J238="x",AND(MAX(BS238:BU238)=BT238,BT238&lt;&gt;"")),Data!$BJ$2,"")</f>
        <v/>
      </c>
      <c r="BY238" s="197" t="str">
        <f>IF(AND($K238="x",AND(MAX(BS238:BU238)=BU238,BU238&lt;&gt;"")),Data!$BK$2,"")</f>
        <v/>
      </c>
      <c r="BZ238" s="197"/>
      <c r="CA238" s="328"/>
      <c r="CB238" s="460" t="str">
        <f t="shared" si="335"/>
        <v/>
      </c>
      <c r="CC238" s="461" t="str">
        <f t="shared" si="336"/>
        <v/>
      </c>
      <c r="CD238" s="462" t="str">
        <f t="shared" si="337"/>
        <v/>
      </c>
      <c r="CE238" s="328"/>
      <c r="CF238" s="197" t="str">
        <f>IF(AND($I238="x",AND(MAX(CB238:CD238)=CB238,CB238&lt;&gt;"")),Data!$BI$2,"")</f>
        <v/>
      </c>
      <c r="CG238" s="197" t="str">
        <f>IF(AND($J238="x",AND(MAX(CB238:CD238)=CC238,CC238&lt;&gt;"")),Data!$BJ$2,"")</f>
        <v/>
      </c>
      <c r="CH238" s="197" t="str">
        <f>IF(AND($K238="x",AND(MAX(CB238:CD238)=CD238,CD238&lt;&gt;"")),Data!$BK$2,"")</f>
        <v/>
      </c>
      <c r="CI238" s="197"/>
      <c r="CJ238" s="197"/>
      <c r="CK238" s="453"/>
      <c r="CL238" s="454"/>
      <c r="CM238" s="441" t="str">
        <f t="shared" si="338"/>
        <v/>
      </c>
      <c r="CN238" s="328"/>
      <c r="CO238" s="197" t="str">
        <f>IF(AND($I238="x",AND(MAX(CK238:CM238)=CK238,CK238&lt;&gt;"")),Data!$BI$2,"")</f>
        <v/>
      </c>
      <c r="CP238" s="197" t="str">
        <f>IF(AND($J238="x",AND(MAX(CK238:CM238)=CL238,CL238&lt;&gt;"")),Data!$BJ$2,"")</f>
        <v/>
      </c>
      <c r="CQ238" s="197" t="str">
        <f>IF(AND($K238="x",AND(MAX(CK238:CM238)=CM238,CM238&lt;&gt;"")),Data!$BK$2,"")</f>
        <v/>
      </c>
      <c r="CR238" s="197"/>
      <c r="CS238" s="197"/>
      <c r="CT238" s="328"/>
      <c r="CU238" s="259"/>
      <c r="CV238" s="209"/>
      <c r="CW238" s="227"/>
    </row>
    <row r="239" spans="1:101" x14ac:dyDescent="0.2">
      <c r="A239" s="227"/>
      <c r="B239" s="227"/>
      <c r="C239" s="168"/>
      <c r="D239" s="232"/>
      <c r="E239" s="136" t="s">
        <v>184</v>
      </c>
      <c r="F239" s="426"/>
      <c r="G239" s="432" t="s">
        <v>51</v>
      </c>
      <c r="H239" s="433"/>
      <c r="I239" s="349" t="str">
        <f>IF($F239&gt;$H239,"x","")</f>
        <v/>
      </c>
      <c r="J239" s="350" t="str">
        <f t="shared" si="326"/>
        <v/>
      </c>
      <c r="K239" s="351" t="str">
        <f t="shared" si="327"/>
        <v/>
      </c>
      <c r="L239" s="258"/>
      <c r="M239" s="332"/>
      <c r="N239" s="336"/>
      <c r="O239" s="200"/>
      <c r="P239" s="200"/>
      <c r="Q239" s="445"/>
      <c r="R239" s="446"/>
      <c r="S239" s="447" t="str">
        <f t="shared" si="328"/>
        <v/>
      </c>
      <c r="T239" s="328"/>
      <c r="U239" s="197" t="str">
        <f>IF(AND($I239="x",AND(MAX(Q239:S239)=Q239,Q239&gt;=0)),Data!$BI$2,"")</f>
        <v/>
      </c>
      <c r="V239" s="197" t="str">
        <f>IF(AND($J239="x",AND(MAX(Q239:S239)=R239,R239&gt;=0)),Data!$BJ$2,"")</f>
        <v/>
      </c>
      <c r="W239" s="197" t="str">
        <f>IF(AND($K239="x",AND(MAX(Q239:S239)=S239,S239&gt;=0)),Data!$BK$2,"")</f>
        <v/>
      </c>
      <c r="X239" s="197"/>
      <c r="Y239" s="328"/>
      <c r="Z239" s="455"/>
      <c r="AA239" s="456"/>
      <c r="AB239" s="447" t="str">
        <f t="shared" si="329"/>
        <v/>
      </c>
      <c r="AC239" s="328"/>
      <c r="AD239" s="197" t="str">
        <f>IF(AND($I239="x",AND(MAX(Z239:AB239)=Z239,Z239&lt;&gt;"")),Data!$BI$2,"")</f>
        <v/>
      </c>
      <c r="AE239" s="197" t="str">
        <f>IF(AND($J239="x",AND(MAX(Z239:AB239)=AA239,AA239&lt;&gt;"")),Data!$BJ$2,"")</f>
        <v/>
      </c>
      <c r="AF239" s="197" t="str">
        <f>IF(AND($K239="x",AND(MAX(Z239:AB239)=AB239,AB239&lt;&gt;"")),Data!$BK$2,"")</f>
        <v/>
      </c>
      <c r="AG239" s="197"/>
      <c r="AH239" s="328"/>
      <c r="AI239" s="455"/>
      <c r="AJ239" s="456"/>
      <c r="AK239" s="447" t="str">
        <f t="shared" si="330"/>
        <v/>
      </c>
      <c r="AL239" s="328"/>
      <c r="AM239" s="197" t="str">
        <f>IF(AND($I239="x",AND(MAX(AI239:AK239)=AI239,AI239&lt;&gt;"")),Data!$BI$2,"")</f>
        <v/>
      </c>
      <c r="AN239" s="197" t="str">
        <f>IF(AND($J239="x",AND(MAX(AI239:AK239)=AJ239,AJ239&lt;&gt;"")),Data!$BJ$2,"")</f>
        <v/>
      </c>
      <c r="AO239" s="197" t="str">
        <f>IF(AND($K239="x",AND(MAX(AI239:AK239)=AK239,AK239&lt;&gt;"")),Data!$BK$2,"")</f>
        <v/>
      </c>
      <c r="AP239" s="197"/>
      <c r="AQ239" s="328"/>
      <c r="AR239" s="455"/>
      <c r="AS239" s="456"/>
      <c r="AT239" s="447" t="str">
        <f t="shared" si="331"/>
        <v/>
      </c>
      <c r="AU239" s="328"/>
      <c r="AV239" s="197" t="str">
        <f>IF(AND($I239="x",AND(MAX(AR239:AT239)=AR239,AR239&lt;&gt;"")),Data!$BI$2,"")</f>
        <v/>
      </c>
      <c r="AW239" s="197" t="str">
        <f>IF(AND($J239="x",AND(MAX(AR239:AT239)=AS239,AS239&lt;&gt;"")),Data!$BJ$2,"")</f>
        <v/>
      </c>
      <c r="AX239" s="197" t="str">
        <f>IF(AND($K239="x",AND(MAX(AR239:AT239)=AT239,AT239&lt;&gt;"")),Data!$BK$2,"")</f>
        <v/>
      </c>
      <c r="AY239" s="197"/>
      <c r="AZ239" s="328"/>
      <c r="BA239" s="455"/>
      <c r="BB239" s="456"/>
      <c r="BC239" s="447" t="str">
        <f t="shared" si="332"/>
        <v/>
      </c>
      <c r="BD239" s="328"/>
      <c r="BE239" s="197" t="str">
        <f>IF(AND($I239="x",AND(MAX(BA239:BC239)=BA239,BA239&lt;&gt;"")),Data!$BI$2,"")</f>
        <v/>
      </c>
      <c r="BF239" s="197" t="str">
        <f>IF(AND($J239="x",AND(MAX(BA239:BC239)=BB239,BB239&lt;&gt;"")),Data!$BJ$2,"")</f>
        <v/>
      </c>
      <c r="BG239" s="197" t="str">
        <f>IF(AND($K239="x",AND(MAX(BA239:BC239)=BC239,BC239&lt;&gt;"")),Data!$BK$2,"")</f>
        <v/>
      </c>
      <c r="BH239" s="197"/>
      <c r="BI239" s="328"/>
      <c r="BJ239" s="455"/>
      <c r="BK239" s="456"/>
      <c r="BL239" s="447" t="str">
        <f t="shared" si="333"/>
        <v/>
      </c>
      <c r="BM239" s="328"/>
      <c r="BN239" s="197" t="str">
        <f>IF(AND($I239="x",AND(MAX(BJ239:BL239)=BJ239,BJ239&lt;&gt;"")),Data!$BI$2,"")</f>
        <v/>
      </c>
      <c r="BO239" s="197" t="str">
        <f>IF(AND($J239="x",AND(MAX(BJ239:BL239)=BK239,BK239&lt;&gt;"")),Data!$BJ$2,"")</f>
        <v/>
      </c>
      <c r="BP239" s="197" t="str">
        <f>IF(AND($K239="x",AND(MAX(BJ239:BL239)=BL239,BL239&lt;&gt;"")),Data!$BK$2,"")</f>
        <v/>
      </c>
      <c r="BQ239" s="197"/>
      <c r="BR239" s="328"/>
      <c r="BS239" s="455"/>
      <c r="BT239" s="456"/>
      <c r="BU239" s="447" t="str">
        <f t="shared" si="334"/>
        <v/>
      </c>
      <c r="BV239" s="328"/>
      <c r="BW239" s="197" t="str">
        <f>IF(AND($I239="x",AND(MAX(BS239:BU239)=BS239,BS239&lt;&gt;"")),Data!$BI$2,"")</f>
        <v/>
      </c>
      <c r="BX239" s="197" t="str">
        <f>IF(AND($J239="x",AND(MAX(BS239:BU239)=BT239,BT239&lt;&gt;"")),Data!$BJ$2,"")</f>
        <v/>
      </c>
      <c r="BY239" s="197" t="str">
        <f>IF(AND($K239="x",AND(MAX(BS239:BU239)=BU239,BU239&lt;&gt;"")),Data!$BK$2,"")</f>
        <v/>
      </c>
      <c r="BZ239" s="197"/>
      <c r="CA239" s="328"/>
      <c r="CB239" s="463" t="str">
        <f t="shared" si="335"/>
        <v/>
      </c>
      <c r="CC239" s="464" t="str">
        <f t="shared" si="336"/>
        <v/>
      </c>
      <c r="CD239" s="465" t="str">
        <f t="shared" si="337"/>
        <v/>
      </c>
      <c r="CE239" s="328"/>
      <c r="CF239" s="197" t="str">
        <f>IF(AND($I239="x",AND(MAX(CB239:CD239)=CB239,CB239&lt;&gt;"")),Data!$BI$2,"")</f>
        <v/>
      </c>
      <c r="CG239" s="197" t="str">
        <f>IF(AND($J239="x",AND(MAX(CB239:CD239)=CC239,CC239&lt;&gt;"")),Data!$BJ$2,"")</f>
        <v/>
      </c>
      <c r="CH239" s="197" t="str">
        <f>IF(AND($K239="x",AND(MAX(CB239:CD239)=CD239,CD239&lt;&gt;"")),Data!$BK$2,"")</f>
        <v/>
      </c>
      <c r="CI239" s="197"/>
      <c r="CJ239" s="197"/>
      <c r="CK239" s="455"/>
      <c r="CL239" s="456"/>
      <c r="CM239" s="447" t="str">
        <f t="shared" si="338"/>
        <v/>
      </c>
      <c r="CN239" s="328"/>
      <c r="CO239" s="197" t="str">
        <f>IF(AND($I239="x",AND(MAX(CK239:CM239)=CK239,CK239&lt;&gt;"")),Data!$BI$2,"")</f>
        <v/>
      </c>
      <c r="CP239" s="197" t="str">
        <f>IF(AND($J239="x",AND(MAX(CK239:CM239)=CL239,CL239&lt;&gt;"")),Data!$BJ$2,"")</f>
        <v/>
      </c>
      <c r="CQ239" s="197" t="str">
        <f>IF(AND($K239="x",AND(MAX(CK239:CM239)=CM239,CM239&lt;&gt;"")),Data!$BK$2,"")</f>
        <v/>
      </c>
      <c r="CR239" s="197"/>
      <c r="CS239" s="197"/>
      <c r="CT239" s="328"/>
      <c r="CU239" s="259"/>
      <c r="CV239" s="209"/>
      <c r="CW239" s="227"/>
    </row>
    <row r="240" spans="1:101" x14ac:dyDescent="0.2">
      <c r="A240" s="227"/>
      <c r="B240" s="227"/>
      <c r="C240" s="168"/>
      <c r="D240" s="233"/>
      <c r="E240" s="199"/>
      <c r="F240" s="352" t="str">
        <f>IF(SUM(F228:F239)=0,"",SUM(F228:F239))</f>
        <v/>
      </c>
      <c r="G240" s="327" t="s">
        <v>51</v>
      </c>
      <c r="H240" s="353" t="str">
        <f>IF(SUM(H228:H239)=0,"",SUM(H228:H239))</f>
        <v/>
      </c>
      <c r="I240" s="354" t="str">
        <f>IF(COUNTIF(I228:I239,"=x")=0,"",COUNTIF(I228:I239,"=x"))</f>
        <v/>
      </c>
      <c r="J240" s="355" t="str">
        <f>IF(COUNTIF(J228:J239,"=x")=0,"",COUNTIF(J228:J239,"=x"))</f>
        <v/>
      </c>
      <c r="K240" s="356" t="str">
        <f>IF(COUNTIF(K228:K239,"=x")=0,"",COUNTIF(K228:K239,"=x"))</f>
        <v/>
      </c>
      <c r="L240" s="258"/>
      <c r="M240" s="332"/>
      <c r="N240" s="336"/>
      <c r="O240" s="200"/>
      <c r="P240" s="326"/>
      <c r="Q240" s="422">
        <f>SUM(U228:U239)</f>
        <v>0</v>
      </c>
      <c r="R240" s="422">
        <f t="shared" ref="R240:S240" si="340">SUM(V228:V239)</f>
        <v>0</v>
      </c>
      <c r="S240" s="422">
        <f t="shared" si="340"/>
        <v>0</v>
      </c>
      <c r="T240" s="325"/>
      <c r="U240" s="197">
        <f>SUM(U228:U239)</f>
        <v>0</v>
      </c>
      <c r="V240" s="197">
        <f t="shared" ref="V240:W240" si="341">SUM(V228:V239)</f>
        <v>0</v>
      </c>
      <c r="W240" s="197">
        <f t="shared" si="341"/>
        <v>0</v>
      </c>
      <c r="X240" s="197"/>
      <c r="Y240" s="324"/>
      <c r="Z240" s="422">
        <f>SUM(AD228:AD239)</f>
        <v>0</v>
      </c>
      <c r="AA240" s="422">
        <f t="shared" ref="AA240:AB240" si="342">SUM(AE228:AE239)</f>
        <v>0</v>
      </c>
      <c r="AB240" s="422">
        <f t="shared" si="342"/>
        <v>0</v>
      </c>
      <c r="AC240" s="325"/>
      <c r="AD240" s="197">
        <f>SUM(AD228:AD239)</f>
        <v>0</v>
      </c>
      <c r="AE240" s="197">
        <f t="shared" ref="AE240:AF240" si="343">SUM(AE228:AE239)</f>
        <v>0</v>
      </c>
      <c r="AF240" s="197">
        <f t="shared" si="343"/>
        <v>0</v>
      </c>
      <c r="AG240" s="197"/>
      <c r="AH240" s="324"/>
      <c r="AI240" s="422">
        <f>SUM(AM228:AM239)</f>
        <v>0</v>
      </c>
      <c r="AJ240" s="422">
        <f t="shared" ref="AJ240:AK240" si="344">SUM(AN228:AN239)</f>
        <v>0</v>
      </c>
      <c r="AK240" s="422">
        <f t="shared" si="344"/>
        <v>0</v>
      </c>
      <c r="AL240" s="325"/>
      <c r="AM240" s="197">
        <f>SUM(AM228:AM239)</f>
        <v>0</v>
      </c>
      <c r="AN240" s="197">
        <f t="shared" ref="AN240:AO240" si="345">SUM(AN228:AN239)</f>
        <v>0</v>
      </c>
      <c r="AO240" s="197">
        <f t="shared" si="345"/>
        <v>0</v>
      </c>
      <c r="AP240" s="197"/>
      <c r="AQ240" s="324"/>
      <c r="AR240" s="422">
        <f>SUM(AV228:AV239)</f>
        <v>0</v>
      </c>
      <c r="AS240" s="422">
        <f t="shared" ref="AS240:AT240" si="346">SUM(AW228:AW239)</f>
        <v>0</v>
      </c>
      <c r="AT240" s="422">
        <f t="shared" si="346"/>
        <v>0</v>
      </c>
      <c r="AU240" s="325"/>
      <c r="AV240" s="197">
        <f>SUM(AV228:AV239)</f>
        <v>0</v>
      </c>
      <c r="AW240" s="197">
        <f t="shared" ref="AW240:AX240" si="347">SUM(AW228:AW239)</f>
        <v>0</v>
      </c>
      <c r="AX240" s="197">
        <f t="shared" si="347"/>
        <v>0</v>
      </c>
      <c r="AY240" s="197"/>
      <c r="AZ240" s="324"/>
      <c r="BA240" s="422">
        <f>SUM(BE228:BE239)</f>
        <v>0</v>
      </c>
      <c r="BB240" s="422">
        <f t="shared" ref="BB240:BC240" si="348">SUM(BF228:BF239)</f>
        <v>0</v>
      </c>
      <c r="BC240" s="422">
        <f t="shared" si="348"/>
        <v>0</v>
      </c>
      <c r="BD240" s="325"/>
      <c r="BE240" s="197">
        <f>SUM(BE228:BE239)</f>
        <v>0</v>
      </c>
      <c r="BF240" s="197">
        <f t="shared" ref="BF240:BG240" si="349">SUM(BF228:BF239)</f>
        <v>0</v>
      </c>
      <c r="BG240" s="197">
        <f t="shared" si="349"/>
        <v>0</v>
      </c>
      <c r="BH240" s="197"/>
      <c r="BI240" s="324"/>
      <c r="BJ240" s="422">
        <f>SUM(BN228:BN239)</f>
        <v>0</v>
      </c>
      <c r="BK240" s="422">
        <f t="shared" ref="BK240" si="350">SUM(BO228:BO239)</f>
        <v>0</v>
      </c>
      <c r="BL240" s="422">
        <f t="shared" ref="BL240" si="351">SUM(BP228:BP239)</f>
        <v>0</v>
      </c>
      <c r="BM240" s="325"/>
      <c r="BN240" s="197">
        <f>SUM(BN228:BN239)</f>
        <v>0</v>
      </c>
      <c r="BO240" s="197">
        <f t="shared" ref="BO240:BP240" si="352">SUM(BO228:BO239)</f>
        <v>0</v>
      </c>
      <c r="BP240" s="197">
        <f t="shared" si="352"/>
        <v>0</v>
      </c>
      <c r="BQ240" s="197"/>
      <c r="BR240" s="324"/>
      <c r="BS240" s="422">
        <f>SUM(BW228:BW239)</f>
        <v>0</v>
      </c>
      <c r="BT240" s="422">
        <f t="shared" ref="BT240:BU240" si="353">SUM(BX228:BX239)</f>
        <v>0</v>
      </c>
      <c r="BU240" s="422">
        <f t="shared" si="353"/>
        <v>0</v>
      </c>
      <c r="BV240" s="325"/>
      <c r="BW240" s="197">
        <f>SUM(BW228:BW239)</f>
        <v>0</v>
      </c>
      <c r="BX240" s="197">
        <f t="shared" ref="BX240:BY240" si="354">SUM(BX228:BX239)</f>
        <v>0</v>
      </c>
      <c r="BY240" s="197">
        <f t="shared" si="354"/>
        <v>0</v>
      </c>
      <c r="BZ240" s="197"/>
      <c r="CA240" s="326"/>
      <c r="CB240" s="422">
        <f>SUM(CF228:CF239)</f>
        <v>0</v>
      </c>
      <c r="CC240" s="422">
        <f t="shared" ref="CC240:CD240" si="355">SUM(CG228:CG239)</f>
        <v>0</v>
      </c>
      <c r="CD240" s="422">
        <f t="shared" si="355"/>
        <v>0</v>
      </c>
      <c r="CE240" s="325"/>
      <c r="CF240" s="197">
        <f>SUM(CF228:CF239)</f>
        <v>0</v>
      </c>
      <c r="CG240" s="197">
        <f t="shared" ref="CG240:CH240" si="356">SUM(CG228:CG239)</f>
        <v>0</v>
      </c>
      <c r="CH240" s="197">
        <f t="shared" si="356"/>
        <v>0</v>
      </c>
      <c r="CI240" s="197"/>
      <c r="CJ240" s="197"/>
      <c r="CK240" s="422">
        <f>SUM(CO228:CO239)</f>
        <v>0</v>
      </c>
      <c r="CL240" s="422">
        <f t="shared" ref="CL240:CM240" si="357">SUM(CP228:CP239)</f>
        <v>0</v>
      </c>
      <c r="CM240" s="422">
        <f t="shared" si="357"/>
        <v>0</v>
      </c>
      <c r="CN240" s="325"/>
      <c r="CO240" s="197">
        <f>SUM(CO228:CO239)</f>
        <v>0</v>
      </c>
      <c r="CP240" s="197">
        <f t="shared" ref="CP240:CQ240" si="358">SUM(CP228:CP239)</f>
        <v>0</v>
      </c>
      <c r="CQ240" s="197">
        <f t="shared" si="358"/>
        <v>0</v>
      </c>
      <c r="CR240" s="197"/>
      <c r="CS240" s="197"/>
      <c r="CT240" s="197"/>
      <c r="CU240" s="259"/>
      <c r="CV240" s="209"/>
      <c r="CW240" s="228"/>
    </row>
    <row r="241" spans="1:101" x14ac:dyDescent="0.2">
      <c r="A241" s="227"/>
      <c r="B241" s="227"/>
      <c r="C241" s="168"/>
      <c r="D241" s="249"/>
      <c r="E241" s="242"/>
      <c r="F241" s="243"/>
      <c r="G241" s="242"/>
      <c r="H241" s="242"/>
      <c r="I241" s="242"/>
      <c r="J241" s="242"/>
      <c r="K241" s="242"/>
      <c r="L241" s="252"/>
      <c r="M241" s="260"/>
      <c r="N241" s="337"/>
      <c r="O241" s="333"/>
      <c r="P241" s="244"/>
      <c r="Q241" s="245"/>
      <c r="R241" s="245"/>
      <c r="S241" s="245"/>
      <c r="T241" s="246"/>
      <c r="U241" s="247"/>
      <c r="V241" s="247"/>
      <c r="W241" s="247"/>
      <c r="X241" s="247"/>
      <c r="Y241" s="244"/>
      <c r="Z241" s="245"/>
      <c r="AA241" s="245"/>
      <c r="AB241" s="245"/>
      <c r="AC241" s="246"/>
      <c r="AD241" s="247"/>
      <c r="AE241" s="247"/>
      <c r="AF241" s="247"/>
      <c r="AG241" s="247"/>
      <c r="AH241" s="244"/>
      <c r="AI241" s="245"/>
      <c r="AJ241" s="245"/>
      <c r="AK241" s="245"/>
      <c r="AL241" s="246"/>
      <c r="AM241" s="247"/>
      <c r="AN241" s="247"/>
      <c r="AO241" s="247"/>
      <c r="AP241" s="247"/>
      <c r="AQ241" s="244"/>
      <c r="AR241" s="245"/>
      <c r="AS241" s="245"/>
      <c r="AT241" s="245"/>
      <c r="AU241" s="246"/>
      <c r="AV241" s="247"/>
      <c r="AW241" s="247"/>
      <c r="AX241" s="247"/>
      <c r="AY241" s="247"/>
      <c r="AZ241" s="244"/>
      <c r="BA241" s="245"/>
      <c r="BB241" s="245"/>
      <c r="BC241" s="245"/>
      <c r="BD241" s="246"/>
      <c r="BE241" s="247"/>
      <c r="BF241" s="247"/>
      <c r="BG241" s="247"/>
      <c r="BH241" s="247"/>
      <c r="BI241" s="244"/>
      <c r="BJ241" s="244"/>
      <c r="BK241" s="244"/>
      <c r="BL241" s="244"/>
      <c r="BM241" s="244"/>
      <c r="BN241" s="247"/>
      <c r="BO241" s="247"/>
      <c r="BP241" s="247"/>
      <c r="BQ241" s="247"/>
      <c r="BR241" s="244"/>
      <c r="BS241" s="244"/>
      <c r="BT241" s="244"/>
      <c r="BU241" s="244"/>
      <c r="BV241" s="244"/>
      <c r="BW241" s="247"/>
      <c r="BX241" s="247"/>
      <c r="BY241" s="247"/>
      <c r="BZ241" s="247"/>
      <c r="CA241" s="244"/>
      <c r="CB241" s="244"/>
      <c r="CC241" s="244"/>
      <c r="CD241" s="244"/>
      <c r="CE241" s="244"/>
      <c r="CF241" s="247"/>
      <c r="CG241" s="247"/>
      <c r="CH241" s="247"/>
      <c r="CI241" s="247"/>
      <c r="CJ241" s="248"/>
      <c r="CK241" s="248"/>
      <c r="CL241" s="248"/>
      <c r="CM241" s="248"/>
      <c r="CN241" s="248"/>
      <c r="CO241" s="247"/>
      <c r="CP241" s="247"/>
      <c r="CQ241" s="247"/>
      <c r="CR241" s="247"/>
      <c r="CS241" s="248"/>
      <c r="CT241" s="242"/>
      <c r="CU241" s="253"/>
      <c r="CV241" s="209"/>
      <c r="CW241" s="228"/>
    </row>
    <row r="242" spans="1:101" x14ac:dyDescent="0.2">
      <c r="A242" s="219"/>
      <c r="B242" s="219"/>
      <c r="C242" s="175"/>
      <c r="D242" s="176"/>
      <c r="E242" s="210"/>
      <c r="F242" s="211"/>
      <c r="G242" s="210"/>
      <c r="H242" s="210"/>
      <c r="I242" s="210"/>
      <c r="J242" s="210"/>
      <c r="K242" s="210"/>
      <c r="L242" s="212"/>
      <c r="M242" s="213"/>
      <c r="N242" s="213"/>
      <c r="O242" s="213"/>
      <c r="P242" s="213"/>
      <c r="Q242" s="210"/>
      <c r="R242" s="210"/>
      <c r="S242" s="210"/>
      <c r="T242" s="214"/>
      <c r="U242" s="215"/>
      <c r="V242" s="215"/>
      <c r="W242" s="215"/>
      <c r="X242" s="215"/>
      <c r="Y242" s="213"/>
      <c r="Z242" s="210"/>
      <c r="AA242" s="210"/>
      <c r="AB242" s="210"/>
      <c r="AC242" s="214"/>
      <c r="AD242" s="215"/>
      <c r="AE242" s="215"/>
      <c r="AF242" s="215"/>
      <c r="AG242" s="215"/>
      <c r="AH242" s="213"/>
      <c r="AI242" s="210"/>
      <c r="AJ242" s="210"/>
      <c r="AK242" s="210"/>
      <c r="AL242" s="214"/>
      <c r="AM242" s="215"/>
      <c r="AN242" s="215"/>
      <c r="AO242" s="215"/>
      <c r="AP242" s="215"/>
      <c r="AQ242" s="213"/>
      <c r="AR242" s="210"/>
      <c r="AS242" s="210"/>
      <c r="AT242" s="210"/>
      <c r="AU242" s="214"/>
      <c r="AV242" s="215"/>
      <c r="AW242" s="215"/>
      <c r="AX242" s="215"/>
      <c r="AY242" s="215"/>
      <c r="AZ242" s="213"/>
      <c r="BA242" s="210"/>
      <c r="BB242" s="210"/>
      <c r="BC242" s="210"/>
      <c r="BD242" s="214"/>
      <c r="BE242" s="215"/>
      <c r="BF242" s="215"/>
      <c r="BG242" s="215"/>
      <c r="BH242" s="215"/>
      <c r="BI242" s="213"/>
      <c r="BJ242" s="210"/>
      <c r="BK242" s="210"/>
      <c r="BL242" s="210"/>
      <c r="BM242" s="214"/>
      <c r="BN242" s="215"/>
      <c r="BO242" s="215"/>
      <c r="BP242" s="215"/>
      <c r="BQ242" s="215"/>
      <c r="BR242" s="177"/>
      <c r="BS242" s="210"/>
      <c r="BT242" s="210"/>
      <c r="BU242" s="210"/>
      <c r="BV242" s="213"/>
      <c r="BW242" s="215"/>
      <c r="BX242" s="215"/>
      <c r="BY242" s="215"/>
      <c r="BZ242" s="215"/>
      <c r="CA242" s="210"/>
      <c r="CB242" s="216"/>
      <c r="CC242" s="216"/>
      <c r="CD242" s="216"/>
      <c r="CE242" s="216"/>
      <c r="CF242" s="215"/>
      <c r="CG242" s="215"/>
      <c r="CH242" s="215"/>
      <c r="CI242" s="215"/>
      <c r="CJ242" s="210"/>
      <c r="CK242" s="210"/>
      <c r="CL242" s="210"/>
      <c r="CM242" s="210"/>
      <c r="CN242" s="210"/>
      <c r="CO242" s="215"/>
      <c r="CP242" s="215"/>
      <c r="CQ242" s="215"/>
      <c r="CR242" s="215"/>
      <c r="CS242" s="210"/>
      <c r="CT242" s="210"/>
      <c r="CU242" s="210"/>
      <c r="CV242" s="217"/>
      <c r="CW242" s="218"/>
    </row>
    <row r="243" spans="1:101" ht="14.25" thickTop="1" thickBot="1" x14ac:dyDescent="0.25">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c r="AA243" s="218"/>
      <c r="AB243" s="218"/>
      <c r="AC243" s="218"/>
      <c r="AD243" s="218"/>
      <c r="AE243" s="218"/>
      <c r="AF243" s="218"/>
      <c r="AG243" s="218"/>
      <c r="AH243" s="218"/>
      <c r="AI243" s="218"/>
      <c r="AJ243" s="218"/>
      <c r="AK243" s="218"/>
      <c r="AL243" s="218"/>
      <c r="AM243" s="218"/>
      <c r="AN243" s="218"/>
      <c r="AO243" s="218"/>
      <c r="AP243" s="218"/>
      <c r="AQ243" s="218"/>
      <c r="AR243" s="218"/>
      <c r="AS243" s="218"/>
      <c r="AT243" s="218"/>
      <c r="AU243" s="218"/>
      <c r="AV243" s="218"/>
      <c r="AW243" s="218"/>
      <c r="AX243" s="218"/>
      <c r="AY243" s="218"/>
      <c r="AZ243" s="218"/>
      <c r="BA243" s="218"/>
      <c r="BB243" s="218"/>
      <c r="BC243" s="218"/>
      <c r="BD243" s="218"/>
      <c r="BE243" s="218"/>
      <c r="BF243" s="218"/>
      <c r="BG243" s="218"/>
      <c r="BH243" s="218"/>
      <c r="BI243" s="218"/>
      <c r="BJ243" s="218"/>
      <c r="BK243" s="218"/>
      <c r="BL243" s="218"/>
      <c r="BM243" s="218"/>
      <c r="BN243" s="218"/>
      <c r="BO243" s="218"/>
      <c r="BP243" s="218"/>
      <c r="BQ243" s="218"/>
      <c r="BR243" s="218"/>
      <c r="BS243" s="218"/>
      <c r="BT243" s="218"/>
      <c r="BU243" s="218"/>
      <c r="BV243" s="218"/>
      <c r="BW243" s="218"/>
      <c r="BX243" s="218"/>
      <c r="BY243" s="218"/>
      <c r="BZ243" s="218"/>
      <c r="CA243" s="218"/>
      <c r="CB243" s="392"/>
      <c r="CC243" s="392"/>
      <c r="CD243" s="392"/>
      <c r="CE243" s="392"/>
      <c r="CF243" s="218"/>
      <c r="CG243" s="218"/>
      <c r="CH243" s="218"/>
      <c r="CI243" s="218"/>
      <c r="CJ243" s="218"/>
      <c r="CK243" s="218"/>
      <c r="CL243" s="218"/>
      <c r="CM243" s="218"/>
      <c r="CN243" s="218"/>
      <c r="CO243" s="218"/>
      <c r="CP243" s="218"/>
      <c r="CQ243" s="218"/>
      <c r="CR243" s="218"/>
      <c r="CS243" s="218"/>
      <c r="CT243" s="218"/>
      <c r="CU243" s="218"/>
      <c r="CV243" s="218"/>
      <c r="CW243" s="218"/>
    </row>
    <row r="244" spans="1:101" ht="21" thickTop="1" x14ac:dyDescent="0.3">
      <c r="A244" s="219"/>
      <c r="B244" s="219"/>
      <c r="C244" s="157"/>
      <c r="D244" s="158"/>
      <c r="E244" s="731" t="s">
        <v>44</v>
      </c>
      <c r="F244" s="229"/>
      <c r="G244" s="229"/>
      <c r="H244" s="229"/>
      <c r="I244" s="877" t="e" vm="1">
        <v>#VALUE!</v>
      </c>
      <c r="J244" s="877"/>
      <c r="K244" s="877"/>
      <c r="L244" s="877"/>
      <c r="M244" s="159"/>
      <c r="N244" s="159"/>
      <c r="O244" s="159"/>
      <c r="P244" s="160"/>
      <c r="Q244" s="159"/>
      <c r="R244" s="159"/>
      <c r="S244" s="159"/>
      <c r="T244" s="161"/>
      <c r="U244" s="162"/>
      <c r="V244" s="162"/>
      <c r="W244" s="162"/>
      <c r="X244" s="162"/>
      <c r="Y244" s="160"/>
      <c r="Z244" s="159"/>
      <c r="AA244" s="159"/>
      <c r="AB244" s="159"/>
      <c r="AC244" s="161"/>
      <c r="AD244" s="162"/>
      <c r="AE244" s="162"/>
      <c r="AF244" s="162"/>
      <c r="AG244" s="162"/>
      <c r="AH244" s="160"/>
      <c r="AI244" s="159"/>
      <c r="AJ244" s="201"/>
      <c r="AK244" s="201"/>
      <c r="AL244" s="164"/>
      <c r="AM244" s="162"/>
      <c r="AN244" s="162"/>
      <c r="AO244" s="162"/>
      <c r="AP244" s="162"/>
      <c r="AQ244" s="202"/>
      <c r="AR244" s="203"/>
      <c r="AS244" s="165"/>
      <c r="AT244" s="166"/>
      <c r="AU244" s="164"/>
      <c r="AV244" s="162"/>
      <c r="AW244" s="162"/>
      <c r="AX244" s="162"/>
      <c r="AY244" s="162"/>
      <c r="AZ244" s="202"/>
      <c r="BA244" s="203"/>
      <c r="BB244" s="166"/>
      <c r="BC244" s="201"/>
      <c r="BD244" s="204"/>
      <c r="BE244" s="162"/>
      <c r="BF244" s="162"/>
      <c r="BG244" s="162"/>
      <c r="BH244" s="162"/>
      <c r="BI244" s="205"/>
      <c r="BJ244" s="201"/>
      <c r="BK244" s="201"/>
      <c r="BL244" s="201"/>
      <c r="BM244" s="204"/>
      <c r="BN244" s="162"/>
      <c r="BO244" s="162"/>
      <c r="BP244" s="162"/>
      <c r="BQ244" s="162"/>
      <c r="BR244" s="167"/>
      <c r="BS244" s="201"/>
      <c r="BT244" s="201"/>
      <c r="BU244" s="201"/>
      <c r="BV244" s="205"/>
      <c r="BW244" s="162"/>
      <c r="BX244" s="162"/>
      <c r="BY244" s="162"/>
      <c r="BZ244" s="162"/>
      <c r="CA244" s="201"/>
      <c r="CB244" s="393"/>
      <c r="CC244" s="393"/>
      <c r="CD244" s="393"/>
      <c r="CE244" s="393"/>
      <c r="CF244" s="162"/>
      <c r="CG244" s="162"/>
      <c r="CH244" s="162"/>
      <c r="CI244" s="162"/>
      <c r="CJ244" s="163"/>
      <c r="CK244" s="163"/>
      <c r="CL244" s="163"/>
      <c r="CM244" s="163"/>
      <c r="CN244" s="163"/>
      <c r="CO244" s="162"/>
      <c r="CP244" s="162"/>
      <c r="CQ244" s="162"/>
      <c r="CR244" s="162"/>
      <c r="CS244" s="163"/>
      <c r="CT244" s="358"/>
      <c r="CU244" s="201"/>
      <c r="CV244" s="206"/>
      <c r="CW244" s="218"/>
    </row>
    <row r="245" spans="1:101" ht="15.75" customHeight="1" thickBot="1" x14ac:dyDescent="0.25">
      <c r="A245" s="219"/>
      <c r="B245" s="219"/>
      <c r="C245" s="168"/>
      <c r="D245" s="785"/>
      <c r="E245" s="869" t="s">
        <v>45</v>
      </c>
      <c r="F245" s="363"/>
      <c r="G245" s="363"/>
      <c r="H245" s="363"/>
      <c r="I245" s="878"/>
      <c r="J245" s="878"/>
      <c r="K245" s="878"/>
      <c r="L245" s="878"/>
      <c r="M245" s="363"/>
      <c r="N245" s="363"/>
      <c r="O245" s="363"/>
      <c r="P245" s="363"/>
      <c r="Q245" s="363"/>
      <c r="R245" s="363"/>
      <c r="S245" s="363"/>
      <c r="T245" s="363"/>
      <c r="U245" s="363"/>
      <c r="V245" s="363"/>
      <c r="W245" s="363"/>
      <c r="X245" s="363"/>
      <c r="Y245" s="363"/>
      <c r="Z245" s="363"/>
      <c r="AA245" s="363"/>
      <c r="AB245" s="363"/>
      <c r="AC245" s="363"/>
      <c r="AD245" s="363"/>
      <c r="AE245" s="363"/>
      <c r="AF245" s="363"/>
      <c r="AG245" s="363"/>
      <c r="AH245" s="363"/>
      <c r="AI245" s="363"/>
      <c r="AJ245" s="363"/>
      <c r="AK245" s="363"/>
      <c r="AL245" s="363"/>
      <c r="AM245" s="363"/>
      <c r="AN245" s="363"/>
      <c r="AO245" s="363"/>
      <c r="AP245" s="363"/>
      <c r="AQ245" s="363"/>
      <c r="AR245" s="363"/>
      <c r="AS245" s="363"/>
      <c r="AT245" s="363"/>
      <c r="AU245" s="363"/>
      <c r="AV245" s="363"/>
      <c r="AW245" s="363"/>
      <c r="AX245" s="363"/>
      <c r="AY245" s="363"/>
      <c r="AZ245" s="363"/>
      <c r="BA245" s="363"/>
      <c r="BB245" s="363"/>
      <c r="BC245" s="363"/>
      <c r="BD245" s="363"/>
      <c r="BE245" s="363"/>
      <c r="BF245" s="363"/>
      <c r="BG245" s="363"/>
      <c r="BH245" s="363"/>
      <c r="BI245" s="363"/>
      <c r="BJ245" s="363"/>
      <c r="BK245" s="363"/>
      <c r="BL245" s="363"/>
      <c r="BM245" s="363"/>
      <c r="BN245" s="363"/>
      <c r="BO245" s="363"/>
      <c r="BP245" s="363"/>
      <c r="BQ245" s="363"/>
      <c r="BR245" s="363"/>
      <c r="BS245" s="363"/>
      <c r="BT245" s="363"/>
      <c r="BU245" s="363"/>
      <c r="BV245" s="363"/>
      <c r="BW245" s="363"/>
      <c r="BX245" s="363"/>
      <c r="BY245" s="363"/>
      <c r="BZ245" s="363"/>
      <c r="CA245" s="363"/>
      <c r="CB245" s="394"/>
      <c r="CC245" s="394"/>
      <c r="CD245" s="394"/>
      <c r="CE245" s="394"/>
      <c r="CF245" s="363"/>
      <c r="CG245" s="363"/>
      <c r="CH245" s="363"/>
      <c r="CI245" s="363"/>
      <c r="CJ245" s="363"/>
      <c r="CK245" s="363"/>
      <c r="CL245" s="363"/>
      <c r="CM245" s="363"/>
      <c r="CN245" s="323"/>
      <c r="CO245" s="363"/>
      <c r="CP245" s="363"/>
      <c r="CQ245" s="363"/>
      <c r="CR245" s="363"/>
      <c r="CS245" s="323"/>
      <c r="CT245" s="155"/>
      <c r="CU245" s="269"/>
      <c r="CV245" s="209"/>
      <c r="CW245" s="218"/>
    </row>
    <row r="246" spans="1:101" ht="18.75" customHeight="1" thickTop="1" x14ac:dyDescent="0.2">
      <c r="A246" s="219"/>
      <c r="B246" s="219"/>
      <c r="C246" s="174"/>
      <c r="D246" s="778"/>
      <c r="E246" s="777"/>
      <c r="F246" s="235"/>
      <c r="G246" s="234"/>
      <c r="H246" s="234"/>
      <c r="I246" s="875">
        <f>WEEKNUM(E247)</f>
        <v>44</v>
      </c>
      <c r="J246" s="875"/>
      <c r="K246" s="875"/>
      <c r="L246" s="250"/>
      <c r="M246" s="261"/>
      <c r="N246" s="205"/>
      <c r="O246" s="236"/>
      <c r="P246" s="236"/>
      <c r="Q246" s="675" t="str">
        <f>IF($F250="","",SUM(Q262:S262)-S248)</f>
        <v/>
      </c>
      <c r="R246" s="675"/>
      <c r="S246" s="675"/>
      <c r="T246" s="237"/>
      <c r="U246" s="238"/>
      <c r="V246" s="238"/>
      <c r="W246" s="238"/>
      <c r="X246" s="238"/>
      <c r="Y246" s="236"/>
      <c r="Z246" s="675" t="str">
        <f>IF($F250="","",SUM(Z262:AB262)-AB248)</f>
        <v/>
      </c>
      <c r="AA246" s="675"/>
      <c r="AB246" s="675"/>
      <c r="AC246" s="237"/>
      <c r="AD246" s="238"/>
      <c r="AE246" s="238"/>
      <c r="AF246" s="238"/>
      <c r="AG246" s="238"/>
      <c r="AH246" s="236"/>
      <c r="AI246" s="675" t="str">
        <f>IF($F250="","",SUM(AI262:AK262)-AK248)</f>
        <v/>
      </c>
      <c r="AJ246" s="675"/>
      <c r="AK246" s="675"/>
      <c r="AL246" s="237"/>
      <c r="AM246" s="238"/>
      <c r="AN246" s="238"/>
      <c r="AO246" s="238"/>
      <c r="AP246" s="238"/>
      <c r="AQ246" s="236"/>
      <c r="AR246" s="675" t="str">
        <f>IF($F250="","",SUM(AR262:AT262)-AT248)</f>
        <v/>
      </c>
      <c r="AS246" s="675"/>
      <c r="AT246" s="675"/>
      <c r="AU246" s="239"/>
      <c r="AV246" s="238"/>
      <c r="AW246" s="238"/>
      <c r="AX246" s="238"/>
      <c r="AY246" s="238"/>
      <c r="AZ246" s="240"/>
      <c r="BA246" s="675" t="str">
        <f>IF($F250="","",SUM(BA262:BC262)-BC248)</f>
        <v/>
      </c>
      <c r="BB246" s="675"/>
      <c r="BC246" s="675"/>
      <c r="BD246" s="239"/>
      <c r="BE246" s="238"/>
      <c r="BF246" s="238"/>
      <c r="BG246" s="238"/>
      <c r="BH246" s="238"/>
      <c r="BI246" s="240"/>
      <c r="BJ246" s="675" t="str">
        <f>IF($F250="","",SUM(BJ262:BL262)-BL248)</f>
        <v/>
      </c>
      <c r="BK246" s="675"/>
      <c r="BL246" s="675"/>
      <c r="BM246" s="239"/>
      <c r="BN246" s="238"/>
      <c r="BO246" s="238"/>
      <c r="BP246" s="238"/>
      <c r="BQ246" s="238"/>
      <c r="BR246" s="241"/>
      <c r="BS246" s="675" t="str">
        <f>IF($F250="","",SUM(BS262:BU262)-BU248)</f>
        <v/>
      </c>
      <c r="BT246" s="675"/>
      <c r="BU246" s="675"/>
      <c r="BV246" s="240"/>
      <c r="BW246" s="238"/>
      <c r="BX246" s="238"/>
      <c r="BY246" s="238"/>
      <c r="BZ246" s="238"/>
      <c r="CA246" s="241"/>
      <c r="CB246" s="675" t="str">
        <f>IF($F250="","",SUM(CB262:CD262)-CD248)</f>
        <v/>
      </c>
      <c r="CC246" s="675"/>
      <c r="CD246" s="675"/>
      <c r="CE246" s="240"/>
      <c r="CF246" s="238"/>
      <c r="CG246" s="238"/>
      <c r="CH246" s="238"/>
      <c r="CI246" s="238"/>
      <c r="CJ246" s="675"/>
      <c r="CK246" s="675" t="str">
        <f>IF($F250="","",SUM(CK262:CM262))</f>
        <v/>
      </c>
      <c r="CL246" s="675"/>
      <c r="CM246" s="675"/>
      <c r="CN246" s="240"/>
      <c r="CO246" s="238"/>
      <c r="CP246" s="238"/>
      <c r="CQ246" s="238"/>
      <c r="CR246" s="238"/>
      <c r="CS246" s="234"/>
      <c r="CT246" s="234"/>
      <c r="CU246" s="251"/>
      <c r="CV246" s="209"/>
      <c r="CW246" s="218"/>
    </row>
    <row r="247" spans="1:101" ht="12.75" customHeight="1" x14ac:dyDescent="0.2">
      <c r="A247" s="219"/>
      <c r="B247" s="219"/>
      <c r="C247" s="174"/>
      <c r="D247" s="779"/>
      <c r="E247" s="543">
        <f>E225+7</f>
        <v>46326</v>
      </c>
      <c r="F247" s="178"/>
      <c r="G247" s="179"/>
      <c r="H247" s="179"/>
      <c r="I247" s="876"/>
      <c r="J247" s="876"/>
      <c r="K247" s="876"/>
      <c r="L247" s="254"/>
      <c r="M247" s="329"/>
      <c r="N247" s="208"/>
      <c r="O247" s="180"/>
      <c r="P247" s="180"/>
      <c r="Q247" s="584" t="str">
        <f>IF(Q246="","",Q246/Data!$X$1)</f>
        <v/>
      </c>
      <c r="R247" s="584"/>
      <c r="S247" s="585" t="str">
        <f>IF(SUM(X250:X261)=0,"",SUM(X250:X261))</f>
        <v/>
      </c>
      <c r="T247" s="181"/>
      <c r="U247" s="182"/>
      <c r="V247" s="182"/>
      <c r="W247" s="182"/>
      <c r="X247" s="182"/>
      <c r="Y247" s="180"/>
      <c r="Z247" s="584" t="str">
        <f>IF(Z246="","",Z246/Data!$X$1)</f>
        <v/>
      </c>
      <c r="AA247" s="584"/>
      <c r="AB247" s="585" t="str">
        <f>IF(SUM(AG250:AG261)=0,"",SUM(AG250:AG261))</f>
        <v/>
      </c>
      <c r="AC247" s="181"/>
      <c r="AD247" s="182"/>
      <c r="AE247" s="182"/>
      <c r="AF247" s="182"/>
      <c r="AG247" s="182"/>
      <c r="AH247" s="180"/>
      <c r="AI247" s="584" t="str">
        <f>IF(AI246="","",AI246/Data!$X$1)</f>
        <v/>
      </c>
      <c r="AJ247" s="584"/>
      <c r="AK247" s="585" t="str">
        <f>IF(SUM(AP250:AP261)=0,"",SUM(AP250:AP261))</f>
        <v/>
      </c>
      <c r="AL247" s="181"/>
      <c r="AM247" s="182"/>
      <c r="AN247" s="182"/>
      <c r="AO247" s="182"/>
      <c r="AP247" s="182"/>
      <c r="AQ247" s="180"/>
      <c r="AR247" s="584" t="str">
        <f>IF(AR246="","",AR246/Data!$X$1)</f>
        <v/>
      </c>
      <c r="AS247" s="584"/>
      <c r="AT247" s="585" t="str">
        <f>IF(SUM(AY250:AY261)=0,"",SUM(AY250:AY261))</f>
        <v/>
      </c>
      <c r="AU247" s="183"/>
      <c r="AV247" s="182"/>
      <c r="AW247" s="182"/>
      <c r="AX247" s="182"/>
      <c r="AY247" s="182"/>
      <c r="AZ247" s="184"/>
      <c r="BA247" s="584" t="str">
        <f>IF(BA246="","",BA246/Data!$X$1)</f>
        <v/>
      </c>
      <c r="BB247" s="584"/>
      <c r="BC247" s="585" t="str">
        <f>IF(SUM(BH250:BH261)=0,"",SUM(BH250:BH261))</f>
        <v/>
      </c>
      <c r="BD247" s="183"/>
      <c r="BE247" s="182"/>
      <c r="BF247" s="182"/>
      <c r="BG247" s="182"/>
      <c r="BH247" s="182"/>
      <c r="BI247" s="184"/>
      <c r="BJ247" s="584" t="str">
        <f>IF(BJ246="","",BJ246/Data!$X$1)</f>
        <v/>
      </c>
      <c r="BK247" s="584"/>
      <c r="BL247" s="585" t="str">
        <f>IF(SUM(BQ250:BQ261)=0,"",SUM(BQ250:BQ261))</f>
        <v/>
      </c>
      <c r="BM247" s="183"/>
      <c r="BN247" s="182"/>
      <c r="BO247" s="182"/>
      <c r="BP247" s="182"/>
      <c r="BQ247" s="182"/>
      <c r="BR247" s="185"/>
      <c r="BS247" s="584" t="str">
        <f>IF(BS246="","",BS246/Data!$X$1)</f>
        <v/>
      </c>
      <c r="BT247" s="584"/>
      <c r="BU247" s="585" t="str">
        <f>IF(SUM(BZ250:BZ261)=0,"",SUM(BZ250:BZ261))</f>
        <v/>
      </c>
      <c r="BV247" s="184"/>
      <c r="BW247" s="182"/>
      <c r="BX247" s="182"/>
      <c r="BY247" s="182"/>
      <c r="BZ247" s="182"/>
      <c r="CA247" s="185"/>
      <c r="CB247" s="584" t="str">
        <f>IF(CB246="","",CB246/Data!$X$1)</f>
        <v/>
      </c>
      <c r="CC247" s="584"/>
      <c r="CD247" s="585" t="str">
        <f>IF(SUM(CI250:CI261)=0,"",SUM(CI250:CI261))</f>
        <v/>
      </c>
      <c r="CE247" s="184"/>
      <c r="CF247" s="182"/>
      <c r="CG247" s="182"/>
      <c r="CH247" s="182"/>
      <c r="CI247" s="182"/>
      <c r="CJ247" s="182"/>
      <c r="CK247" s="584" t="str">
        <f>IF(CK246="","",CK246/Data!$X$1)</f>
        <v/>
      </c>
      <c r="CL247" s="584"/>
      <c r="CM247" s="585" t="str">
        <f>IF(SUM(CR250:CR261)=0,"",SUM(CR250:CR261))</f>
        <v/>
      </c>
      <c r="CN247" s="184"/>
      <c r="CO247" s="182"/>
      <c r="CP247" s="182"/>
      <c r="CQ247" s="182"/>
      <c r="CR247" s="182"/>
      <c r="CS247" s="182"/>
      <c r="CT247" s="182"/>
      <c r="CU247" s="255"/>
      <c r="CV247" s="209"/>
      <c r="CW247" s="218"/>
    </row>
    <row r="248" spans="1:101" ht="13.5" thickBot="1" x14ac:dyDescent="0.25">
      <c r="A248" s="219"/>
      <c r="B248" s="219"/>
      <c r="C248" s="174"/>
      <c r="D248" s="230"/>
      <c r="E248" s="359"/>
      <c r="F248" s="186"/>
      <c r="G248" s="187"/>
      <c r="H248" s="187"/>
      <c r="I248" s="673"/>
      <c r="J248" s="674"/>
      <c r="K248" s="674"/>
      <c r="L248" s="256"/>
      <c r="M248" s="330"/>
      <c r="N248" s="334"/>
      <c r="O248" s="187"/>
      <c r="P248" s="187"/>
      <c r="Q248" s="342" t="str">
        <f>Data!$E$11</f>
        <v>AHH</v>
      </c>
      <c r="R248" s="343" t="str">
        <f>IF($F261="","",RANK(Q246,$Q246:$CL246))</f>
        <v/>
      </c>
      <c r="S248" s="466"/>
      <c r="T248" s="181"/>
      <c r="U248" s="182"/>
      <c r="V248" s="182"/>
      <c r="W248" s="182"/>
      <c r="X248" s="197">
        <f>COUNTIF(U250:W261,"&gt;0")</f>
        <v>0</v>
      </c>
      <c r="Y248" s="180"/>
      <c r="Z248" s="342" t="str">
        <f>Data!$E$12</f>
        <v>RB</v>
      </c>
      <c r="AA248" s="343" t="str">
        <f>IF($F261="","",RANK(Z246,$Q246:$CL246))</f>
        <v/>
      </c>
      <c r="AB248" s="466"/>
      <c r="AC248" s="181"/>
      <c r="AD248" s="182"/>
      <c r="AE248" s="182"/>
      <c r="AF248" s="182"/>
      <c r="AG248" s="197">
        <f>COUNTIF(AD250:AF261,"&gt;0")</f>
        <v>0</v>
      </c>
      <c r="AH248" s="180"/>
      <c r="AI248" s="342" t="str">
        <f>Data!$E$13</f>
        <v>EB</v>
      </c>
      <c r="AJ248" s="343" t="str">
        <f>IF($F261="","",RANK(AI246,$Q246:$CL246))</f>
        <v/>
      </c>
      <c r="AK248" s="466"/>
      <c r="AL248" s="181"/>
      <c r="AM248" s="182"/>
      <c r="AN248" s="182"/>
      <c r="AO248" s="182"/>
      <c r="AP248" s="197">
        <f>COUNTIF(AM250:AO261,"&gt;0")</f>
        <v>0</v>
      </c>
      <c r="AQ248" s="180"/>
      <c r="AR248" s="305" t="str">
        <f>Data!$E$14</f>
        <v>KAF</v>
      </c>
      <c r="AS248" s="343" t="str">
        <f>IF($F261="","",RANK(AR246,$Q246:$CL246))</f>
        <v/>
      </c>
      <c r="AT248" s="466"/>
      <c r="AU248" s="181"/>
      <c r="AV248" s="182"/>
      <c r="AW248" s="182"/>
      <c r="AX248" s="182"/>
      <c r="AY248" s="197">
        <f>COUNTIF(AV250:AX261,"&gt;0")</f>
        <v>0</v>
      </c>
      <c r="AZ248" s="180"/>
      <c r="BA248" s="305" t="str">
        <f>Data!$E$15</f>
        <v>ØG</v>
      </c>
      <c r="BB248" s="343" t="str">
        <f>IF($F261="","",RANK(BA246,$Q246:$CL246))</f>
        <v/>
      </c>
      <c r="BC248" s="466"/>
      <c r="BD248" s="181"/>
      <c r="BE248" s="182"/>
      <c r="BF248" s="182"/>
      <c r="BG248" s="182"/>
      <c r="BH248" s="197">
        <f>COUNTIF(BE250:BG261,"&gt;0")</f>
        <v>0</v>
      </c>
      <c r="BI248" s="180"/>
      <c r="BJ248" s="305" t="str">
        <f>Data!$E$16</f>
        <v>JH</v>
      </c>
      <c r="BK248" s="343" t="str">
        <f>IF($F261="","",RANK(BJ246,$Q246:$CL246))</f>
        <v/>
      </c>
      <c r="BL248" s="466"/>
      <c r="BM248" s="181"/>
      <c r="BN248" s="182"/>
      <c r="BO248" s="182"/>
      <c r="BP248" s="182"/>
      <c r="BQ248" s="197">
        <f>COUNTIF(BN250:BP261,"&gt;0")</f>
        <v>0</v>
      </c>
      <c r="BR248" s="188"/>
      <c r="BS248" s="305" t="str">
        <f>Data!$E$17</f>
        <v>TOH</v>
      </c>
      <c r="BT248" s="343" t="str">
        <f>IF($F261="","",RANK(BS246,$Q246:$CL246))</f>
        <v/>
      </c>
      <c r="BU248" s="466"/>
      <c r="BV248" s="180"/>
      <c r="BW248" s="182"/>
      <c r="BX248" s="182"/>
      <c r="BY248" s="182"/>
      <c r="BZ248" s="197">
        <f>COUNTIF(BW250:BY261,"&gt;0")</f>
        <v>0</v>
      </c>
      <c r="CA248" s="188"/>
      <c r="CB248" s="305" t="s">
        <v>26</v>
      </c>
      <c r="CC248" s="343" t="str">
        <f>IF($F261="","",RANK(CB246,$Q246:$CM246))</f>
        <v/>
      </c>
      <c r="CD248" s="467"/>
      <c r="CE248" s="180"/>
      <c r="CF248" s="182"/>
      <c r="CG248" s="182"/>
      <c r="CH248" s="182"/>
      <c r="CI248" s="197">
        <f>COUNTIF(CF250:CH261,"&gt;0")</f>
        <v>0</v>
      </c>
      <c r="CJ248" s="182"/>
      <c r="CK248" s="305" t="s">
        <v>27</v>
      </c>
      <c r="CL248" s="343" t="str">
        <f>IF($F261="","",RANK(CK246,$Q246:$CM246))</f>
        <v/>
      </c>
      <c r="CM248" s="669" t="s">
        <v>185</v>
      </c>
      <c r="CN248" s="180"/>
      <c r="CO248" s="182"/>
      <c r="CP248" s="182"/>
      <c r="CQ248" s="182"/>
      <c r="CR248" s="197">
        <f>COUNTIF(CO250:CQ261,"&gt;0")</f>
        <v>0</v>
      </c>
      <c r="CS248" s="182"/>
      <c r="CT248" s="182"/>
      <c r="CU248" s="255"/>
      <c r="CV248" s="209"/>
      <c r="CW248" s="218"/>
    </row>
    <row r="249" spans="1:101" ht="13.5" thickBot="1" x14ac:dyDescent="0.25">
      <c r="A249" s="227"/>
      <c r="B249" s="227"/>
      <c r="C249" s="168"/>
      <c r="D249" s="231"/>
      <c r="E249" s="189"/>
      <c r="F249" s="190"/>
      <c r="G249" s="191"/>
      <c r="H249" s="191"/>
      <c r="I249" s="192" t="s">
        <v>47</v>
      </c>
      <c r="J249" s="193" t="s">
        <v>48</v>
      </c>
      <c r="K249" s="194" t="s">
        <v>49</v>
      </c>
      <c r="L249" s="257"/>
      <c r="M249" s="331"/>
      <c r="N249" s="335"/>
      <c r="O249" s="195"/>
      <c r="P249" s="195"/>
      <c r="Q249" s="192" t="s">
        <v>47</v>
      </c>
      <c r="R249" s="193" t="s">
        <v>48</v>
      </c>
      <c r="S249" s="194" t="s">
        <v>49</v>
      </c>
      <c r="T249" s="196"/>
      <c r="U249" s="197"/>
      <c r="V249" s="197"/>
      <c r="W249" s="197"/>
      <c r="X249" s="197"/>
      <c r="Y249" s="195"/>
      <c r="Z249" s="192" t="s">
        <v>47</v>
      </c>
      <c r="AA249" s="193" t="s">
        <v>48</v>
      </c>
      <c r="AB249" s="194" t="s">
        <v>49</v>
      </c>
      <c r="AC249" s="196"/>
      <c r="AD249" s="197"/>
      <c r="AE249" s="197"/>
      <c r="AF249" s="197"/>
      <c r="AG249" s="197"/>
      <c r="AH249" s="195"/>
      <c r="AI249" s="192" t="s">
        <v>47</v>
      </c>
      <c r="AJ249" s="193" t="s">
        <v>48</v>
      </c>
      <c r="AK249" s="194" t="s">
        <v>49</v>
      </c>
      <c r="AL249" s="196"/>
      <c r="AM249" s="197"/>
      <c r="AN249" s="197"/>
      <c r="AO249" s="197"/>
      <c r="AP249" s="197"/>
      <c r="AQ249" s="195"/>
      <c r="AR249" s="192" t="s">
        <v>47</v>
      </c>
      <c r="AS249" s="193" t="s">
        <v>48</v>
      </c>
      <c r="AT249" s="194" t="s">
        <v>49</v>
      </c>
      <c r="AU249" s="196"/>
      <c r="AV249" s="197"/>
      <c r="AW249" s="197"/>
      <c r="AX249" s="197"/>
      <c r="AY249" s="197"/>
      <c r="AZ249" s="195"/>
      <c r="BA249" s="192" t="s">
        <v>47</v>
      </c>
      <c r="BB249" s="193" t="s">
        <v>48</v>
      </c>
      <c r="BC249" s="194" t="s">
        <v>49</v>
      </c>
      <c r="BD249" s="196"/>
      <c r="BE249" s="197"/>
      <c r="BF249" s="197"/>
      <c r="BG249" s="197"/>
      <c r="BH249" s="197"/>
      <c r="BI249" s="195"/>
      <c r="BJ249" s="192" t="s">
        <v>47</v>
      </c>
      <c r="BK249" s="193" t="s">
        <v>48</v>
      </c>
      <c r="BL249" s="194" t="s">
        <v>49</v>
      </c>
      <c r="BM249" s="196"/>
      <c r="BN249" s="197"/>
      <c r="BO249" s="197"/>
      <c r="BP249" s="197"/>
      <c r="BQ249" s="197"/>
      <c r="BR249" s="195"/>
      <c r="BS249" s="192" t="s">
        <v>47</v>
      </c>
      <c r="BT249" s="193" t="s">
        <v>48</v>
      </c>
      <c r="BU249" s="194" t="s">
        <v>49</v>
      </c>
      <c r="BV249" s="196"/>
      <c r="BW249" s="197"/>
      <c r="BX249" s="197"/>
      <c r="BY249" s="197"/>
      <c r="BZ249" s="197"/>
      <c r="CA249" s="195"/>
      <c r="CB249" s="192" t="s">
        <v>47</v>
      </c>
      <c r="CC249" s="193" t="s">
        <v>48</v>
      </c>
      <c r="CD249" s="194" t="s">
        <v>49</v>
      </c>
      <c r="CE249" s="196"/>
      <c r="CF249" s="197"/>
      <c r="CG249" s="197"/>
      <c r="CH249" s="197"/>
      <c r="CI249" s="197"/>
      <c r="CJ249" s="197"/>
      <c r="CK249" s="192" t="s">
        <v>47</v>
      </c>
      <c r="CL249" s="193" t="s">
        <v>48</v>
      </c>
      <c r="CM249" s="194" t="s">
        <v>49</v>
      </c>
      <c r="CN249" s="196"/>
      <c r="CO249" s="197"/>
      <c r="CP249" s="197"/>
      <c r="CQ249" s="197"/>
      <c r="CR249" s="197"/>
      <c r="CS249" s="197"/>
      <c r="CT249" s="198"/>
      <c r="CU249" s="255"/>
      <c r="CV249" s="209"/>
      <c r="CW249" s="228"/>
    </row>
    <row r="250" spans="1:101" x14ac:dyDescent="0.2">
      <c r="A250" s="227"/>
      <c r="B250" s="227"/>
      <c r="C250" s="168"/>
      <c r="D250" s="232"/>
      <c r="E250" s="134" t="s">
        <v>186</v>
      </c>
      <c r="F250" s="424"/>
      <c r="G250" s="428" t="s">
        <v>51</v>
      </c>
      <c r="H250" s="429"/>
      <c r="I250" s="138" t="str">
        <f t="shared" ref="I250:I261" si="359">IF($F250&gt;$H250,"x","")</f>
        <v/>
      </c>
      <c r="J250" s="344" t="str">
        <f t="shared" ref="J250:J261" si="360">IF(F250&lt;&gt;"",IF(H250&lt;&gt;"",IF(F250=H250,"x",""),""),"")</f>
        <v/>
      </c>
      <c r="K250" s="345" t="str">
        <f t="shared" ref="K250:K261" si="361">IF($F250&lt;$H250,"x","")</f>
        <v/>
      </c>
      <c r="L250" s="258"/>
      <c r="M250" s="332"/>
      <c r="N250" s="336"/>
      <c r="O250" s="200"/>
      <c r="P250" s="200"/>
      <c r="Q250" s="436"/>
      <c r="R250" s="437"/>
      <c r="S250" s="438" t="str">
        <f t="shared" ref="S250:S261" si="362">IF(Q250="","",100-SUM(Q250:R250))</f>
        <v/>
      </c>
      <c r="T250" s="328"/>
      <c r="U250" s="197" t="str">
        <f>IF(AND($I250="x",AND(MAX(Q250:S250)=Q250,Q250&gt;=0)),Data!$BI$2,"")</f>
        <v/>
      </c>
      <c r="V250" s="197" t="str">
        <f>IF(AND($J250="x",AND(MAX(Q250:S250)=R250,R250&gt;=0)),Data!$BJ$2,"")</f>
        <v/>
      </c>
      <c r="W250" s="197" t="str">
        <f>IF(AND($K250="x",AND(MAX(Q250:S250)=S250,S250&gt;=0)),Data!$BK$2,"")</f>
        <v/>
      </c>
      <c r="X250" s="197"/>
      <c r="Y250" s="328"/>
      <c r="Z250" s="451"/>
      <c r="AA250" s="452"/>
      <c r="AB250" s="438" t="str">
        <f t="shared" ref="AB250:AB261" si="363">IF(Z250="","",100-SUM(Z250:AA250))</f>
        <v/>
      </c>
      <c r="AC250" s="328"/>
      <c r="AD250" s="197" t="str">
        <f>IF(AND($I250="x",AND(MAX(Z250:AB250)=Z250,Z250&lt;&gt;"")),Data!$BI$2,"")</f>
        <v/>
      </c>
      <c r="AE250" s="197" t="str">
        <f>IF(AND($J250="x",AND(MAX(Z250:AB250)=AA250,AA250&lt;&gt;"")),Data!$BJ$2,"")</f>
        <v/>
      </c>
      <c r="AF250" s="197" t="str">
        <f>IF(AND($K250="x",AND(MAX(Z250:AB250)=AB250,AB250&lt;&gt;"")),Data!$BK$2,"")</f>
        <v/>
      </c>
      <c r="AG250" s="197"/>
      <c r="AH250" s="328"/>
      <c r="AI250" s="451"/>
      <c r="AJ250" s="452"/>
      <c r="AK250" s="438" t="str">
        <f t="shared" ref="AK250:AK261" si="364">IF(AI250="","",100-SUM(AI250:AJ250))</f>
        <v/>
      </c>
      <c r="AL250" s="328"/>
      <c r="AM250" s="197" t="str">
        <f>IF(AND($I250="x",AND(MAX(AI250:AK250)=AI250,AI250&lt;&gt;"")),Data!$BI$2,"")</f>
        <v/>
      </c>
      <c r="AN250" s="197" t="str">
        <f>IF(AND($J250="x",AND(MAX(AI250:AK250)=AJ250,AJ250&lt;&gt;"")),Data!$BJ$2,"")</f>
        <v/>
      </c>
      <c r="AO250" s="197" t="str">
        <f>IF(AND($K250="x",AND(MAX(AI250:AK250)=AK250,AK250&lt;&gt;"")),Data!$BK$2,"")</f>
        <v/>
      </c>
      <c r="AP250" s="197"/>
      <c r="AQ250" s="328"/>
      <c r="AR250" s="451"/>
      <c r="AS250" s="452"/>
      <c r="AT250" s="438" t="str">
        <f t="shared" ref="AT250:AT261" si="365">IF(AR250="","",100-SUM(AR250:AS250))</f>
        <v/>
      </c>
      <c r="AU250" s="328"/>
      <c r="AV250" s="197" t="str">
        <f>IF(AND($I250="x",AND(MAX(AR250:AT250)=AR250,AR250&lt;&gt;"")),Data!$BI$2,"")</f>
        <v/>
      </c>
      <c r="AW250" s="197" t="str">
        <f>IF(AND($J250="x",AND(MAX(AR250:AT250)=AS250,AS250&lt;&gt;"")),Data!$BJ$2,"")</f>
        <v/>
      </c>
      <c r="AX250" s="197" t="str">
        <f>IF(AND($K250="x",AND(MAX(AR250:AT250)=AT250,AT250&lt;&gt;"")),Data!$BK$2,"")</f>
        <v/>
      </c>
      <c r="AY250" s="197"/>
      <c r="AZ250" s="328"/>
      <c r="BA250" s="451"/>
      <c r="BB250" s="452"/>
      <c r="BC250" s="438" t="str">
        <f t="shared" ref="BC250:BC261" si="366">IF(BA250="","",100-SUM(BA250:BB250))</f>
        <v/>
      </c>
      <c r="BD250" s="328"/>
      <c r="BE250" s="197" t="str">
        <f>IF(AND($I250="x",AND(MAX(BA250:BC250)=BA250,BA250&lt;&gt;"")),Data!$BI$2,"")</f>
        <v/>
      </c>
      <c r="BF250" s="197" t="str">
        <f>IF(AND($J250="x",AND(MAX(BA250:BC250)=BB250,BB250&lt;&gt;"")),Data!$BJ$2,"")</f>
        <v/>
      </c>
      <c r="BG250" s="197" t="str">
        <f>IF(AND($K250="x",AND(MAX(BA250:BC250)=BC250,BC250&lt;&gt;"")),Data!$BK$2,"")</f>
        <v/>
      </c>
      <c r="BH250" s="197"/>
      <c r="BI250" s="328"/>
      <c r="BJ250" s="451"/>
      <c r="BK250" s="452"/>
      <c r="BL250" s="438" t="str">
        <f t="shared" ref="BL250:BL261" si="367">IF(BJ250="","",100-SUM(BJ250:BK250))</f>
        <v/>
      </c>
      <c r="BM250" s="328"/>
      <c r="BN250" s="197" t="str">
        <f>IF(AND($I250="x",AND(MAX(BJ250:BL250)=BJ250,BJ250&lt;&gt;"")),Data!$BI$2,"")</f>
        <v/>
      </c>
      <c r="BO250" s="197" t="str">
        <f>IF(AND($J250="x",AND(MAX(BJ250:BL250)=BK250,BK250&lt;&gt;"")),Data!$BJ$2,"")</f>
        <v/>
      </c>
      <c r="BP250" s="197" t="str">
        <f>IF(AND($K250="x",AND(MAX(BJ250:BL250)=BL250,BL250&lt;&gt;"")),Data!$BK$2,"")</f>
        <v/>
      </c>
      <c r="BQ250" s="197"/>
      <c r="BR250" s="328"/>
      <c r="BS250" s="451"/>
      <c r="BT250" s="452"/>
      <c r="BU250" s="438" t="str">
        <f t="shared" ref="BU250:BU261" si="368">IF(BS250="","",100-SUM(BS250:BT250))</f>
        <v/>
      </c>
      <c r="BV250" s="328"/>
      <c r="BW250" s="197" t="str">
        <f>IF(AND($I250="x",AND(MAX(BS250:BU250)=BS250,BS250&lt;&gt;"")),Data!$BI$2,"")</f>
        <v/>
      </c>
      <c r="BX250" s="197" t="str">
        <f>IF(AND($J250="x",AND(MAX(BS250:BU250)=BT250,BT250&lt;&gt;"")),Data!$BJ$2,"")</f>
        <v/>
      </c>
      <c r="BY250" s="197" t="str">
        <f>IF(AND($K250="x",AND(MAX(BS250:BU250)=BU250,BU250&lt;&gt;"")),Data!$BK$2,"")</f>
        <v/>
      </c>
      <c r="BZ250" s="197"/>
      <c r="CA250" s="328"/>
      <c r="CB250" s="457" t="str">
        <f t="shared" ref="CB250:CB261" si="369">IFERROR(ROUNDUP((SUM(Q250,Z250,AI250,AR250,BA250,BJ250,BS250)/SUM($Q250:$S250,$Z250:$AB250,$AI250:$AK250,$AR250:$AT250,$BA250:$BC250,$BJ250:$BL250,$BS250:$BU250))*100,-1),"")</f>
        <v/>
      </c>
      <c r="CC250" s="458" t="str">
        <f t="shared" ref="CC250:CC261" si="370">IFERROR(ROUNDDOWN((SUM(R250,AA250,AJ250,AS250,BB250,BK250,BT250)/SUM($Q250:$S250,$Z250:$AB250,$AI250:$AK250,$AR250:$AT250,$BA250:$BC250,$BJ250:$BL250,$BS250:$BU250))*100,-1),"")</f>
        <v/>
      </c>
      <c r="CD250" s="459" t="str">
        <f t="shared" ref="CD250:CD261" si="371">IF(CB250="","",100-SUM(CB250:CC250))</f>
        <v/>
      </c>
      <c r="CE250" s="328"/>
      <c r="CF250" s="197" t="str">
        <f>IF(AND($I250="x",AND(MAX(CB250:CD250)=CB250,CB250&lt;&gt;"")),Data!$BI$2,"")</f>
        <v/>
      </c>
      <c r="CG250" s="197" t="str">
        <f>IF(AND($J250="x",AND(MAX(CB250:CD250)=CC250,CC250&lt;&gt;"")),Data!$BJ$2,"")</f>
        <v/>
      </c>
      <c r="CH250" s="197" t="str">
        <f>IF(AND($K250="x",AND(MAX(CB250:CD250)=CD250,CD250&lt;&gt;"")),Data!$BK$2,"")</f>
        <v/>
      </c>
      <c r="CI250" s="197"/>
      <c r="CJ250" s="197"/>
      <c r="CK250" s="451"/>
      <c r="CL250" s="452"/>
      <c r="CM250" s="438" t="str">
        <f t="shared" ref="CM250:CM261" si="372">IF(CK250="","",100-SUM(CK250:CL250))</f>
        <v/>
      </c>
      <c r="CN250" s="328"/>
      <c r="CO250" s="197" t="str">
        <f>IF(AND($I250="x",AND(MAX(CK250:CM250)=CK250,CK250&lt;&gt;"")),Data!$BI$2,"")</f>
        <v/>
      </c>
      <c r="CP250" s="197" t="str">
        <f>IF(AND($J250="x",AND(MAX(CK250:CM250)=CL250,CL250&lt;&gt;"")),Data!$BJ$2,"")</f>
        <v/>
      </c>
      <c r="CQ250" s="197" t="str">
        <f>IF(AND($K250="x",AND(MAX(CK250:CM250)=CM250,CM250&lt;&gt;"")),Data!$BK$2,"")</f>
        <v/>
      </c>
      <c r="CR250" s="197"/>
      <c r="CS250" s="197"/>
      <c r="CT250" s="328"/>
      <c r="CU250" s="255"/>
      <c r="CV250" s="209"/>
      <c r="CW250" s="227"/>
    </row>
    <row r="251" spans="1:101" x14ac:dyDescent="0.2">
      <c r="A251" s="227"/>
      <c r="B251" s="227"/>
      <c r="C251" s="168"/>
      <c r="D251" s="232"/>
      <c r="E251" s="135" t="s">
        <v>187</v>
      </c>
      <c r="F251" s="425"/>
      <c r="G251" s="430" t="s">
        <v>51</v>
      </c>
      <c r="H251" s="431"/>
      <c r="I251" s="346" t="str">
        <f t="shared" si="359"/>
        <v/>
      </c>
      <c r="J251" s="347" t="str">
        <f t="shared" si="360"/>
        <v/>
      </c>
      <c r="K251" s="348" t="str">
        <f t="shared" si="361"/>
        <v/>
      </c>
      <c r="L251" s="258"/>
      <c r="M251" s="332"/>
      <c r="N251" s="336"/>
      <c r="O251" s="200"/>
      <c r="P251" s="200"/>
      <c r="Q251" s="439"/>
      <c r="R251" s="440"/>
      <c r="S251" s="441" t="str">
        <f t="shared" si="362"/>
        <v/>
      </c>
      <c r="T251" s="328"/>
      <c r="U251" s="197" t="str">
        <f>IF(AND($I251="x",AND(MAX(Q251:S251)=Q251,Q251&gt;=0)),Data!$BI$2,"")</f>
        <v/>
      </c>
      <c r="V251" s="197" t="str">
        <f>IF(AND($J251="x",AND(MAX(Q251:S251)=R251,R251&gt;=0)),Data!$BJ$2,"")</f>
        <v/>
      </c>
      <c r="W251" s="197" t="str">
        <f>IF(AND($K251="x",AND(MAX(Q251:S251)=S251,S251&gt;=0)),Data!$BK$2,"")</f>
        <v/>
      </c>
      <c r="X251" s="197"/>
      <c r="Y251" s="328"/>
      <c r="Z251" s="453"/>
      <c r="AA251" s="454"/>
      <c r="AB251" s="441" t="str">
        <f t="shared" si="363"/>
        <v/>
      </c>
      <c r="AC251" s="328"/>
      <c r="AD251" s="197" t="str">
        <f>IF(AND($I251="x",AND(MAX(Z251:AB251)=Z251,Z251&lt;&gt;"")),Data!$BI$2,"")</f>
        <v/>
      </c>
      <c r="AE251" s="197" t="str">
        <f>IF(AND($J251="x",AND(MAX(Z251:AB251)=AA251,AA251&lt;&gt;"")),Data!$BJ$2,"")</f>
        <v/>
      </c>
      <c r="AF251" s="197" t="str">
        <f>IF(AND($K251="x",AND(MAX(Z251:AB251)=AB251,AB251&lt;&gt;"")),Data!$BK$2,"")</f>
        <v/>
      </c>
      <c r="AG251" s="197"/>
      <c r="AH251" s="328"/>
      <c r="AI251" s="453"/>
      <c r="AJ251" s="454"/>
      <c r="AK251" s="441" t="str">
        <f t="shared" si="364"/>
        <v/>
      </c>
      <c r="AL251" s="328"/>
      <c r="AM251" s="197" t="str">
        <f>IF(AND($I251="x",AND(MAX(AI251:AK251)=AI251,AI251&lt;&gt;"")),Data!$BI$2,"")</f>
        <v/>
      </c>
      <c r="AN251" s="197" t="str">
        <f>IF(AND($J251="x",AND(MAX(AI251:AK251)=AJ251,AJ251&lt;&gt;"")),Data!$BJ$2,"")</f>
        <v/>
      </c>
      <c r="AO251" s="197" t="str">
        <f>IF(AND($K251="x",AND(MAX(AI251:AK251)=AK251,AK251&lt;&gt;"")),Data!$BK$2,"")</f>
        <v/>
      </c>
      <c r="AP251" s="197"/>
      <c r="AQ251" s="328"/>
      <c r="AR251" s="453"/>
      <c r="AS251" s="454"/>
      <c r="AT251" s="441" t="str">
        <f t="shared" si="365"/>
        <v/>
      </c>
      <c r="AU251" s="328"/>
      <c r="AV251" s="197" t="str">
        <f>IF(AND($I251="x",AND(MAX(AR251:AT251)=AR251,AR251&lt;&gt;"")),Data!$BI$2,"")</f>
        <v/>
      </c>
      <c r="AW251" s="197" t="str">
        <f>IF(AND($J251="x",AND(MAX(AR251:AT251)=AS251,AS251&lt;&gt;"")),Data!$BJ$2,"")</f>
        <v/>
      </c>
      <c r="AX251" s="197" t="str">
        <f>IF(AND($K251="x",AND(MAX(AR251:AT251)=AT251,AT251&lt;&gt;"")),Data!$BK$2,"")</f>
        <v/>
      </c>
      <c r="AY251" s="197"/>
      <c r="AZ251" s="328"/>
      <c r="BA251" s="453"/>
      <c r="BB251" s="454"/>
      <c r="BC251" s="441" t="str">
        <f t="shared" si="366"/>
        <v/>
      </c>
      <c r="BD251" s="328"/>
      <c r="BE251" s="197" t="str">
        <f>IF(AND($I251="x",AND(MAX(BA251:BC251)=BA251,BA251&lt;&gt;"")),Data!$BI$2,"")</f>
        <v/>
      </c>
      <c r="BF251" s="197" t="str">
        <f>IF(AND($J251="x",AND(MAX(BA251:BC251)=BB251,BB251&lt;&gt;"")),Data!$BJ$2,"")</f>
        <v/>
      </c>
      <c r="BG251" s="197" t="str">
        <f>IF(AND($K251="x",AND(MAX(BA251:BC251)=BC251,BC251&lt;&gt;"")),Data!$BK$2,"")</f>
        <v/>
      </c>
      <c r="BH251" s="197"/>
      <c r="BI251" s="328"/>
      <c r="BJ251" s="453"/>
      <c r="BK251" s="454"/>
      <c r="BL251" s="441" t="str">
        <f t="shared" si="367"/>
        <v/>
      </c>
      <c r="BM251" s="328"/>
      <c r="BN251" s="197" t="str">
        <f>IF(AND($I251="x",AND(MAX(BJ251:BL251)=BJ251,BJ251&lt;&gt;"")),Data!$BI$2,"")</f>
        <v/>
      </c>
      <c r="BO251" s="197" t="str">
        <f>IF(AND($J251="x",AND(MAX(BJ251:BL251)=BK251,BK251&lt;&gt;"")),Data!$BJ$2,"")</f>
        <v/>
      </c>
      <c r="BP251" s="197" t="str">
        <f>IF(AND($K251="x",AND(MAX(BJ251:BL251)=BL251,BL251&lt;&gt;"")),Data!$BK$2,"")</f>
        <v/>
      </c>
      <c r="BQ251" s="197"/>
      <c r="BR251" s="328"/>
      <c r="BS251" s="453"/>
      <c r="BT251" s="454"/>
      <c r="BU251" s="441" t="str">
        <f t="shared" si="368"/>
        <v/>
      </c>
      <c r="BV251" s="328"/>
      <c r="BW251" s="197" t="str">
        <f>IF(AND($I251="x",AND(MAX(BS251:BU251)=BS251,BS251&lt;&gt;"")),Data!$BI$2,"")</f>
        <v/>
      </c>
      <c r="BX251" s="197" t="str">
        <f>IF(AND($J251="x",AND(MAX(BS251:BU251)=BT251,BT251&lt;&gt;"")),Data!$BJ$2,"")</f>
        <v/>
      </c>
      <c r="BY251" s="197" t="str">
        <f>IF(AND($K251="x",AND(MAX(BS251:BU251)=BU251,BU251&lt;&gt;"")),Data!$BK$2,"")</f>
        <v/>
      </c>
      <c r="BZ251" s="197"/>
      <c r="CA251" s="328"/>
      <c r="CB251" s="460" t="str">
        <f t="shared" si="369"/>
        <v/>
      </c>
      <c r="CC251" s="461" t="str">
        <f t="shared" si="370"/>
        <v/>
      </c>
      <c r="CD251" s="462" t="str">
        <f t="shared" si="371"/>
        <v/>
      </c>
      <c r="CE251" s="328"/>
      <c r="CF251" s="197" t="str">
        <f>IF(AND($I251="x",AND(MAX(CB251:CD251)=CB251,CB251&lt;&gt;"")),Data!$BI$2,"")</f>
        <v/>
      </c>
      <c r="CG251" s="197" t="str">
        <f>IF(AND($J251="x",AND(MAX(CB251:CD251)=CC251,CC251&lt;&gt;"")),Data!$BJ$2,"")</f>
        <v/>
      </c>
      <c r="CH251" s="197" t="str">
        <f>IF(AND($K251="x",AND(MAX(CB251:CD251)=CD251,CD251&lt;&gt;"")),Data!$BK$2,"")</f>
        <v/>
      </c>
      <c r="CI251" s="197"/>
      <c r="CJ251" s="197"/>
      <c r="CK251" s="453"/>
      <c r="CL251" s="454"/>
      <c r="CM251" s="441" t="str">
        <f t="shared" si="372"/>
        <v/>
      </c>
      <c r="CN251" s="328"/>
      <c r="CO251" s="197" t="str">
        <f>IF(AND($I251="x",AND(MAX(CK251:CM251)=CK251,CK251&lt;&gt;"")),Data!$BI$2,"")</f>
        <v/>
      </c>
      <c r="CP251" s="197" t="str">
        <f>IF(AND($J251="x",AND(MAX(CK251:CM251)=CL251,CL251&lt;&gt;"")),Data!$BJ$2,"")</f>
        <v/>
      </c>
      <c r="CQ251" s="197" t="str">
        <f>IF(AND($K251="x",AND(MAX(CK251:CM251)=CM251,CM251&lt;&gt;"")),Data!$BK$2,"")</f>
        <v/>
      </c>
      <c r="CR251" s="197"/>
      <c r="CS251" s="197"/>
      <c r="CT251" s="328"/>
      <c r="CU251" s="255"/>
      <c r="CV251" s="209"/>
      <c r="CW251" s="227"/>
    </row>
    <row r="252" spans="1:101" x14ac:dyDescent="0.2">
      <c r="A252" s="227"/>
      <c r="B252" s="227"/>
      <c r="C252" s="168"/>
      <c r="D252" s="232"/>
      <c r="E252" s="136" t="s">
        <v>188</v>
      </c>
      <c r="F252" s="426"/>
      <c r="G252" s="432" t="s">
        <v>51</v>
      </c>
      <c r="H252" s="433"/>
      <c r="I252" s="349" t="str">
        <f t="shared" si="359"/>
        <v/>
      </c>
      <c r="J252" s="350" t="str">
        <f t="shared" si="360"/>
        <v/>
      </c>
      <c r="K252" s="351" t="str">
        <f t="shared" si="361"/>
        <v/>
      </c>
      <c r="L252" s="258"/>
      <c r="M252" s="332"/>
      <c r="N252" s="336"/>
      <c r="O252" s="200"/>
      <c r="P252" s="200"/>
      <c r="Q252" s="442"/>
      <c r="R252" s="443"/>
      <c r="S252" s="444" t="str">
        <f t="shared" si="362"/>
        <v/>
      </c>
      <c r="T252" s="328"/>
      <c r="U252" s="197" t="str">
        <f>IF(AND($I252="x",AND(MAX(Q252:S252)=Q252,Q252&gt;=0)),Data!$BI$2,"")</f>
        <v/>
      </c>
      <c r="V252" s="197" t="str">
        <f>IF(AND($J252="x",AND(MAX(Q252:S252)=R252,R252&gt;=0)),Data!$BJ$2,"")</f>
        <v/>
      </c>
      <c r="W252" s="197" t="str">
        <f>IF(AND($K252="x",AND(MAX(Q252:S252)=S252,S252&gt;=0)),Data!$BK$2,"")</f>
        <v/>
      </c>
      <c r="X252" s="197"/>
      <c r="Y252" s="328"/>
      <c r="Z252" s="455"/>
      <c r="AA252" s="456"/>
      <c r="AB252" s="444" t="str">
        <f t="shared" si="363"/>
        <v/>
      </c>
      <c r="AC252" s="328"/>
      <c r="AD252" s="197" t="str">
        <f>IF(AND($I252="x",AND(MAX(Z252:AB252)=Z252,Z252&lt;&gt;"")),Data!$BI$2,"")</f>
        <v/>
      </c>
      <c r="AE252" s="197" t="str">
        <f>IF(AND($J252="x",AND(MAX(Z252:AB252)=AA252,AA252&lt;&gt;"")),Data!$BJ$2,"")</f>
        <v/>
      </c>
      <c r="AF252" s="197" t="str">
        <f>IF(AND($K252="x",AND(MAX(Z252:AB252)=AB252,AB252&lt;&gt;"")),Data!$BK$2,"")</f>
        <v/>
      </c>
      <c r="AG252" s="197"/>
      <c r="AH252" s="328"/>
      <c r="AI252" s="455"/>
      <c r="AJ252" s="456"/>
      <c r="AK252" s="444" t="str">
        <f t="shared" si="364"/>
        <v/>
      </c>
      <c r="AL252" s="328"/>
      <c r="AM252" s="197" t="str">
        <f>IF(AND($I252="x",AND(MAX(AI252:AK252)=AI252,AI252&lt;&gt;"")),Data!$BI$2,"")</f>
        <v/>
      </c>
      <c r="AN252" s="197" t="str">
        <f>IF(AND($J252="x",AND(MAX(AI252:AK252)=AJ252,AJ252&lt;&gt;"")),Data!$BJ$2,"")</f>
        <v/>
      </c>
      <c r="AO252" s="197" t="str">
        <f>IF(AND($K252="x",AND(MAX(AI252:AK252)=AK252,AK252&lt;&gt;"")),Data!$BK$2,"")</f>
        <v/>
      </c>
      <c r="AP252" s="197"/>
      <c r="AQ252" s="328"/>
      <c r="AR252" s="455"/>
      <c r="AS252" s="456"/>
      <c r="AT252" s="444" t="str">
        <f t="shared" si="365"/>
        <v/>
      </c>
      <c r="AU252" s="328"/>
      <c r="AV252" s="197" t="str">
        <f>IF(AND($I252="x",AND(MAX(AR252:AT252)=AR252,AR252&lt;&gt;"")),Data!$BI$2,"")</f>
        <v/>
      </c>
      <c r="AW252" s="197" t="str">
        <f>IF(AND($J252="x",AND(MAX(AR252:AT252)=AS252,AS252&lt;&gt;"")),Data!$BJ$2,"")</f>
        <v/>
      </c>
      <c r="AX252" s="197" t="str">
        <f>IF(AND($K252="x",AND(MAX(AR252:AT252)=AT252,AT252&lt;&gt;"")),Data!$BK$2,"")</f>
        <v/>
      </c>
      <c r="AY252" s="197"/>
      <c r="AZ252" s="328"/>
      <c r="BA252" s="455"/>
      <c r="BB252" s="456"/>
      <c r="BC252" s="444" t="str">
        <f t="shared" si="366"/>
        <v/>
      </c>
      <c r="BD252" s="328"/>
      <c r="BE252" s="197" t="str">
        <f>IF(AND($I252="x",AND(MAX(BA252:BC252)=BA252,BA252&lt;&gt;"")),Data!$BI$2,"")</f>
        <v/>
      </c>
      <c r="BF252" s="197" t="str">
        <f>IF(AND($J252="x",AND(MAX(BA252:BC252)=BB252,BB252&lt;&gt;"")),Data!$BJ$2,"")</f>
        <v/>
      </c>
      <c r="BG252" s="197" t="str">
        <f>IF(AND($K252="x",AND(MAX(BA252:BC252)=BC252,BC252&lt;&gt;"")),Data!$BK$2,"")</f>
        <v/>
      </c>
      <c r="BH252" s="197"/>
      <c r="BI252" s="328"/>
      <c r="BJ252" s="455"/>
      <c r="BK252" s="456"/>
      <c r="BL252" s="444" t="str">
        <f t="shared" si="367"/>
        <v/>
      </c>
      <c r="BM252" s="328"/>
      <c r="BN252" s="197" t="str">
        <f>IF(AND($I252="x",AND(MAX(BJ252:BL252)=BJ252,BJ252&lt;&gt;"")),Data!$BI$2,"")</f>
        <v/>
      </c>
      <c r="BO252" s="197" t="str">
        <f>IF(AND($J252="x",AND(MAX(BJ252:BL252)=BK252,BK252&lt;&gt;"")),Data!$BJ$2,"")</f>
        <v/>
      </c>
      <c r="BP252" s="197" t="str">
        <f>IF(AND($K252="x",AND(MAX(BJ252:BL252)=BL252,BL252&lt;&gt;"")),Data!$BK$2,"")</f>
        <v/>
      </c>
      <c r="BQ252" s="197"/>
      <c r="BR252" s="328"/>
      <c r="BS252" s="455"/>
      <c r="BT252" s="456"/>
      <c r="BU252" s="444" t="str">
        <f t="shared" si="368"/>
        <v/>
      </c>
      <c r="BV252" s="328"/>
      <c r="BW252" s="197" t="str">
        <f>IF(AND($I252="x",AND(MAX(BS252:BU252)=BS252,BS252&lt;&gt;"")),Data!$BI$2,"")</f>
        <v/>
      </c>
      <c r="BX252" s="197" t="str">
        <f>IF(AND($J252="x",AND(MAX(BS252:BU252)=BT252,BT252&lt;&gt;"")),Data!$BJ$2,"")</f>
        <v/>
      </c>
      <c r="BY252" s="197" t="str">
        <f>IF(AND($K252="x",AND(MAX(BS252:BU252)=BU252,BU252&lt;&gt;"")),Data!$BK$2,"")</f>
        <v/>
      </c>
      <c r="BZ252" s="197"/>
      <c r="CA252" s="328"/>
      <c r="CB252" s="463" t="str">
        <f t="shared" si="369"/>
        <v/>
      </c>
      <c r="CC252" s="464" t="str">
        <f t="shared" si="370"/>
        <v/>
      </c>
      <c r="CD252" s="465" t="str">
        <f t="shared" si="371"/>
        <v/>
      </c>
      <c r="CE252" s="328"/>
      <c r="CF252" s="197" t="str">
        <f>IF(AND($I252="x",AND(MAX(CB252:CD252)=CB252,CB252&lt;&gt;"")),Data!$BI$2,"")</f>
        <v/>
      </c>
      <c r="CG252" s="197" t="str">
        <f>IF(AND($J252="x",AND(MAX(CB252:CD252)=CC252,CC252&lt;&gt;"")),Data!$BJ$2,"")</f>
        <v/>
      </c>
      <c r="CH252" s="197" t="str">
        <f>IF(AND($K252="x",AND(MAX(CB252:CD252)=CD252,CD252&lt;&gt;"")),Data!$BK$2,"")</f>
        <v/>
      </c>
      <c r="CI252" s="197"/>
      <c r="CJ252" s="197"/>
      <c r="CK252" s="455"/>
      <c r="CL252" s="456"/>
      <c r="CM252" s="444" t="str">
        <f t="shared" si="372"/>
        <v/>
      </c>
      <c r="CN252" s="328"/>
      <c r="CO252" s="197" t="str">
        <f>IF(AND($I252="x",AND(MAX(CK252:CM252)=CK252,CK252&lt;&gt;"")),Data!$BI$2,"")</f>
        <v/>
      </c>
      <c r="CP252" s="197" t="str">
        <f>IF(AND($J252="x",AND(MAX(CK252:CM252)=CL252,CL252&lt;&gt;"")),Data!$BJ$2,"")</f>
        <v/>
      </c>
      <c r="CQ252" s="197" t="str">
        <f>IF(AND($K252="x",AND(MAX(CK252:CM252)=CM252,CM252&lt;&gt;"")),Data!$BK$2,"")</f>
        <v/>
      </c>
      <c r="CR252" s="197"/>
      <c r="CS252" s="197"/>
      <c r="CT252" s="328"/>
      <c r="CU252" s="255"/>
      <c r="CV252" s="209"/>
      <c r="CW252" s="227"/>
    </row>
    <row r="253" spans="1:101" x14ac:dyDescent="0.2">
      <c r="A253" s="227"/>
      <c r="B253" s="227"/>
      <c r="C253" s="168"/>
      <c r="D253" s="232"/>
      <c r="E253" s="134" t="s">
        <v>189</v>
      </c>
      <c r="F253" s="424"/>
      <c r="G253" s="428" t="s">
        <v>51</v>
      </c>
      <c r="H253" s="429"/>
      <c r="I253" s="138" t="str">
        <f t="shared" si="359"/>
        <v/>
      </c>
      <c r="J253" s="344" t="str">
        <f t="shared" si="360"/>
        <v/>
      </c>
      <c r="K253" s="345" t="str">
        <f t="shared" si="361"/>
        <v/>
      </c>
      <c r="L253" s="258"/>
      <c r="M253" s="332"/>
      <c r="N253" s="336"/>
      <c r="O253" s="200"/>
      <c r="P253" s="200"/>
      <c r="Q253" s="436"/>
      <c r="R253" s="437"/>
      <c r="S253" s="438" t="str">
        <f t="shared" si="362"/>
        <v/>
      </c>
      <c r="T253" s="328"/>
      <c r="U253" s="197" t="str">
        <f>IF(AND($I253="x",AND(MAX(Q253:S253)=Q253,Q253&gt;=0)),Data!$BI$2,"")</f>
        <v/>
      </c>
      <c r="V253" s="197" t="str">
        <f>IF(AND($J253="x",AND(MAX(Q253:S253)=R253,R253&gt;=0)),Data!$BJ$2,"")</f>
        <v/>
      </c>
      <c r="W253" s="197" t="str">
        <f>IF(AND($K253="x",AND(MAX(Q253:S253)=S253,S253&gt;=0)),Data!$BK$2,"")</f>
        <v/>
      </c>
      <c r="X253" s="197"/>
      <c r="Y253" s="328"/>
      <c r="Z253" s="451"/>
      <c r="AA253" s="452"/>
      <c r="AB253" s="438" t="str">
        <f t="shared" si="363"/>
        <v/>
      </c>
      <c r="AC253" s="328"/>
      <c r="AD253" s="197" t="str">
        <f>IF(AND($I253="x",AND(MAX(Z253:AB253)=Z253,Z253&lt;&gt;"")),Data!$BI$2,"")</f>
        <v/>
      </c>
      <c r="AE253" s="197" t="str">
        <f>IF(AND($J253="x",AND(MAX(Z253:AB253)=AA253,AA253&lt;&gt;"")),Data!$BJ$2,"")</f>
        <v/>
      </c>
      <c r="AF253" s="197" t="str">
        <f>IF(AND($K253="x",AND(MAX(Z253:AB253)=AB253,AB253&lt;&gt;"")),Data!$BK$2,"")</f>
        <v/>
      </c>
      <c r="AG253" s="197"/>
      <c r="AH253" s="328"/>
      <c r="AI253" s="451"/>
      <c r="AJ253" s="452"/>
      <c r="AK253" s="438" t="str">
        <f t="shared" si="364"/>
        <v/>
      </c>
      <c r="AL253" s="328"/>
      <c r="AM253" s="197" t="str">
        <f>IF(AND($I253="x",AND(MAX(AI253:AK253)=AI253,AI253&lt;&gt;"")),Data!$BI$2,"")</f>
        <v/>
      </c>
      <c r="AN253" s="197" t="str">
        <f>IF(AND($J253="x",AND(MAX(AI253:AK253)=AJ253,AJ253&lt;&gt;"")),Data!$BJ$2,"")</f>
        <v/>
      </c>
      <c r="AO253" s="197" t="str">
        <f>IF(AND($K253="x",AND(MAX(AI253:AK253)=AK253,AK253&lt;&gt;"")),Data!$BK$2,"")</f>
        <v/>
      </c>
      <c r="AP253" s="197"/>
      <c r="AQ253" s="328"/>
      <c r="AR253" s="451"/>
      <c r="AS253" s="452"/>
      <c r="AT253" s="438" t="str">
        <f t="shared" si="365"/>
        <v/>
      </c>
      <c r="AU253" s="328"/>
      <c r="AV253" s="197" t="str">
        <f>IF(AND($I253="x",AND(MAX(AR253:AT253)=AR253,AR253&lt;&gt;"")),Data!$BI$2,"")</f>
        <v/>
      </c>
      <c r="AW253" s="197" t="str">
        <f>IF(AND($J253="x",AND(MAX(AR253:AT253)=AS253,AS253&lt;&gt;"")),Data!$BJ$2,"")</f>
        <v/>
      </c>
      <c r="AX253" s="197" t="str">
        <f>IF(AND($K253="x",AND(MAX(AR253:AT253)=AT253,AT253&lt;&gt;"")),Data!$BK$2,"")</f>
        <v/>
      </c>
      <c r="AY253" s="197"/>
      <c r="AZ253" s="328"/>
      <c r="BA253" s="451"/>
      <c r="BB253" s="452"/>
      <c r="BC253" s="438" t="str">
        <f t="shared" si="366"/>
        <v/>
      </c>
      <c r="BD253" s="328"/>
      <c r="BE253" s="197" t="str">
        <f>IF(AND($I253="x",AND(MAX(BA253:BC253)=BA253,BA253&lt;&gt;"")),Data!$BI$2,"")</f>
        <v/>
      </c>
      <c r="BF253" s="197" t="str">
        <f>IF(AND($J253="x",AND(MAX(BA253:BC253)=BB253,BB253&lt;&gt;"")),Data!$BJ$2,"")</f>
        <v/>
      </c>
      <c r="BG253" s="197" t="str">
        <f>IF(AND($K253="x",AND(MAX(BA253:BC253)=BC253,BC253&lt;&gt;"")),Data!$BK$2,"")</f>
        <v/>
      </c>
      <c r="BH253" s="197"/>
      <c r="BI253" s="328"/>
      <c r="BJ253" s="451"/>
      <c r="BK253" s="452"/>
      <c r="BL253" s="438" t="str">
        <f t="shared" si="367"/>
        <v/>
      </c>
      <c r="BM253" s="328"/>
      <c r="BN253" s="197" t="str">
        <f>IF(AND($I253="x",AND(MAX(BJ253:BL253)=BJ253,BJ253&lt;&gt;"")),Data!$BI$2,"")</f>
        <v/>
      </c>
      <c r="BO253" s="197" t="str">
        <f>IF(AND($J253="x",AND(MAX(BJ253:BL253)=BK253,BK253&lt;&gt;"")),Data!$BJ$2,"")</f>
        <v/>
      </c>
      <c r="BP253" s="197" t="str">
        <f>IF(AND($K253="x",AND(MAX(BJ253:BL253)=BL253,BL253&lt;&gt;"")),Data!$BK$2,"")</f>
        <v/>
      </c>
      <c r="BQ253" s="197"/>
      <c r="BR253" s="328"/>
      <c r="BS253" s="451"/>
      <c r="BT253" s="452"/>
      <c r="BU253" s="438" t="str">
        <f t="shared" si="368"/>
        <v/>
      </c>
      <c r="BV253" s="328"/>
      <c r="BW253" s="197" t="str">
        <f>IF(AND($I253="x",AND(MAX(BS253:BU253)=BS253,BS253&lt;&gt;"")),Data!$BI$2,"")</f>
        <v/>
      </c>
      <c r="BX253" s="197" t="str">
        <f>IF(AND($J253="x",AND(MAX(BS253:BU253)=BT253,BT253&lt;&gt;"")),Data!$BJ$2,"")</f>
        <v/>
      </c>
      <c r="BY253" s="197" t="str">
        <f>IF(AND($K253="x",AND(MAX(BS253:BU253)=BU253,BU253&lt;&gt;"")),Data!$BK$2,"")</f>
        <v/>
      </c>
      <c r="BZ253" s="197"/>
      <c r="CA253" s="328"/>
      <c r="CB253" s="457" t="str">
        <f t="shared" si="369"/>
        <v/>
      </c>
      <c r="CC253" s="458" t="str">
        <f t="shared" si="370"/>
        <v/>
      </c>
      <c r="CD253" s="459" t="str">
        <f t="shared" si="371"/>
        <v/>
      </c>
      <c r="CE253" s="328"/>
      <c r="CF253" s="197" t="str">
        <f>IF(AND($I253="x",AND(MAX(CB253:CD253)=CB253,CB253&lt;&gt;"")),Data!$BI$2,"")</f>
        <v/>
      </c>
      <c r="CG253" s="197" t="str">
        <f>IF(AND($J253="x",AND(MAX(CB253:CD253)=CC253,CC253&lt;&gt;"")),Data!$BJ$2,"")</f>
        <v/>
      </c>
      <c r="CH253" s="197" t="str">
        <f>IF(AND($K253="x",AND(MAX(CB253:CD253)=CD253,CD253&lt;&gt;"")),Data!$BK$2,"")</f>
        <v/>
      </c>
      <c r="CI253" s="197"/>
      <c r="CJ253" s="197"/>
      <c r="CK253" s="451"/>
      <c r="CL253" s="452"/>
      <c r="CM253" s="438" t="str">
        <f t="shared" si="372"/>
        <v/>
      </c>
      <c r="CN253" s="328"/>
      <c r="CO253" s="197" t="str">
        <f>IF(AND($I253="x",AND(MAX(CK253:CM253)=CK253,CK253&lt;&gt;"")),Data!$BI$2,"")</f>
        <v/>
      </c>
      <c r="CP253" s="197" t="str">
        <f>IF(AND($J253="x",AND(MAX(CK253:CM253)=CL253,CL253&lt;&gt;"")),Data!$BJ$2,"")</f>
        <v/>
      </c>
      <c r="CQ253" s="197" t="str">
        <f>IF(AND($K253="x",AND(MAX(CK253:CM253)=CM253,CM253&lt;&gt;"")),Data!$BK$2,"")</f>
        <v/>
      </c>
      <c r="CR253" s="197"/>
      <c r="CS253" s="197"/>
      <c r="CT253" s="328"/>
      <c r="CU253" s="255"/>
      <c r="CV253" s="209"/>
      <c r="CW253" s="227"/>
    </row>
    <row r="254" spans="1:101" x14ac:dyDescent="0.2">
      <c r="A254" s="227"/>
      <c r="B254" s="227"/>
      <c r="C254" s="168"/>
      <c r="D254" s="232"/>
      <c r="E254" s="135" t="s">
        <v>190</v>
      </c>
      <c r="F254" s="425"/>
      <c r="G254" s="430" t="s">
        <v>51</v>
      </c>
      <c r="H254" s="431"/>
      <c r="I254" s="346" t="str">
        <f t="shared" si="359"/>
        <v/>
      </c>
      <c r="J254" s="347" t="str">
        <f t="shared" si="360"/>
        <v/>
      </c>
      <c r="K254" s="348" t="str">
        <f t="shared" si="361"/>
        <v/>
      </c>
      <c r="L254" s="258"/>
      <c r="M254" s="332"/>
      <c r="N254" s="336"/>
      <c r="O254" s="200"/>
      <c r="P254" s="200"/>
      <c r="Q254" s="439"/>
      <c r="R254" s="440"/>
      <c r="S254" s="441" t="str">
        <f t="shared" si="362"/>
        <v/>
      </c>
      <c r="T254" s="328"/>
      <c r="U254" s="197" t="str">
        <f>IF(AND($I254="x",AND(MAX(Q254:S254)=Q254,Q254&gt;=0)),Data!$BI$2,"")</f>
        <v/>
      </c>
      <c r="V254" s="197" t="str">
        <f>IF(AND($J254="x",AND(MAX(Q254:S254)=R254,R254&gt;=0)),Data!$BJ$2,"")</f>
        <v/>
      </c>
      <c r="W254" s="197" t="str">
        <f>IF(AND($K254="x",AND(MAX(Q254:S254)=S254,S254&gt;=0)),Data!$BK$2,"")</f>
        <v/>
      </c>
      <c r="X254" s="197"/>
      <c r="Y254" s="328"/>
      <c r="Z254" s="453"/>
      <c r="AA254" s="454"/>
      <c r="AB254" s="441" t="str">
        <f t="shared" si="363"/>
        <v/>
      </c>
      <c r="AC254" s="328"/>
      <c r="AD254" s="197" t="str">
        <f>IF(AND($I254="x",AND(MAX(Z254:AB254)=Z254,Z254&lt;&gt;"")),Data!$BI$2,"")</f>
        <v/>
      </c>
      <c r="AE254" s="197" t="str">
        <f>IF(AND($J254="x",AND(MAX(Z254:AB254)=AA254,AA254&lt;&gt;"")),Data!$BJ$2,"")</f>
        <v/>
      </c>
      <c r="AF254" s="197" t="str">
        <f>IF(AND($K254="x",AND(MAX(Z254:AB254)=AB254,AB254&lt;&gt;"")),Data!$BK$2,"")</f>
        <v/>
      </c>
      <c r="AG254" s="197"/>
      <c r="AH254" s="328"/>
      <c r="AI254" s="453"/>
      <c r="AJ254" s="454"/>
      <c r="AK254" s="441" t="str">
        <f t="shared" si="364"/>
        <v/>
      </c>
      <c r="AL254" s="328"/>
      <c r="AM254" s="197" t="str">
        <f>IF(AND($I254="x",AND(MAX(AI254:AK254)=AI254,AI254&lt;&gt;"")),Data!$BI$2,"")</f>
        <v/>
      </c>
      <c r="AN254" s="197" t="str">
        <f>IF(AND($J254="x",AND(MAX(AI254:AK254)=AJ254,AJ254&lt;&gt;"")),Data!$BJ$2,"")</f>
        <v/>
      </c>
      <c r="AO254" s="197" t="str">
        <f>IF(AND($K254="x",AND(MAX(AI254:AK254)=AK254,AK254&lt;&gt;"")),Data!$BK$2,"")</f>
        <v/>
      </c>
      <c r="AP254" s="197"/>
      <c r="AQ254" s="328"/>
      <c r="AR254" s="453"/>
      <c r="AS254" s="454"/>
      <c r="AT254" s="441" t="str">
        <f t="shared" si="365"/>
        <v/>
      </c>
      <c r="AU254" s="328"/>
      <c r="AV254" s="197" t="str">
        <f>IF(AND($I254="x",AND(MAX(AR254:AT254)=AR254,AR254&lt;&gt;"")),Data!$BI$2,"")</f>
        <v/>
      </c>
      <c r="AW254" s="197" t="str">
        <f>IF(AND($J254="x",AND(MAX(AR254:AT254)=AS254,AS254&lt;&gt;"")),Data!$BJ$2,"")</f>
        <v/>
      </c>
      <c r="AX254" s="197" t="str">
        <f>IF(AND($K254="x",AND(MAX(AR254:AT254)=AT254,AT254&lt;&gt;"")),Data!$BK$2,"")</f>
        <v/>
      </c>
      <c r="AY254" s="197"/>
      <c r="AZ254" s="328"/>
      <c r="BA254" s="453"/>
      <c r="BB254" s="454"/>
      <c r="BC254" s="441" t="str">
        <f t="shared" si="366"/>
        <v/>
      </c>
      <c r="BD254" s="328"/>
      <c r="BE254" s="197" t="str">
        <f>IF(AND($I254="x",AND(MAX(BA254:BC254)=BA254,BA254&lt;&gt;"")),Data!$BI$2,"")</f>
        <v/>
      </c>
      <c r="BF254" s="197" t="str">
        <f>IF(AND($J254="x",AND(MAX(BA254:BC254)=BB254,BB254&lt;&gt;"")),Data!$BJ$2,"")</f>
        <v/>
      </c>
      <c r="BG254" s="197" t="str">
        <f>IF(AND($K254="x",AND(MAX(BA254:BC254)=BC254,BC254&lt;&gt;"")),Data!$BK$2,"")</f>
        <v/>
      </c>
      <c r="BH254" s="197"/>
      <c r="BI254" s="328"/>
      <c r="BJ254" s="453"/>
      <c r="BK254" s="454"/>
      <c r="BL254" s="441" t="str">
        <f t="shared" si="367"/>
        <v/>
      </c>
      <c r="BM254" s="328"/>
      <c r="BN254" s="197" t="str">
        <f>IF(AND($I254="x",AND(MAX(BJ254:BL254)=BJ254,BJ254&lt;&gt;"")),Data!$BI$2,"")</f>
        <v/>
      </c>
      <c r="BO254" s="197" t="str">
        <f>IF(AND($J254="x",AND(MAX(BJ254:BL254)=BK254,BK254&lt;&gt;"")),Data!$BJ$2,"")</f>
        <v/>
      </c>
      <c r="BP254" s="197" t="str">
        <f>IF(AND($K254="x",AND(MAX(BJ254:BL254)=BL254,BL254&lt;&gt;"")),Data!$BK$2,"")</f>
        <v/>
      </c>
      <c r="BQ254" s="197"/>
      <c r="BR254" s="328"/>
      <c r="BS254" s="453"/>
      <c r="BT254" s="454"/>
      <c r="BU254" s="441" t="str">
        <f t="shared" si="368"/>
        <v/>
      </c>
      <c r="BV254" s="328"/>
      <c r="BW254" s="197" t="str">
        <f>IF(AND($I254="x",AND(MAX(BS254:BU254)=BS254,BS254&lt;&gt;"")),Data!$BI$2,"")</f>
        <v/>
      </c>
      <c r="BX254" s="197" t="str">
        <f>IF(AND($J254="x",AND(MAX(BS254:BU254)=BT254,BT254&lt;&gt;"")),Data!$BJ$2,"")</f>
        <v/>
      </c>
      <c r="BY254" s="197" t="str">
        <f>IF(AND($K254="x",AND(MAX(BS254:BU254)=BU254,BU254&lt;&gt;"")),Data!$BK$2,"")</f>
        <v/>
      </c>
      <c r="BZ254" s="197"/>
      <c r="CA254" s="328"/>
      <c r="CB254" s="460" t="str">
        <f t="shared" si="369"/>
        <v/>
      </c>
      <c r="CC254" s="461" t="str">
        <f t="shared" si="370"/>
        <v/>
      </c>
      <c r="CD254" s="462" t="str">
        <f t="shared" si="371"/>
        <v/>
      </c>
      <c r="CE254" s="328"/>
      <c r="CF254" s="197" t="str">
        <f>IF(AND($I254="x",AND(MAX(CB254:CD254)=CB254,CB254&lt;&gt;"")),Data!$BI$2,"")</f>
        <v/>
      </c>
      <c r="CG254" s="197" t="str">
        <f>IF(AND($J254="x",AND(MAX(CB254:CD254)=CC254,CC254&lt;&gt;"")),Data!$BJ$2,"")</f>
        <v/>
      </c>
      <c r="CH254" s="197" t="str">
        <f>IF(AND($K254="x",AND(MAX(CB254:CD254)=CD254,CD254&lt;&gt;"")),Data!$BK$2,"")</f>
        <v/>
      </c>
      <c r="CI254" s="197"/>
      <c r="CJ254" s="197"/>
      <c r="CK254" s="453"/>
      <c r="CL254" s="454"/>
      <c r="CM254" s="441" t="str">
        <f t="shared" si="372"/>
        <v/>
      </c>
      <c r="CN254" s="328"/>
      <c r="CO254" s="197" t="str">
        <f>IF(AND($I254="x",AND(MAX(CK254:CM254)=CK254,CK254&lt;&gt;"")),Data!$BI$2,"")</f>
        <v/>
      </c>
      <c r="CP254" s="197" t="str">
        <f>IF(AND($J254="x",AND(MAX(CK254:CM254)=CL254,CL254&lt;&gt;"")),Data!$BJ$2,"")</f>
        <v/>
      </c>
      <c r="CQ254" s="197" t="str">
        <f>IF(AND($K254="x",AND(MAX(CK254:CM254)=CM254,CM254&lt;&gt;"")),Data!$BK$2,"")</f>
        <v/>
      </c>
      <c r="CR254" s="197"/>
      <c r="CS254" s="197"/>
      <c r="CT254" s="328"/>
      <c r="CU254" s="255"/>
      <c r="CV254" s="209"/>
      <c r="CW254" s="227"/>
    </row>
    <row r="255" spans="1:101" x14ac:dyDescent="0.2">
      <c r="A255" s="227"/>
      <c r="B255" s="227"/>
      <c r="C255" s="168"/>
      <c r="D255" s="232"/>
      <c r="E255" s="136" t="s">
        <v>191</v>
      </c>
      <c r="F255" s="426"/>
      <c r="G255" s="432" t="s">
        <v>51</v>
      </c>
      <c r="H255" s="433"/>
      <c r="I255" s="349" t="str">
        <f t="shared" si="359"/>
        <v/>
      </c>
      <c r="J255" s="350" t="str">
        <f t="shared" si="360"/>
        <v/>
      </c>
      <c r="K255" s="351" t="str">
        <f t="shared" si="361"/>
        <v/>
      </c>
      <c r="L255" s="258"/>
      <c r="M255" s="332"/>
      <c r="N255" s="336"/>
      <c r="O255" s="200"/>
      <c r="P255" s="200"/>
      <c r="Q255" s="445"/>
      <c r="R255" s="446"/>
      <c r="S255" s="447" t="str">
        <f t="shared" si="362"/>
        <v/>
      </c>
      <c r="T255" s="328"/>
      <c r="U255" s="197" t="str">
        <f>IF(AND($I255="x",AND(MAX(Q255:S255)=Q255,Q255&gt;=0)),Data!$BI$2,"")</f>
        <v/>
      </c>
      <c r="V255" s="197" t="str">
        <f>IF(AND($J255="x",AND(MAX(Q255:S255)=R255,R255&gt;=0)),Data!$BJ$2,"")</f>
        <v/>
      </c>
      <c r="W255" s="197" t="str">
        <f>IF(AND($K255="x",AND(MAX(Q255:S255)=S255,S255&gt;=0)),Data!$BK$2,"")</f>
        <v/>
      </c>
      <c r="X255" s="197"/>
      <c r="Y255" s="328"/>
      <c r="Z255" s="455"/>
      <c r="AA255" s="456"/>
      <c r="AB255" s="447" t="str">
        <f t="shared" si="363"/>
        <v/>
      </c>
      <c r="AC255" s="328"/>
      <c r="AD255" s="197" t="str">
        <f>IF(AND($I255="x",AND(MAX(Z255:AB255)=Z255,Z255&lt;&gt;"")),Data!$BI$2,"")</f>
        <v/>
      </c>
      <c r="AE255" s="197" t="str">
        <f>IF(AND($J255="x",AND(MAX(Z255:AB255)=AA255,AA255&lt;&gt;"")),Data!$BJ$2,"")</f>
        <v/>
      </c>
      <c r="AF255" s="197" t="str">
        <f>IF(AND($K255="x",AND(MAX(Z255:AB255)=AB255,AB255&lt;&gt;"")),Data!$BK$2,"")</f>
        <v/>
      </c>
      <c r="AG255" s="197"/>
      <c r="AH255" s="328"/>
      <c r="AI255" s="455"/>
      <c r="AJ255" s="456"/>
      <c r="AK255" s="447" t="str">
        <f t="shared" si="364"/>
        <v/>
      </c>
      <c r="AL255" s="328"/>
      <c r="AM255" s="197" t="str">
        <f>IF(AND($I255="x",AND(MAX(AI255:AK255)=AI255,AI255&lt;&gt;"")),Data!$BI$2,"")</f>
        <v/>
      </c>
      <c r="AN255" s="197" t="str">
        <f>IF(AND($J255="x",AND(MAX(AI255:AK255)=AJ255,AJ255&lt;&gt;"")),Data!$BJ$2,"")</f>
        <v/>
      </c>
      <c r="AO255" s="197" t="str">
        <f>IF(AND($K255="x",AND(MAX(AI255:AK255)=AK255,AK255&lt;&gt;"")),Data!$BK$2,"")</f>
        <v/>
      </c>
      <c r="AP255" s="197"/>
      <c r="AQ255" s="328"/>
      <c r="AR255" s="455"/>
      <c r="AS255" s="456"/>
      <c r="AT255" s="447" t="str">
        <f t="shared" si="365"/>
        <v/>
      </c>
      <c r="AU255" s="328"/>
      <c r="AV255" s="197" t="str">
        <f>IF(AND($I255="x",AND(MAX(AR255:AT255)=AR255,AR255&lt;&gt;"")),Data!$BI$2,"")</f>
        <v/>
      </c>
      <c r="AW255" s="197" t="str">
        <f>IF(AND($J255="x",AND(MAX(AR255:AT255)=AS255,AS255&lt;&gt;"")),Data!$BJ$2,"")</f>
        <v/>
      </c>
      <c r="AX255" s="197" t="str">
        <f>IF(AND($K255="x",AND(MAX(AR255:AT255)=AT255,AT255&lt;&gt;"")),Data!$BK$2,"")</f>
        <v/>
      </c>
      <c r="AY255" s="197"/>
      <c r="AZ255" s="328"/>
      <c r="BA255" s="455"/>
      <c r="BB255" s="456"/>
      <c r="BC255" s="447" t="str">
        <f t="shared" si="366"/>
        <v/>
      </c>
      <c r="BD255" s="328"/>
      <c r="BE255" s="197" t="str">
        <f>IF(AND($I255="x",AND(MAX(BA255:BC255)=BA255,BA255&lt;&gt;"")),Data!$BI$2,"")</f>
        <v/>
      </c>
      <c r="BF255" s="197" t="str">
        <f>IF(AND($J255="x",AND(MAX(BA255:BC255)=BB255,BB255&lt;&gt;"")),Data!$BJ$2,"")</f>
        <v/>
      </c>
      <c r="BG255" s="197" t="str">
        <f>IF(AND($K255="x",AND(MAX(BA255:BC255)=BC255,BC255&lt;&gt;"")),Data!$BK$2,"")</f>
        <v/>
      </c>
      <c r="BH255" s="197"/>
      <c r="BI255" s="328"/>
      <c r="BJ255" s="455"/>
      <c r="BK255" s="456"/>
      <c r="BL255" s="447" t="str">
        <f t="shared" si="367"/>
        <v/>
      </c>
      <c r="BM255" s="328"/>
      <c r="BN255" s="197" t="str">
        <f>IF(AND($I255="x",AND(MAX(BJ255:BL255)=BJ255,BJ255&lt;&gt;"")),Data!$BI$2,"")</f>
        <v/>
      </c>
      <c r="BO255" s="197" t="str">
        <f>IF(AND($J255="x",AND(MAX(BJ255:BL255)=BK255,BK255&lt;&gt;"")),Data!$BJ$2,"")</f>
        <v/>
      </c>
      <c r="BP255" s="197" t="str">
        <f>IF(AND($K255="x",AND(MAX(BJ255:BL255)=BL255,BL255&lt;&gt;"")),Data!$BK$2,"")</f>
        <v/>
      </c>
      <c r="BQ255" s="197"/>
      <c r="BR255" s="328"/>
      <c r="BS255" s="455"/>
      <c r="BT255" s="456"/>
      <c r="BU255" s="447" t="str">
        <f t="shared" si="368"/>
        <v/>
      </c>
      <c r="BV255" s="328"/>
      <c r="BW255" s="197" t="str">
        <f>IF(AND($I255="x",AND(MAX(BS255:BU255)=BS255,BS255&lt;&gt;"")),Data!$BI$2,"")</f>
        <v/>
      </c>
      <c r="BX255" s="197" t="str">
        <f>IF(AND($J255="x",AND(MAX(BS255:BU255)=BT255,BT255&lt;&gt;"")),Data!$BJ$2,"")</f>
        <v/>
      </c>
      <c r="BY255" s="197" t="str">
        <f>IF(AND($K255="x",AND(MAX(BS255:BU255)=BU255,BU255&lt;&gt;"")),Data!$BK$2,"")</f>
        <v/>
      </c>
      <c r="BZ255" s="197"/>
      <c r="CA255" s="328"/>
      <c r="CB255" s="463" t="str">
        <f t="shared" si="369"/>
        <v/>
      </c>
      <c r="CC255" s="464" t="str">
        <f t="shared" si="370"/>
        <v/>
      </c>
      <c r="CD255" s="465" t="str">
        <f t="shared" si="371"/>
        <v/>
      </c>
      <c r="CE255" s="328"/>
      <c r="CF255" s="197" t="str">
        <f>IF(AND($I255="x",AND(MAX(CB255:CD255)=CB255,CB255&lt;&gt;"")),Data!$BI$2,"")</f>
        <v/>
      </c>
      <c r="CG255" s="197" t="str">
        <f>IF(AND($J255="x",AND(MAX(CB255:CD255)=CC255,CC255&lt;&gt;"")),Data!$BJ$2,"")</f>
        <v/>
      </c>
      <c r="CH255" s="197" t="str">
        <f>IF(AND($K255="x",AND(MAX(CB255:CD255)=CD255,CD255&lt;&gt;"")),Data!$BK$2,"")</f>
        <v/>
      </c>
      <c r="CI255" s="197"/>
      <c r="CJ255" s="197"/>
      <c r="CK255" s="455"/>
      <c r="CL255" s="456"/>
      <c r="CM255" s="447" t="str">
        <f t="shared" si="372"/>
        <v/>
      </c>
      <c r="CN255" s="328"/>
      <c r="CO255" s="197" t="str">
        <f>IF(AND($I255="x",AND(MAX(CK255:CM255)=CK255,CK255&lt;&gt;"")),Data!$BI$2,"")</f>
        <v/>
      </c>
      <c r="CP255" s="197" t="str">
        <f>IF(AND($J255="x",AND(MAX(CK255:CM255)=CL255,CL255&lt;&gt;"")),Data!$BJ$2,"")</f>
        <v/>
      </c>
      <c r="CQ255" s="197" t="str">
        <f>IF(AND($K255="x",AND(MAX(CK255:CM255)=CM255,CM255&lt;&gt;"")),Data!$BK$2,"")</f>
        <v/>
      </c>
      <c r="CR255" s="197"/>
      <c r="CS255" s="197"/>
      <c r="CT255" s="328"/>
      <c r="CU255" s="255"/>
      <c r="CV255" s="209"/>
      <c r="CW255" s="227"/>
    </row>
    <row r="256" spans="1:101" x14ac:dyDescent="0.2">
      <c r="A256" s="227"/>
      <c r="B256" s="227"/>
      <c r="C256" s="168"/>
      <c r="D256" s="232"/>
      <c r="E256" s="134" t="s">
        <v>192</v>
      </c>
      <c r="F256" s="424"/>
      <c r="G256" s="428" t="s">
        <v>51</v>
      </c>
      <c r="H256" s="429"/>
      <c r="I256" s="138" t="str">
        <f t="shared" si="359"/>
        <v/>
      </c>
      <c r="J256" s="344" t="str">
        <f t="shared" si="360"/>
        <v/>
      </c>
      <c r="K256" s="345" t="str">
        <f t="shared" si="361"/>
        <v/>
      </c>
      <c r="L256" s="258"/>
      <c r="M256" s="332"/>
      <c r="N256" s="336"/>
      <c r="O256" s="200"/>
      <c r="P256" s="200"/>
      <c r="Q256" s="436"/>
      <c r="R256" s="437"/>
      <c r="S256" s="438" t="str">
        <f t="shared" si="362"/>
        <v/>
      </c>
      <c r="T256" s="328"/>
      <c r="U256" s="197" t="str">
        <f>IF(AND($I256="x",AND(MAX(Q256:S256)=Q256,Q256&gt;=0)),Data!$BI$2,"")</f>
        <v/>
      </c>
      <c r="V256" s="197" t="str">
        <f>IF(AND($J256="x",AND(MAX(Q256:S256)=R256,R256&gt;=0)),Data!$BJ$2,"")</f>
        <v/>
      </c>
      <c r="W256" s="197" t="str">
        <f>IF(AND($K256="x",AND(MAX(Q256:S256)=S256,S256&gt;=0)),Data!$BK$2,"")</f>
        <v/>
      </c>
      <c r="X256" s="197"/>
      <c r="Y256" s="328"/>
      <c r="Z256" s="451"/>
      <c r="AA256" s="452"/>
      <c r="AB256" s="438" t="str">
        <f t="shared" si="363"/>
        <v/>
      </c>
      <c r="AC256" s="328"/>
      <c r="AD256" s="197" t="str">
        <f>IF(AND($I256="x",AND(MAX(Z256:AB256)=Z256,Z256&lt;&gt;"")),Data!$BI$2,"")</f>
        <v/>
      </c>
      <c r="AE256" s="197" t="str">
        <f>IF(AND($J256="x",AND(MAX(Z256:AB256)=AA256,AA256&lt;&gt;"")),Data!$BJ$2,"")</f>
        <v/>
      </c>
      <c r="AF256" s="197" t="str">
        <f>IF(AND($K256="x",AND(MAX(Z256:AB256)=AB256,AB256&lt;&gt;"")),Data!$BK$2,"")</f>
        <v/>
      </c>
      <c r="AG256" s="197"/>
      <c r="AH256" s="328"/>
      <c r="AI256" s="451"/>
      <c r="AJ256" s="452"/>
      <c r="AK256" s="438" t="str">
        <f t="shared" si="364"/>
        <v/>
      </c>
      <c r="AL256" s="328"/>
      <c r="AM256" s="197" t="str">
        <f>IF(AND($I256="x",AND(MAX(AI256:AK256)=AI256,AI256&lt;&gt;"")),Data!$BI$2,"")</f>
        <v/>
      </c>
      <c r="AN256" s="197" t="str">
        <f>IF(AND($J256="x",AND(MAX(AI256:AK256)=AJ256,AJ256&lt;&gt;"")),Data!$BJ$2,"")</f>
        <v/>
      </c>
      <c r="AO256" s="197" t="str">
        <f>IF(AND($K256="x",AND(MAX(AI256:AK256)=AK256,AK256&lt;&gt;"")),Data!$BK$2,"")</f>
        <v/>
      </c>
      <c r="AP256" s="197"/>
      <c r="AQ256" s="328"/>
      <c r="AR256" s="451"/>
      <c r="AS256" s="452"/>
      <c r="AT256" s="438" t="str">
        <f t="shared" si="365"/>
        <v/>
      </c>
      <c r="AU256" s="328"/>
      <c r="AV256" s="197" t="str">
        <f>IF(AND($I256="x",AND(MAX(AR256:AT256)=AR256,AR256&lt;&gt;"")),Data!$BI$2,"")</f>
        <v/>
      </c>
      <c r="AW256" s="197" t="str">
        <f>IF(AND($J256="x",AND(MAX(AR256:AT256)=AS256,AS256&lt;&gt;"")),Data!$BJ$2,"")</f>
        <v/>
      </c>
      <c r="AX256" s="197" t="str">
        <f>IF(AND($K256="x",AND(MAX(AR256:AT256)=AT256,AT256&lt;&gt;"")),Data!$BK$2,"")</f>
        <v/>
      </c>
      <c r="AY256" s="197"/>
      <c r="AZ256" s="328"/>
      <c r="BA256" s="451"/>
      <c r="BB256" s="452"/>
      <c r="BC256" s="438" t="str">
        <f t="shared" si="366"/>
        <v/>
      </c>
      <c r="BD256" s="328"/>
      <c r="BE256" s="197" t="str">
        <f>IF(AND($I256="x",AND(MAX(BA256:BC256)=BA256,BA256&lt;&gt;"")),Data!$BI$2,"")</f>
        <v/>
      </c>
      <c r="BF256" s="197" t="str">
        <f>IF(AND($J256="x",AND(MAX(BA256:BC256)=BB256,BB256&lt;&gt;"")),Data!$BJ$2,"")</f>
        <v/>
      </c>
      <c r="BG256" s="197" t="str">
        <f>IF(AND($K256="x",AND(MAX(BA256:BC256)=BC256,BC256&lt;&gt;"")),Data!$BK$2,"")</f>
        <v/>
      </c>
      <c r="BH256" s="197"/>
      <c r="BI256" s="328"/>
      <c r="BJ256" s="451"/>
      <c r="BK256" s="452"/>
      <c r="BL256" s="438" t="str">
        <f t="shared" si="367"/>
        <v/>
      </c>
      <c r="BM256" s="328"/>
      <c r="BN256" s="197" t="str">
        <f>IF(AND($I256="x",AND(MAX(BJ256:BL256)=BJ256,BJ256&lt;&gt;"")),Data!$BI$2,"")</f>
        <v/>
      </c>
      <c r="BO256" s="197" t="str">
        <f>IF(AND($J256="x",AND(MAX(BJ256:BL256)=BK256,BK256&lt;&gt;"")),Data!$BJ$2,"")</f>
        <v/>
      </c>
      <c r="BP256" s="197" t="str">
        <f>IF(AND($K256="x",AND(MAX(BJ256:BL256)=BL256,BL256&lt;&gt;"")),Data!$BK$2,"")</f>
        <v/>
      </c>
      <c r="BQ256" s="197"/>
      <c r="BR256" s="328"/>
      <c r="BS256" s="451"/>
      <c r="BT256" s="452"/>
      <c r="BU256" s="438" t="str">
        <f t="shared" si="368"/>
        <v/>
      </c>
      <c r="BV256" s="328"/>
      <c r="BW256" s="197" t="str">
        <f>IF(AND($I256="x",AND(MAX(BS256:BU256)=BS256,BS256&lt;&gt;"")),Data!$BI$2,"")</f>
        <v/>
      </c>
      <c r="BX256" s="197" t="str">
        <f>IF(AND($J256="x",AND(MAX(BS256:BU256)=BT256,BT256&lt;&gt;"")),Data!$BJ$2,"")</f>
        <v/>
      </c>
      <c r="BY256" s="197" t="str">
        <f>IF(AND($K256="x",AND(MAX(BS256:BU256)=BU256,BU256&lt;&gt;"")),Data!$BK$2,"")</f>
        <v/>
      </c>
      <c r="BZ256" s="197"/>
      <c r="CA256" s="328"/>
      <c r="CB256" s="457" t="str">
        <f t="shared" si="369"/>
        <v/>
      </c>
      <c r="CC256" s="458" t="str">
        <f t="shared" si="370"/>
        <v/>
      </c>
      <c r="CD256" s="459" t="str">
        <f t="shared" si="371"/>
        <v/>
      </c>
      <c r="CE256" s="328"/>
      <c r="CF256" s="197" t="str">
        <f>IF(AND($I256="x",AND(MAX(CB256:CD256)=CB256,CB256&lt;&gt;"")),Data!$BI$2,"")</f>
        <v/>
      </c>
      <c r="CG256" s="197" t="str">
        <f>IF(AND($J256="x",AND(MAX(CB256:CD256)=CC256,CC256&lt;&gt;"")),Data!$BJ$2,"")</f>
        <v/>
      </c>
      <c r="CH256" s="197" t="str">
        <f>IF(AND($K256="x",AND(MAX(CB256:CD256)=CD256,CD256&lt;&gt;"")),Data!$BK$2,"")</f>
        <v/>
      </c>
      <c r="CI256" s="197"/>
      <c r="CJ256" s="197"/>
      <c r="CK256" s="451"/>
      <c r="CL256" s="452"/>
      <c r="CM256" s="438" t="str">
        <f t="shared" si="372"/>
        <v/>
      </c>
      <c r="CN256" s="328"/>
      <c r="CO256" s="197" t="str">
        <f>IF(AND($I256="x",AND(MAX(CK256:CM256)=CK256,CK256&lt;&gt;"")),Data!$BI$2,"")</f>
        <v/>
      </c>
      <c r="CP256" s="197" t="str">
        <f>IF(AND($J256="x",AND(MAX(CK256:CM256)=CL256,CL256&lt;&gt;"")),Data!$BJ$2,"")</f>
        <v/>
      </c>
      <c r="CQ256" s="197" t="str">
        <f>IF(AND($K256="x",AND(MAX(CK256:CM256)=CM256,CM256&lt;&gt;"")),Data!$BK$2,"")</f>
        <v/>
      </c>
      <c r="CR256" s="197"/>
      <c r="CS256" s="197"/>
      <c r="CT256" s="328"/>
      <c r="CU256" s="259"/>
      <c r="CV256" s="209"/>
      <c r="CW256" s="227"/>
    </row>
    <row r="257" spans="1:101" x14ac:dyDescent="0.2">
      <c r="A257" s="227"/>
      <c r="B257" s="227"/>
      <c r="C257" s="168"/>
      <c r="D257" s="232"/>
      <c r="E257" s="135" t="s">
        <v>193</v>
      </c>
      <c r="F257" s="425"/>
      <c r="G257" s="430" t="s">
        <v>51</v>
      </c>
      <c r="H257" s="431"/>
      <c r="I257" s="346" t="str">
        <f t="shared" si="359"/>
        <v/>
      </c>
      <c r="J257" s="347" t="str">
        <f t="shared" si="360"/>
        <v/>
      </c>
      <c r="K257" s="348" t="str">
        <f t="shared" si="361"/>
        <v/>
      </c>
      <c r="L257" s="258"/>
      <c r="M257" s="332"/>
      <c r="N257" s="336"/>
      <c r="O257" s="200"/>
      <c r="P257" s="200"/>
      <c r="Q257" s="439"/>
      <c r="R257" s="440"/>
      <c r="S257" s="441" t="str">
        <f t="shared" si="362"/>
        <v/>
      </c>
      <c r="T257" s="328"/>
      <c r="U257" s="197" t="str">
        <f>IF(AND($I257="x",AND(MAX(Q257:S257)=Q257,Q257&gt;=0)),Data!$BI$2,"")</f>
        <v/>
      </c>
      <c r="V257" s="197" t="str">
        <f>IF(AND($J257="x",AND(MAX(Q257:S257)=R257,R257&gt;=0)),Data!$BJ$2,"")</f>
        <v/>
      </c>
      <c r="W257" s="197" t="str">
        <f>IF(AND($K257="x",AND(MAX(Q257:S257)=S257,S257&gt;=0)),Data!$BK$2,"")</f>
        <v/>
      </c>
      <c r="X257" s="197"/>
      <c r="Y257" s="328"/>
      <c r="Z257" s="453"/>
      <c r="AA257" s="454"/>
      <c r="AB257" s="441" t="str">
        <f t="shared" si="363"/>
        <v/>
      </c>
      <c r="AC257" s="328"/>
      <c r="AD257" s="197" t="str">
        <f>IF(AND($I257="x",AND(MAX(Z257:AB257)=Z257,Z257&lt;&gt;"")),Data!$BI$2,"")</f>
        <v/>
      </c>
      <c r="AE257" s="197" t="str">
        <f>IF(AND($J257="x",AND(MAX(Z257:AB257)=AA257,AA257&lt;&gt;"")),Data!$BJ$2,"")</f>
        <v/>
      </c>
      <c r="AF257" s="197" t="str">
        <f>IF(AND($K257="x",AND(MAX(Z257:AB257)=AB257,AB257&lt;&gt;"")),Data!$BK$2,"")</f>
        <v/>
      </c>
      <c r="AG257" s="197"/>
      <c r="AH257" s="328"/>
      <c r="AI257" s="453"/>
      <c r="AJ257" s="454"/>
      <c r="AK257" s="441" t="str">
        <f t="shared" si="364"/>
        <v/>
      </c>
      <c r="AL257" s="328"/>
      <c r="AM257" s="197" t="str">
        <f>IF(AND($I257="x",AND(MAX(AI257:AK257)=AI257,AI257&lt;&gt;"")),Data!$BI$2,"")</f>
        <v/>
      </c>
      <c r="AN257" s="197" t="str">
        <f>IF(AND($J257="x",AND(MAX(AI257:AK257)=AJ257,AJ257&lt;&gt;"")),Data!$BJ$2,"")</f>
        <v/>
      </c>
      <c r="AO257" s="197" t="str">
        <f>IF(AND($K257="x",AND(MAX(AI257:AK257)=AK257,AK257&lt;&gt;"")),Data!$BK$2,"")</f>
        <v/>
      </c>
      <c r="AP257" s="197"/>
      <c r="AQ257" s="328"/>
      <c r="AR257" s="453"/>
      <c r="AS257" s="454"/>
      <c r="AT257" s="441" t="str">
        <f t="shared" si="365"/>
        <v/>
      </c>
      <c r="AU257" s="328"/>
      <c r="AV257" s="197" t="str">
        <f>IF(AND($I257="x",AND(MAX(AR257:AT257)=AR257,AR257&lt;&gt;"")),Data!$BI$2,"")</f>
        <v/>
      </c>
      <c r="AW257" s="197" t="str">
        <f>IF(AND($J257="x",AND(MAX(AR257:AT257)=AS257,AS257&lt;&gt;"")),Data!$BJ$2,"")</f>
        <v/>
      </c>
      <c r="AX257" s="197" t="str">
        <f>IF(AND($K257="x",AND(MAX(AR257:AT257)=AT257,AT257&lt;&gt;"")),Data!$BK$2,"")</f>
        <v/>
      </c>
      <c r="AY257" s="197"/>
      <c r="AZ257" s="328"/>
      <c r="BA257" s="453"/>
      <c r="BB257" s="454"/>
      <c r="BC257" s="441" t="str">
        <f t="shared" si="366"/>
        <v/>
      </c>
      <c r="BD257" s="328"/>
      <c r="BE257" s="197" t="str">
        <f>IF(AND($I257="x",AND(MAX(BA257:BC257)=BA257,BA257&lt;&gt;"")),Data!$BI$2,"")</f>
        <v/>
      </c>
      <c r="BF257" s="197" t="str">
        <f>IF(AND($J257="x",AND(MAX(BA257:BC257)=BB257,BB257&lt;&gt;"")),Data!$BJ$2,"")</f>
        <v/>
      </c>
      <c r="BG257" s="197" t="str">
        <f>IF(AND($K257="x",AND(MAX(BA257:BC257)=BC257,BC257&lt;&gt;"")),Data!$BK$2,"")</f>
        <v/>
      </c>
      <c r="BH257" s="197"/>
      <c r="BI257" s="328"/>
      <c r="BJ257" s="453"/>
      <c r="BK257" s="454"/>
      <c r="BL257" s="441" t="str">
        <f t="shared" si="367"/>
        <v/>
      </c>
      <c r="BM257" s="328"/>
      <c r="BN257" s="197" t="str">
        <f>IF(AND($I257="x",AND(MAX(BJ257:BL257)=BJ257,BJ257&lt;&gt;"")),Data!$BI$2,"")</f>
        <v/>
      </c>
      <c r="BO257" s="197" t="str">
        <f>IF(AND($J257="x",AND(MAX(BJ257:BL257)=BK257,BK257&lt;&gt;"")),Data!$BJ$2,"")</f>
        <v/>
      </c>
      <c r="BP257" s="197" t="str">
        <f>IF(AND($K257="x",AND(MAX(BJ257:BL257)=BL257,BL257&lt;&gt;"")),Data!$BK$2,"")</f>
        <v/>
      </c>
      <c r="BQ257" s="197"/>
      <c r="BR257" s="328"/>
      <c r="BS257" s="453"/>
      <c r="BT257" s="454"/>
      <c r="BU257" s="441" t="str">
        <f t="shared" si="368"/>
        <v/>
      </c>
      <c r="BV257" s="328"/>
      <c r="BW257" s="197" t="str">
        <f>IF(AND($I257="x",AND(MAX(BS257:BU257)=BS257,BS257&lt;&gt;"")),Data!$BI$2,"")</f>
        <v/>
      </c>
      <c r="BX257" s="197" t="str">
        <f>IF(AND($J257="x",AND(MAX(BS257:BU257)=BT257,BT257&lt;&gt;"")),Data!$BJ$2,"")</f>
        <v/>
      </c>
      <c r="BY257" s="197" t="str">
        <f>IF(AND($K257="x",AND(MAX(BS257:BU257)=BU257,BU257&lt;&gt;"")),Data!$BK$2,"")</f>
        <v/>
      </c>
      <c r="BZ257" s="197"/>
      <c r="CA257" s="328"/>
      <c r="CB257" s="460" t="str">
        <f t="shared" si="369"/>
        <v/>
      </c>
      <c r="CC257" s="461" t="str">
        <f t="shared" si="370"/>
        <v/>
      </c>
      <c r="CD257" s="462" t="str">
        <f t="shared" si="371"/>
        <v/>
      </c>
      <c r="CE257" s="328"/>
      <c r="CF257" s="197" t="str">
        <f>IF(AND($I257="x",AND(MAX(CB257:CD257)=CB257,CB257&lt;&gt;"")),Data!$BI$2,"")</f>
        <v/>
      </c>
      <c r="CG257" s="197" t="str">
        <f>IF(AND($J257="x",AND(MAX(CB257:CD257)=CC257,CC257&lt;&gt;"")),Data!$BJ$2,"")</f>
        <v/>
      </c>
      <c r="CH257" s="197" t="str">
        <f>IF(AND($K257="x",AND(MAX(CB257:CD257)=CD257,CD257&lt;&gt;"")),Data!$BK$2,"")</f>
        <v/>
      </c>
      <c r="CI257" s="197"/>
      <c r="CJ257" s="197"/>
      <c r="CK257" s="453"/>
      <c r="CL257" s="454"/>
      <c r="CM257" s="441" t="str">
        <f t="shared" si="372"/>
        <v/>
      </c>
      <c r="CN257" s="328"/>
      <c r="CO257" s="197" t="str">
        <f>IF(AND($I257="x",AND(MAX(CK257:CM257)=CK257,CK257&lt;&gt;"")),Data!$BI$2,"")</f>
        <v/>
      </c>
      <c r="CP257" s="197" t="str">
        <f>IF(AND($J257="x",AND(MAX(CK257:CM257)=CL257,CL257&lt;&gt;"")),Data!$BJ$2,"")</f>
        <v/>
      </c>
      <c r="CQ257" s="197" t="str">
        <f>IF(AND($K257="x",AND(MAX(CK257:CM257)=CM257,CM257&lt;&gt;"")),Data!$BK$2,"")</f>
        <v/>
      </c>
      <c r="CR257" s="197"/>
      <c r="CS257" s="197"/>
      <c r="CT257" s="328"/>
      <c r="CU257" s="259"/>
      <c r="CV257" s="209"/>
      <c r="CW257" s="227"/>
    </row>
    <row r="258" spans="1:101" x14ac:dyDescent="0.2">
      <c r="A258" s="227"/>
      <c r="B258" s="227"/>
      <c r="C258" s="168"/>
      <c r="D258" s="232"/>
      <c r="E258" s="136" t="s">
        <v>194</v>
      </c>
      <c r="F258" s="426"/>
      <c r="G258" s="432" t="s">
        <v>51</v>
      </c>
      <c r="H258" s="433"/>
      <c r="I258" s="349" t="str">
        <f t="shared" si="359"/>
        <v/>
      </c>
      <c r="J258" s="350" t="str">
        <f t="shared" si="360"/>
        <v/>
      </c>
      <c r="K258" s="351" t="str">
        <f t="shared" si="361"/>
        <v/>
      </c>
      <c r="L258" s="258"/>
      <c r="M258" s="332"/>
      <c r="N258" s="336"/>
      <c r="O258" s="200"/>
      <c r="P258" s="200"/>
      <c r="Q258" s="445"/>
      <c r="R258" s="446"/>
      <c r="S258" s="447" t="str">
        <f t="shared" si="362"/>
        <v/>
      </c>
      <c r="T258" s="328"/>
      <c r="U258" s="197" t="str">
        <f>IF(AND($I258="x",AND(MAX(Q258:S258)=Q258,Q258&gt;=0)),Data!$BI$2,"")</f>
        <v/>
      </c>
      <c r="V258" s="197" t="str">
        <f>IF(AND($J258="x",AND(MAX(Q258:S258)=R258,R258&gt;=0)),Data!$BJ$2,"")</f>
        <v/>
      </c>
      <c r="W258" s="197" t="str">
        <f>IF(AND($K258="x",AND(MAX(Q258:S258)=S258,S258&gt;=0)),Data!$BK$2,"")</f>
        <v/>
      </c>
      <c r="X258" s="197"/>
      <c r="Y258" s="328"/>
      <c r="Z258" s="455"/>
      <c r="AA258" s="456"/>
      <c r="AB258" s="447" t="str">
        <f t="shared" si="363"/>
        <v/>
      </c>
      <c r="AC258" s="328"/>
      <c r="AD258" s="197" t="str">
        <f>IF(AND($I258="x",AND(MAX(Z258:AB258)=Z258,Z258&lt;&gt;"")),Data!$BI$2,"")</f>
        <v/>
      </c>
      <c r="AE258" s="197" t="str">
        <f>IF(AND($J258="x",AND(MAX(Z258:AB258)=AA258,AA258&lt;&gt;"")),Data!$BJ$2,"")</f>
        <v/>
      </c>
      <c r="AF258" s="197" t="str">
        <f>IF(AND($K258="x",AND(MAX(Z258:AB258)=AB258,AB258&lt;&gt;"")),Data!$BK$2,"")</f>
        <v/>
      </c>
      <c r="AG258" s="197"/>
      <c r="AH258" s="328"/>
      <c r="AI258" s="455"/>
      <c r="AJ258" s="456"/>
      <c r="AK258" s="447" t="str">
        <f t="shared" si="364"/>
        <v/>
      </c>
      <c r="AL258" s="328"/>
      <c r="AM258" s="197" t="str">
        <f>IF(AND($I258="x",AND(MAX(AI258:AK258)=AI258,AI258&lt;&gt;"")),Data!$BI$2,"")</f>
        <v/>
      </c>
      <c r="AN258" s="197" t="str">
        <f>IF(AND($J258="x",AND(MAX(AI258:AK258)=AJ258,AJ258&lt;&gt;"")),Data!$BJ$2,"")</f>
        <v/>
      </c>
      <c r="AO258" s="197" t="str">
        <f>IF(AND($K258="x",AND(MAX(AI258:AK258)=AK258,AK258&lt;&gt;"")),Data!$BK$2,"")</f>
        <v/>
      </c>
      <c r="AP258" s="197"/>
      <c r="AQ258" s="328"/>
      <c r="AR258" s="455"/>
      <c r="AS258" s="456"/>
      <c r="AT258" s="447" t="str">
        <f t="shared" si="365"/>
        <v/>
      </c>
      <c r="AU258" s="328"/>
      <c r="AV258" s="197" t="str">
        <f>IF(AND($I258="x",AND(MAX(AR258:AT258)=AR258,AR258&lt;&gt;"")),Data!$BI$2,"")</f>
        <v/>
      </c>
      <c r="AW258" s="197" t="str">
        <f>IF(AND($J258="x",AND(MAX(AR258:AT258)=AS258,AS258&lt;&gt;"")),Data!$BJ$2,"")</f>
        <v/>
      </c>
      <c r="AX258" s="197" t="str">
        <f>IF(AND($K258="x",AND(MAX(AR258:AT258)=AT258,AT258&lt;&gt;"")),Data!$BK$2,"")</f>
        <v/>
      </c>
      <c r="AY258" s="197"/>
      <c r="AZ258" s="328"/>
      <c r="BA258" s="455"/>
      <c r="BB258" s="456"/>
      <c r="BC258" s="447" t="str">
        <f t="shared" si="366"/>
        <v/>
      </c>
      <c r="BD258" s="328"/>
      <c r="BE258" s="197" t="str">
        <f>IF(AND($I258="x",AND(MAX(BA258:BC258)=BA258,BA258&lt;&gt;"")),Data!$BI$2,"")</f>
        <v/>
      </c>
      <c r="BF258" s="197" t="str">
        <f>IF(AND($J258="x",AND(MAX(BA258:BC258)=BB258,BB258&lt;&gt;"")),Data!$BJ$2,"")</f>
        <v/>
      </c>
      <c r="BG258" s="197" t="str">
        <f>IF(AND($K258="x",AND(MAX(BA258:BC258)=BC258,BC258&lt;&gt;"")),Data!$BK$2,"")</f>
        <v/>
      </c>
      <c r="BH258" s="197"/>
      <c r="BI258" s="328"/>
      <c r="BJ258" s="455"/>
      <c r="BK258" s="456"/>
      <c r="BL258" s="447" t="str">
        <f t="shared" si="367"/>
        <v/>
      </c>
      <c r="BM258" s="328"/>
      <c r="BN258" s="197" t="str">
        <f>IF(AND($I258="x",AND(MAX(BJ258:BL258)=BJ258,BJ258&lt;&gt;"")),Data!$BI$2,"")</f>
        <v/>
      </c>
      <c r="BO258" s="197" t="str">
        <f>IF(AND($J258="x",AND(MAX(BJ258:BL258)=BK258,BK258&lt;&gt;"")),Data!$BJ$2,"")</f>
        <v/>
      </c>
      <c r="BP258" s="197" t="str">
        <f>IF(AND($K258="x",AND(MAX(BJ258:BL258)=BL258,BL258&lt;&gt;"")),Data!$BK$2,"")</f>
        <v/>
      </c>
      <c r="BQ258" s="197"/>
      <c r="BR258" s="328"/>
      <c r="BS258" s="455"/>
      <c r="BT258" s="456"/>
      <c r="BU258" s="447" t="str">
        <f t="shared" si="368"/>
        <v/>
      </c>
      <c r="BV258" s="328"/>
      <c r="BW258" s="197" t="str">
        <f>IF(AND($I258="x",AND(MAX(BS258:BU258)=BS258,BS258&lt;&gt;"")),Data!$BI$2,"")</f>
        <v/>
      </c>
      <c r="BX258" s="197" t="str">
        <f>IF(AND($J258="x",AND(MAX(BS258:BU258)=BT258,BT258&lt;&gt;"")),Data!$BJ$2,"")</f>
        <v/>
      </c>
      <c r="BY258" s="197" t="str">
        <f>IF(AND($K258="x",AND(MAX(BS258:BU258)=BU258,BU258&lt;&gt;"")),Data!$BK$2,"")</f>
        <v/>
      </c>
      <c r="BZ258" s="197"/>
      <c r="CA258" s="328"/>
      <c r="CB258" s="463" t="str">
        <f t="shared" si="369"/>
        <v/>
      </c>
      <c r="CC258" s="464" t="str">
        <f t="shared" si="370"/>
        <v/>
      </c>
      <c r="CD258" s="465" t="str">
        <f t="shared" si="371"/>
        <v/>
      </c>
      <c r="CE258" s="328"/>
      <c r="CF258" s="197" t="str">
        <f>IF(AND($I258="x",AND(MAX(CB258:CD258)=CB258,CB258&lt;&gt;"")),Data!$BI$2,"")</f>
        <v/>
      </c>
      <c r="CG258" s="197" t="str">
        <f>IF(AND($J258="x",AND(MAX(CB258:CD258)=CC258,CC258&lt;&gt;"")),Data!$BJ$2,"")</f>
        <v/>
      </c>
      <c r="CH258" s="197" t="str">
        <f>IF(AND($K258="x",AND(MAX(CB258:CD258)=CD258,CD258&lt;&gt;"")),Data!$BK$2,"")</f>
        <v/>
      </c>
      <c r="CI258" s="197"/>
      <c r="CJ258" s="197"/>
      <c r="CK258" s="455"/>
      <c r="CL258" s="456"/>
      <c r="CM258" s="447" t="str">
        <f t="shared" si="372"/>
        <v/>
      </c>
      <c r="CN258" s="328"/>
      <c r="CO258" s="197" t="str">
        <f>IF(AND($I258="x",AND(MAX(CK258:CM258)=CK258,CK258&lt;&gt;"")),Data!$BI$2,"")</f>
        <v/>
      </c>
      <c r="CP258" s="197" t="str">
        <f>IF(AND($J258="x",AND(MAX(CK258:CM258)=CL258,CL258&lt;&gt;"")),Data!$BJ$2,"")</f>
        <v/>
      </c>
      <c r="CQ258" s="197" t="str">
        <f>IF(AND($K258="x",AND(MAX(CK258:CM258)=CM258,CM258&lt;&gt;"")),Data!$BK$2,"")</f>
        <v/>
      </c>
      <c r="CR258" s="197"/>
      <c r="CS258" s="197"/>
      <c r="CT258" s="328"/>
      <c r="CU258" s="259"/>
      <c r="CV258" s="209"/>
      <c r="CW258" s="227"/>
    </row>
    <row r="259" spans="1:101" x14ac:dyDescent="0.2">
      <c r="A259" s="227"/>
      <c r="B259" s="227"/>
      <c r="C259" s="168"/>
      <c r="D259" s="232"/>
      <c r="E259" s="137" t="s">
        <v>195</v>
      </c>
      <c r="F259" s="427"/>
      <c r="G259" s="434" t="s">
        <v>51</v>
      </c>
      <c r="H259" s="435"/>
      <c r="I259" s="138" t="str">
        <f t="shared" si="359"/>
        <v/>
      </c>
      <c r="J259" s="344" t="str">
        <f t="shared" si="360"/>
        <v/>
      </c>
      <c r="K259" s="345" t="str">
        <f t="shared" si="361"/>
        <v/>
      </c>
      <c r="L259" s="258"/>
      <c r="M259" s="332"/>
      <c r="N259" s="336"/>
      <c r="O259" s="200"/>
      <c r="P259" s="200"/>
      <c r="Q259" s="448"/>
      <c r="R259" s="449"/>
      <c r="S259" s="450" t="str">
        <f t="shared" si="362"/>
        <v/>
      </c>
      <c r="T259" s="328"/>
      <c r="U259" s="197" t="str">
        <f>IF(AND($I259="x",AND(MAX(Q259:S259)=Q259,Q259&gt;=0)),Data!$BI$2,"")</f>
        <v/>
      </c>
      <c r="V259" s="197" t="str">
        <f>IF(AND($J259="x",AND(MAX(Q259:S259)=R259,R259&gt;=0)),Data!$BJ$2,"")</f>
        <v/>
      </c>
      <c r="W259" s="197" t="str">
        <f>IF(AND($K259="x",AND(MAX(Q259:S259)=S259,S259&gt;=0)),Data!$BK$2,"")</f>
        <v/>
      </c>
      <c r="X259" s="197"/>
      <c r="Y259" s="328"/>
      <c r="Z259" s="451"/>
      <c r="AA259" s="452"/>
      <c r="AB259" s="450" t="str">
        <f t="shared" si="363"/>
        <v/>
      </c>
      <c r="AC259" s="328"/>
      <c r="AD259" s="197" t="str">
        <f>IF(AND($I259="x",AND(MAX(Z259:AB259)=Z259,Z259&lt;&gt;"")),Data!$BI$2,"")</f>
        <v/>
      </c>
      <c r="AE259" s="197" t="str">
        <f>IF(AND($J259="x",AND(MAX(Z259:AB259)=AA259,AA259&lt;&gt;"")),Data!$BJ$2,"")</f>
        <v/>
      </c>
      <c r="AF259" s="197" t="str">
        <f>IF(AND($K259="x",AND(MAX(Z259:AB259)=AB259,AB259&lt;&gt;"")),Data!$BK$2,"")</f>
        <v/>
      </c>
      <c r="AG259" s="197"/>
      <c r="AH259" s="328"/>
      <c r="AI259" s="451"/>
      <c r="AJ259" s="452"/>
      <c r="AK259" s="450" t="str">
        <f t="shared" si="364"/>
        <v/>
      </c>
      <c r="AL259" s="328"/>
      <c r="AM259" s="197" t="str">
        <f>IF(AND($I259="x",AND(MAX(AI259:AK259)=AI259,AI259&lt;&gt;"")),Data!$BI$2,"")</f>
        <v/>
      </c>
      <c r="AN259" s="197" t="str">
        <f>IF(AND($J259="x",AND(MAX(AI259:AK259)=AJ259,AJ259&lt;&gt;"")),Data!$BJ$2,"")</f>
        <v/>
      </c>
      <c r="AO259" s="197" t="str">
        <f>IF(AND($K259="x",AND(MAX(AI259:AK259)=AK259,AK259&lt;&gt;"")),Data!$BK$2,"")</f>
        <v/>
      </c>
      <c r="AP259" s="197"/>
      <c r="AQ259" s="328"/>
      <c r="AR259" s="451"/>
      <c r="AS259" s="452"/>
      <c r="AT259" s="450" t="str">
        <f t="shared" si="365"/>
        <v/>
      </c>
      <c r="AU259" s="328"/>
      <c r="AV259" s="197" t="str">
        <f>IF(AND($I259="x",AND(MAX(AR259:AT259)=AR259,AR259&lt;&gt;"")),Data!$BI$2,"")</f>
        <v/>
      </c>
      <c r="AW259" s="197" t="str">
        <f>IF(AND($J259="x",AND(MAX(AR259:AT259)=AS259,AS259&lt;&gt;"")),Data!$BJ$2,"")</f>
        <v/>
      </c>
      <c r="AX259" s="197" t="str">
        <f>IF(AND($K259="x",AND(MAX(AR259:AT259)=AT259,AT259&lt;&gt;"")),Data!$BK$2,"")</f>
        <v/>
      </c>
      <c r="AY259" s="197"/>
      <c r="AZ259" s="328"/>
      <c r="BA259" s="451"/>
      <c r="BB259" s="452"/>
      <c r="BC259" s="450" t="str">
        <f t="shared" si="366"/>
        <v/>
      </c>
      <c r="BD259" s="328"/>
      <c r="BE259" s="197" t="str">
        <f>IF(AND($I259="x",AND(MAX(BA259:BC259)=BA259,BA259&lt;&gt;"")),Data!$BI$2,"")</f>
        <v/>
      </c>
      <c r="BF259" s="197" t="str">
        <f>IF(AND($J259="x",AND(MAX(BA259:BC259)=BB259,BB259&lt;&gt;"")),Data!$BJ$2,"")</f>
        <v/>
      </c>
      <c r="BG259" s="197" t="str">
        <f>IF(AND($K259="x",AND(MAX(BA259:BC259)=BC259,BC259&lt;&gt;"")),Data!$BK$2,"")</f>
        <v/>
      </c>
      <c r="BH259" s="197"/>
      <c r="BI259" s="328"/>
      <c r="BJ259" s="451"/>
      <c r="BK259" s="452"/>
      <c r="BL259" s="450" t="str">
        <f t="shared" si="367"/>
        <v/>
      </c>
      <c r="BM259" s="328"/>
      <c r="BN259" s="197" t="str">
        <f>IF(AND($I259="x",AND(MAX(BJ259:BL259)=BJ259,BJ259&lt;&gt;"")),Data!$BI$2,"")</f>
        <v/>
      </c>
      <c r="BO259" s="197" t="str">
        <f>IF(AND($J259="x",AND(MAX(BJ259:BL259)=BK259,BK259&lt;&gt;"")),Data!$BJ$2,"")</f>
        <v/>
      </c>
      <c r="BP259" s="197" t="str">
        <f>IF(AND($K259="x",AND(MAX(BJ259:BL259)=BL259,BL259&lt;&gt;"")),Data!$BK$2,"")</f>
        <v/>
      </c>
      <c r="BQ259" s="197"/>
      <c r="BR259" s="328"/>
      <c r="BS259" s="451"/>
      <c r="BT259" s="452"/>
      <c r="BU259" s="450" t="str">
        <f t="shared" si="368"/>
        <v/>
      </c>
      <c r="BV259" s="328"/>
      <c r="BW259" s="197" t="str">
        <f>IF(AND($I259="x",AND(MAX(BS259:BU259)=BS259,BS259&lt;&gt;"")),Data!$BI$2,"")</f>
        <v/>
      </c>
      <c r="BX259" s="197" t="str">
        <f>IF(AND($J259="x",AND(MAX(BS259:BU259)=BT259,BT259&lt;&gt;"")),Data!$BJ$2,"")</f>
        <v/>
      </c>
      <c r="BY259" s="197" t="str">
        <f>IF(AND($K259="x",AND(MAX(BS259:BU259)=BU259,BU259&lt;&gt;"")),Data!$BK$2,"")</f>
        <v/>
      </c>
      <c r="BZ259" s="197"/>
      <c r="CA259" s="328"/>
      <c r="CB259" s="457" t="str">
        <f t="shared" si="369"/>
        <v/>
      </c>
      <c r="CC259" s="458" t="str">
        <f t="shared" si="370"/>
        <v/>
      </c>
      <c r="CD259" s="459" t="str">
        <f t="shared" si="371"/>
        <v/>
      </c>
      <c r="CE259" s="328"/>
      <c r="CF259" s="197" t="str">
        <f>IF(AND($I259="x",AND(MAX(CB259:CD259)=CB259,CB259&lt;&gt;"")),Data!$BI$2,"")</f>
        <v/>
      </c>
      <c r="CG259" s="197" t="str">
        <f>IF(AND($J259="x",AND(MAX(CB259:CD259)=CC259,CC259&lt;&gt;"")),Data!$BJ$2,"")</f>
        <v/>
      </c>
      <c r="CH259" s="197" t="str">
        <f>IF(AND($K259="x",AND(MAX(CB259:CD259)=CD259,CD259&lt;&gt;"")),Data!$BK$2,"")</f>
        <v/>
      </c>
      <c r="CI259" s="197"/>
      <c r="CJ259" s="197"/>
      <c r="CK259" s="451"/>
      <c r="CL259" s="452"/>
      <c r="CM259" s="450" t="str">
        <f t="shared" si="372"/>
        <v/>
      </c>
      <c r="CN259" s="328"/>
      <c r="CO259" s="197" t="str">
        <f>IF(AND($I259="x",AND(MAX(CK259:CM259)=CK259,CK259&lt;&gt;"")),Data!$BI$2,"")</f>
        <v/>
      </c>
      <c r="CP259" s="197" t="str">
        <f>IF(AND($J259="x",AND(MAX(CK259:CM259)=CL259,CL259&lt;&gt;"")),Data!$BJ$2,"")</f>
        <v/>
      </c>
      <c r="CQ259" s="197" t="str">
        <f>IF(AND($K259="x",AND(MAX(CK259:CM259)=CM259,CM259&lt;&gt;"")),Data!$BK$2,"")</f>
        <v/>
      </c>
      <c r="CR259" s="197"/>
      <c r="CS259" s="197"/>
      <c r="CT259" s="328"/>
      <c r="CU259" s="259"/>
      <c r="CV259" s="209"/>
      <c r="CW259" s="227"/>
    </row>
    <row r="260" spans="1:101" x14ac:dyDescent="0.2">
      <c r="A260" s="227"/>
      <c r="B260" s="227"/>
      <c r="C260" s="168"/>
      <c r="D260" s="232"/>
      <c r="E260" s="135" t="s">
        <v>196</v>
      </c>
      <c r="F260" s="425"/>
      <c r="G260" s="430" t="s">
        <v>51</v>
      </c>
      <c r="H260" s="431"/>
      <c r="I260" s="346" t="str">
        <f t="shared" si="359"/>
        <v/>
      </c>
      <c r="J260" s="347" t="str">
        <f t="shared" si="360"/>
        <v/>
      </c>
      <c r="K260" s="348" t="str">
        <f t="shared" si="361"/>
        <v/>
      </c>
      <c r="L260" s="258"/>
      <c r="M260" s="332"/>
      <c r="N260" s="336"/>
      <c r="O260" s="200"/>
      <c r="P260" s="200"/>
      <c r="Q260" s="439"/>
      <c r="R260" s="440"/>
      <c r="S260" s="441" t="str">
        <f t="shared" si="362"/>
        <v/>
      </c>
      <c r="T260" s="328"/>
      <c r="U260" s="197" t="str">
        <f>IF(AND($I260="x",AND(MAX(Q260:S260)=Q260,Q260&gt;=0)),Data!$BI$2,"")</f>
        <v/>
      </c>
      <c r="V260" s="197" t="str">
        <f>IF(AND($J260="x",AND(MAX(Q260:S260)=R260,R260&gt;=0)),Data!$BJ$2,"")</f>
        <v/>
      </c>
      <c r="W260" s="197" t="str">
        <f>IF(AND($K260="x",AND(MAX(Q260:S260)=S260,S260&gt;=0)),Data!$BK$2,"")</f>
        <v/>
      </c>
      <c r="X260" s="197"/>
      <c r="Y260" s="328"/>
      <c r="Z260" s="453"/>
      <c r="AA260" s="454"/>
      <c r="AB260" s="441" t="str">
        <f t="shared" si="363"/>
        <v/>
      </c>
      <c r="AC260" s="328"/>
      <c r="AD260" s="197" t="str">
        <f>IF(AND($I260="x",AND(MAX(Z260:AB260)=Z260,Z260&lt;&gt;"")),Data!$BI$2,"")</f>
        <v/>
      </c>
      <c r="AE260" s="197" t="str">
        <f>IF(AND($J260="x",AND(MAX(Z260:AB260)=AA260,AA260&lt;&gt;"")),Data!$BJ$2,"")</f>
        <v/>
      </c>
      <c r="AF260" s="197" t="str">
        <f>IF(AND($K260="x",AND(MAX(Z260:AB260)=AB260,AB260&lt;&gt;"")),Data!$BK$2,"")</f>
        <v/>
      </c>
      <c r="AG260" s="197"/>
      <c r="AH260" s="328"/>
      <c r="AI260" s="453"/>
      <c r="AJ260" s="454"/>
      <c r="AK260" s="441" t="str">
        <f t="shared" si="364"/>
        <v/>
      </c>
      <c r="AL260" s="328"/>
      <c r="AM260" s="197" t="str">
        <f>IF(AND($I260="x",AND(MAX(AI260:AK260)=AI260,AI260&lt;&gt;"")),Data!$BI$2,"")</f>
        <v/>
      </c>
      <c r="AN260" s="197" t="str">
        <f>IF(AND($J260="x",AND(MAX(AI260:AK260)=AJ260,AJ260&lt;&gt;"")),Data!$BJ$2,"")</f>
        <v/>
      </c>
      <c r="AO260" s="197" t="str">
        <f>IF(AND($K260="x",AND(MAX(AI260:AK260)=AK260,AK260&lt;&gt;"")),Data!$BK$2,"")</f>
        <v/>
      </c>
      <c r="AP260" s="197"/>
      <c r="AQ260" s="328"/>
      <c r="AR260" s="453"/>
      <c r="AS260" s="454"/>
      <c r="AT260" s="441" t="str">
        <f t="shared" si="365"/>
        <v/>
      </c>
      <c r="AU260" s="328"/>
      <c r="AV260" s="197" t="str">
        <f>IF(AND($I260="x",AND(MAX(AR260:AT260)=AR260,AR260&lt;&gt;"")),Data!$BI$2,"")</f>
        <v/>
      </c>
      <c r="AW260" s="197" t="str">
        <f>IF(AND($J260="x",AND(MAX(AR260:AT260)=AS260,AS260&lt;&gt;"")),Data!$BJ$2,"")</f>
        <v/>
      </c>
      <c r="AX260" s="197" t="str">
        <f>IF(AND($K260="x",AND(MAX(AR260:AT260)=AT260,AT260&lt;&gt;"")),Data!$BK$2,"")</f>
        <v/>
      </c>
      <c r="AY260" s="197"/>
      <c r="AZ260" s="328"/>
      <c r="BA260" s="453"/>
      <c r="BB260" s="454"/>
      <c r="BC260" s="441" t="str">
        <f t="shared" si="366"/>
        <v/>
      </c>
      <c r="BD260" s="328"/>
      <c r="BE260" s="197" t="str">
        <f>IF(AND($I260="x",AND(MAX(BA260:BC260)=BA260,BA260&lt;&gt;"")),Data!$BI$2,"")</f>
        <v/>
      </c>
      <c r="BF260" s="197" t="str">
        <f>IF(AND($J260="x",AND(MAX(BA260:BC260)=BB260,BB260&lt;&gt;"")),Data!$BJ$2,"")</f>
        <v/>
      </c>
      <c r="BG260" s="197" t="str">
        <f>IF(AND($K260="x",AND(MAX(BA260:BC260)=BC260,BC260&lt;&gt;"")),Data!$BK$2,"")</f>
        <v/>
      </c>
      <c r="BH260" s="197"/>
      <c r="BI260" s="328"/>
      <c r="BJ260" s="453"/>
      <c r="BK260" s="454"/>
      <c r="BL260" s="441" t="str">
        <f t="shared" si="367"/>
        <v/>
      </c>
      <c r="BM260" s="328"/>
      <c r="BN260" s="197" t="str">
        <f>IF(AND($I260="x",AND(MAX(BJ260:BL260)=BJ260,BJ260&lt;&gt;"")),Data!$BI$2,"")</f>
        <v/>
      </c>
      <c r="BO260" s="197" t="str">
        <f>IF(AND($J260="x",AND(MAX(BJ260:BL260)=BK260,BK260&lt;&gt;"")),Data!$BJ$2,"")</f>
        <v/>
      </c>
      <c r="BP260" s="197" t="str">
        <f>IF(AND($K260="x",AND(MAX(BJ260:BL260)=BL260,BL260&lt;&gt;"")),Data!$BK$2,"")</f>
        <v/>
      </c>
      <c r="BQ260" s="197"/>
      <c r="BR260" s="328"/>
      <c r="BS260" s="453"/>
      <c r="BT260" s="454"/>
      <c r="BU260" s="441" t="str">
        <f t="shared" si="368"/>
        <v/>
      </c>
      <c r="BV260" s="328"/>
      <c r="BW260" s="197" t="str">
        <f>IF(AND($I260="x",AND(MAX(BS260:BU260)=BS260,BS260&lt;&gt;"")),Data!$BI$2,"")</f>
        <v/>
      </c>
      <c r="BX260" s="197" t="str">
        <f>IF(AND($J260="x",AND(MAX(BS260:BU260)=BT260,BT260&lt;&gt;"")),Data!$BJ$2,"")</f>
        <v/>
      </c>
      <c r="BY260" s="197" t="str">
        <f>IF(AND($K260="x",AND(MAX(BS260:BU260)=BU260,BU260&lt;&gt;"")),Data!$BK$2,"")</f>
        <v/>
      </c>
      <c r="BZ260" s="197"/>
      <c r="CA260" s="328"/>
      <c r="CB260" s="460" t="str">
        <f t="shared" si="369"/>
        <v/>
      </c>
      <c r="CC260" s="461" t="str">
        <f t="shared" si="370"/>
        <v/>
      </c>
      <c r="CD260" s="462" t="str">
        <f t="shared" si="371"/>
        <v/>
      </c>
      <c r="CE260" s="328"/>
      <c r="CF260" s="197" t="str">
        <f>IF(AND($I260="x",AND(MAX(CB260:CD260)=CB260,CB260&lt;&gt;"")),Data!$BI$2,"")</f>
        <v/>
      </c>
      <c r="CG260" s="197" t="str">
        <f>IF(AND($J260="x",AND(MAX(CB260:CD260)=CC260,CC260&lt;&gt;"")),Data!$BJ$2,"")</f>
        <v/>
      </c>
      <c r="CH260" s="197" t="str">
        <f>IF(AND($K260="x",AND(MAX(CB260:CD260)=CD260,CD260&lt;&gt;"")),Data!$BK$2,"")</f>
        <v/>
      </c>
      <c r="CI260" s="197"/>
      <c r="CJ260" s="197"/>
      <c r="CK260" s="453"/>
      <c r="CL260" s="454"/>
      <c r="CM260" s="441" t="str">
        <f t="shared" si="372"/>
        <v/>
      </c>
      <c r="CN260" s="328"/>
      <c r="CO260" s="197" t="str">
        <f>IF(AND($I260="x",AND(MAX(CK260:CM260)=CK260,CK260&lt;&gt;"")),Data!$BI$2,"")</f>
        <v/>
      </c>
      <c r="CP260" s="197" t="str">
        <f>IF(AND($J260="x",AND(MAX(CK260:CM260)=CL260,CL260&lt;&gt;"")),Data!$BJ$2,"")</f>
        <v/>
      </c>
      <c r="CQ260" s="197" t="str">
        <f>IF(AND($K260="x",AND(MAX(CK260:CM260)=CM260,CM260&lt;&gt;"")),Data!$BK$2,"")</f>
        <v/>
      </c>
      <c r="CR260" s="197"/>
      <c r="CS260" s="197"/>
      <c r="CT260" s="328"/>
      <c r="CU260" s="259"/>
      <c r="CV260" s="209"/>
      <c r="CW260" s="227"/>
    </row>
    <row r="261" spans="1:101" x14ac:dyDescent="0.2">
      <c r="A261" s="227"/>
      <c r="B261" s="227"/>
      <c r="C261" s="168"/>
      <c r="D261" s="232"/>
      <c r="E261" s="136" t="s">
        <v>197</v>
      </c>
      <c r="F261" s="426"/>
      <c r="G261" s="432" t="s">
        <v>51</v>
      </c>
      <c r="H261" s="433"/>
      <c r="I261" s="349" t="str">
        <f t="shared" si="359"/>
        <v/>
      </c>
      <c r="J261" s="350" t="str">
        <f t="shared" si="360"/>
        <v/>
      </c>
      <c r="K261" s="351" t="str">
        <f t="shared" si="361"/>
        <v/>
      </c>
      <c r="L261" s="258"/>
      <c r="M261" s="332"/>
      <c r="N261" s="336"/>
      <c r="O261" s="200"/>
      <c r="P261" s="200"/>
      <c r="Q261" s="445"/>
      <c r="R261" s="446"/>
      <c r="S261" s="447" t="str">
        <f t="shared" si="362"/>
        <v/>
      </c>
      <c r="T261" s="328"/>
      <c r="U261" s="197" t="str">
        <f>IF(AND($I261="x",AND(MAX(Q261:S261)=Q261,Q261&gt;=0)),Data!$BI$2,"")</f>
        <v/>
      </c>
      <c r="V261" s="197" t="str">
        <f>IF(AND($J261="x",AND(MAX(Q261:S261)=R261,R261&gt;=0)),Data!$BJ$2,"")</f>
        <v/>
      </c>
      <c r="W261" s="197" t="str">
        <f>IF(AND($K261="x",AND(MAX(Q261:S261)=S261,S261&gt;=0)),Data!$BK$2,"")</f>
        <v/>
      </c>
      <c r="X261" s="197"/>
      <c r="Y261" s="328"/>
      <c r="Z261" s="455"/>
      <c r="AA261" s="456"/>
      <c r="AB261" s="447" t="str">
        <f t="shared" si="363"/>
        <v/>
      </c>
      <c r="AC261" s="328"/>
      <c r="AD261" s="197" t="str">
        <f>IF(AND($I261="x",AND(MAX(Z261:AB261)=Z261,Z261&lt;&gt;"")),Data!$BI$2,"")</f>
        <v/>
      </c>
      <c r="AE261" s="197" t="str">
        <f>IF(AND($J261="x",AND(MAX(Z261:AB261)=AA261,AA261&lt;&gt;"")),Data!$BJ$2,"")</f>
        <v/>
      </c>
      <c r="AF261" s="197" t="str">
        <f>IF(AND($K261="x",AND(MAX(Z261:AB261)=AB261,AB261&lt;&gt;"")),Data!$BK$2,"")</f>
        <v/>
      </c>
      <c r="AG261" s="197"/>
      <c r="AH261" s="328"/>
      <c r="AI261" s="455"/>
      <c r="AJ261" s="456"/>
      <c r="AK261" s="447" t="str">
        <f t="shared" si="364"/>
        <v/>
      </c>
      <c r="AL261" s="328"/>
      <c r="AM261" s="197" t="str">
        <f>IF(AND($I261="x",AND(MAX(AI261:AK261)=AI261,AI261&lt;&gt;"")),Data!$BI$2,"")</f>
        <v/>
      </c>
      <c r="AN261" s="197" t="str">
        <f>IF(AND($J261="x",AND(MAX(AI261:AK261)=AJ261,AJ261&lt;&gt;"")),Data!$BJ$2,"")</f>
        <v/>
      </c>
      <c r="AO261" s="197" t="str">
        <f>IF(AND($K261="x",AND(MAX(AI261:AK261)=AK261,AK261&lt;&gt;"")),Data!$BK$2,"")</f>
        <v/>
      </c>
      <c r="AP261" s="197"/>
      <c r="AQ261" s="328"/>
      <c r="AR261" s="455"/>
      <c r="AS261" s="456"/>
      <c r="AT261" s="447" t="str">
        <f t="shared" si="365"/>
        <v/>
      </c>
      <c r="AU261" s="328"/>
      <c r="AV261" s="197" t="str">
        <f>IF(AND($I261="x",AND(MAX(AR261:AT261)=AR261,AR261&lt;&gt;"")),Data!$BI$2,"")</f>
        <v/>
      </c>
      <c r="AW261" s="197" t="str">
        <f>IF(AND($J261="x",AND(MAX(AR261:AT261)=AS261,AS261&lt;&gt;"")),Data!$BJ$2,"")</f>
        <v/>
      </c>
      <c r="AX261" s="197" t="str">
        <f>IF(AND($K261="x",AND(MAX(AR261:AT261)=AT261,AT261&lt;&gt;"")),Data!$BK$2,"")</f>
        <v/>
      </c>
      <c r="AY261" s="197"/>
      <c r="AZ261" s="328"/>
      <c r="BA261" s="455"/>
      <c r="BB261" s="456"/>
      <c r="BC261" s="447" t="str">
        <f t="shared" si="366"/>
        <v/>
      </c>
      <c r="BD261" s="328"/>
      <c r="BE261" s="197" t="str">
        <f>IF(AND($I261="x",AND(MAX(BA261:BC261)=BA261,BA261&lt;&gt;"")),Data!$BI$2,"")</f>
        <v/>
      </c>
      <c r="BF261" s="197" t="str">
        <f>IF(AND($J261="x",AND(MAX(BA261:BC261)=BB261,BB261&lt;&gt;"")),Data!$BJ$2,"")</f>
        <v/>
      </c>
      <c r="BG261" s="197" t="str">
        <f>IF(AND($K261="x",AND(MAX(BA261:BC261)=BC261,BC261&lt;&gt;"")),Data!$BK$2,"")</f>
        <v/>
      </c>
      <c r="BH261" s="197"/>
      <c r="BI261" s="328"/>
      <c r="BJ261" s="455"/>
      <c r="BK261" s="456"/>
      <c r="BL261" s="447" t="str">
        <f t="shared" si="367"/>
        <v/>
      </c>
      <c r="BM261" s="328"/>
      <c r="BN261" s="197" t="str">
        <f>IF(AND($I261="x",AND(MAX(BJ261:BL261)=BJ261,BJ261&lt;&gt;"")),Data!$BI$2,"")</f>
        <v/>
      </c>
      <c r="BO261" s="197" t="str">
        <f>IF(AND($J261="x",AND(MAX(BJ261:BL261)=BK261,BK261&lt;&gt;"")),Data!$BJ$2,"")</f>
        <v/>
      </c>
      <c r="BP261" s="197" t="str">
        <f>IF(AND($K261="x",AND(MAX(BJ261:BL261)=BL261,BL261&lt;&gt;"")),Data!$BK$2,"")</f>
        <v/>
      </c>
      <c r="BQ261" s="197"/>
      <c r="BR261" s="328"/>
      <c r="BS261" s="455"/>
      <c r="BT261" s="456"/>
      <c r="BU261" s="447" t="str">
        <f t="shared" si="368"/>
        <v/>
      </c>
      <c r="BV261" s="328"/>
      <c r="BW261" s="197" t="str">
        <f>IF(AND($I261="x",AND(MAX(BS261:BU261)=BS261,BS261&lt;&gt;"")),Data!$BI$2,"")</f>
        <v/>
      </c>
      <c r="BX261" s="197" t="str">
        <f>IF(AND($J261="x",AND(MAX(BS261:BU261)=BT261,BT261&lt;&gt;"")),Data!$BJ$2,"")</f>
        <v/>
      </c>
      <c r="BY261" s="197" t="str">
        <f>IF(AND($K261="x",AND(MAX(BS261:BU261)=BU261,BU261&lt;&gt;"")),Data!$BK$2,"")</f>
        <v/>
      </c>
      <c r="BZ261" s="197"/>
      <c r="CA261" s="328"/>
      <c r="CB261" s="463" t="str">
        <f t="shared" si="369"/>
        <v/>
      </c>
      <c r="CC261" s="464" t="str">
        <f t="shared" si="370"/>
        <v/>
      </c>
      <c r="CD261" s="465" t="str">
        <f t="shared" si="371"/>
        <v/>
      </c>
      <c r="CE261" s="328"/>
      <c r="CF261" s="197" t="str">
        <f>IF(AND($I261="x",AND(MAX(CB261:CD261)=CB261,CB261&lt;&gt;"")),Data!$BI$2,"")</f>
        <v/>
      </c>
      <c r="CG261" s="197" t="str">
        <f>IF(AND($J261="x",AND(MAX(CB261:CD261)=CC261,CC261&lt;&gt;"")),Data!$BJ$2,"")</f>
        <v/>
      </c>
      <c r="CH261" s="197" t="str">
        <f>IF(AND($K261="x",AND(MAX(CB261:CD261)=CD261,CD261&lt;&gt;"")),Data!$BK$2,"")</f>
        <v/>
      </c>
      <c r="CI261" s="197"/>
      <c r="CJ261" s="197"/>
      <c r="CK261" s="455"/>
      <c r="CL261" s="456"/>
      <c r="CM261" s="447" t="str">
        <f t="shared" si="372"/>
        <v/>
      </c>
      <c r="CN261" s="328"/>
      <c r="CO261" s="197" t="str">
        <f>IF(AND($I261="x",AND(MAX(CK261:CM261)=CK261,CK261&lt;&gt;"")),Data!$BI$2,"")</f>
        <v/>
      </c>
      <c r="CP261" s="197" t="str">
        <f>IF(AND($J261="x",AND(MAX(CK261:CM261)=CL261,CL261&lt;&gt;"")),Data!$BJ$2,"")</f>
        <v/>
      </c>
      <c r="CQ261" s="197" t="str">
        <f>IF(AND($K261="x",AND(MAX(CK261:CM261)=CM261,CM261&lt;&gt;"")),Data!$BK$2,"")</f>
        <v/>
      </c>
      <c r="CR261" s="197"/>
      <c r="CS261" s="197"/>
      <c r="CT261" s="328"/>
      <c r="CU261" s="259"/>
      <c r="CV261" s="209"/>
      <c r="CW261" s="227"/>
    </row>
    <row r="262" spans="1:101" x14ac:dyDescent="0.2">
      <c r="A262" s="227"/>
      <c r="B262" s="227"/>
      <c r="C262" s="168"/>
      <c r="D262" s="233"/>
      <c r="E262" s="199"/>
      <c r="F262" s="352" t="str">
        <f>IF(SUM(F250:F261)=0,"",SUM(F250:F261))</f>
        <v/>
      </c>
      <c r="G262" s="327" t="s">
        <v>51</v>
      </c>
      <c r="H262" s="353" t="str">
        <f>IF(SUM(H250:H261)=0,"",SUM(H250:H261))</f>
        <v/>
      </c>
      <c r="I262" s="354" t="str">
        <f>IF(COUNTIF(I250:I261,"=x")=0,"",COUNTIF(I250:I261,"=x"))</f>
        <v/>
      </c>
      <c r="J262" s="355" t="str">
        <f>IF(COUNTIF(J250:J261,"=x")=0,"",COUNTIF(J250:J261,"=x"))</f>
        <v/>
      </c>
      <c r="K262" s="356" t="str">
        <f>IF(COUNTIF(K250:K261,"=x")=0,"",COUNTIF(K250:K261,"=x"))</f>
        <v/>
      </c>
      <c r="L262" s="258"/>
      <c r="M262" s="332"/>
      <c r="N262" s="336"/>
      <c r="O262" s="200"/>
      <c r="P262" s="326"/>
      <c r="Q262" s="422">
        <f>SUM(U250:U261)</f>
        <v>0</v>
      </c>
      <c r="R262" s="422">
        <f t="shared" ref="R262:S262" si="373">SUM(V250:V261)</f>
        <v>0</v>
      </c>
      <c r="S262" s="422">
        <f t="shared" si="373"/>
        <v>0</v>
      </c>
      <c r="T262" s="325"/>
      <c r="U262" s="197">
        <f>SUM(U250:U261)</f>
        <v>0</v>
      </c>
      <c r="V262" s="197">
        <f t="shared" ref="V262:W262" si="374">SUM(V250:V261)</f>
        <v>0</v>
      </c>
      <c r="W262" s="197">
        <f t="shared" si="374"/>
        <v>0</v>
      </c>
      <c r="X262" s="197"/>
      <c r="Y262" s="324"/>
      <c r="Z262" s="422">
        <f>SUM(AD250:AD261)</f>
        <v>0</v>
      </c>
      <c r="AA262" s="422">
        <f t="shared" ref="AA262:AB262" si="375">SUM(AE250:AE261)</f>
        <v>0</v>
      </c>
      <c r="AB262" s="422">
        <f t="shared" si="375"/>
        <v>0</v>
      </c>
      <c r="AC262" s="325"/>
      <c r="AD262" s="197">
        <f>SUM(AD250:AD261)</f>
        <v>0</v>
      </c>
      <c r="AE262" s="197">
        <f t="shared" ref="AE262:AF262" si="376">SUM(AE250:AE261)</f>
        <v>0</v>
      </c>
      <c r="AF262" s="197">
        <f t="shared" si="376"/>
        <v>0</v>
      </c>
      <c r="AG262" s="197"/>
      <c r="AH262" s="324"/>
      <c r="AI262" s="422">
        <f>SUM(AM250:AM261)</f>
        <v>0</v>
      </c>
      <c r="AJ262" s="422">
        <f t="shared" ref="AJ262:AK262" si="377">SUM(AN250:AN261)</f>
        <v>0</v>
      </c>
      <c r="AK262" s="422">
        <f t="shared" si="377"/>
        <v>0</v>
      </c>
      <c r="AL262" s="325"/>
      <c r="AM262" s="197">
        <f>SUM(AM250:AM261)</f>
        <v>0</v>
      </c>
      <c r="AN262" s="197">
        <f t="shared" ref="AN262:AO262" si="378">SUM(AN250:AN261)</f>
        <v>0</v>
      </c>
      <c r="AO262" s="197">
        <f t="shared" si="378"/>
        <v>0</v>
      </c>
      <c r="AP262" s="197"/>
      <c r="AQ262" s="324"/>
      <c r="AR262" s="422">
        <f>SUM(AV250:AV261)</f>
        <v>0</v>
      </c>
      <c r="AS262" s="422">
        <f t="shared" ref="AS262:AT262" si="379">SUM(AW250:AW261)</f>
        <v>0</v>
      </c>
      <c r="AT262" s="422">
        <f t="shared" si="379"/>
        <v>0</v>
      </c>
      <c r="AU262" s="325"/>
      <c r="AV262" s="197">
        <f>SUM(AV250:AV261)</f>
        <v>0</v>
      </c>
      <c r="AW262" s="197">
        <f t="shared" ref="AW262:AX262" si="380">SUM(AW250:AW261)</f>
        <v>0</v>
      </c>
      <c r="AX262" s="197">
        <f t="shared" si="380"/>
        <v>0</v>
      </c>
      <c r="AY262" s="197"/>
      <c r="AZ262" s="324"/>
      <c r="BA262" s="422">
        <f>SUM(BE250:BE261)</f>
        <v>0</v>
      </c>
      <c r="BB262" s="422">
        <f t="shared" ref="BB262:BC262" si="381">SUM(BF250:BF261)</f>
        <v>0</v>
      </c>
      <c r="BC262" s="422">
        <f t="shared" si="381"/>
        <v>0</v>
      </c>
      <c r="BD262" s="325"/>
      <c r="BE262" s="197">
        <f>SUM(BE250:BE261)</f>
        <v>0</v>
      </c>
      <c r="BF262" s="197">
        <f t="shared" ref="BF262:BG262" si="382">SUM(BF250:BF261)</f>
        <v>0</v>
      </c>
      <c r="BG262" s="197">
        <f t="shared" si="382"/>
        <v>0</v>
      </c>
      <c r="BH262" s="197"/>
      <c r="BI262" s="324"/>
      <c r="BJ262" s="422">
        <f>SUM(BN250:BN261)</f>
        <v>0</v>
      </c>
      <c r="BK262" s="422">
        <f t="shared" ref="BK262" si="383">SUM(BO250:BO261)</f>
        <v>0</v>
      </c>
      <c r="BL262" s="422">
        <f t="shared" ref="BL262" si="384">SUM(BP250:BP261)</f>
        <v>0</v>
      </c>
      <c r="BM262" s="325"/>
      <c r="BN262" s="197">
        <f>SUM(BN250:BN261)</f>
        <v>0</v>
      </c>
      <c r="BO262" s="197">
        <f t="shared" ref="BO262:BP262" si="385">SUM(BO250:BO261)</f>
        <v>0</v>
      </c>
      <c r="BP262" s="197">
        <f t="shared" si="385"/>
        <v>0</v>
      </c>
      <c r="BQ262" s="197"/>
      <c r="BR262" s="324"/>
      <c r="BS262" s="422">
        <f>SUM(BW250:BW261)</f>
        <v>0</v>
      </c>
      <c r="BT262" s="422">
        <f t="shared" ref="BT262:BU262" si="386">SUM(BX250:BX261)</f>
        <v>0</v>
      </c>
      <c r="BU262" s="422">
        <f t="shared" si="386"/>
        <v>0</v>
      </c>
      <c r="BV262" s="325"/>
      <c r="BW262" s="197">
        <f>SUM(BW250:BW261)</f>
        <v>0</v>
      </c>
      <c r="BX262" s="197">
        <f t="shared" ref="BX262:BY262" si="387">SUM(BX250:BX261)</f>
        <v>0</v>
      </c>
      <c r="BY262" s="197">
        <f t="shared" si="387"/>
        <v>0</v>
      </c>
      <c r="BZ262" s="197"/>
      <c r="CA262" s="326"/>
      <c r="CB262" s="422">
        <f>SUM(CF250:CF261)</f>
        <v>0</v>
      </c>
      <c r="CC262" s="422">
        <f t="shared" ref="CC262:CD262" si="388">SUM(CG250:CG261)</f>
        <v>0</v>
      </c>
      <c r="CD262" s="422">
        <f t="shared" si="388"/>
        <v>0</v>
      </c>
      <c r="CE262" s="325"/>
      <c r="CF262" s="197">
        <f>SUM(CF250:CF261)</f>
        <v>0</v>
      </c>
      <c r="CG262" s="197">
        <f t="shared" ref="CG262:CH262" si="389">SUM(CG250:CG261)</f>
        <v>0</v>
      </c>
      <c r="CH262" s="197">
        <f t="shared" si="389"/>
        <v>0</v>
      </c>
      <c r="CI262" s="197"/>
      <c r="CJ262" s="197"/>
      <c r="CK262" s="422">
        <f>SUM(CO250:CO261)</f>
        <v>0</v>
      </c>
      <c r="CL262" s="422">
        <f t="shared" ref="CL262:CM262" si="390">SUM(CP250:CP261)</f>
        <v>0</v>
      </c>
      <c r="CM262" s="422">
        <f t="shared" si="390"/>
        <v>0</v>
      </c>
      <c r="CN262" s="325"/>
      <c r="CO262" s="197">
        <f>SUM(CO250:CO261)</f>
        <v>0</v>
      </c>
      <c r="CP262" s="197">
        <f t="shared" ref="CP262:CQ262" si="391">SUM(CP250:CP261)</f>
        <v>0</v>
      </c>
      <c r="CQ262" s="197">
        <f t="shared" si="391"/>
        <v>0</v>
      </c>
      <c r="CR262" s="197"/>
      <c r="CS262" s="197"/>
      <c r="CT262" s="197"/>
      <c r="CU262" s="259"/>
      <c r="CV262" s="209"/>
      <c r="CW262" s="228"/>
    </row>
    <row r="263" spans="1:101" x14ac:dyDescent="0.2">
      <c r="A263" s="227"/>
      <c r="B263" s="227"/>
      <c r="C263" s="168"/>
      <c r="D263" s="249"/>
      <c r="E263" s="242"/>
      <c r="F263" s="243"/>
      <c r="G263" s="242"/>
      <c r="H263" s="242"/>
      <c r="I263" s="242"/>
      <c r="J263" s="242"/>
      <c r="K263" s="242"/>
      <c r="L263" s="252"/>
      <c r="M263" s="260"/>
      <c r="N263" s="337"/>
      <c r="O263" s="333"/>
      <c r="P263" s="244"/>
      <c r="Q263" s="245"/>
      <c r="R263" s="245"/>
      <c r="S263" s="245"/>
      <c r="T263" s="246"/>
      <c r="U263" s="247"/>
      <c r="V263" s="247"/>
      <c r="W263" s="247"/>
      <c r="X263" s="247"/>
      <c r="Y263" s="244"/>
      <c r="Z263" s="245"/>
      <c r="AA263" s="245"/>
      <c r="AB263" s="245"/>
      <c r="AC263" s="246"/>
      <c r="AD263" s="247"/>
      <c r="AE263" s="247"/>
      <c r="AF263" s="247"/>
      <c r="AG263" s="247"/>
      <c r="AH263" s="244"/>
      <c r="AI263" s="245"/>
      <c r="AJ263" s="245"/>
      <c r="AK263" s="245"/>
      <c r="AL263" s="246"/>
      <c r="AM263" s="247"/>
      <c r="AN263" s="247"/>
      <c r="AO263" s="247"/>
      <c r="AP263" s="247"/>
      <c r="AQ263" s="244"/>
      <c r="AR263" s="245"/>
      <c r="AS263" s="245"/>
      <c r="AT263" s="245"/>
      <c r="AU263" s="246"/>
      <c r="AV263" s="247"/>
      <c r="AW263" s="247"/>
      <c r="AX263" s="247"/>
      <c r="AY263" s="247"/>
      <c r="AZ263" s="244"/>
      <c r="BA263" s="245"/>
      <c r="BB263" s="245"/>
      <c r="BC263" s="245"/>
      <c r="BD263" s="246"/>
      <c r="BE263" s="247"/>
      <c r="BF263" s="247"/>
      <c r="BG263" s="247"/>
      <c r="BH263" s="247"/>
      <c r="BI263" s="244"/>
      <c r="BJ263" s="244"/>
      <c r="BK263" s="244"/>
      <c r="BL263" s="244"/>
      <c r="BM263" s="244"/>
      <c r="BN263" s="247"/>
      <c r="BO263" s="247"/>
      <c r="BP263" s="247"/>
      <c r="BQ263" s="247"/>
      <c r="BR263" s="244"/>
      <c r="BS263" s="244"/>
      <c r="BT263" s="244"/>
      <c r="BU263" s="244"/>
      <c r="BV263" s="244"/>
      <c r="BW263" s="247"/>
      <c r="BX263" s="247"/>
      <c r="BY263" s="247"/>
      <c r="BZ263" s="247"/>
      <c r="CA263" s="244"/>
      <c r="CB263" s="244"/>
      <c r="CC263" s="244"/>
      <c r="CD263" s="244"/>
      <c r="CE263" s="244"/>
      <c r="CF263" s="247"/>
      <c r="CG263" s="247"/>
      <c r="CH263" s="247"/>
      <c r="CI263" s="247"/>
      <c r="CJ263" s="248"/>
      <c r="CK263" s="248"/>
      <c r="CL263" s="248"/>
      <c r="CM263" s="248"/>
      <c r="CN263" s="248"/>
      <c r="CO263" s="247"/>
      <c r="CP263" s="247"/>
      <c r="CQ263" s="247"/>
      <c r="CR263" s="247"/>
      <c r="CS263" s="248"/>
      <c r="CT263" s="242"/>
      <c r="CU263" s="253"/>
      <c r="CV263" s="209"/>
      <c r="CW263" s="228"/>
    </row>
    <row r="264" spans="1:101" x14ac:dyDescent="0.2">
      <c r="A264" s="219"/>
      <c r="B264" s="219"/>
      <c r="C264" s="175"/>
      <c r="D264" s="176"/>
      <c r="E264" s="210"/>
      <c r="F264" s="211"/>
      <c r="G264" s="210"/>
      <c r="H264" s="210"/>
      <c r="I264" s="210"/>
      <c r="J264" s="210"/>
      <c r="K264" s="210"/>
      <c r="L264" s="212"/>
      <c r="M264" s="213"/>
      <c r="N264" s="213"/>
      <c r="O264" s="213"/>
      <c r="P264" s="213"/>
      <c r="Q264" s="210"/>
      <c r="R264" s="210"/>
      <c r="S264" s="210"/>
      <c r="T264" s="214"/>
      <c r="U264" s="215"/>
      <c r="V264" s="215"/>
      <c r="W264" s="215"/>
      <c r="X264" s="215"/>
      <c r="Y264" s="213"/>
      <c r="Z264" s="210"/>
      <c r="AA264" s="210"/>
      <c r="AB264" s="210"/>
      <c r="AC264" s="214"/>
      <c r="AD264" s="215"/>
      <c r="AE264" s="215"/>
      <c r="AF264" s="215"/>
      <c r="AG264" s="215"/>
      <c r="AH264" s="213"/>
      <c r="AI264" s="210"/>
      <c r="AJ264" s="210"/>
      <c r="AK264" s="210"/>
      <c r="AL264" s="214"/>
      <c r="AM264" s="215"/>
      <c r="AN264" s="215"/>
      <c r="AO264" s="215"/>
      <c r="AP264" s="215"/>
      <c r="AQ264" s="213"/>
      <c r="AR264" s="210"/>
      <c r="AS264" s="210"/>
      <c r="AT264" s="210"/>
      <c r="AU264" s="214"/>
      <c r="AV264" s="215"/>
      <c r="AW264" s="215"/>
      <c r="AX264" s="215"/>
      <c r="AY264" s="215"/>
      <c r="AZ264" s="213"/>
      <c r="BA264" s="210"/>
      <c r="BB264" s="210"/>
      <c r="BC264" s="210"/>
      <c r="BD264" s="214"/>
      <c r="BE264" s="215"/>
      <c r="BF264" s="215"/>
      <c r="BG264" s="215"/>
      <c r="BH264" s="215"/>
      <c r="BI264" s="213"/>
      <c r="BJ264" s="210"/>
      <c r="BK264" s="210"/>
      <c r="BL264" s="210"/>
      <c r="BM264" s="214"/>
      <c r="BN264" s="215"/>
      <c r="BO264" s="215"/>
      <c r="BP264" s="215"/>
      <c r="BQ264" s="215"/>
      <c r="BR264" s="177"/>
      <c r="BS264" s="210"/>
      <c r="BT264" s="210"/>
      <c r="BU264" s="210"/>
      <c r="BV264" s="213"/>
      <c r="BW264" s="215"/>
      <c r="BX264" s="215"/>
      <c r="BY264" s="215"/>
      <c r="BZ264" s="215"/>
      <c r="CA264" s="210"/>
      <c r="CB264" s="216"/>
      <c r="CC264" s="216"/>
      <c r="CD264" s="216"/>
      <c r="CE264" s="216"/>
      <c r="CF264" s="215"/>
      <c r="CG264" s="215"/>
      <c r="CH264" s="215"/>
      <c r="CI264" s="215"/>
      <c r="CJ264" s="210"/>
      <c r="CK264" s="210"/>
      <c r="CL264" s="210"/>
      <c r="CM264" s="210"/>
      <c r="CN264" s="210"/>
      <c r="CO264" s="215"/>
      <c r="CP264" s="215"/>
      <c r="CQ264" s="215"/>
      <c r="CR264" s="215"/>
      <c r="CS264" s="210"/>
      <c r="CT264" s="210"/>
      <c r="CU264" s="210"/>
      <c r="CV264" s="217"/>
      <c r="CW264" s="218"/>
    </row>
    <row r="265" spans="1:101" ht="14.25" thickTop="1" thickBot="1" x14ac:dyDescent="0.25">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c r="AA265" s="218"/>
      <c r="AB265" s="218"/>
      <c r="AC265" s="218"/>
      <c r="AD265" s="218"/>
      <c r="AE265" s="218"/>
      <c r="AF265" s="218"/>
      <c r="AG265" s="218"/>
      <c r="AH265" s="218"/>
      <c r="AI265" s="218"/>
      <c r="AJ265" s="218"/>
      <c r="AK265" s="218"/>
      <c r="AL265" s="218"/>
      <c r="AM265" s="218"/>
      <c r="AN265" s="218"/>
      <c r="AO265" s="218"/>
      <c r="AP265" s="218"/>
      <c r="AQ265" s="218"/>
      <c r="AR265" s="218"/>
      <c r="AS265" s="218"/>
      <c r="AT265" s="218"/>
      <c r="AU265" s="218"/>
      <c r="AV265" s="218"/>
      <c r="AW265" s="218"/>
      <c r="AX265" s="218"/>
      <c r="AY265" s="218"/>
      <c r="AZ265" s="218"/>
      <c r="BA265" s="218"/>
      <c r="BB265" s="218"/>
      <c r="BC265" s="218"/>
      <c r="BD265" s="218"/>
      <c r="BE265" s="218"/>
      <c r="BF265" s="218"/>
      <c r="BG265" s="218"/>
      <c r="BH265" s="218"/>
      <c r="BI265" s="218"/>
      <c r="BJ265" s="218"/>
      <c r="BK265" s="218"/>
      <c r="BL265" s="218"/>
      <c r="BM265" s="218"/>
      <c r="BN265" s="218"/>
      <c r="BO265" s="218"/>
      <c r="BP265" s="218"/>
      <c r="BQ265" s="218"/>
      <c r="BR265" s="218"/>
      <c r="BS265" s="218"/>
      <c r="BT265" s="218"/>
      <c r="BU265" s="218"/>
      <c r="BV265" s="218"/>
      <c r="BW265" s="218"/>
      <c r="BX265" s="218"/>
      <c r="BY265" s="218"/>
      <c r="BZ265" s="218"/>
      <c r="CA265" s="218"/>
      <c r="CB265" s="392"/>
      <c r="CC265" s="392"/>
      <c r="CD265" s="392"/>
      <c r="CE265" s="392"/>
      <c r="CF265" s="218"/>
      <c r="CG265" s="218"/>
      <c r="CH265" s="218"/>
      <c r="CI265" s="218"/>
      <c r="CJ265" s="218"/>
      <c r="CK265" s="218"/>
      <c r="CL265" s="218"/>
      <c r="CM265" s="218"/>
      <c r="CN265" s="218"/>
      <c r="CO265" s="218"/>
      <c r="CP265" s="218"/>
      <c r="CQ265" s="218"/>
      <c r="CR265" s="218"/>
      <c r="CS265" s="218"/>
      <c r="CT265" s="218"/>
      <c r="CU265" s="218"/>
      <c r="CV265" s="218"/>
      <c r="CW265" s="218"/>
    </row>
    <row r="266" spans="1:101" ht="21" thickTop="1" x14ac:dyDescent="0.3">
      <c r="A266" s="219"/>
      <c r="B266" s="219"/>
      <c r="C266" s="157"/>
      <c r="D266" s="158"/>
      <c r="E266" s="731" t="s">
        <v>44</v>
      </c>
      <c r="F266" s="229"/>
      <c r="G266" s="229"/>
      <c r="H266" s="229"/>
      <c r="I266" s="877" t="e" vm="1">
        <v>#VALUE!</v>
      </c>
      <c r="J266" s="877"/>
      <c r="K266" s="877"/>
      <c r="L266" s="877"/>
      <c r="M266" s="159"/>
      <c r="N266" s="159"/>
      <c r="O266" s="159"/>
      <c r="P266" s="160"/>
      <c r="Q266" s="159"/>
      <c r="R266" s="159"/>
      <c r="S266" s="159"/>
      <c r="T266" s="161"/>
      <c r="U266" s="162"/>
      <c r="V266" s="162"/>
      <c r="W266" s="162"/>
      <c r="X266" s="162"/>
      <c r="Y266" s="160"/>
      <c r="Z266" s="159"/>
      <c r="AA266" s="159"/>
      <c r="AB266" s="159"/>
      <c r="AC266" s="161"/>
      <c r="AD266" s="162"/>
      <c r="AE266" s="162"/>
      <c r="AF266" s="162"/>
      <c r="AG266" s="162"/>
      <c r="AH266" s="160"/>
      <c r="AI266" s="159"/>
      <c r="AJ266" s="201"/>
      <c r="AK266" s="201"/>
      <c r="AL266" s="164"/>
      <c r="AM266" s="162"/>
      <c r="AN266" s="162"/>
      <c r="AO266" s="162"/>
      <c r="AP266" s="162"/>
      <c r="AQ266" s="202"/>
      <c r="AR266" s="203"/>
      <c r="AS266" s="165"/>
      <c r="AT266" s="166"/>
      <c r="AU266" s="164"/>
      <c r="AV266" s="162"/>
      <c r="AW266" s="162"/>
      <c r="AX266" s="162"/>
      <c r="AY266" s="162"/>
      <c r="AZ266" s="202"/>
      <c r="BA266" s="203"/>
      <c r="BB266" s="166"/>
      <c r="BC266" s="201"/>
      <c r="BD266" s="204"/>
      <c r="BE266" s="162"/>
      <c r="BF266" s="162"/>
      <c r="BG266" s="162"/>
      <c r="BH266" s="162"/>
      <c r="BI266" s="205"/>
      <c r="BJ266" s="201"/>
      <c r="BK266" s="201"/>
      <c r="BL266" s="201"/>
      <c r="BM266" s="204"/>
      <c r="BN266" s="162"/>
      <c r="BO266" s="162"/>
      <c r="BP266" s="162"/>
      <c r="BQ266" s="162"/>
      <c r="BR266" s="167"/>
      <c r="BS266" s="201"/>
      <c r="BT266" s="201"/>
      <c r="BU266" s="201"/>
      <c r="BV266" s="205"/>
      <c r="BW266" s="162"/>
      <c r="BX266" s="162"/>
      <c r="BY266" s="162"/>
      <c r="BZ266" s="162"/>
      <c r="CA266" s="201"/>
      <c r="CB266" s="393"/>
      <c r="CC266" s="393"/>
      <c r="CD266" s="393"/>
      <c r="CE266" s="393"/>
      <c r="CF266" s="162"/>
      <c r="CG266" s="162"/>
      <c r="CH266" s="162"/>
      <c r="CI266" s="162"/>
      <c r="CJ266" s="163"/>
      <c r="CK266" s="163"/>
      <c r="CL266" s="163"/>
      <c r="CM266" s="163"/>
      <c r="CN266" s="163"/>
      <c r="CO266" s="162"/>
      <c r="CP266" s="162"/>
      <c r="CQ266" s="162"/>
      <c r="CR266" s="162"/>
      <c r="CS266" s="163"/>
      <c r="CT266" s="358"/>
      <c r="CU266" s="201"/>
      <c r="CV266" s="206"/>
      <c r="CW266" s="218"/>
    </row>
    <row r="267" spans="1:101" ht="15.75" customHeight="1" thickBot="1" x14ac:dyDescent="0.25">
      <c r="A267" s="219"/>
      <c r="B267" s="219"/>
      <c r="C267" s="168"/>
      <c r="D267" s="785"/>
      <c r="E267" s="869" t="s">
        <v>45</v>
      </c>
      <c r="F267" s="363"/>
      <c r="G267" s="363"/>
      <c r="H267" s="363"/>
      <c r="I267" s="878"/>
      <c r="J267" s="878"/>
      <c r="K267" s="878"/>
      <c r="L267" s="878"/>
      <c r="M267" s="363"/>
      <c r="N267" s="363"/>
      <c r="O267" s="363"/>
      <c r="P267" s="363"/>
      <c r="Q267" s="363"/>
      <c r="R267" s="363"/>
      <c r="S267" s="363"/>
      <c r="T267" s="363"/>
      <c r="U267" s="363"/>
      <c r="V267" s="363"/>
      <c r="W267" s="363"/>
      <c r="X267" s="363"/>
      <c r="Y267" s="363"/>
      <c r="Z267" s="363"/>
      <c r="AA267" s="363"/>
      <c r="AB267" s="363"/>
      <c r="AC267" s="363"/>
      <c r="AD267" s="363"/>
      <c r="AE267" s="363"/>
      <c r="AF267" s="363"/>
      <c r="AG267" s="363"/>
      <c r="AH267" s="363"/>
      <c r="AI267" s="363"/>
      <c r="AJ267" s="363"/>
      <c r="AK267" s="363"/>
      <c r="AL267" s="363"/>
      <c r="AM267" s="363"/>
      <c r="AN267" s="363"/>
      <c r="AO267" s="363"/>
      <c r="AP267" s="363"/>
      <c r="AQ267" s="363"/>
      <c r="AR267" s="363"/>
      <c r="AS267" s="363"/>
      <c r="AT267" s="363"/>
      <c r="AU267" s="363"/>
      <c r="AV267" s="363"/>
      <c r="AW267" s="363"/>
      <c r="AX267" s="363"/>
      <c r="AY267" s="363"/>
      <c r="AZ267" s="363"/>
      <c r="BA267" s="363"/>
      <c r="BB267" s="363"/>
      <c r="BC267" s="363"/>
      <c r="BD267" s="363"/>
      <c r="BE267" s="363"/>
      <c r="BF267" s="363"/>
      <c r="BG267" s="363"/>
      <c r="BH267" s="363"/>
      <c r="BI267" s="363"/>
      <c r="BJ267" s="363"/>
      <c r="BK267" s="363"/>
      <c r="BL267" s="363"/>
      <c r="BM267" s="363"/>
      <c r="BN267" s="363"/>
      <c r="BO267" s="363"/>
      <c r="BP267" s="363"/>
      <c r="BQ267" s="363"/>
      <c r="BR267" s="363"/>
      <c r="BS267" s="363"/>
      <c r="BT267" s="363"/>
      <c r="BU267" s="363"/>
      <c r="BV267" s="363"/>
      <c r="BW267" s="363"/>
      <c r="BX267" s="363"/>
      <c r="BY267" s="363"/>
      <c r="BZ267" s="363"/>
      <c r="CA267" s="363"/>
      <c r="CB267" s="394"/>
      <c r="CC267" s="394"/>
      <c r="CD267" s="394"/>
      <c r="CE267" s="394"/>
      <c r="CF267" s="363"/>
      <c r="CG267" s="363"/>
      <c r="CH267" s="363"/>
      <c r="CI267" s="363"/>
      <c r="CJ267" s="363"/>
      <c r="CK267" s="363"/>
      <c r="CL267" s="363"/>
      <c r="CM267" s="363"/>
      <c r="CN267" s="323"/>
      <c r="CO267" s="363"/>
      <c r="CP267" s="363"/>
      <c r="CQ267" s="363"/>
      <c r="CR267" s="363"/>
      <c r="CS267" s="323"/>
      <c r="CT267" s="155"/>
      <c r="CU267" s="269"/>
      <c r="CV267" s="209"/>
      <c r="CW267" s="218"/>
    </row>
    <row r="268" spans="1:101" ht="18.75" customHeight="1" thickTop="1" x14ac:dyDescent="0.2">
      <c r="A268" s="219"/>
      <c r="B268" s="219"/>
      <c r="C268" s="174"/>
      <c r="D268" s="778"/>
      <c r="E268" s="777"/>
      <c r="F268" s="235"/>
      <c r="G268" s="234"/>
      <c r="H268" s="234"/>
      <c r="I268" s="875">
        <f>WEEKNUM(E269)</f>
        <v>45</v>
      </c>
      <c r="J268" s="875"/>
      <c r="K268" s="875"/>
      <c r="L268" s="250"/>
      <c r="M268" s="261"/>
      <c r="N268" s="205"/>
      <c r="O268" s="236"/>
      <c r="P268" s="236"/>
      <c r="Q268" s="675" t="str">
        <f>IF($F272="","",SUM(Q284:S284)-S270)</f>
        <v/>
      </c>
      <c r="R268" s="675"/>
      <c r="S268" s="675"/>
      <c r="T268" s="237"/>
      <c r="U268" s="238"/>
      <c r="V268" s="238"/>
      <c r="W268" s="238"/>
      <c r="X268" s="238"/>
      <c r="Y268" s="236"/>
      <c r="Z268" s="675" t="str">
        <f>IF($F272="","",SUM(Z284:AB284)-AB270)</f>
        <v/>
      </c>
      <c r="AA268" s="675"/>
      <c r="AB268" s="675"/>
      <c r="AC268" s="237"/>
      <c r="AD268" s="238"/>
      <c r="AE268" s="238"/>
      <c r="AF268" s="238"/>
      <c r="AG268" s="238"/>
      <c r="AH268" s="236"/>
      <c r="AI268" s="675" t="str">
        <f>IF($F272="","",SUM(AI284:AK284)-AK270)</f>
        <v/>
      </c>
      <c r="AJ268" s="675"/>
      <c r="AK268" s="675"/>
      <c r="AL268" s="237"/>
      <c r="AM268" s="238"/>
      <c r="AN268" s="238"/>
      <c r="AO268" s="238"/>
      <c r="AP268" s="238"/>
      <c r="AQ268" s="236"/>
      <c r="AR268" s="675" t="str">
        <f>IF($F272="","",SUM(AR284:AT284)-AT270)</f>
        <v/>
      </c>
      <c r="AS268" s="675"/>
      <c r="AT268" s="675"/>
      <c r="AU268" s="239"/>
      <c r="AV268" s="238"/>
      <c r="AW268" s="238"/>
      <c r="AX268" s="238"/>
      <c r="AY268" s="238"/>
      <c r="AZ268" s="240"/>
      <c r="BA268" s="675" t="str">
        <f>IF($F272="","",SUM(BA284:BC284)-BC270)</f>
        <v/>
      </c>
      <c r="BB268" s="675"/>
      <c r="BC268" s="675"/>
      <c r="BD268" s="239"/>
      <c r="BE268" s="238"/>
      <c r="BF268" s="238"/>
      <c r="BG268" s="238"/>
      <c r="BH268" s="238"/>
      <c r="BI268" s="240"/>
      <c r="BJ268" s="675" t="str">
        <f>IF($F272="","",SUM(BJ284:BL284)-BL270)</f>
        <v/>
      </c>
      <c r="BK268" s="675"/>
      <c r="BL268" s="675"/>
      <c r="BM268" s="239"/>
      <c r="BN268" s="238"/>
      <c r="BO268" s="238"/>
      <c r="BP268" s="238"/>
      <c r="BQ268" s="238"/>
      <c r="BR268" s="241"/>
      <c r="BS268" s="675" t="str">
        <f>IF($F272="","",SUM(BS284:BU284)-BU270)</f>
        <v/>
      </c>
      <c r="BT268" s="675"/>
      <c r="BU268" s="675"/>
      <c r="BV268" s="240"/>
      <c r="BW268" s="238"/>
      <c r="BX268" s="238"/>
      <c r="BY268" s="238"/>
      <c r="BZ268" s="238"/>
      <c r="CA268" s="241"/>
      <c r="CB268" s="675" t="str">
        <f>IF($F272="","",SUM(CB284:CD284)-CD270)</f>
        <v/>
      </c>
      <c r="CC268" s="675"/>
      <c r="CD268" s="675"/>
      <c r="CE268" s="240"/>
      <c r="CF268" s="238"/>
      <c r="CG268" s="238"/>
      <c r="CH268" s="238"/>
      <c r="CI268" s="238"/>
      <c r="CJ268" s="234"/>
      <c r="CK268" s="675" t="str">
        <f>IF($F272="","",SUM(CK284:CM284))</f>
        <v/>
      </c>
      <c r="CL268" s="675"/>
      <c r="CM268" s="675"/>
      <c r="CN268" s="240"/>
      <c r="CO268" s="238"/>
      <c r="CP268" s="238"/>
      <c r="CQ268" s="238"/>
      <c r="CR268" s="238"/>
      <c r="CS268" s="234"/>
      <c r="CT268" s="234"/>
      <c r="CU268" s="251"/>
      <c r="CV268" s="209"/>
      <c r="CW268" s="218"/>
    </row>
    <row r="269" spans="1:101" ht="12.75" customHeight="1" x14ac:dyDescent="0.2">
      <c r="A269" s="219"/>
      <c r="B269" s="219"/>
      <c r="C269" s="174"/>
      <c r="D269" s="779"/>
      <c r="E269" s="543">
        <f>E247+7</f>
        <v>46333</v>
      </c>
      <c r="F269" s="178"/>
      <c r="G269" s="179"/>
      <c r="H269" s="179"/>
      <c r="I269" s="876"/>
      <c r="J269" s="876"/>
      <c r="K269" s="876"/>
      <c r="L269" s="254"/>
      <c r="M269" s="329"/>
      <c r="N269" s="208"/>
      <c r="O269" s="180"/>
      <c r="P269" s="180"/>
      <c r="Q269" s="584" t="str">
        <f>IF(Q268="","",Q268/Data!$X$1)</f>
        <v/>
      </c>
      <c r="R269" s="584"/>
      <c r="S269" s="585" t="str">
        <f>IF(SUM(X272:X283)=0,"",SUM(X272:X283))</f>
        <v/>
      </c>
      <c r="T269" s="181"/>
      <c r="U269" s="182"/>
      <c r="V269" s="182"/>
      <c r="W269" s="182"/>
      <c r="X269" s="182"/>
      <c r="Y269" s="180"/>
      <c r="Z269" s="584" t="str">
        <f>IF(Z268="","",Z268/Data!$X$1)</f>
        <v/>
      </c>
      <c r="AA269" s="584"/>
      <c r="AB269" s="585" t="str">
        <f>IF(SUM(AG272:AG283)=0,"",SUM(AG272:AG283))</f>
        <v/>
      </c>
      <c r="AC269" s="181"/>
      <c r="AD269" s="182"/>
      <c r="AE269" s="182"/>
      <c r="AF269" s="182"/>
      <c r="AG269" s="182"/>
      <c r="AH269" s="180"/>
      <c r="AI269" s="584" t="str">
        <f>IF(AI268="","",AI268/Data!$X$1)</f>
        <v/>
      </c>
      <c r="AJ269" s="584"/>
      <c r="AK269" s="585" t="str">
        <f>IF(SUM(AP272:AP283)=0,"",SUM(AP272:AP283))</f>
        <v/>
      </c>
      <c r="AL269" s="181"/>
      <c r="AM269" s="182"/>
      <c r="AN269" s="182"/>
      <c r="AO269" s="182"/>
      <c r="AP269" s="182"/>
      <c r="AQ269" s="180"/>
      <c r="AR269" s="584" t="str">
        <f>IF(AR268="","",AR268/Data!$X$1)</f>
        <v/>
      </c>
      <c r="AS269" s="584"/>
      <c r="AT269" s="585" t="str">
        <f>IF(SUM(AY272:AY283)=0,"",SUM(AY272:AY283))</f>
        <v/>
      </c>
      <c r="AU269" s="183"/>
      <c r="AV269" s="182"/>
      <c r="AW269" s="182"/>
      <c r="AX269" s="182"/>
      <c r="AY269" s="182"/>
      <c r="AZ269" s="184"/>
      <c r="BA269" s="584" t="str">
        <f>IF(BA268="","",BA268/Data!$X$1)</f>
        <v/>
      </c>
      <c r="BB269" s="584"/>
      <c r="BC269" s="585" t="str">
        <f>IF(SUM(BH272:BH283)=0,"",SUM(BH272:BH283))</f>
        <v/>
      </c>
      <c r="BD269" s="183"/>
      <c r="BE269" s="182"/>
      <c r="BF269" s="182"/>
      <c r="BG269" s="182"/>
      <c r="BH269" s="182"/>
      <c r="BI269" s="184"/>
      <c r="BJ269" s="584" t="str">
        <f>IF(BJ268="","",BJ268/Data!$X$1)</f>
        <v/>
      </c>
      <c r="BK269" s="584"/>
      <c r="BL269" s="585" t="str">
        <f>IF(SUM(BQ272:BQ283)=0,"",SUM(BQ272:BQ283))</f>
        <v/>
      </c>
      <c r="BM269" s="183"/>
      <c r="BN269" s="182"/>
      <c r="BO269" s="182"/>
      <c r="BP269" s="182"/>
      <c r="BQ269" s="182"/>
      <c r="BR269" s="185"/>
      <c r="BS269" s="584" t="str">
        <f>IF(BS268="","",BS268/Data!$X$1)</f>
        <v/>
      </c>
      <c r="BT269" s="584"/>
      <c r="BU269" s="585" t="str">
        <f>IF(SUM(BZ272:BZ283)=0,"",SUM(BZ272:BZ283))</f>
        <v/>
      </c>
      <c r="BV269" s="184"/>
      <c r="BW269" s="182"/>
      <c r="BX269" s="182"/>
      <c r="BY269" s="182"/>
      <c r="BZ269" s="182"/>
      <c r="CA269" s="185"/>
      <c r="CB269" s="584" t="str">
        <f>IF(CB268="","",CB268/Data!$X$1)</f>
        <v/>
      </c>
      <c r="CC269" s="584"/>
      <c r="CD269" s="585" t="str">
        <f>IF(SUM(CI272:CI283)=0,"",SUM(CI272:CI283))</f>
        <v/>
      </c>
      <c r="CE269" s="184"/>
      <c r="CF269" s="182"/>
      <c r="CG269" s="182"/>
      <c r="CH269" s="182"/>
      <c r="CI269" s="182"/>
      <c r="CJ269" s="182"/>
      <c r="CK269" s="584" t="str">
        <f>IF(CK268="","",CK268/Data!$X$1)</f>
        <v/>
      </c>
      <c r="CL269" s="584"/>
      <c r="CM269" s="585" t="str">
        <f>IF(SUM(CR272:CR283)=0,"",SUM(CR272:CR283))</f>
        <v/>
      </c>
      <c r="CN269" s="184"/>
      <c r="CO269" s="182"/>
      <c r="CP269" s="182"/>
      <c r="CQ269" s="182"/>
      <c r="CR269" s="182"/>
      <c r="CS269" s="182"/>
      <c r="CT269" s="182"/>
      <c r="CU269" s="255"/>
      <c r="CV269" s="209"/>
      <c r="CW269" s="218"/>
    </row>
    <row r="270" spans="1:101" ht="13.5" thickBot="1" x14ac:dyDescent="0.25">
      <c r="A270" s="219"/>
      <c r="B270" s="219"/>
      <c r="C270" s="174"/>
      <c r="D270" s="230"/>
      <c r="E270" s="359"/>
      <c r="F270" s="186"/>
      <c r="G270" s="187"/>
      <c r="H270" s="187"/>
      <c r="I270" s="673"/>
      <c r="J270" s="674"/>
      <c r="K270" s="674"/>
      <c r="L270" s="256"/>
      <c r="M270" s="330"/>
      <c r="N270" s="334"/>
      <c r="O270" s="187"/>
      <c r="P270" s="187"/>
      <c r="Q270" s="342" t="str">
        <f>Data!$E$11</f>
        <v>AHH</v>
      </c>
      <c r="R270" s="343" t="str">
        <f>IF($F283="","",RANK(Q268,$Q268:$CL268))</f>
        <v/>
      </c>
      <c r="S270" s="466"/>
      <c r="T270" s="181"/>
      <c r="U270" s="182"/>
      <c r="V270" s="182"/>
      <c r="W270" s="182"/>
      <c r="X270" s="197">
        <f>COUNTIF(U272:W283,"&gt;0")</f>
        <v>0</v>
      </c>
      <c r="Y270" s="180"/>
      <c r="Z270" s="342" t="str">
        <f>Data!$E$12</f>
        <v>RB</v>
      </c>
      <c r="AA270" s="343" t="str">
        <f>IF($F283="","",RANK(Z268,$Q268:$CL268))</f>
        <v/>
      </c>
      <c r="AB270" s="466"/>
      <c r="AC270" s="181"/>
      <c r="AD270" s="182"/>
      <c r="AE270" s="182"/>
      <c r="AF270" s="182"/>
      <c r="AG270" s="197">
        <f>COUNTIF(AD272:AF283,"&gt;0")</f>
        <v>0</v>
      </c>
      <c r="AH270" s="180"/>
      <c r="AI270" s="342" t="str">
        <f>Data!$E$13</f>
        <v>EB</v>
      </c>
      <c r="AJ270" s="343" t="str">
        <f>IF($F283="","",RANK(AI268,$Q268:$CL268))</f>
        <v/>
      </c>
      <c r="AK270" s="466"/>
      <c r="AL270" s="181"/>
      <c r="AM270" s="182"/>
      <c r="AN270" s="182"/>
      <c r="AO270" s="182"/>
      <c r="AP270" s="197">
        <f>COUNTIF(AM272:AO283,"&gt;0")</f>
        <v>0</v>
      </c>
      <c r="AQ270" s="180"/>
      <c r="AR270" s="305" t="str">
        <f>Data!$E$14</f>
        <v>KAF</v>
      </c>
      <c r="AS270" s="343" t="str">
        <f>IF($F283="","",RANK(AR268,$Q268:$CL268))</f>
        <v/>
      </c>
      <c r="AT270" s="466"/>
      <c r="AU270" s="181"/>
      <c r="AV270" s="182"/>
      <c r="AW270" s="182"/>
      <c r="AX270" s="182"/>
      <c r="AY270" s="197">
        <f>COUNTIF(AV272:AX283,"&gt;0")</f>
        <v>0</v>
      </c>
      <c r="AZ270" s="180"/>
      <c r="BA270" s="305" t="str">
        <f>Data!$E$15</f>
        <v>ØG</v>
      </c>
      <c r="BB270" s="343" t="str">
        <f>IF($F283="","",RANK(BA268,$Q268:$CL268))</f>
        <v/>
      </c>
      <c r="BC270" s="466"/>
      <c r="BD270" s="181"/>
      <c r="BE270" s="182"/>
      <c r="BF270" s="182"/>
      <c r="BG270" s="182"/>
      <c r="BH270" s="197">
        <f>COUNTIF(BE272:BG283,"&gt;0")</f>
        <v>0</v>
      </c>
      <c r="BI270" s="180"/>
      <c r="BJ270" s="305" t="str">
        <f>Data!$E$16</f>
        <v>JH</v>
      </c>
      <c r="BK270" s="343" t="str">
        <f>IF($F283="","",RANK(BJ268,$Q268:$CL268))</f>
        <v/>
      </c>
      <c r="BL270" s="466"/>
      <c r="BM270" s="181"/>
      <c r="BN270" s="182"/>
      <c r="BO270" s="182"/>
      <c r="BP270" s="182"/>
      <c r="BQ270" s="197">
        <f>COUNTIF(BN272:BP283,"&gt;0")</f>
        <v>0</v>
      </c>
      <c r="BR270" s="188"/>
      <c r="BS270" s="305" t="str">
        <f>Data!$E$17</f>
        <v>TOH</v>
      </c>
      <c r="BT270" s="343" t="str">
        <f>IF($F283="","",RANK(BS268,$Q268:$CL268))</f>
        <v/>
      </c>
      <c r="BU270" s="466"/>
      <c r="BV270" s="180"/>
      <c r="BW270" s="182"/>
      <c r="BX270" s="182"/>
      <c r="BY270" s="182"/>
      <c r="BZ270" s="197">
        <f>COUNTIF(BW272:BY283,"&gt;0")</f>
        <v>0</v>
      </c>
      <c r="CA270" s="188"/>
      <c r="CB270" s="305" t="s">
        <v>26</v>
      </c>
      <c r="CC270" s="343" t="str">
        <f>IF($F283="","",RANK(CB268,$Q268:$CM268))</f>
        <v/>
      </c>
      <c r="CD270" s="467"/>
      <c r="CE270" s="180"/>
      <c r="CF270" s="182"/>
      <c r="CG270" s="182"/>
      <c r="CH270" s="182"/>
      <c r="CI270" s="197">
        <f>COUNTIF(CF272:CH283,"&gt;0")</f>
        <v>0</v>
      </c>
      <c r="CJ270" s="182"/>
      <c r="CK270" s="305" t="s">
        <v>27</v>
      </c>
      <c r="CL270" s="343" t="str">
        <f>IF($F283="","",RANK(CK268,$Q268:$CM268))</f>
        <v/>
      </c>
      <c r="CM270" s="669"/>
      <c r="CN270" s="180"/>
      <c r="CO270" s="182"/>
      <c r="CP270" s="182"/>
      <c r="CQ270" s="182"/>
      <c r="CR270" s="197">
        <f>COUNTIF(CO272:CQ283,"&gt;0")</f>
        <v>0</v>
      </c>
      <c r="CS270" s="182"/>
      <c r="CT270" s="182"/>
      <c r="CU270" s="255"/>
      <c r="CV270" s="209"/>
      <c r="CW270" s="218"/>
    </row>
    <row r="271" spans="1:101" ht="13.5" thickBot="1" x14ac:dyDescent="0.25">
      <c r="A271" s="227"/>
      <c r="B271" s="227"/>
      <c r="C271" s="168"/>
      <c r="D271" s="231"/>
      <c r="E271" s="189"/>
      <c r="F271" s="190"/>
      <c r="G271" s="191"/>
      <c r="H271" s="191"/>
      <c r="I271" s="192" t="s">
        <v>47</v>
      </c>
      <c r="J271" s="193" t="s">
        <v>48</v>
      </c>
      <c r="K271" s="194" t="s">
        <v>49</v>
      </c>
      <c r="L271" s="257"/>
      <c r="M271" s="331"/>
      <c r="N271" s="335"/>
      <c r="O271" s="195"/>
      <c r="P271" s="195"/>
      <c r="Q271" s="192" t="s">
        <v>47</v>
      </c>
      <c r="R271" s="193" t="s">
        <v>48</v>
      </c>
      <c r="S271" s="194" t="s">
        <v>49</v>
      </c>
      <c r="T271" s="196"/>
      <c r="U271" s="197"/>
      <c r="V271" s="197"/>
      <c r="W271" s="197"/>
      <c r="X271" s="197"/>
      <c r="Y271" s="195"/>
      <c r="Z271" s="192" t="s">
        <v>47</v>
      </c>
      <c r="AA271" s="193" t="s">
        <v>48</v>
      </c>
      <c r="AB271" s="194" t="s">
        <v>49</v>
      </c>
      <c r="AC271" s="196"/>
      <c r="AD271" s="197"/>
      <c r="AE271" s="197"/>
      <c r="AF271" s="197"/>
      <c r="AG271" s="197"/>
      <c r="AH271" s="195"/>
      <c r="AI271" s="192" t="s">
        <v>47</v>
      </c>
      <c r="AJ271" s="193" t="s">
        <v>48</v>
      </c>
      <c r="AK271" s="194" t="s">
        <v>49</v>
      </c>
      <c r="AL271" s="196"/>
      <c r="AM271" s="197"/>
      <c r="AN271" s="197"/>
      <c r="AO271" s="197"/>
      <c r="AP271" s="197"/>
      <c r="AQ271" s="195"/>
      <c r="AR271" s="192" t="s">
        <v>47</v>
      </c>
      <c r="AS271" s="193" t="s">
        <v>48</v>
      </c>
      <c r="AT271" s="194" t="s">
        <v>49</v>
      </c>
      <c r="AU271" s="196"/>
      <c r="AV271" s="197"/>
      <c r="AW271" s="197"/>
      <c r="AX271" s="197"/>
      <c r="AY271" s="197"/>
      <c r="AZ271" s="195"/>
      <c r="BA271" s="192" t="s">
        <v>47</v>
      </c>
      <c r="BB271" s="193" t="s">
        <v>48</v>
      </c>
      <c r="BC271" s="194" t="s">
        <v>49</v>
      </c>
      <c r="BD271" s="196"/>
      <c r="BE271" s="197"/>
      <c r="BF271" s="197"/>
      <c r="BG271" s="197"/>
      <c r="BH271" s="197"/>
      <c r="BI271" s="195"/>
      <c r="BJ271" s="192" t="s">
        <v>47</v>
      </c>
      <c r="BK271" s="193" t="s">
        <v>48</v>
      </c>
      <c r="BL271" s="194" t="s">
        <v>49</v>
      </c>
      <c r="BM271" s="196"/>
      <c r="BN271" s="197"/>
      <c r="BO271" s="197"/>
      <c r="BP271" s="197"/>
      <c r="BQ271" s="197"/>
      <c r="BR271" s="195"/>
      <c r="BS271" s="192" t="s">
        <v>47</v>
      </c>
      <c r="BT271" s="193" t="s">
        <v>48</v>
      </c>
      <c r="BU271" s="194" t="s">
        <v>49</v>
      </c>
      <c r="BV271" s="196"/>
      <c r="BW271" s="197"/>
      <c r="BX271" s="197"/>
      <c r="BY271" s="197"/>
      <c r="BZ271" s="197"/>
      <c r="CA271" s="195"/>
      <c r="CB271" s="192" t="s">
        <v>47</v>
      </c>
      <c r="CC271" s="193" t="s">
        <v>48</v>
      </c>
      <c r="CD271" s="194" t="s">
        <v>49</v>
      </c>
      <c r="CE271" s="196"/>
      <c r="CF271" s="197"/>
      <c r="CG271" s="197"/>
      <c r="CH271" s="197"/>
      <c r="CI271" s="197"/>
      <c r="CJ271" s="197"/>
      <c r="CK271" s="192" t="s">
        <v>47</v>
      </c>
      <c r="CL271" s="193" t="s">
        <v>48</v>
      </c>
      <c r="CM271" s="194" t="s">
        <v>49</v>
      </c>
      <c r="CN271" s="196"/>
      <c r="CO271" s="197"/>
      <c r="CP271" s="197"/>
      <c r="CQ271" s="197"/>
      <c r="CR271" s="197"/>
      <c r="CS271" s="197"/>
      <c r="CT271" s="198"/>
      <c r="CU271" s="255"/>
      <c r="CV271" s="209"/>
      <c r="CW271" s="228"/>
    </row>
    <row r="272" spans="1:101" x14ac:dyDescent="0.2">
      <c r="A272" s="227"/>
      <c r="B272" s="227"/>
      <c r="C272" s="168"/>
      <c r="D272" s="232"/>
      <c r="E272" s="134" t="s">
        <v>198</v>
      </c>
      <c r="F272" s="424"/>
      <c r="G272" s="428"/>
      <c r="H272" s="429"/>
      <c r="I272" s="138" t="str">
        <f t="shared" ref="I272:I283" si="392">IF($F272&gt;$H272,"x","")</f>
        <v/>
      </c>
      <c r="J272" s="344" t="str">
        <f t="shared" ref="J272:J283" si="393">IF(F272&lt;&gt;"",IF(H272&lt;&gt;"",IF(F272=H272,"x",""),""),"")</f>
        <v/>
      </c>
      <c r="K272" s="345" t="str">
        <f t="shared" ref="K272:K283" si="394">IF($F272&lt;$H272,"x","")</f>
        <v/>
      </c>
      <c r="L272" s="258"/>
      <c r="M272" s="332"/>
      <c r="N272" s="336"/>
      <c r="O272" s="200"/>
      <c r="P272" s="200"/>
      <c r="Q272" s="436"/>
      <c r="R272" s="437"/>
      <c r="S272" s="438" t="str">
        <f t="shared" ref="S272:S283" si="395">IF(Q272="","",100-SUM(Q272:R272))</f>
        <v/>
      </c>
      <c r="T272" s="328"/>
      <c r="U272" s="197" t="str">
        <f>IF(AND($I272="x",AND(MAX(Q272:S272)=Q272,Q272&gt;=0)),Data!$BI$2,"")</f>
        <v/>
      </c>
      <c r="V272" s="197" t="str">
        <f>IF(AND($J272="x",AND(MAX(Q272:S272)=R272,R272&gt;=0)),Data!$BJ$2,"")</f>
        <v/>
      </c>
      <c r="W272" s="197" t="str">
        <f>IF(AND($K272="x",AND(MAX(Q272:S272)=S272,S272&gt;=0)),Data!$BK$2,"")</f>
        <v/>
      </c>
      <c r="X272" s="197"/>
      <c r="Y272" s="328"/>
      <c r="Z272" s="451"/>
      <c r="AA272" s="452"/>
      <c r="AB272" s="438" t="str">
        <f t="shared" ref="AB272:AB283" si="396">IF(Z272="","",100-SUM(Z272:AA272))</f>
        <v/>
      </c>
      <c r="AC272" s="328"/>
      <c r="AD272" s="197" t="str">
        <f>IF(AND($I272="x",AND(MAX(Z272:AB272)=Z272,Z272&lt;&gt;"")),Data!$BI$2,"")</f>
        <v/>
      </c>
      <c r="AE272" s="197" t="str">
        <f>IF(AND($J272="x",AND(MAX(Z272:AB272)=AA272,AA272&lt;&gt;"")),Data!$BJ$2,"")</f>
        <v/>
      </c>
      <c r="AF272" s="197" t="str">
        <f>IF(AND($K272="x",AND(MAX(Z272:AB272)=AB272,AB272&lt;&gt;"")),Data!$BK$2,"")</f>
        <v/>
      </c>
      <c r="AG272" s="197"/>
      <c r="AH272" s="328"/>
      <c r="AI272" s="451"/>
      <c r="AJ272" s="452"/>
      <c r="AK272" s="438" t="str">
        <f t="shared" ref="AK272:AK283" si="397">IF(AI272="","",100-SUM(AI272:AJ272))</f>
        <v/>
      </c>
      <c r="AL272" s="328"/>
      <c r="AM272" s="197" t="str">
        <f>IF(AND($I272="x",AND(MAX(AI272:AK272)=AI272,AI272&lt;&gt;"")),Data!$BI$2,"")</f>
        <v/>
      </c>
      <c r="AN272" s="197" t="str">
        <f>IF(AND($J272="x",AND(MAX(AI272:AK272)=AJ272,AJ272&lt;&gt;"")),Data!$BJ$2,"")</f>
        <v/>
      </c>
      <c r="AO272" s="197" t="str">
        <f>IF(AND($K272="x",AND(MAX(AI272:AK272)=AK272,AK272&lt;&gt;"")),Data!$BK$2,"")</f>
        <v/>
      </c>
      <c r="AP272" s="197"/>
      <c r="AQ272" s="328"/>
      <c r="AR272" s="451"/>
      <c r="AS272" s="452"/>
      <c r="AT272" s="438" t="str">
        <f t="shared" ref="AT272:AT283" si="398">IF(AR272="","",100-SUM(AR272:AS272))</f>
        <v/>
      </c>
      <c r="AU272" s="328"/>
      <c r="AV272" s="197" t="str">
        <f>IF(AND($I272="x",AND(MAX(AR272:AT272)=AR272,AR272&lt;&gt;"")),Data!$BI$2,"")</f>
        <v/>
      </c>
      <c r="AW272" s="197" t="str">
        <f>IF(AND($J272="x",AND(MAX(AR272:AT272)=AS272,AS272&lt;&gt;"")),Data!$BJ$2,"")</f>
        <v/>
      </c>
      <c r="AX272" s="197" t="str">
        <f>IF(AND($K272="x",AND(MAX(AR272:AT272)=AT272,AT272&lt;&gt;"")),Data!$BK$2,"")</f>
        <v/>
      </c>
      <c r="AY272" s="197"/>
      <c r="AZ272" s="328"/>
      <c r="BA272" s="451"/>
      <c r="BB272" s="452"/>
      <c r="BC272" s="438" t="str">
        <f t="shared" ref="BC272:BC283" si="399">IF(BA272="","",100-SUM(BA272:BB272))</f>
        <v/>
      </c>
      <c r="BD272" s="328"/>
      <c r="BE272" s="197" t="str">
        <f>IF(AND($I272="x",AND(MAX(BA272:BC272)=BA272,BA272&lt;&gt;"")),Data!$BI$2,"")</f>
        <v/>
      </c>
      <c r="BF272" s="197" t="str">
        <f>IF(AND($J272="x",AND(MAX(BA272:BC272)=BB272,BB272&lt;&gt;"")),Data!$BJ$2,"")</f>
        <v/>
      </c>
      <c r="BG272" s="197" t="str">
        <f>IF(AND($K272="x",AND(MAX(BA272:BC272)=BC272,BC272&lt;&gt;"")),Data!$BK$2,"")</f>
        <v/>
      </c>
      <c r="BH272" s="197"/>
      <c r="BI272" s="328"/>
      <c r="BJ272" s="451"/>
      <c r="BK272" s="452"/>
      <c r="BL272" s="438" t="str">
        <f t="shared" ref="BL272:BL283" si="400">IF(BJ272="","",100-SUM(BJ272:BK272))</f>
        <v/>
      </c>
      <c r="BM272" s="328"/>
      <c r="BN272" s="197" t="str">
        <f>IF(AND($I272="x",AND(MAX(BJ272:BL272)=BJ272,BJ272&lt;&gt;"")),Data!$BI$2,"")</f>
        <v/>
      </c>
      <c r="BO272" s="197" t="str">
        <f>IF(AND($J272="x",AND(MAX(BJ272:BL272)=BK272,BK272&lt;&gt;"")),Data!$BJ$2,"")</f>
        <v/>
      </c>
      <c r="BP272" s="197" t="str">
        <f>IF(AND($K272="x",AND(MAX(BJ272:BL272)=BL272,BL272&lt;&gt;"")),Data!$BK$2,"")</f>
        <v/>
      </c>
      <c r="BQ272" s="197"/>
      <c r="BR272" s="328"/>
      <c r="BS272" s="451"/>
      <c r="BT272" s="452"/>
      <c r="BU272" s="438" t="str">
        <f t="shared" ref="BU272:BU283" si="401">IF(BS272="","",100-SUM(BS272:BT272))</f>
        <v/>
      </c>
      <c r="BV272" s="328"/>
      <c r="BW272" s="197" t="str">
        <f>IF(AND($I272="x",AND(MAX(BS272:BU272)=BS272,BS272&lt;&gt;"")),Data!$BI$2,"")</f>
        <v/>
      </c>
      <c r="BX272" s="197" t="str">
        <f>IF(AND($J272="x",AND(MAX(BS272:BU272)=BT272,BT272&lt;&gt;"")),Data!$BJ$2,"")</f>
        <v/>
      </c>
      <c r="BY272" s="197" t="str">
        <f>IF(AND($K272="x",AND(MAX(BS272:BU272)=BU272,BU272&lt;&gt;"")),Data!$BK$2,"")</f>
        <v/>
      </c>
      <c r="BZ272" s="197"/>
      <c r="CA272" s="328"/>
      <c r="CB272" s="457" t="str">
        <f t="shared" ref="CB272:CB283" si="402">IFERROR(ROUNDUP((SUM(Q272,Z272,AI272,AR272,BA272,BJ272,BS272)/SUM($Q272:$S272,$Z272:$AB272,$AI272:$AK272,$AR272:$AT272,$BA272:$BC272,$BJ272:$BL272,$BS272:$BU272))*100,-1),"")</f>
        <v/>
      </c>
      <c r="CC272" s="458" t="str">
        <f t="shared" ref="CC272:CC283" si="403">IFERROR(ROUNDDOWN((SUM(R272,AA272,AJ272,AS272,BB272,BK272,BT272)/SUM($Q272:$S272,$Z272:$AB272,$AI272:$AK272,$AR272:$AT272,$BA272:$BC272,$BJ272:$BL272,$BS272:$BU272))*100,-1),"")</f>
        <v/>
      </c>
      <c r="CD272" s="459" t="str">
        <f t="shared" ref="CD272:CD283" si="404">IF(CB272="","",100-SUM(CB272:CC272))</f>
        <v/>
      </c>
      <c r="CE272" s="328"/>
      <c r="CF272" s="197" t="str">
        <f>IF(AND($I272="x",AND(MAX(CB272:CD272)=CB272,CB272&lt;&gt;"")),Data!$BI$2,"")</f>
        <v/>
      </c>
      <c r="CG272" s="197" t="str">
        <f>IF(AND($J272="x",AND(MAX(CB272:CD272)=CC272,CC272&lt;&gt;"")),Data!$BJ$2,"")</f>
        <v/>
      </c>
      <c r="CH272" s="197" t="str">
        <f>IF(AND($K272="x",AND(MAX(CB272:CD272)=CD272,CD272&lt;&gt;"")),Data!$BK$2,"")</f>
        <v/>
      </c>
      <c r="CI272" s="197"/>
      <c r="CJ272" s="197"/>
      <c r="CK272" s="451"/>
      <c r="CL272" s="452"/>
      <c r="CM272" s="438" t="str">
        <f t="shared" ref="CM272:CM283" si="405">IF(CK272="","",100-SUM(CK272:CL272))</f>
        <v/>
      </c>
      <c r="CN272" s="328"/>
      <c r="CO272" s="197" t="str">
        <f>IF(AND($I272="x",AND(MAX(CK272:CM272)=CK272,CK272&lt;&gt;"")),Data!$BI$2,"")</f>
        <v/>
      </c>
      <c r="CP272" s="197" t="str">
        <f>IF(AND($J272="x",AND(MAX(CK272:CM272)=CL272,CL272&lt;&gt;"")),Data!$BJ$2,"")</f>
        <v/>
      </c>
      <c r="CQ272" s="197" t="str">
        <f>IF(AND($K272="x",AND(MAX(CK272:CM272)=CM272,CM272&lt;&gt;"")),Data!$BK$2,"")</f>
        <v/>
      </c>
      <c r="CR272" s="197"/>
      <c r="CS272" s="197"/>
      <c r="CT272" s="328"/>
      <c r="CU272" s="255"/>
      <c r="CV272" s="209"/>
      <c r="CW272" s="227"/>
    </row>
    <row r="273" spans="1:101" x14ac:dyDescent="0.2">
      <c r="A273" s="227"/>
      <c r="B273" s="227"/>
      <c r="C273" s="168"/>
      <c r="D273" s="232"/>
      <c r="E273" s="135" t="s">
        <v>199</v>
      </c>
      <c r="F273" s="425"/>
      <c r="G273" s="430"/>
      <c r="H273" s="431"/>
      <c r="I273" s="346" t="str">
        <f t="shared" si="392"/>
        <v/>
      </c>
      <c r="J273" s="347" t="str">
        <f t="shared" si="393"/>
        <v/>
      </c>
      <c r="K273" s="348" t="str">
        <f t="shared" si="394"/>
        <v/>
      </c>
      <c r="L273" s="258"/>
      <c r="M273" s="332"/>
      <c r="N273" s="336"/>
      <c r="O273" s="200"/>
      <c r="P273" s="200"/>
      <c r="Q273" s="439"/>
      <c r="R273" s="440"/>
      <c r="S273" s="441" t="str">
        <f t="shared" si="395"/>
        <v/>
      </c>
      <c r="T273" s="328"/>
      <c r="U273" s="197" t="str">
        <f>IF(AND($I273="x",AND(MAX(Q273:S273)=Q273,Q273&gt;=0)),Data!$BI$2,"")</f>
        <v/>
      </c>
      <c r="V273" s="197" t="str">
        <f>IF(AND($J273="x",AND(MAX(Q273:S273)=R273,R273&gt;=0)),Data!$BJ$2,"")</f>
        <v/>
      </c>
      <c r="W273" s="197" t="str">
        <f>IF(AND($K273="x",AND(MAX(Q273:S273)=S273,S273&gt;=0)),Data!$BK$2,"")</f>
        <v/>
      </c>
      <c r="X273" s="197"/>
      <c r="Y273" s="328"/>
      <c r="Z273" s="453"/>
      <c r="AA273" s="454"/>
      <c r="AB273" s="441" t="str">
        <f t="shared" si="396"/>
        <v/>
      </c>
      <c r="AC273" s="328"/>
      <c r="AD273" s="197" t="str">
        <f>IF(AND($I273="x",AND(MAX(Z273:AB273)=Z273,Z273&lt;&gt;"")),Data!$BI$2,"")</f>
        <v/>
      </c>
      <c r="AE273" s="197" t="str">
        <f>IF(AND($J273="x",AND(MAX(Z273:AB273)=AA273,AA273&lt;&gt;"")),Data!$BJ$2,"")</f>
        <v/>
      </c>
      <c r="AF273" s="197" t="str">
        <f>IF(AND($K273="x",AND(MAX(Z273:AB273)=AB273,AB273&lt;&gt;"")),Data!$BK$2,"")</f>
        <v/>
      </c>
      <c r="AG273" s="197"/>
      <c r="AH273" s="328"/>
      <c r="AI273" s="453"/>
      <c r="AJ273" s="454"/>
      <c r="AK273" s="441" t="str">
        <f t="shared" si="397"/>
        <v/>
      </c>
      <c r="AL273" s="328"/>
      <c r="AM273" s="197" t="str">
        <f>IF(AND($I273="x",AND(MAX(AI273:AK273)=AI273,AI273&lt;&gt;"")),Data!$BI$2,"")</f>
        <v/>
      </c>
      <c r="AN273" s="197" t="str">
        <f>IF(AND($J273="x",AND(MAX(AI273:AK273)=AJ273,AJ273&lt;&gt;"")),Data!$BJ$2,"")</f>
        <v/>
      </c>
      <c r="AO273" s="197" t="str">
        <f>IF(AND($K273="x",AND(MAX(AI273:AK273)=AK273,AK273&lt;&gt;"")),Data!$BK$2,"")</f>
        <v/>
      </c>
      <c r="AP273" s="197"/>
      <c r="AQ273" s="328"/>
      <c r="AR273" s="453"/>
      <c r="AS273" s="454"/>
      <c r="AT273" s="441" t="str">
        <f t="shared" si="398"/>
        <v/>
      </c>
      <c r="AU273" s="328"/>
      <c r="AV273" s="197" t="str">
        <f>IF(AND($I273="x",AND(MAX(AR273:AT273)=AR273,AR273&lt;&gt;"")),Data!$BI$2,"")</f>
        <v/>
      </c>
      <c r="AW273" s="197" t="str">
        <f>IF(AND($J273="x",AND(MAX(AR273:AT273)=AS273,AS273&lt;&gt;"")),Data!$BJ$2,"")</f>
        <v/>
      </c>
      <c r="AX273" s="197" t="str">
        <f>IF(AND($K273="x",AND(MAX(AR273:AT273)=AT273,AT273&lt;&gt;"")),Data!$BK$2,"")</f>
        <v/>
      </c>
      <c r="AY273" s="197"/>
      <c r="AZ273" s="328"/>
      <c r="BA273" s="453"/>
      <c r="BB273" s="454"/>
      <c r="BC273" s="441" t="str">
        <f t="shared" si="399"/>
        <v/>
      </c>
      <c r="BD273" s="328"/>
      <c r="BE273" s="197" t="str">
        <f>IF(AND($I273="x",AND(MAX(BA273:BC273)=BA273,BA273&lt;&gt;"")),Data!$BI$2,"")</f>
        <v/>
      </c>
      <c r="BF273" s="197" t="str">
        <f>IF(AND($J273="x",AND(MAX(BA273:BC273)=BB273,BB273&lt;&gt;"")),Data!$BJ$2,"")</f>
        <v/>
      </c>
      <c r="BG273" s="197" t="str">
        <f>IF(AND($K273="x",AND(MAX(BA273:BC273)=BC273,BC273&lt;&gt;"")),Data!$BK$2,"")</f>
        <v/>
      </c>
      <c r="BH273" s="197"/>
      <c r="BI273" s="328"/>
      <c r="BJ273" s="453"/>
      <c r="BK273" s="454"/>
      <c r="BL273" s="441" t="str">
        <f t="shared" si="400"/>
        <v/>
      </c>
      <c r="BM273" s="328"/>
      <c r="BN273" s="197" t="str">
        <f>IF(AND($I273="x",AND(MAX(BJ273:BL273)=BJ273,BJ273&lt;&gt;"")),Data!$BI$2,"")</f>
        <v/>
      </c>
      <c r="BO273" s="197" t="str">
        <f>IF(AND($J273="x",AND(MAX(BJ273:BL273)=BK273,BK273&lt;&gt;"")),Data!$BJ$2,"")</f>
        <v/>
      </c>
      <c r="BP273" s="197" t="str">
        <f>IF(AND($K273="x",AND(MAX(BJ273:BL273)=BL273,BL273&lt;&gt;"")),Data!$BK$2,"")</f>
        <v/>
      </c>
      <c r="BQ273" s="197"/>
      <c r="BR273" s="328"/>
      <c r="BS273" s="453"/>
      <c r="BT273" s="454"/>
      <c r="BU273" s="441" t="str">
        <f t="shared" si="401"/>
        <v/>
      </c>
      <c r="BV273" s="328"/>
      <c r="BW273" s="197" t="str">
        <f>IF(AND($I273="x",AND(MAX(BS273:BU273)=BS273,BS273&lt;&gt;"")),Data!$BI$2,"")</f>
        <v/>
      </c>
      <c r="BX273" s="197" t="str">
        <f>IF(AND($J273="x",AND(MAX(BS273:BU273)=BT273,BT273&lt;&gt;"")),Data!$BJ$2,"")</f>
        <v/>
      </c>
      <c r="BY273" s="197" t="str">
        <f>IF(AND($K273="x",AND(MAX(BS273:BU273)=BU273,BU273&lt;&gt;"")),Data!$BK$2,"")</f>
        <v/>
      </c>
      <c r="BZ273" s="197"/>
      <c r="CA273" s="328"/>
      <c r="CB273" s="460" t="str">
        <f t="shared" si="402"/>
        <v/>
      </c>
      <c r="CC273" s="461" t="str">
        <f t="shared" si="403"/>
        <v/>
      </c>
      <c r="CD273" s="462" t="str">
        <f t="shared" si="404"/>
        <v/>
      </c>
      <c r="CE273" s="328"/>
      <c r="CF273" s="197" t="str">
        <f>IF(AND($I273="x",AND(MAX(CB273:CD273)=CB273,CB273&lt;&gt;"")),Data!$BI$2,"")</f>
        <v/>
      </c>
      <c r="CG273" s="197" t="str">
        <f>IF(AND($J273="x",AND(MAX(CB273:CD273)=CC273,CC273&lt;&gt;"")),Data!$BJ$2,"")</f>
        <v/>
      </c>
      <c r="CH273" s="197" t="str">
        <f>IF(AND($K273="x",AND(MAX(CB273:CD273)=CD273,CD273&lt;&gt;"")),Data!$BK$2,"")</f>
        <v/>
      </c>
      <c r="CI273" s="197"/>
      <c r="CJ273" s="197"/>
      <c r="CK273" s="453"/>
      <c r="CL273" s="454"/>
      <c r="CM273" s="441" t="str">
        <f t="shared" si="405"/>
        <v/>
      </c>
      <c r="CN273" s="328"/>
      <c r="CO273" s="197" t="str">
        <f>IF(AND($I273="x",AND(MAX(CK273:CM273)=CK273,CK273&lt;&gt;"")),Data!$BI$2,"")</f>
        <v/>
      </c>
      <c r="CP273" s="197" t="str">
        <f>IF(AND($J273="x",AND(MAX(CK273:CM273)=CL273,CL273&lt;&gt;"")),Data!$BJ$2,"")</f>
        <v/>
      </c>
      <c r="CQ273" s="197" t="str">
        <f>IF(AND($K273="x",AND(MAX(CK273:CM273)=CM273,CM273&lt;&gt;"")),Data!$BK$2,"")</f>
        <v/>
      </c>
      <c r="CR273" s="197"/>
      <c r="CS273" s="197"/>
      <c r="CT273" s="328"/>
      <c r="CU273" s="255"/>
      <c r="CV273" s="209"/>
      <c r="CW273" s="227"/>
    </row>
    <row r="274" spans="1:101" x14ac:dyDescent="0.2">
      <c r="A274" s="227"/>
      <c r="B274" s="227"/>
      <c r="C274" s="168"/>
      <c r="D274" s="232"/>
      <c r="E274" s="136" t="s">
        <v>200</v>
      </c>
      <c r="F274" s="426"/>
      <c r="G274" s="432"/>
      <c r="H274" s="433"/>
      <c r="I274" s="349" t="str">
        <f t="shared" si="392"/>
        <v/>
      </c>
      <c r="J274" s="350" t="str">
        <f t="shared" si="393"/>
        <v/>
      </c>
      <c r="K274" s="351" t="str">
        <f t="shared" si="394"/>
        <v/>
      </c>
      <c r="L274" s="258"/>
      <c r="M274" s="332"/>
      <c r="N274" s="336"/>
      <c r="O274" s="200"/>
      <c r="P274" s="200"/>
      <c r="Q274" s="442"/>
      <c r="R274" s="443"/>
      <c r="S274" s="444" t="str">
        <f t="shared" si="395"/>
        <v/>
      </c>
      <c r="T274" s="328"/>
      <c r="U274" s="197" t="str">
        <f>IF(AND($I274="x",AND(MAX(Q274:S274)=Q274,Q274&gt;=0)),Data!$BI$2,"")</f>
        <v/>
      </c>
      <c r="V274" s="197" t="str">
        <f>IF(AND($J274="x",AND(MAX(Q274:S274)=R274,R274&gt;=0)),Data!$BJ$2,"")</f>
        <v/>
      </c>
      <c r="W274" s="197" t="str">
        <f>IF(AND($K274="x",AND(MAX(Q274:S274)=S274,S274&gt;=0)),Data!$BK$2,"")</f>
        <v/>
      </c>
      <c r="X274" s="197"/>
      <c r="Y274" s="328"/>
      <c r="Z274" s="455"/>
      <c r="AA274" s="456"/>
      <c r="AB274" s="444" t="str">
        <f t="shared" si="396"/>
        <v/>
      </c>
      <c r="AC274" s="328"/>
      <c r="AD274" s="197" t="str">
        <f>IF(AND($I274="x",AND(MAX(Z274:AB274)=Z274,Z274&lt;&gt;"")),Data!$BI$2,"")</f>
        <v/>
      </c>
      <c r="AE274" s="197" t="str">
        <f>IF(AND($J274="x",AND(MAX(Z274:AB274)=AA274,AA274&lt;&gt;"")),Data!$BJ$2,"")</f>
        <v/>
      </c>
      <c r="AF274" s="197" t="str">
        <f>IF(AND($K274="x",AND(MAX(Z274:AB274)=AB274,AB274&lt;&gt;"")),Data!$BK$2,"")</f>
        <v/>
      </c>
      <c r="AG274" s="197"/>
      <c r="AH274" s="328"/>
      <c r="AI274" s="455"/>
      <c r="AJ274" s="456"/>
      <c r="AK274" s="444" t="str">
        <f t="shared" si="397"/>
        <v/>
      </c>
      <c r="AL274" s="328"/>
      <c r="AM274" s="197" t="str">
        <f>IF(AND($I274="x",AND(MAX(AI274:AK274)=AI274,AI274&lt;&gt;"")),Data!$BI$2,"")</f>
        <v/>
      </c>
      <c r="AN274" s="197" t="str">
        <f>IF(AND($J274="x",AND(MAX(AI274:AK274)=AJ274,AJ274&lt;&gt;"")),Data!$BJ$2,"")</f>
        <v/>
      </c>
      <c r="AO274" s="197" t="str">
        <f>IF(AND($K274="x",AND(MAX(AI274:AK274)=AK274,AK274&lt;&gt;"")),Data!$BK$2,"")</f>
        <v/>
      </c>
      <c r="AP274" s="197"/>
      <c r="AQ274" s="328"/>
      <c r="AR274" s="455"/>
      <c r="AS274" s="456"/>
      <c r="AT274" s="444" t="str">
        <f t="shared" si="398"/>
        <v/>
      </c>
      <c r="AU274" s="328"/>
      <c r="AV274" s="197" t="str">
        <f>IF(AND($I274="x",AND(MAX(AR274:AT274)=AR274,AR274&lt;&gt;"")),Data!$BI$2,"")</f>
        <v/>
      </c>
      <c r="AW274" s="197" t="str">
        <f>IF(AND($J274="x",AND(MAX(AR274:AT274)=AS274,AS274&lt;&gt;"")),Data!$BJ$2,"")</f>
        <v/>
      </c>
      <c r="AX274" s="197" t="str">
        <f>IF(AND($K274="x",AND(MAX(AR274:AT274)=AT274,AT274&lt;&gt;"")),Data!$BK$2,"")</f>
        <v/>
      </c>
      <c r="AY274" s="197"/>
      <c r="AZ274" s="328"/>
      <c r="BA274" s="455"/>
      <c r="BB274" s="456"/>
      <c r="BC274" s="444" t="str">
        <f t="shared" si="399"/>
        <v/>
      </c>
      <c r="BD274" s="328"/>
      <c r="BE274" s="197" t="str">
        <f>IF(AND($I274="x",AND(MAX(BA274:BC274)=BA274,BA274&lt;&gt;"")),Data!$BI$2,"")</f>
        <v/>
      </c>
      <c r="BF274" s="197" t="str">
        <f>IF(AND($J274="x",AND(MAX(BA274:BC274)=BB274,BB274&lt;&gt;"")),Data!$BJ$2,"")</f>
        <v/>
      </c>
      <c r="BG274" s="197" t="str">
        <f>IF(AND($K274="x",AND(MAX(BA274:BC274)=BC274,BC274&lt;&gt;"")),Data!$BK$2,"")</f>
        <v/>
      </c>
      <c r="BH274" s="197"/>
      <c r="BI274" s="328"/>
      <c r="BJ274" s="455"/>
      <c r="BK274" s="456"/>
      <c r="BL274" s="444" t="str">
        <f t="shared" si="400"/>
        <v/>
      </c>
      <c r="BM274" s="328"/>
      <c r="BN274" s="197" t="str">
        <f>IF(AND($I274="x",AND(MAX(BJ274:BL274)=BJ274,BJ274&lt;&gt;"")),Data!$BI$2,"")</f>
        <v/>
      </c>
      <c r="BO274" s="197" t="str">
        <f>IF(AND($J274="x",AND(MAX(BJ274:BL274)=BK274,BK274&lt;&gt;"")),Data!$BJ$2,"")</f>
        <v/>
      </c>
      <c r="BP274" s="197" t="str">
        <f>IF(AND($K274="x",AND(MAX(BJ274:BL274)=BL274,BL274&lt;&gt;"")),Data!$BK$2,"")</f>
        <v/>
      </c>
      <c r="BQ274" s="197"/>
      <c r="BR274" s="328"/>
      <c r="BS274" s="455"/>
      <c r="BT274" s="456"/>
      <c r="BU274" s="444" t="str">
        <f t="shared" si="401"/>
        <v/>
      </c>
      <c r="BV274" s="328"/>
      <c r="BW274" s="197" t="str">
        <f>IF(AND($I274="x",AND(MAX(BS274:BU274)=BS274,BS274&lt;&gt;"")),Data!$BI$2,"")</f>
        <v/>
      </c>
      <c r="BX274" s="197" t="str">
        <f>IF(AND($J274="x",AND(MAX(BS274:BU274)=BT274,BT274&lt;&gt;"")),Data!$BJ$2,"")</f>
        <v/>
      </c>
      <c r="BY274" s="197" t="str">
        <f>IF(AND($K274="x",AND(MAX(BS274:BU274)=BU274,BU274&lt;&gt;"")),Data!$BK$2,"")</f>
        <v/>
      </c>
      <c r="BZ274" s="197"/>
      <c r="CA274" s="328"/>
      <c r="CB274" s="463" t="str">
        <f t="shared" si="402"/>
        <v/>
      </c>
      <c r="CC274" s="464" t="str">
        <f t="shared" si="403"/>
        <v/>
      </c>
      <c r="CD274" s="465" t="str">
        <f t="shared" si="404"/>
        <v/>
      </c>
      <c r="CE274" s="328"/>
      <c r="CF274" s="197" t="str">
        <f>IF(AND($I274="x",AND(MAX(CB274:CD274)=CB274,CB274&lt;&gt;"")),Data!$BI$2,"")</f>
        <v/>
      </c>
      <c r="CG274" s="197" t="str">
        <f>IF(AND($J274="x",AND(MAX(CB274:CD274)=CC274,CC274&lt;&gt;"")),Data!$BJ$2,"")</f>
        <v/>
      </c>
      <c r="CH274" s="197" t="str">
        <f>IF(AND($K274="x",AND(MAX(CB274:CD274)=CD274,CD274&lt;&gt;"")),Data!$BK$2,"")</f>
        <v/>
      </c>
      <c r="CI274" s="197"/>
      <c r="CJ274" s="197"/>
      <c r="CK274" s="455"/>
      <c r="CL274" s="456"/>
      <c r="CM274" s="444" t="str">
        <f t="shared" si="405"/>
        <v/>
      </c>
      <c r="CN274" s="328"/>
      <c r="CO274" s="197" t="str">
        <f>IF(AND($I274="x",AND(MAX(CK274:CM274)=CK274,CK274&lt;&gt;"")),Data!$BI$2,"")</f>
        <v/>
      </c>
      <c r="CP274" s="197" t="str">
        <f>IF(AND($J274="x",AND(MAX(CK274:CM274)=CL274,CL274&lt;&gt;"")),Data!$BJ$2,"")</f>
        <v/>
      </c>
      <c r="CQ274" s="197" t="str">
        <f>IF(AND($K274="x",AND(MAX(CK274:CM274)=CM274,CM274&lt;&gt;"")),Data!$BK$2,"")</f>
        <v/>
      </c>
      <c r="CR274" s="197"/>
      <c r="CS274" s="197"/>
      <c r="CT274" s="328"/>
      <c r="CU274" s="255"/>
      <c r="CV274" s="209"/>
      <c r="CW274" s="227"/>
    </row>
    <row r="275" spans="1:101" x14ac:dyDescent="0.2">
      <c r="A275" s="227"/>
      <c r="B275" s="227"/>
      <c r="C275" s="168"/>
      <c r="D275" s="232"/>
      <c r="E275" s="134" t="s">
        <v>201</v>
      </c>
      <c r="F275" s="424"/>
      <c r="G275" s="428"/>
      <c r="H275" s="429"/>
      <c r="I275" s="138" t="str">
        <f t="shared" si="392"/>
        <v/>
      </c>
      <c r="J275" s="344" t="str">
        <f t="shared" si="393"/>
        <v/>
      </c>
      <c r="K275" s="345" t="str">
        <f t="shared" si="394"/>
        <v/>
      </c>
      <c r="L275" s="258"/>
      <c r="M275" s="332"/>
      <c r="N275" s="336"/>
      <c r="O275" s="200"/>
      <c r="P275" s="200"/>
      <c r="Q275" s="436"/>
      <c r="R275" s="437"/>
      <c r="S275" s="438" t="str">
        <f t="shared" si="395"/>
        <v/>
      </c>
      <c r="T275" s="328"/>
      <c r="U275" s="197" t="str">
        <f>IF(AND($I275="x",AND(MAX(Q275:S275)=Q275,Q275&gt;=0)),Data!$BI$2,"")</f>
        <v/>
      </c>
      <c r="V275" s="197" t="str">
        <f>IF(AND($J275="x",AND(MAX(Q275:S275)=R275,R275&gt;=0)),Data!$BJ$2,"")</f>
        <v/>
      </c>
      <c r="W275" s="197" t="str">
        <f>IF(AND($K275="x",AND(MAX(Q275:S275)=S275,S275&gt;=0)),Data!$BK$2,"")</f>
        <v/>
      </c>
      <c r="X275" s="197"/>
      <c r="Y275" s="328"/>
      <c r="Z275" s="451"/>
      <c r="AA275" s="452"/>
      <c r="AB275" s="438" t="str">
        <f t="shared" si="396"/>
        <v/>
      </c>
      <c r="AC275" s="328"/>
      <c r="AD275" s="197" t="str">
        <f>IF(AND($I275="x",AND(MAX(Z275:AB275)=Z275,Z275&lt;&gt;"")),Data!$BI$2,"")</f>
        <v/>
      </c>
      <c r="AE275" s="197" t="str">
        <f>IF(AND($J275="x",AND(MAX(Z275:AB275)=AA275,AA275&lt;&gt;"")),Data!$BJ$2,"")</f>
        <v/>
      </c>
      <c r="AF275" s="197" t="str">
        <f>IF(AND($K275="x",AND(MAX(Z275:AB275)=AB275,AB275&lt;&gt;"")),Data!$BK$2,"")</f>
        <v/>
      </c>
      <c r="AG275" s="197"/>
      <c r="AH275" s="328"/>
      <c r="AI275" s="451"/>
      <c r="AJ275" s="452"/>
      <c r="AK275" s="438" t="str">
        <f t="shared" si="397"/>
        <v/>
      </c>
      <c r="AL275" s="328"/>
      <c r="AM275" s="197" t="str">
        <f>IF(AND($I275="x",AND(MAX(AI275:AK275)=AI275,AI275&lt;&gt;"")),Data!$BI$2,"")</f>
        <v/>
      </c>
      <c r="AN275" s="197" t="str">
        <f>IF(AND($J275="x",AND(MAX(AI275:AK275)=AJ275,AJ275&lt;&gt;"")),Data!$BJ$2,"")</f>
        <v/>
      </c>
      <c r="AO275" s="197" t="str">
        <f>IF(AND($K275="x",AND(MAX(AI275:AK275)=AK275,AK275&lt;&gt;"")),Data!$BK$2,"")</f>
        <v/>
      </c>
      <c r="AP275" s="197"/>
      <c r="AQ275" s="328"/>
      <c r="AR275" s="451"/>
      <c r="AS275" s="452"/>
      <c r="AT275" s="438" t="str">
        <f t="shared" si="398"/>
        <v/>
      </c>
      <c r="AU275" s="328"/>
      <c r="AV275" s="197" t="str">
        <f>IF(AND($I275="x",AND(MAX(AR275:AT275)=AR275,AR275&lt;&gt;"")),Data!$BI$2,"")</f>
        <v/>
      </c>
      <c r="AW275" s="197" t="str">
        <f>IF(AND($J275="x",AND(MAX(AR275:AT275)=AS275,AS275&lt;&gt;"")),Data!$BJ$2,"")</f>
        <v/>
      </c>
      <c r="AX275" s="197" t="str">
        <f>IF(AND($K275="x",AND(MAX(AR275:AT275)=AT275,AT275&lt;&gt;"")),Data!$BK$2,"")</f>
        <v/>
      </c>
      <c r="AY275" s="197"/>
      <c r="AZ275" s="328"/>
      <c r="BA275" s="451"/>
      <c r="BB275" s="452"/>
      <c r="BC275" s="438" t="str">
        <f t="shared" si="399"/>
        <v/>
      </c>
      <c r="BD275" s="328"/>
      <c r="BE275" s="197" t="str">
        <f>IF(AND($I275="x",AND(MAX(BA275:BC275)=BA275,BA275&lt;&gt;"")),Data!$BI$2,"")</f>
        <v/>
      </c>
      <c r="BF275" s="197" t="str">
        <f>IF(AND($J275="x",AND(MAX(BA275:BC275)=BB275,BB275&lt;&gt;"")),Data!$BJ$2,"")</f>
        <v/>
      </c>
      <c r="BG275" s="197" t="str">
        <f>IF(AND($K275="x",AND(MAX(BA275:BC275)=BC275,BC275&lt;&gt;"")),Data!$BK$2,"")</f>
        <v/>
      </c>
      <c r="BH275" s="197"/>
      <c r="BI275" s="328"/>
      <c r="BJ275" s="451"/>
      <c r="BK275" s="452"/>
      <c r="BL275" s="438" t="str">
        <f t="shared" si="400"/>
        <v/>
      </c>
      <c r="BM275" s="328"/>
      <c r="BN275" s="197" t="str">
        <f>IF(AND($I275="x",AND(MAX(BJ275:BL275)=BJ275,BJ275&lt;&gt;"")),Data!$BI$2,"")</f>
        <v/>
      </c>
      <c r="BO275" s="197" t="str">
        <f>IF(AND($J275="x",AND(MAX(BJ275:BL275)=BK275,BK275&lt;&gt;"")),Data!$BJ$2,"")</f>
        <v/>
      </c>
      <c r="BP275" s="197" t="str">
        <f>IF(AND($K275="x",AND(MAX(BJ275:BL275)=BL275,BL275&lt;&gt;"")),Data!$BK$2,"")</f>
        <v/>
      </c>
      <c r="BQ275" s="197"/>
      <c r="BR275" s="328"/>
      <c r="BS275" s="451"/>
      <c r="BT275" s="452"/>
      <c r="BU275" s="438" t="str">
        <f t="shared" si="401"/>
        <v/>
      </c>
      <c r="BV275" s="328"/>
      <c r="BW275" s="197" t="str">
        <f>IF(AND($I275="x",AND(MAX(BS275:BU275)=BS275,BS275&lt;&gt;"")),Data!$BI$2,"")</f>
        <v/>
      </c>
      <c r="BX275" s="197" t="str">
        <f>IF(AND($J275="x",AND(MAX(BS275:BU275)=BT275,BT275&lt;&gt;"")),Data!$BJ$2,"")</f>
        <v/>
      </c>
      <c r="BY275" s="197" t="str">
        <f>IF(AND($K275="x",AND(MAX(BS275:BU275)=BU275,BU275&lt;&gt;"")),Data!$BK$2,"")</f>
        <v/>
      </c>
      <c r="BZ275" s="197"/>
      <c r="CA275" s="328"/>
      <c r="CB275" s="457" t="str">
        <f t="shared" si="402"/>
        <v/>
      </c>
      <c r="CC275" s="458" t="str">
        <f t="shared" si="403"/>
        <v/>
      </c>
      <c r="CD275" s="459" t="str">
        <f t="shared" si="404"/>
        <v/>
      </c>
      <c r="CE275" s="328"/>
      <c r="CF275" s="197" t="str">
        <f>IF(AND($I275="x",AND(MAX(CB275:CD275)=CB275,CB275&lt;&gt;"")),Data!$BI$2,"")</f>
        <v/>
      </c>
      <c r="CG275" s="197" t="str">
        <f>IF(AND($J275="x",AND(MAX(CB275:CD275)=CC275,CC275&lt;&gt;"")),Data!$BJ$2,"")</f>
        <v/>
      </c>
      <c r="CH275" s="197" t="str">
        <f>IF(AND($K275="x",AND(MAX(CB275:CD275)=CD275,CD275&lt;&gt;"")),Data!$BK$2,"")</f>
        <v/>
      </c>
      <c r="CI275" s="197"/>
      <c r="CJ275" s="197"/>
      <c r="CK275" s="451"/>
      <c r="CL275" s="452"/>
      <c r="CM275" s="438" t="str">
        <f t="shared" si="405"/>
        <v/>
      </c>
      <c r="CN275" s="328"/>
      <c r="CO275" s="197" t="str">
        <f>IF(AND($I275="x",AND(MAX(CK275:CM275)=CK275,CK275&lt;&gt;"")),Data!$BI$2,"")</f>
        <v/>
      </c>
      <c r="CP275" s="197" t="str">
        <f>IF(AND($J275="x",AND(MAX(CK275:CM275)=CL275,CL275&lt;&gt;"")),Data!$BJ$2,"")</f>
        <v/>
      </c>
      <c r="CQ275" s="197" t="str">
        <f>IF(AND($K275="x",AND(MAX(CK275:CM275)=CM275,CM275&lt;&gt;"")),Data!$BK$2,"")</f>
        <v/>
      </c>
      <c r="CR275" s="197"/>
      <c r="CS275" s="197"/>
      <c r="CT275" s="328"/>
      <c r="CU275" s="255"/>
      <c r="CV275" s="209"/>
      <c r="CW275" s="227"/>
    </row>
    <row r="276" spans="1:101" x14ac:dyDescent="0.2">
      <c r="A276" s="227"/>
      <c r="B276" s="227"/>
      <c r="C276" s="168"/>
      <c r="D276" s="232"/>
      <c r="E276" s="135" t="s">
        <v>202</v>
      </c>
      <c r="F276" s="425"/>
      <c r="G276" s="430"/>
      <c r="H276" s="431"/>
      <c r="I276" s="346" t="str">
        <f t="shared" si="392"/>
        <v/>
      </c>
      <c r="J276" s="347" t="str">
        <f t="shared" si="393"/>
        <v/>
      </c>
      <c r="K276" s="348" t="str">
        <f t="shared" si="394"/>
        <v/>
      </c>
      <c r="L276" s="258"/>
      <c r="M276" s="332"/>
      <c r="N276" s="336"/>
      <c r="O276" s="200"/>
      <c r="P276" s="200"/>
      <c r="Q276" s="439"/>
      <c r="R276" s="440"/>
      <c r="S276" s="441" t="str">
        <f t="shared" si="395"/>
        <v/>
      </c>
      <c r="T276" s="328"/>
      <c r="U276" s="197" t="str">
        <f>IF(AND($I276="x",AND(MAX(Q276:S276)=Q276,Q276&gt;=0)),Data!$BI$2,"")</f>
        <v/>
      </c>
      <c r="V276" s="197" t="str">
        <f>IF(AND($J276="x",AND(MAX(Q276:S276)=R276,R276&gt;=0)),Data!$BJ$2,"")</f>
        <v/>
      </c>
      <c r="W276" s="197" t="str">
        <f>IF(AND($K276="x",AND(MAX(Q276:S276)=S276,S276&gt;=0)),Data!$BK$2,"")</f>
        <v/>
      </c>
      <c r="X276" s="197"/>
      <c r="Y276" s="328"/>
      <c r="Z276" s="453"/>
      <c r="AA276" s="454"/>
      <c r="AB276" s="441" t="str">
        <f t="shared" si="396"/>
        <v/>
      </c>
      <c r="AC276" s="328"/>
      <c r="AD276" s="197" t="str">
        <f>IF(AND($I276="x",AND(MAX(Z276:AB276)=Z276,Z276&lt;&gt;"")),Data!$BI$2,"")</f>
        <v/>
      </c>
      <c r="AE276" s="197" t="str">
        <f>IF(AND($J276="x",AND(MAX(Z276:AB276)=AA276,AA276&lt;&gt;"")),Data!$BJ$2,"")</f>
        <v/>
      </c>
      <c r="AF276" s="197" t="str">
        <f>IF(AND($K276="x",AND(MAX(Z276:AB276)=AB276,AB276&lt;&gt;"")),Data!$BK$2,"")</f>
        <v/>
      </c>
      <c r="AG276" s="197"/>
      <c r="AH276" s="328"/>
      <c r="AI276" s="453"/>
      <c r="AJ276" s="454"/>
      <c r="AK276" s="441" t="str">
        <f t="shared" si="397"/>
        <v/>
      </c>
      <c r="AL276" s="328"/>
      <c r="AM276" s="197" t="str">
        <f>IF(AND($I276="x",AND(MAX(AI276:AK276)=AI276,AI276&lt;&gt;"")),Data!$BI$2,"")</f>
        <v/>
      </c>
      <c r="AN276" s="197" t="str">
        <f>IF(AND($J276="x",AND(MAX(AI276:AK276)=AJ276,AJ276&lt;&gt;"")),Data!$BJ$2,"")</f>
        <v/>
      </c>
      <c r="AO276" s="197" t="str">
        <f>IF(AND($K276="x",AND(MAX(AI276:AK276)=AK276,AK276&lt;&gt;"")),Data!$BK$2,"")</f>
        <v/>
      </c>
      <c r="AP276" s="197"/>
      <c r="AQ276" s="328"/>
      <c r="AR276" s="453"/>
      <c r="AS276" s="454"/>
      <c r="AT276" s="441" t="str">
        <f t="shared" si="398"/>
        <v/>
      </c>
      <c r="AU276" s="328"/>
      <c r="AV276" s="197" t="str">
        <f>IF(AND($I276="x",AND(MAX(AR276:AT276)=AR276,AR276&lt;&gt;"")),Data!$BI$2,"")</f>
        <v/>
      </c>
      <c r="AW276" s="197" t="str">
        <f>IF(AND($J276="x",AND(MAX(AR276:AT276)=AS276,AS276&lt;&gt;"")),Data!$BJ$2,"")</f>
        <v/>
      </c>
      <c r="AX276" s="197" t="str">
        <f>IF(AND($K276="x",AND(MAX(AR276:AT276)=AT276,AT276&lt;&gt;"")),Data!$BK$2,"")</f>
        <v/>
      </c>
      <c r="AY276" s="197"/>
      <c r="AZ276" s="328"/>
      <c r="BA276" s="453"/>
      <c r="BB276" s="454"/>
      <c r="BC276" s="441" t="str">
        <f t="shared" si="399"/>
        <v/>
      </c>
      <c r="BD276" s="328"/>
      <c r="BE276" s="197" t="str">
        <f>IF(AND($I276="x",AND(MAX(BA276:BC276)=BA276,BA276&lt;&gt;"")),Data!$BI$2,"")</f>
        <v/>
      </c>
      <c r="BF276" s="197" t="str">
        <f>IF(AND($J276="x",AND(MAX(BA276:BC276)=BB276,BB276&lt;&gt;"")),Data!$BJ$2,"")</f>
        <v/>
      </c>
      <c r="BG276" s="197" t="str">
        <f>IF(AND($K276="x",AND(MAX(BA276:BC276)=BC276,BC276&lt;&gt;"")),Data!$BK$2,"")</f>
        <v/>
      </c>
      <c r="BH276" s="197"/>
      <c r="BI276" s="328"/>
      <c r="BJ276" s="453"/>
      <c r="BK276" s="454"/>
      <c r="BL276" s="441" t="str">
        <f t="shared" si="400"/>
        <v/>
      </c>
      <c r="BM276" s="328"/>
      <c r="BN276" s="197" t="str">
        <f>IF(AND($I276="x",AND(MAX(BJ276:BL276)=BJ276,BJ276&lt;&gt;"")),Data!$BI$2,"")</f>
        <v/>
      </c>
      <c r="BO276" s="197" t="str">
        <f>IF(AND($J276="x",AND(MAX(BJ276:BL276)=BK276,BK276&lt;&gt;"")),Data!$BJ$2,"")</f>
        <v/>
      </c>
      <c r="BP276" s="197" t="str">
        <f>IF(AND($K276="x",AND(MAX(BJ276:BL276)=BL276,BL276&lt;&gt;"")),Data!$BK$2,"")</f>
        <v/>
      </c>
      <c r="BQ276" s="197"/>
      <c r="BR276" s="328"/>
      <c r="BS276" s="453"/>
      <c r="BT276" s="454"/>
      <c r="BU276" s="441" t="str">
        <f t="shared" si="401"/>
        <v/>
      </c>
      <c r="BV276" s="328"/>
      <c r="BW276" s="197" t="str">
        <f>IF(AND($I276="x",AND(MAX(BS276:BU276)=BS276,BS276&lt;&gt;"")),Data!$BI$2,"")</f>
        <v/>
      </c>
      <c r="BX276" s="197" t="str">
        <f>IF(AND($J276="x",AND(MAX(BS276:BU276)=BT276,BT276&lt;&gt;"")),Data!$BJ$2,"")</f>
        <v/>
      </c>
      <c r="BY276" s="197" t="str">
        <f>IF(AND($K276="x",AND(MAX(BS276:BU276)=BU276,BU276&lt;&gt;"")),Data!$BK$2,"")</f>
        <v/>
      </c>
      <c r="BZ276" s="197"/>
      <c r="CA276" s="328"/>
      <c r="CB276" s="460" t="str">
        <f t="shared" si="402"/>
        <v/>
      </c>
      <c r="CC276" s="461" t="str">
        <f t="shared" si="403"/>
        <v/>
      </c>
      <c r="CD276" s="462" t="str">
        <f t="shared" si="404"/>
        <v/>
      </c>
      <c r="CE276" s="328"/>
      <c r="CF276" s="197" t="str">
        <f>IF(AND($I276="x",AND(MAX(CB276:CD276)=CB276,CB276&lt;&gt;"")),Data!$BI$2,"")</f>
        <v/>
      </c>
      <c r="CG276" s="197" t="str">
        <f>IF(AND($J276="x",AND(MAX(CB276:CD276)=CC276,CC276&lt;&gt;"")),Data!$BJ$2,"")</f>
        <v/>
      </c>
      <c r="CH276" s="197" t="str">
        <f>IF(AND($K276="x",AND(MAX(CB276:CD276)=CD276,CD276&lt;&gt;"")),Data!$BK$2,"")</f>
        <v/>
      </c>
      <c r="CI276" s="197"/>
      <c r="CJ276" s="197"/>
      <c r="CK276" s="453"/>
      <c r="CL276" s="454"/>
      <c r="CM276" s="441" t="str">
        <f t="shared" si="405"/>
        <v/>
      </c>
      <c r="CN276" s="328"/>
      <c r="CO276" s="197" t="str">
        <f>IF(AND($I276="x",AND(MAX(CK276:CM276)=CK276,CK276&lt;&gt;"")),Data!$BI$2,"")</f>
        <v/>
      </c>
      <c r="CP276" s="197" t="str">
        <f>IF(AND($J276="x",AND(MAX(CK276:CM276)=CL276,CL276&lt;&gt;"")),Data!$BJ$2,"")</f>
        <v/>
      </c>
      <c r="CQ276" s="197" t="str">
        <f>IF(AND($K276="x",AND(MAX(CK276:CM276)=CM276,CM276&lt;&gt;"")),Data!$BK$2,"")</f>
        <v/>
      </c>
      <c r="CR276" s="197"/>
      <c r="CS276" s="197"/>
      <c r="CT276" s="328"/>
      <c r="CU276" s="255"/>
      <c r="CV276" s="209"/>
      <c r="CW276" s="227"/>
    </row>
    <row r="277" spans="1:101" x14ac:dyDescent="0.2">
      <c r="A277" s="227"/>
      <c r="B277" s="227"/>
      <c r="C277" s="168"/>
      <c r="D277" s="232"/>
      <c r="E277" s="136" t="s">
        <v>203</v>
      </c>
      <c r="F277" s="426"/>
      <c r="G277" s="432"/>
      <c r="H277" s="433"/>
      <c r="I277" s="349" t="str">
        <f t="shared" si="392"/>
        <v/>
      </c>
      <c r="J277" s="350" t="str">
        <f t="shared" si="393"/>
        <v/>
      </c>
      <c r="K277" s="351" t="str">
        <f t="shared" si="394"/>
        <v/>
      </c>
      <c r="L277" s="258"/>
      <c r="M277" s="332"/>
      <c r="N277" s="336"/>
      <c r="O277" s="200"/>
      <c r="P277" s="200"/>
      <c r="Q277" s="445"/>
      <c r="R277" s="446"/>
      <c r="S277" s="447" t="str">
        <f t="shared" si="395"/>
        <v/>
      </c>
      <c r="T277" s="328"/>
      <c r="U277" s="197" t="str">
        <f>IF(AND($I277="x",AND(MAX(Q277:S277)=Q277,Q277&gt;=0)),Data!$BI$2,"")</f>
        <v/>
      </c>
      <c r="V277" s="197" t="str">
        <f>IF(AND($J277="x",AND(MAX(Q277:S277)=R277,R277&gt;=0)),Data!$BJ$2,"")</f>
        <v/>
      </c>
      <c r="W277" s="197" t="str">
        <f>IF(AND($K277="x",AND(MAX(Q277:S277)=S277,S277&gt;=0)),Data!$BK$2,"")</f>
        <v/>
      </c>
      <c r="X277" s="197"/>
      <c r="Y277" s="328"/>
      <c r="Z277" s="455"/>
      <c r="AA277" s="456"/>
      <c r="AB277" s="447" t="str">
        <f t="shared" si="396"/>
        <v/>
      </c>
      <c r="AC277" s="328"/>
      <c r="AD277" s="197" t="str">
        <f>IF(AND($I277="x",AND(MAX(Z277:AB277)=Z277,Z277&lt;&gt;"")),Data!$BI$2,"")</f>
        <v/>
      </c>
      <c r="AE277" s="197" t="str">
        <f>IF(AND($J277="x",AND(MAX(Z277:AB277)=AA277,AA277&lt;&gt;"")),Data!$BJ$2,"")</f>
        <v/>
      </c>
      <c r="AF277" s="197" t="str">
        <f>IF(AND($K277="x",AND(MAX(Z277:AB277)=AB277,AB277&lt;&gt;"")),Data!$BK$2,"")</f>
        <v/>
      </c>
      <c r="AG277" s="197"/>
      <c r="AH277" s="328"/>
      <c r="AI277" s="455"/>
      <c r="AJ277" s="456"/>
      <c r="AK277" s="447" t="str">
        <f t="shared" si="397"/>
        <v/>
      </c>
      <c r="AL277" s="328"/>
      <c r="AM277" s="197" t="str">
        <f>IF(AND($I277="x",AND(MAX(AI277:AK277)=AI277,AI277&lt;&gt;"")),Data!$BI$2,"")</f>
        <v/>
      </c>
      <c r="AN277" s="197" t="str">
        <f>IF(AND($J277="x",AND(MAX(AI277:AK277)=AJ277,AJ277&lt;&gt;"")),Data!$BJ$2,"")</f>
        <v/>
      </c>
      <c r="AO277" s="197" t="str">
        <f>IF(AND($K277="x",AND(MAX(AI277:AK277)=AK277,AK277&lt;&gt;"")),Data!$BK$2,"")</f>
        <v/>
      </c>
      <c r="AP277" s="197"/>
      <c r="AQ277" s="328"/>
      <c r="AR277" s="455"/>
      <c r="AS277" s="456"/>
      <c r="AT277" s="447" t="str">
        <f t="shared" si="398"/>
        <v/>
      </c>
      <c r="AU277" s="328"/>
      <c r="AV277" s="197" t="str">
        <f>IF(AND($I277="x",AND(MAX(AR277:AT277)=AR277,AR277&lt;&gt;"")),Data!$BI$2,"")</f>
        <v/>
      </c>
      <c r="AW277" s="197" t="str">
        <f>IF(AND($J277="x",AND(MAX(AR277:AT277)=AS277,AS277&lt;&gt;"")),Data!$BJ$2,"")</f>
        <v/>
      </c>
      <c r="AX277" s="197" t="str">
        <f>IF(AND($K277="x",AND(MAX(AR277:AT277)=AT277,AT277&lt;&gt;"")),Data!$BK$2,"")</f>
        <v/>
      </c>
      <c r="AY277" s="197"/>
      <c r="AZ277" s="328"/>
      <c r="BA277" s="455"/>
      <c r="BB277" s="456"/>
      <c r="BC277" s="447" t="str">
        <f t="shared" si="399"/>
        <v/>
      </c>
      <c r="BD277" s="328"/>
      <c r="BE277" s="197" t="str">
        <f>IF(AND($I277="x",AND(MAX(BA277:BC277)=BA277,BA277&lt;&gt;"")),Data!$BI$2,"")</f>
        <v/>
      </c>
      <c r="BF277" s="197" t="str">
        <f>IF(AND($J277="x",AND(MAX(BA277:BC277)=BB277,BB277&lt;&gt;"")),Data!$BJ$2,"")</f>
        <v/>
      </c>
      <c r="BG277" s="197" t="str">
        <f>IF(AND($K277="x",AND(MAX(BA277:BC277)=BC277,BC277&lt;&gt;"")),Data!$BK$2,"")</f>
        <v/>
      </c>
      <c r="BH277" s="197"/>
      <c r="BI277" s="328"/>
      <c r="BJ277" s="455"/>
      <c r="BK277" s="456"/>
      <c r="BL277" s="447" t="str">
        <f t="shared" si="400"/>
        <v/>
      </c>
      <c r="BM277" s="328"/>
      <c r="BN277" s="197" t="str">
        <f>IF(AND($I277="x",AND(MAX(BJ277:BL277)=BJ277,BJ277&lt;&gt;"")),Data!$BI$2,"")</f>
        <v/>
      </c>
      <c r="BO277" s="197" t="str">
        <f>IF(AND($J277="x",AND(MAX(BJ277:BL277)=BK277,BK277&lt;&gt;"")),Data!$BJ$2,"")</f>
        <v/>
      </c>
      <c r="BP277" s="197" t="str">
        <f>IF(AND($K277="x",AND(MAX(BJ277:BL277)=BL277,BL277&lt;&gt;"")),Data!$BK$2,"")</f>
        <v/>
      </c>
      <c r="BQ277" s="197"/>
      <c r="BR277" s="328"/>
      <c r="BS277" s="455"/>
      <c r="BT277" s="456"/>
      <c r="BU277" s="447" t="str">
        <f t="shared" si="401"/>
        <v/>
      </c>
      <c r="BV277" s="328"/>
      <c r="BW277" s="197" t="str">
        <f>IF(AND($I277="x",AND(MAX(BS277:BU277)=BS277,BS277&lt;&gt;"")),Data!$BI$2,"")</f>
        <v/>
      </c>
      <c r="BX277" s="197" t="str">
        <f>IF(AND($J277="x",AND(MAX(BS277:BU277)=BT277,BT277&lt;&gt;"")),Data!$BJ$2,"")</f>
        <v/>
      </c>
      <c r="BY277" s="197" t="str">
        <f>IF(AND($K277="x",AND(MAX(BS277:BU277)=BU277,BU277&lt;&gt;"")),Data!$BK$2,"")</f>
        <v/>
      </c>
      <c r="BZ277" s="197"/>
      <c r="CA277" s="328"/>
      <c r="CB277" s="463" t="str">
        <f t="shared" si="402"/>
        <v/>
      </c>
      <c r="CC277" s="464" t="str">
        <f t="shared" si="403"/>
        <v/>
      </c>
      <c r="CD277" s="465" t="str">
        <f t="shared" si="404"/>
        <v/>
      </c>
      <c r="CE277" s="328"/>
      <c r="CF277" s="197" t="str">
        <f>IF(AND($I277="x",AND(MAX(CB277:CD277)=CB277,CB277&lt;&gt;"")),Data!$BI$2,"")</f>
        <v/>
      </c>
      <c r="CG277" s="197" t="str">
        <f>IF(AND($J277="x",AND(MAX(CB277:CD277)=CC277,CC277&lt;&gt;"")),Data!$BJ$2,"")</f>
        <v/>
      </c>
      <c r="CH277" s="197" t="str">
        <f>IF(AND($K277="x",AND(MAX(CB277:CD277)=CD277,CD277&lt;&gt;"")),Data!$BK$2,"")</f>
        <v/>
      </c>
      <c r="CI277" s="197"/>
      <c r="CJ277" s="197"/>
      <c r="CK277" s="455"/>
      <c r="CL277" s="456"/>
      <c r="CM277" s="447" t="str">
        <f t="shared" si="405"/>
        <v/>
      </c>
      <c r="CN277" s="328"/>
      <c r="CO277" s="197" t="str">
        <f>IF(AND($I277="x",AND(MAX(CK277:CM277)=CK277,CK277&lt;&gt;"")),Data!$BI$2,"")</f>
        <v/>
      </c>
      <c r="CP277" s="197" t="str">
        <f>IF(AND($J277="x",AND(MAX(CK277:CM277)=CL277,CL277&lt;&gt;"")),Data!$BJ$2,"")</f>
        <v/>
      </c>
      <c r="CQ277" s="197" t="str">
        <f>IF(AND($K277="x",AND(MAX(CK277:CM277)=CM277,CM277&lt;&gt;"")),Data!$BK$2,"")</f>
        <v/>
      </c>
      <c r="CR277" s="197"/>
      <c r="CS277" s="197"/>
      <c r="CT277" s="328"/>
      <c r="CU277" s="255"/>
      <c r="CV277" s="209"/>
      <c r="CW277" s="227"/>
    </row>
    <row r="278" spans="1:101" x14ac:dyDescent="0.2">
      <c r="A278" s="227"/>
      <c r="B278" s="227"/>
      <c r="C278" s="168"/>
      <c r="D278" s="232"/>
      <c r="E278" s="134" t="s">
        <v>204</v>
      </c>
      <c r="F278" s="424"/>
      <c r="G278" s="428"/>
      <c r="H278" s="429"/>
      <c r="I278" s="138" t="str">
        <f t="shared" si="392"/>
        <v/>
      </c>
      <c r="J278" s="344" t="str">
        <f t="shared" si="393"/>
        <v/>
      </c>
      <c r="K278" s="345" t="str">
        <f t="shared" si="394"/>
        <v/>
      </c>
      <c r="L278" s="258"/>
      <c r="M278" s="332"/>
      <c r="N278" s="336"/>
      <c r="O278" s="200"/>
      <c r="P278" s="200"/>
      <c r="Q278" s="436"/>
      <c r="R278" s="437"/>
      <c r="S278" s="438" t="str">
        <f t="shared" si="395"/>
        <v/>
      </c>
      <c r="T278" s="328"/>
      <c r="U278" s="197" t="str">
        <f>IF(AND($I278="x",AND(MAX(Q278:S278)=Q278,Q278&gt;=0)),Data!$BI$2,"")</f>
        <v/>
      </c>
      <c r="V278" s="197" t="str">
        <f>IF(AND($J278="x",AND(MAX(Q278:S278)=R278,R278&gt;=0)),Data!$BJ$2,"")</f>
        <v/>
      </c>
      <c r="W278" s="197" t="str">
        <f>IF(AND($K278="x",AND(MAX(Q278:S278)=S278,S278&gt;=0)),Data!$BK$2,"")</f>
        <v/>
      </c>
      <c r="X278" s="197"/>
      <c r="Y278" s="328"/>
      <c r="Z278" s="451"/>
      <c r="AA278" s="452"/>
      <c r="AB278" s="438" t="str">
        <f t="shared" si="396"/>
        <v/>
      </c>
      <c r="AC278" s="328"/>
      <c r="AD278" s="197" t="str">
        <f>IF(AND($I278="x",AND(MAX(Z278:AB278)=Z278,Z278&lt;&gt;"")),Data!$BI$2,"")</f>
        <v/>
      </c>
      <c r="AE278" s="197" t="str">
        <f>IF(AND($J278="x",AND(MAX(Z278:AB278)=AA278,AA278&lt;&gt;"")),Data!$BJ$2,"")</f>
        <v/>
      </c>
      <c r="AF278" s="197" t="str">
        <f>IF(AND($K278="x",AND(MAX(Z278:AB278)=AB278,AB278&lt;&gt;"")),Data!$BK$2,"")</f>
        <v/>
      </c>
      <c r="AG278" s="197"/>
      <c r="AH278" s="328"/>
      <c r="AI278" s="451"/>
      <c r="AJ278" s="452"/>
      <c r="AK278" s="438" t="str">
        <f t="shared" si="397"/>
        <v/>
      </c>
      <c r="AL278" s="328"/>
      <c r="AM278" s="197" t="str">
        <f>IF(AND($I278="x",AND(MAX(AI278:AK278)=AI278,AI278&lt;&gt;"")),Data!$BI$2,"")</f>
        <v/>
      </c>
      <c r="AN278" s="197" t="str">
        <f>IF(AND($J278="x",AND(MAX(AI278:AK278)=AJ278,AJ278&lt;&gt;"")),Data!$BJ$2,"")</f>
        <v/>
      </c>
      <c r="AO278" s="197" t="str">
        <f>IF(AND($K278="x",AND(MAX(AI278:AK278)=AK278,AK278&lt;&gt;"")),Data!$BK$2,"")</f>
        <v/>
      </c>
      <c r="AP278" s="197"/>
      <c r="AQ278" s="328"/>
      <c r="AR278" s="451"/>
      <c r="AS278" s="452"/>
      <c r="AT278" s="438" t="str">
        <f t="shared" si="398"/>
        <v/>
      </c>
      <c r="AU278" s="328"/>
      <c r="AV278" s="197" t="str">
        <f>IF(AND($I278="x",AND(MAX(AR278:AT278)=AR278,AR278&lt;&gt;"")),Data!$BI$2,"")</f>
        <v/>
      </c>
      <c r="AW278" s="197" t="str">
        <f>IF(AND($J278="x",AND(MAX(AR278:AT278)=AS278,AS278&lt;&gt;"")),Data!$BJ$2,"")</f>
        <v/>
      </c>
      <c r="AX278" s="197" t="str">
        <f>IF(AND($K278="x",AND(MAX(AR278:AT278)=AT278,AT278&lt;&gt;"")),Data!$BK$2,"")</f>
        <v/>
      </c>
      <c r="AY278" s="197"/>
      <c r="AZ278" s="328"/>
      <c r="BA278" s="451"/>
      <c r="BB278" s="452"/>
      <c r="BC278" s="438" t="str">
        <f t="shared" si="399"/>
        <v/>
      </c>
      <c r="BD278" s="328"/>
      <c r="BE278" s="197" t="str">
        <f>IF(AND($I278="x",AND(MAX(BA278:BC278)=BA278,BA278&lt;&gt;"")),Data!$BI$2,"")</f>
        <v/>
      </c>
      <c r="BF278" s="197" t="str">
        <f>IF(AND($J278="x",AND(MAX(BA278:BC278)=BB278,BB278&lt;&gt;"")),Data!$BJ$2,"")</f>
        <v/>
      </c>
      <c r="BG278" s="197" t="str">
        <f>IF(AND($K278="x",AND(MAX(BA278:BC278)=BC278,BC278&lt;&gt;"")),Data!$BK$2,"")</f>
        <v/>
      </c>
      <c r="BH278" s="197"/>
      <c r="BI278" s="328"/>
      <c r="BJ278" s="451"/>
      <c r="BK278" s="452"/>
      <c r="BL278" s="438" t="str">
        <f t="shared" si="400"/>
        <v/>
      </c>
      <c r="BM278" s="328"/>
      <c r="BN278" s="197" t="str">
        <f>IF(AND($I278="x",AND(MAX(BJ278:BL278)=BJ278,BJ278&lt;&gt;"")),Data!$BI$2,"")</f>
        <v/>
      </c>
      <c r="BO278" s="197" t="str">
        <f>IF(AND($J278="x",AND(MAX(BJ278:BL278)=BK278,BK278&lt;&gt;"")),Data!$BJ$2,"")</f>
        <v/>
      </c>
      <c r="BP278" s="197" t="str">
        <f>IF(AND($K278="x",AND(MAX(BJ278:BL278)=BL278,BL278&lt;&gt;"")),Data!$BK$2,"")</f>
        <v/>
      </c>
      <c r="BQ278" s="197"/>
      <c r="BR278" s="328"/>
      <c r="BS278" s="451"/>
      <c r="BT278" s="452"/>
      <c r="BU278" s="438" t="str">
        <f t="shared" si="401"/>
        <v/>
      </c>
      <c r="BV278" s="328"/>
      <c r="BW278" s="197" t="str">
        <f>IF(AND($I278="x",AND(MAX(BS278:BU278)=BS278,BS278&lt;&gt;"")),Data!$BI$2,"")</f>
        <v/>
      </c>
      <c r="BX278" s="197" t="str">
        <f>IF(AND($J278="x",AND(MAX(BS278:BU278)=BT278,BT278&lt;&gt;"")),Data!$BJ$2,"")</f>
        <v/>
      </c>
      <c r="BY278" s="197" t="str">
        <f>IF(AND($K278="x",AND(MAX(BS278:BU278)=BU278,BU278&lt;&gt;"")),Data!$BK$2,"")</f>
        <v/>
      </c>
      <c r="BZ278" s="197"/>
      <c r="CA278" s="328"/>
      <c r="CB278" s="457" t="str">
        <f t="shared" si="402"/>
        <v/>
      </c>
      <c r="CC278" s="458" t="str">
        <f t="shared" si="403"/>
        <v/>
      </c>
      <c r="CD278" s="459" t="str">
        <f t="shared" si="404"/>
        <v/>
      </c>
      <c r="CE278" s="328"/>
      <c r="CF278" s="197" t="str">
        <f>IF(AND($I278="x",AND(MAX(CB278:CD278)=CB278,CB278&lt;&gt;"")),Data!$BI$2,"")</f>
        <v/>
      </c>
      <c r="CG278" s="197" t="str">
        <f>IF(AND($J278="x",AND(MAX(CB278:CD278)=CC278,CC278&lt;&gt;"")),Data!$BJ$2,"")</f>
        <v/>
      </c>
      <c r="CH278" s="197" t="str">
        <f>IF(AND($K278="x",AND(MAX(CB278:CD278)=CD278,CD278&lt;&gt;"")),Data!$BK$2,"")</f>
        <v/>
      </c>
      <c r="CI278" s="197"/>
      <c r="CJ278" s="197"/>
      <c r="CK278" s="451"/>
      <c r="CL278" s="452"/>
      <c r="CM278" s="438" t="str">
        <f t="shared" si="405"/>
        <v/>
      </c>
      <c r="CN278" s="328"/>
      <c r="CO278" s="197" t="str">
        <f>IF(AND($I278="x",AND(MAX(CK278:CM278)=CK278,CK278&lt;&gt;"")),Data!$BI$2,"")</f>
        <v/>
      </c>
      <c r="CP278" s="197" t="str">
        <f>IF(AND($J278="x",AND(MAX(CK278:CM278)=CL278,CL278&lt;&gt;"")),Data!$BJ$2,"")</f>
        <v/>
      </c>
      <c r="CQ278" s="197" t="str">
        <f>IF(AND($K278="x",AND(MAX(CK278:CM278)=CM278,CM278&lt;&gt;"")),Data!$BK$2,"")</f>
        <v/>
      </c>
      <c r="CR278" s="197"/>
      <c r="CS278" s="197"/>
      <c r="CT278" s="328"/>
      <c r="CU278" s="259"/>
      <c r="CV278" s="209"/>
      <c r="CW278" s="227"/>
    </row>
    <row r="279" spans="1:101" x14ac:dyDescent="0.2">
      <c r="A279" s="227"/>
      <c r="B279" s="227"/>
      <c r="C279" s="168"/>
      <c r="D279" s="232"/>
      <c r="E279" s="135" t="s">
        <v>205</v>
      </c>
      <c r="F279" s="425"/>
      <c r="G279" s="430"/>
      <c r="H279" s="431"/>
      <c r="I279" s="346" t="str">
        <f t="shared" si="392"/>
        <v/>
      </c>
      <c r="J279" s="347" t="str">
        <f t="shared" si="393"/>
        <v/>
      </c>
      <c r="K279" s="348" t="str">
        <f t="shared" si="394"/>
        <v/>
      </c>
      <c r="L279" s="258"/>
      <c r="M279" s="332"/>
      <c r="N279" s="336"/>
      <c r="O279" s="200"/>
      <c r="P279" s="200"/>
      <c r="Q279" s="439"/>
      <c r="R279" s="440"/>
      <c r="S279" s="441" t="str">
        <f t="shared" si="395"/>
        <v/>
      </c>
      <c r="T279" s="328"/>
      <c r="U279" s="197" t="str">
        <f>IF(AND($I279="x",AND(MAX(Q279:S279)=Q279,Q279&gt;=0)),Data!$BI$2,"")</f>
        <v/>
      </c>
      <c r="V279" s="197" t="str">
        <f>IF(AND($J279="x",AND(MAX(Q279:S279)=R279,R279&gt;=0)),Data!$BJ$2,"")</f>
        <v/>
      </c>
      <c r="W279" s="197" t="str">
        <f>IF(AND($K279="x",AND(MAX(Q279:S279)=S279,S279&gt;=0)),Data!$BK$2,"")</f>
        <v/>
      </c>
      <c r="X279" s="197"/>
      <c r="Y279" s="328"/>
      <c r="Z279" s="453"/>
      <c r="AA279" s="454"/>
      <c r="AB279" s="441" t="str">
        <f t="shared" si="396"/>
        <v/>
      </c>
      <c r="AC279" s="328"/>
      <c r="AD279" s="197" t="str">
        <f>IF(AND($I279="x",AND(MAX(Z279:AB279)=Z279,Z279&lt;&gt;"")),Data!$BI$2,"")</f>
        <v/>
      </c>
      <c r="AE279" s="197" t="str">
        <f>IF(AND($J279="x",AND(MAX(Z279:AB279)=AA279,AA279&lt;&gt;"")),Data!$BJ$2,"")</f>
        <v/>
      </c>
      <c r="AF279" s="197" t="str">
        <f>IF(AND($K279="x",AND(MAX(Z279:AB279)=AB279,AB279&lt;&gt;"")),Data!$BK$2,"")</f>
        <v/>
      </c>
      <c r="AG279" s="197"/>
      <c r="AH279" s="328"/>
      <c r="AI279" s="453"/>
      <c r="AJ279" s="454"/>
      <c r="AK279" s="441" t="str">
        <f t="shared" si="397"/>
        <v/>
      </c>
      <c r="AL279" s="328"/>
      <c r="AM279" s="197" t="str">
        <f>IF(AND($I279="x",AND(MAX(AI279:AK279)=AI279,AI279&lt;&gt;"")),Data!$BI$2,"")</f>
        <v/>
      </c>
      <c r="AN279" s="197" t="str">
        <f>IF(AND($J279="x",AND(MAX(AI279:AK279)=AJ279,AJ279&lt;&gt;"")),Data!$BJ$2,"")</f>
        <v/>
      </c>
      <c r="AO279" s="197" t="str">
        <f>IF(AND($K279="x",AND(MAX(AI279:AK279)=AK279,AK279&lt;&gt;"")),Data!$BK$2,"")</f>
        <v/>
      </c>
      <c r="AP279" s="197"/>
      <c r="AQ279" s="328"/>
      <c r="AR279" s="453"/>
      <c r="AS279" s="454"/>
      <c r="AT279" s="441" t="str">
        <f t="shared" si="398"/>
        <v/>
      </c>
      <c r="AU279" s="328"/>
      <c r="AV279" s="197" t="str">
        <f>IF(AND($I279="x",AND(MAX(AR279:AT279)=AR279,AR279&lt;&gt;"")),Data!$BI$2,"")</f>
        <v/>
      </c>
      <c r="AW279" s="197" t="str">
        <f>IF(AND($J279="x",AND(MAX(AR279:AT279)=AS279,AS279&lt;&gt;"")),Data!$BJ$2,"")</f>
        <v/>
      </c>
      <c r="AX279" s="197" t="str">
        <f>IF(AND($K279="x",AND(MAX(AR279:AT279)=AT279,AT279&lt;&gt;"")),Data!$BK$2,"")</f>
        <v/>
      </c>
      <c r="AY279" s="197"/>
      <c r="AZ279" s="328"/>
      <c r="BA279" s="453"/>
      <c r="BB279" s="454"/>
      <c r="BC279" s="441" t="str">
        <f t="shared" si="399"/>
        <v/>
      </c>
      <c r="BD279" s="328"/>
      <c r="BE279" s="197" t="str">
        <f>IF(AND($I279="x",AND(MAX(BA279:BC279)=BA279,BA279&lt;&gt;"")),Data!$BI$2,"")</f>
        <v/>
      </c>
      <c r="BF279" s="197" t="str">
        <f>IF(AND($J279="x",AND(MAX(BA279:BC279)=BB279,BB279&lt;&gt;"")),Data!$BJ$2,"")</f>
        <v/>
      </c>
      <c r="BG279" s="197" t="str">
        <f>IF(AND($K279="x",AND(MAX(BA279:BC279)=BC279,BC279&lt;&gt;"")),Data!$BK$2,"")</f>
        <v/>
      </c>
      <c r="BH279" s="197"/>
      <c r="BI279" s="328"/>
      <c r="BJ279" s="453"/>
      <c r="BK279" s="454"/>
      <c r="BL279" s="441" t="str">
        <f t="shared" si="400"/>
        <v/>
      </c>
      <c r="BM279" s="328"/>
      <c r="BN279" s="197" t="str">
        <f>IF(AND($I279="x",AND(MAX(BJ279:BL279)=BJ279,BJ279&lt;&gt;"")),Data!$BI$2,"")</f>
        <v/>
      </c>
      <c r="BO279" s="197" t="str">
        <f>IF(AND($J279="x",AND(MAX(BJ279:BL279)=BK279,BK279&lt;&gt;"")),Data!$BJ$2,"")</f>
        <v/>
      </c>
      <c r="BP279" s="197" t="str">
        <f>IF(AND($K279="x",AND(MAX(BJ279:BL279)=BL279,BL279&lt;&gt;"")),Data!$BK$2,"")</f>
        <v/>
      </c>
      <c r="BQ279" s="197"/>
      <c r="BR279" s="328"/>
      <c r="BS279" s="453"/>
      <c r="BT279" s="454"/>
      <c r="BU279" s="441" t="str">
        <f t="shared" si="401"/>
        <v/>
      </c>
      <c r="BV279" s="328"/>
      <c r="BW279" s="197" t="str">
        <f>IF(AND($I279="x",AND(MAX(BS279:BU279)=BS279,BS279&lt;&gt;"")),Data!$BI$2,"")</f>
        <v/>
      </c>
      <c r="BX279" s="197" t="str">
        <f>IF(AND($J279="x",AND(MAX(BS279:BU279)=BT279,BT279&lt;&gt;"")),Data!$BJ$2,"")</f>
        <v/>
      </c>
      <c r="BY279" s="197" t="str">
        <f>IF(AND($K279="x",AND(MAX(BS279:BU279)=BU279,BU279&lt;&gt;"")),Data!$BK$2,"")</f>
        <v/>
      </c>
      <c r="BZ279" s="197"/>
      <c r="CA279" s="328"/>
      <c r="CB279" s="460" t="str">
        <f t="shared" si="402"/>
        <v/>
      </c>
      <c r="CC279" s="461" t="str">
        <f t="shared" si="403"/>
        <v/>
      </c>
      <c r="CD279" s="462" t="str">
        <f t="shared" si="404"/>
        <v/>
      </c>
      <c r="CE279" s="328"/>
      <c r="CF279" s="197" t="str">
        <f>IF(AND($I279="x",AND(MAX(CB279:CD279)=CB279,CB279&lt;&gt;"")),Data!$BI$2,"")</f>
        <v/>
      </c>
      <c r="CG279" s="197" t="str">
        <f>IF(AND($J279="x",AND(MAX(CB279:CD279)=CC279,CC279&lt;&gt;"")),Data!$BJ$2,"")</f>
        <v/>
      </c>
      <c r="CH279" s="197" t="str">
        <f>IF(AND($K279="x",AND(MAX(CB279:CD279)=CD279,CD279&lt;&gt;"")),Data!$BK$2,"")</f>
        <v/>
      </c>
      <c r="CI279" s="197"/>
      <c r="CJ279" s="197"/>
      <c r="CK279" s="453"/>
      <c r="CL279" s="454"/>
      <c r="CM279" s="441" t="str">
        <f t="shared" si="405"/>
        <v/>
      </c>
      <c r="CN279" s="328"/>
      <c r="CO279" s="197" t="str">
        <f>IF(AND($I279="x",AND(MAX(CK279:CM279)=CK279,CK279&lt;&gt;"")),Data!$BI$2,"")</f>
        <v/>
      </c>
      <c r="CP279" s="197" t="str">
        <f>IF(AND($J279="x",AND(MAX(CK279:CM279)=CL279,CL279&lt;&gt;"")),Data!$BJ$2,"")</f>
        <v/>
      </c>
      <c r="CQ279" s="197" t="str">
        <f>IF(AND($K279="x",AND(MAX(CK279:CM279)=CM279,CM279&lt;&gt;"")),Data!$BK$2,"")</f>
        <v/>
      </c>
      <c r="CR279" s="197"/>
      <c r="CS279" s="197"/>
      <c r="CT279" s="328"/>
      <c r="CU279" s="259"/>
      <c r="CV279" s="209"/>
      <c r="CW279" s="227"/>
    </row>
    <row r="280" spans="1:101" x14ac:dyDescent="0.2">
      <c r="A280" s="227"/>
      <c r="B280" s="227"/>
      <c r="C280" s="168"/>
      <c r="D280" s="232"/>
      <c r="E280" s="136" t="s">
        <v>206</v>
      </c>
      <c r="F280" s="426"/>
      <c r="G280" s="432"/>
      <c r="H280" s="433"/>
      <c r="I280" s="349" t="str">
        <f t="shared" si="392"/>
        <v/>
      </c>
      <c r="J280" s="350" t="str">
        <f t="shared" si="393"/>
        <v/>
      </c>
      <c r="K280" s="351" t="str">
        <f t="shared" si="394"/>
        <v/>
      </c>
      <c r="L280" s="258"/>
      <c r="M280" s="332"/>
      <c r="N280" s="336"/>
      <c r="O280" s="200"/>
      <c r="P280" s="200"/>
      <c r="Q280" s="445"/>
      <c r="R280" s="446"/>
      <c r="S280" s="447" t="str">
        <f t="shared" si="395"/>
        <v/>
      </c>
      <c r="T280" s="328"/>
      <c r="U280" s="197" t="str">
        <f>IF(AND($I280="x",AND(MAX(Q280:S280)=Q280,Q280&gt;=0)),Data!$BI$2,"")</f>
        <v/>
      </c>
      <c r="V280" s="197" t="str">
        <f>IF(AND($J280="x",AND(MAX(Q280:S280)=R280,R280&gt;=0)),Data!$BJ$2,"")</f>
        <v/>
      </c>
      <c r="W280" s="197" t="str">
        <f>IF(AND($K280="x",AND(MAX(Q280:S280)=S280,S280&gt;=0)),Data!$BK$2,"")</f>
        <v/>
      </c>
      <c r="X280" s="197"/>
      <c r="Y280" s="328"/>
      <c r="Z280" s="455"/>
      <c r="AA280" s="456"/>
      <c r="AB280" s="447" t="str">
        <f t="shared" si="396"/>
        <v/>
      </c>
      <c r="AC280" s="328"/>
      <c r="AD280" s="197" t="str">
        <f>IF(AND($I280="x",AND(MAX(Z280:AB280)=Z280,Z280&lt;&gt;"")),Data!$BI$2,"")</f>
        <v/>
      </c>
      <c r="AE280" s="197" t="str">
        <f>IF(AND($J280="x",AND(MAX(Z280:AB280)=AA280,AA280&lt;&gt;"")),Data!$BJ$2,"")</f>
        <v/>
      </c>
      <c r="AF280" s="197" t="str">
        <f>IF(AND($K280="x",AND(MAX(Z280:AB280)=AB280,AB280&lt;&gt;"")),Data!$BK$2,"")</f>
        <v/>
      </c>
      <c r="AG280" s="197"/>
      <c r="AH280" s="328"/>
      <c r="AI280" s="455"/>
      <c r="AJ280" s="456"/>
      <c r="AK280" s="447" t="str">
        <f t="shared" si="397"/>
        <v/>
      </c>
      <c r="AL280" s="328"/>
      <c r="AM280" s="197" t="str">
        <f>IF(AND($I280="x",AND(MAX(AI280:AK280)=AI280,AI280&lt;&gt;"")),Data!$BI$2,"")</f>
        <v/>
      </c>
      <c r="AN280" s="197" t="str">
        <f>IF(AND($J280="x",AND(MAX(AI280:AK280)=AJ280,AJ280&lt;&gt;"")),Data!$BJ$2,"")</f>
        <v/>
      </c>
      <c r="AO280" s="197" t="str">
        <f>IF(AND($K280="x",AND(MAX(AI280:AK280)=AK280,AK280&lt;&gt;"")),Data!$BK$2,"")</f>
        <v/>
      </c>
      <c r="AP280" s="197"/>
      <c r="AQ280" s="328"/>
      <c r="AR280" s="455"/>
      <c r="AS280" s="456"/>
      <c r="AT280" s="447" t="str">
        <f t="shared" si="398"/>
        <v/>
      </c>
      <c r="AU280" s="328"/>
      <c r="AV280" s="197" t="str">
        <f>IF(AND($I280="x",AND(MAX(AR280:AT280)=AR280,AR280&lt;&gt;"")),Data!$BI$2,"")</f>
        <v/>
      </c>
      <c r="AW280" s="197" t="str">
        <f>IF(AND($J280="x",AND(MAX(AR280:AT280)=AS280,AS280&lt;&gt;"")),Data!$BJ$2,"")</f>
        <v/>
      </c>
      <c r="AX280" s="197" t="str">
        <f>IF(AND($K280="x",AND(MAX(AR280:AT280)=AT280,AT280&lt;&gt;"")),Data!$BK$2,"")</f>
        <v/>
      </c>
      <c r="AY280" s="197"/>
      <c r="AZ280" s="328"/>
      <c r="BA280" s="455"/>
      <c r="BB280" s="456"/>
      <c r="BC280" s="447" t="str">
        <f t="shared" si="399"/>
        <v/>
      </c>
      <c r="BD280" s="328"/>
      <c r="BE280" s="197" t="str">
        <f>IF(AND($I280="x",AND(MAX(BA280:BC280)=BA280,BA280&lt;&gt;"")),Data!$BI$2,"")</f>
        <v/>
      </c>
      <c r="BF280" s="197" t="str">
        <f>IF(AND($J280="x",AND(MAX(BA280:BC280)=BB280,BB280&lt;&gt;"")),Data!$BJ$2,"")</f>
        <v/>
      </c>
      <c r="BG280" s="197" t="str">
        <f>IF(AND($K280="x",AND(MAX(BA280:BC280)=BC280,BC280&lt;&gt;"")),Data!$BK$2,"")</f>
        <v/>
      </c>
      <c r="BH280" s="197"/>
      <c r="BI280" s="328"/>
      <c r="BJ280" s="455"/>
      <c r="BK280" s="456"/>
      <c r="BL280" s="447" t="str">
        <f t="shared" si="400"/>
        <v/>
      </c>
      <c r="BM280" s="328"/>
      <c r="BN280" s="197" t="str">
        <f>IF(AND($I280="x",AND(MAX(BJ280:BL280)=BJ280,BJ280&lt;&gt;"")),Data!$BI$2,"")</f>
        <v/>
      </c>
      <c r="BO280" s="197" t="str">
        <f>IF(AND($J280="x",AND(MAX(BJ280:BL280)=BK280,BK280&lt;&gt;"")),Data!$BJ$2,"")</f>
        <v/>
      </c>
      <c r="BP280" s="197" t="str">
        <f>IF(AND($K280="x",AND(MAX(BJ280:BL280)=BL280,BL280&lt;&gt;"")),Data!$BK$2,"")</f>
        <v/>
      </c>
      <c r="BQ280" s="197"/>
      <c r="BR280" s="328"/>
      <c r="BS280" s="455"/>
      <c r="BT280" s="456"/>
      <c r="BU280" s="447" t="str">
        <f t="shared" si="401"/>
        <v/>
      </c>
      <c r="BV280" s="328"/>
      <c r="BW280" s="197" t="str">
        <f>IF(AND($I280="x",AND(MAX(BS280:BU280)=BS280,BS280&lt;&gt;"")),Data!$BI$2,"")</f>
        <v/>
      </c>
      <c r="BX280" s="197" t="str">
        <f>IF(AND($J280="x",AND(MAX(BS280:BU280)=BT280,BT280&lt;&gt;"")),Data!$BJ$2,"")</f>
        <v/>
      </c>
      <c r="BY280" s="197" t="str">
        <f>IF(AND($K280="x",AND(MAX(BS280:BU280)=BU280,BU280&lt;&gt;"")),Data!$BK$2,"")</f>
        <v/>
      </c>
      <c r="BZ280" s="197"/>
      <c r="CA280" s="328"/>
      <c r="CB280" s="463" t="str">
        <f t="shared" si="402"/>
        <v/>
      </c>
      <c r="CC280" s="464" t="str">
        <f t="shared" si="403"/>
        <v/>
      </c>
      <c r="CD280" s="465" t="str">
        <f t="shared" si="404"/>
        <v/>
      </c>
      <c r="CE280" s="328"/>
      <c r="CF280" s="197" t="str">
        <f>IF(AND($I280="x",AND(MAX(CB280:CD280)=CB280,CB280&lt;&gt;"")),Data!$BI$2,"")</f>
        <v/>
      </c>
      <c r="CG280" s="197" t="str">
        <f>IF(AND($J280="x",AND(MAX(CB280:CD280)=CC280,CC280&lt;&gt;"")),Data!$BJ$2,"")</f>
        <v/>
      </c>
      <c r="CH280" s="197" t="str">
        <f>IF(AND($K280="x",AND(MAX(CB280:CD280)=CD280,CD280&lt;&gt;"")),Data!$BK$2,"")</f>
        <v/>
      </c>
      <c r="CI280" s="197"/>
      <c r="CJ280" s="197"/>
      <c r="CK280" s="455"/>
      <c r="CL280" s="456"/>
      <c r="CM280" s="447" t="str">
        <f t="shared" si="405"/>
        <v/>
      </c>
      <c r="CN280" s="328"/>
      <c r="CO280" s="197" t="str">
        <f>IF(AND($I280="x",AND(MAX(CK280:CM280)=CK280,CK280&lt;&gt;"")),Data!$BI$2,"")</f>
        <v/>
      </c>
      <c r="CP280" s="197" t="str">
        <f>IF(AND($J280="x",AND(MAX(CK280:CM280)=CL280,CL280&lt;&gt;"")),Data!$BJ$2,"")</f>
        <v/>
      </c>
      <c r="CQ280" s="197" t="str">
        <f>IF(AND($K280="x",AND(MAX(CK280:CM280)=CM280,CM280&lt;&gt;"")),Data!$BK$2,"")</f>
        <v/>
      </c>
      <c r="CR280" s="197"/>
      <c r="CS280" s="197"/>
      <c r="CT280" s="328"/>
      <c r="CU280" s="259"/>
      <c r="CV280" s="209"/>
      <c r="CW280" s="227"/>
    </row>
    <row r="281" spans="1:101" x14ac:dyDescent="0.2">
      <c r="A281" s="227"/>
      <c r="B281" s="227"/>
      <c r="C281" s="168"/>
      <c r="D281" s="232"/>
      <c r="E281" s="137" t="s">
        <v>207</v>
      </c>
      <c r="F281" s="427"/>
      <c r="G281" s="434"/>
      <c r="H281" s="435"/>
      <c r="I281" s="138" t="str">
        <f t="shared" si="392"/>
        <v/>
      </c>
      <c r="J281" s="344" t="str">
        <f t="shared" si="393"/>
        <v/>
      </c>
      <c r="K281" s="345" t="str">
        <f t="shared" si="394"/>
        <v/>
      </c>
      <c r="L281" s="258"/>
      <c r="M281" s="332"/>
      <c r="N281" s="336"/>
      <c r="O281" s="200"/>
      <c r="P281" s="200"/>
      <c r="Q281" s="448"/>
      <c r="R281" s="449"/>
      <c r="S281" s="450" t="str">
        <f t="shared" si="395"/>
        <v/>
      </c>
      <c r="T281" s="328"/>
      <c r="U281" s="197" t="str">
        <f>IF(AND($I281="x",AND(MAX(Q281:S281)=Q281,Q281&gt;=0)),Data!$BI$2,"")</f>
        <v/>
      </c>
      <c r="V281" s="197" t="str">
        <f>IF(AND($J281="x",AND(MAX(Q281:S281)=R281,R281&gt;=0)),Data!$BJ$2,"")</f>
        <v/>
      </c>
      <c r="W281" s="197" t="str">
        <f>IF(AND($K281="x",AND(MAX(Q281:S281)=S281,S281&gt;=0)),Data!$BK$2,"")</f>
        <v/>
      </c>
      <c r="X281" s="197"/>
      <c r="Y281" s="328"/>
      <c r="Z281" s="451"/>
      <c r="AA281" s="452"/>
      <c r="AB281" s="450" t="str">
        <f t="shared" si="396"/>
        <v/>
      </c>
      <c r="AC281" s="328"/>
      <c r="AD281" s="197" t="str">
        <f>IF(AND($I281="x",AND(MAX(Z281:AB281)=Z281,Z281&lt;&gt;"")),Data!$BI$2,"")</f>
        <v/>
      </c>
      <c r="AE281" s="197" t="str">
        <f>IF(AND($J281="x",AND(MAX(Z281:AB281)=AA281,AA281&lt;&gt;"")),Data!$BJ$2,"")</f>
        <v/>
      </c>
      <c r="AF281" s="197" t="str">
        <f>IF(AND($K281="x",AND(MAX(Z281:AB281)=AB281,AB281&lt;&gt;"")),Data!$BK$2,"")</f>
        <v/>
      </c>
      <c r="AG281" s="197"/>
      <c r="AH281" s="328"/>
      <c r="AI281" s="451"/>
      <c r="AJ281" s="452"/>
      <c r="AK281" s="450" t="str">
        <f t="shared" si="397"/>
        <v/>
      </c>
      <c r="AL281" s="328"/>
      <c r="AM281" s="197" t="str">
        <f>IF(AND($I281="x",AND(MAX(AI281:AK281)=AI281,AI281&lt;&gt;"")),Data!$BI$2,"")</f>
        <v/>
      </c>
      <c r="AN281" s="197" t="str">
        <f>IF(AND($J281="x",AND(MAX(AI281:AK281)=AJ281,AJ281&lt;&gt;"")),Data!$BJ$2,"")</f>
        <v/>
      </c>
      <c r="AO281" s="197" t="str">
        <f>IF(AND($K281="x",AND(MAX(AI281:AK281)=AK281,AK281&lt;&gt;"")),Data!$BK$2,"")</f>
        <v/>
      </c>
      <c r="AP281" s="197"/>
      <c r="AQ281" s="328"/>
      <c r="AR281" s="451"/>
      <c r="AS281" s="452"/>
      <c r="AT281" s="450" t="str">
        <f t="shared" si="398"/>
        <v/>
      </c>
      <c r="AU281" s="328"/>
      <c r="AV281" s="197" t="str">
        <f>IF(AND($I281="x",AND(MAX(AR281:AT281)=AR281,AR281&lt;&gt;"")),Data!$BI$2,"")</f>
        <v/>
      </c>
      <c r="AW281" s="197" t="str">
        <f>IF(AND($J281="x",AND(MAX(AR281:AT281)=AS281,AS281&lt;&gt;"")),Data!$BJ$2,"")</f>
        <v/>
      </c>
      <c r="AX281" s="197" t="str">
        <f>IF(AND($K281="x",AND(MAX(AR281:AT281)=AT281,AT281&lt;&gt;"")),Data!$BK$2,"")</f>
        <v/>
      </c>
      <c r="AY281" s="197"/>
      <c r="AZ281" s="328"/>
      <c r="BA281" s="451"/>
      <c r="BB281" s="452"/>
      <c r="BC281" s="450" t="str">
        <f t="shared" si="399"/>
        <v/>
      </c>
      <c r="BD281" s="328"/>
      <c r="BE281" s="197" t="str">
        <f>IF(AND($I281="x",AND(MAX(BA281:BC281)=BA281,BA281&lt;&gt;"")),Data!$BI$2,"")</f>
        <v/>
      </c>
      <c r="BF281" s="197" t="str">
        <f>IF(AND($J281="x",AND(MAX(BA281:BC281)=BB281,BB281&lt;&gt;"")),Data!$BJ$2,"")</f>
        <v/>
      </c>
      <c r="BG281" s="197" t="str">
        <f>IF(AND($K281="x",AND(MAX(BA281:BC281)=BC281,BC281&lt;&gt;"")),Data!$BK$2,"")</f>
        <v/>
      </c>
      <c r="BH281" s="197"/>
      <c r="BI281" s="328"/>
      <c r="BJ281" s="451"/>
      <c r="BK281" s="452"/>
      <c r="BL281" s="450" t="str">
        <f t="shared" si="400"/>
        <v/>
      </c>
      <c r="BM281" s="328"/>
      <c r="BN281" s="197" t="str">
        <f>IF(AND($I281="x",AND(MAX(BJ281:BL281)=BJ281,BJ281&lt;&gt;"")),Data!$BI$2,"")</f>
        <v/>
      </c>
      <c r="BO281" s="197" t="str">
        <f>IF(AND($J281="x",AND(MAX(BJ281:BL281)=BK281,BK281&lt;&gt;"")),Data!$BJ$2,"")</f>
        <v/>
      </c>
      <c r="BP281" s="197" t="str">
        <f>IF(AND($K281="x",AND(MAX(BJ281:BL281)=BL281,BL281&lt;&gt;"")),Data!$BK$2,"")</f>
        <v/>
      </c>
      <c r="BQ281" s="197"/>
      <c r="BR281" s="328"/>
      <c r="BS281" s="451"/>
      <c r="BT281" s="452"/>
      <c r="BU281" s="450" t="str">
        <f t="shared" si="401"/>
        <v/>
      </c>
      <c r="BV281" s="328"/>
      <c r="BW281" s="197" t="str">
        <f>IF(AND($I281="x",AND(MAX(BS281:BU281)=BS281,BS281&lt;&gt;"")),Data!$BI$2,"")</f>
        <v/>
      </c>
      <c r="BX281" s="197" t="str">
        <f>IF(AND($J281="x",AND(MAX(BS281:BU281)=BT281,BT281&lt;&gt;"")),Data!$BJ$2,"")</f>
        <v/>
      </c>
      <c r="BY281" s="197" t="str">
        <f>IF(AND($K281="x",AND(MAX(BS281:BU281)=BU281,BU281&lt;&gt;"")),Data!$BK$2,"")</f>
        <v/>
      </c>
      <c r="BZ281" s="197"/>
      <c r="CA281" s="328"/>
      <c r="CB281" s="457" t="str">
        <f t="shared" si="402"/>
        <v/>
      </c>
      <c r="CC281" s="458" t="str">
        <f t="shared" si="403"/>
        <v/>
      </c>
      <c r="CD281" s="459" t="str">
        <f t="shared" si="404"/>
        <v/>
      </c>
      <c r="CE281" s="328"/>
      <c r="CF281" s="197" t="str">
        <f>IF(AND($I281="x",AND(MAX(CB281:CD281)=CB281,CB281&lt;&gt;"")),Data!$BI$2,"")</f>
        <v/>
      </c>
      <c r="CG281" s="197" t="str">
        <f>IF(AND($J281="x",AND(MAX(CB281:CD281)=CC281,CC281&lt;&gt;"")),Data!$BJ$2,"")</f>
        <v/>
      </c>
      <c r="CH281" s="197" t="str">
        <f>IF(AND($K281="x",AND(MAX(CB281:CD281)=CD281,CD281&lt;&gt;"")),Data!$BK$2,"")</f>
        <v/>
      </c>
      <c r="CI281" s="197"/>
      <c r="CJ281" s="197"/>
      <c r="CK281" s="451"/>
      <c r="CL281" s="452"/>
      <c r="CM281" s="450" t="str">
        <f t="shared" si="405"/>
        <v/>
      </c>
      <c r="CN281" s="328"/>
      <c r="CO281" s="197" t="str">
        <f>IF(AND($I281="x",AND(MAX(CK281:CM281)=CK281,CK281&lt;&gt;"")),Data!$BI$2,"")</f>
        <v/>
      </c>
      <c r="CP281" s="197" t="str">
        <f>IF(AND($J281="x",AND(MAX(CK281:CM281)=CL281,CL281&lt;&gt;"")),Data!$BJ$2,"")</f>
        <v/>
      </c>
      <c r="CQ281" s="197" t="str">
        <f>IF(AND($K281="x",AND(MAX(CK281:CM281)=CM281,CM281&lt;&gt;"")),Data!$BK$2,"")</f>
        <v/>
      </c>
      <c r="CR281" s="197"/>
      <c r="CS281" s="197"/>
      <c r="CT281" s="328"/>
      <c r="CU281" s="259"/>
      <c r="CV281" s="209"/>
      <c r="CW281" s="227"/>
    </row>
    <row r="282" spans="1:101" x14ac:dyDescent="0.2">
      <c r="A282" s="227"/>
      <c r="B282" s="227"/>
      <c r="C282" s="168"/>
      <c r="D282" s="232"/>
      <c r="E282" s="135" t="s">
        <v>208</v>
      </c>
      <c r="F282" s="425"/>
      <c r="G282" s="430"/>
      <c r="H282" s="431"/>
      <c r="I282" s="346" t="str">
        <f t="shared" si="392"/>
        <v/>
      </c>
      <c r="J282" s="347" t="str">
        <f t="shared" si="393"/>
        <v/>
      </c>
      <c r="K282" s="348" t="str">
        <f t="shared" si="394"/>
        <v/>
      </c>
      <c r="L282" s="258"/>
      <c r="M282" s="332"/>
      <c r="N282" s="336"/>
      <c r="O282" s="200"/>
      <c r="P282" s="200"/>
      <c r="Q282" s="439"/>
      <c r="R282" s="440"/>
      <c r="S282" s="441" t="str">
        <f t="shared" si="395"/>
        <v/>
      </c>
      <c r="T282" s="328"/>
      <c r="U282" s="197" t="str">
        <f>IF(AND($I282="x",AND(MAX(Q282:S282)=Q282,Q282&gt;=0)),Data!$BI$2,"")</f>
        <v/>
      </c>
      <c r="V282" s="197" t="str">
        <f>IF(AND($J282="x",AND(MAX(Q282:S282)=R282,R282&gt;=0)),Data!$BJ$2,"")</f>
        <v/>
      </c>
      <c r="W282" s="197" t="str">
        <f>IF(AND($K282="x",AND(MAX(Q282:S282)=S282,S282&gt;=0)),Data!$BK$2,"")</f>
        <v/>
      </c>
      <c r="X282" s="197"/>
      <c r="Y282" s="328"/>
      <c r="Z282" s="453"/>
      <c r="AA282" s="454"/>
      <c r="AB282" s="441" t="str">
        <f t="shared" si="396"/>
        <v/>
      </c>
      <c r="AC282" s="328"/>
      <c r="AD282" s="197" t="str">
        <f>IF(AND($I282="x",AND(MAX(Z282:AB282)=Z282,Z282&lt;&gt;"")),Data!$BI$2,"")</f>
        <v/>
      </c>
      <c r="AE282" s="197" t="str">
        <f>IF(AND($J282="x",AND(MAX(Z282:AB282)=AA282,AA282&lt;&gt;"")),Data!$BJ$2,"")</f>
        <v/>
      </c>
      <c r="AF282" s="197" t="str">
        <f>IF(AND($K282="x",AND(MAX(Z282:AB282)=AB282,AB282&lt;&gt;"")),Data!$BK$2,"")</f>
        <v/>
      </c>
      <c r="AG282" s="197"/>
      <c r="AH282" s="328"/>
      <c r="AI282" s="453"/>
      <c r="AJ282" s="454"/>
      <c r="AK282" s="441" t="str">
        <f t="shared" si="397"/>
        <v/>
      </c>
      <c r="AL282" s="328"/>
      <c r="AM282" s="197" t="str">
        <f>IF(AND($I282="x",AND(MAX(AI282:AK282)=AI282,AI282&lt;&gt;"")),Data!$BI$2,"")</f>
        <v/>
      </c>
      <c r="AN282" s="197" t="str">
        <f>IF(AND($J282="x",AND(MAX(AI282:AK282)=AJ282,AJ282&lt;&gt;"")),Data!$BJ$2,"")</f>
        <v/>
      </c>
      <c r="AO282" s="197" t="str">
        <f>IF(AND($K282="x",AND(MAX(AI282:AK282)=AK282,AK282&lt;&gt;"")),Data!$BK$2,"")</f>
        <v/>
      </c>
      <c r="AP282" s="197"/>
      <c r="AQ282" s="328"/>
      <c r="AR282" s="453"/>
      <c r="AS282" s="454"/>
      <c r="AT282" s="441" t="str">
        <f t="shared" si="398"/>
        <v/>
      </c>
      <c r="AU282" s="328"/>
      <c r="AV282" s="197" t="str">
        <f>IF(AND($I282="x",AND(MAX(AR282:AT282)=AR282,AR282&lt;&gt;"")),Data!$BI$2,"")</f>
        <v/>
      </c>
      <c r="AW282" s="197" t="str">
        <f>IF(AND($J282="x",AND(MAX(AR282:AT282)=AS282,AS282&lt;&gt;"")),Data!$BJ$2,"")</f>
        <v/>
      </c>
      <c r="AX282" s="197" t="str">
        <f>IF(AND($K282="x",AND(MAX(AR282:AT282)=AT282,AT282&lt;&gt;"")),Data!$BK$2,"")</f>
        <v/>
      </c>
      <c r="AY282" s="197"/>
      <c r="AZ282" s="328"/>
      <c r="BA282" s="453"/>
      <c r="BB282" s="454"/>
      <c r="BC282" s="441" t="str">
        <f t="shared" si="399"/>
        <v/>
      </c>
      <c r="BD282" s="328"/>
      <c r="BE282" s="197" t="str">
        <f>IF(AND($I282="x",AND(MAX(BA282:BC282)=BA282,BA282&lt;&gt;"")),Data!$BI$2,"")</f>
        <v/>
      </c>
      <c r="BF282" s="197" t="str">
        <f>IF(AND($J282="x",AND(MAX(BA282:BC282)=BB282,BB282&lt;&gt;"")),Data!$BJ$2,"")</f>
        <v/>
      </c>
      <c r="BG282" s="197" t="str">
        <f>IF(AND($K282="x",AND(MAX(BA282:BC282)=BC282,BC282&lt;&gt;"")),Data!$BK$2,"")</f>
        <v/>
      </c>
      <c r="BH282" s="197"/>
      <c r="BI282" s="328"/>
      <c r="BJ282" s="453"/>
      <c r="BK282" s="454"/>
      <c r="BL282" s="441" t="str">
        <f t="shared" si="400"/>
        <v/>
      </c>
      <c r="BM282" s="328"/>
      <c r="BN282" s="197" t="str">
        <f>IF(AND($I282="x",AND(MAX(BJ282:BL282)=BJ282,BJ282&lt;&gt;"")),Data!$BI$2,"")</f>
        <v/>
      </c>
      <c r="BO282" s="197" t="str">
        <f>IF(AND($J282="x",AND(MAX(BJ282:BL282)=BK282,BK282&lt;&gt;"")),Data!$BJ$2,"")</f>
        <v/>
      </c>
      <c r="BP282" s="197" t="str">
        <f>IF(AND($K282="x",AND(MAX(BJ282:BL282)=BL282,BL282&lt;&gt;"")),Data!$BK$2,"")</f>
        <v/>
      </c>
      <c r="BQ282" s="197"/>
      <c r="BR282" s="328"/>
      <c r="BS282" s="453"/>
      <c r="BT282" s="454"/>
      <c r="BU282" s="441" t="str">
        <f t="shared" si="401"/>
        <v/>
      </c>
      <c r="BV282" s="328"/>
      <c r="BW282" s="197" t="str">
        <f>IF(AND($I282="x",AND(MAX(BS282:BU282)=BS282,BS282&lt;&gt;"")),Data!$BI$2,"")</f>
        <v/>
      </c>
      <c r="BX282" s="197" t="str">
        <f>IF(AND($J282="x",AND(MAX(BS282:BU282)=BT282,BT282&lt;&gt;"")),Data!$BJ$2,"")</f>
        <v/>
      </c>
      <c r="BY282" s="197" t="str">
        <f>IF(AND($K282="x",AND(MAX(BS282:BU282)=BU282,BU282&lt;&gt;"")),Data!$BK$2,"")</f>
        <v/>
      </c>
      <c r="BZ282" s="197"/>
      <c r="CA282" s="328"/>
      <c r="CB282" s="460" t="str">
        <f t="shared" si="402"/>
        <v/>
      </c>
      <c r="CC282" s="461" t="str">
        <f t="shared" si="403"/>
        <v/>
      </c>
      <c r="CD282" s="462" t="str">
        <f t="shared" si="404"/>
        <v/>
      </c>
      <c r="CE282" s="328"/>
      <c r="CF282" s="197" t="str">
        <f>IF(AND($I282="x",AND(MAX(CB282:CD282)=CB282,CB282&lt;&gt;"")),Data!$BI$2,"")</f>
        <v/>
      </c>
      <c r="CG282" s="197" t="str">
        <f>IF(AND($J282="x",AND(MAX(CB282:CD282)=CC282,CC282&lt;&gt;"")),Data!$BJ$2,"")</f>
        <v/>
      </c>
      <c r="CH282" s="197" t="str">
        <f>IF(AND($K282="x",AND(MAX(CB282:CD282)=CD282,CD282&lt;&gt;"")),Data!$BK$2,"")</f>
        <v/>
      </c>
      <c r="CI282" s="197"/>
      <c r="CJ282" s="197"/>
      <c r="CK282" s="453"/>
      <c r="CL282" s="454"/>
      <c r="CM282" s="441" t="str">
        <f t="shared" si="405"/>
        <v/>
      </c>
      <c r="CN282" s="328"/>
      <c r="CO282" s="197" t="str">
        <f>IF(AND($I282="x",AND(MAX(CK282:CM282)=CK282,CK282&lt;&gt;"")),Data!$BI$2,"")</f>
        <v/>
      </c>
      <c r="CP282" s="197" t="str">
        <f>IF(AND($J282="x",AND(MAX(CK282:CM282)=CL282,CL282&lt;&gt;"")),Data!$BJ$2,"")</f>
        <v/>
      </c>
      <c r="CQ282" s="197" t="str">
        <f>IF(AND($K282="x",AND(MAX(CK282:CM282)=CM282,CM282&lt;&gt;"")),Data!$BK$2,"")</f>
        <v/>
      </c>
      <c r="CR282" s="197"/>
      <c r="CS282" s="197"/>
      <c r="CT282" s="328"/>
      <c r="CU282" s="259"/>
      <c r="CV282" s="209"/>
      <c r="CW282" s="227"/>
    </row>
    <row r="283" spans="1:101" x14ac:dyDescent="0.2">
      <c r="A283" s="227"/>
      <c r="B283" s="227"/>
      <c r="C283" s="168"/>
      <c r="D283" s="232"/>
      <c r="E283" s="136" t="s">
        <v>209</v>
      </c>
      <c r="F283" s="426"/>
      <c r="G283" s="432"/>
      <c r="H283" s="433"/>
      <c r="I283" s="349" t="str">
        <f t="shared" si="392"/>
        <v/>
      </c>
      <c r="J283" s="350" t="str">
        <f t="shared" si="393"/>
        <v/>
      </c>
      <c r="K283" s="351" t="str">
        <f t="shared" si="394"/>
        <v/>
      </c>
      <c r="L283" s="258"/>
      <c r="M283" s="332"/>
      <c r="N283" s="336"/>
      <c r="O283" s="200"/>
      <c r="P283" s="200"/>
      <c r="Q283" s="445"/>
      <c r="R283" s="446"/>
      <c r="S283" s="447" t="str">
        <f t="shared" si="395"/>
        <v/>
      </c>
      <c r="T283" s="328"/>
      <c r="U283" s="197" t="str">
        <f>IF(AND($I283="x",AND(MAX(Q283:S283)=Q283,Q283&gt;=0)),Data!$BI$2,"")</f>
        <v/>
      </c>
      <c r="V283" s="197" t="str">
        <f>IF(AND($J283="x",AND(MAX(Q283:S283)=R283,R283&gt;=0)),Data!$BJ$2,"")</f>
        <v/>
      </c>
      <c r="W283" s="197" t="str">
        <f>IF(AND($K283="x",AND(MAX(Q283:S283)=S283,S283&gt;=0)),Data!$BK$2,"")</f>
        <v/>
      </c>
      <c r="X283" s="197"/>
      <c r="Y283" s="328"/>
      <c r="Z283" s="455"/>
      <c r="AA283" s="456"/>
      <c r="AB283" s="447" t="str">
        <f t="shared" si="396"/>
        <v/>
      </c>
      <c r="AC283" s="328"/>
      <c r="AD283" s="197" t="str">
        <f>IF(AND($I283="x",AND(MAX(Z283:AB283)=Z283,Z283&lt;&gt;"")),Data!$BI$2,"")</f>
        <v/>
      </c>
      <c r="AE283" s="197" t="str">
        <f>IF(AND($J283="x",AND(MAX(Z283:AB283)=AA283,AA283&lt;&gt;"")),Data!$BJ$2,"")</f>
        <v/>
      </c>
      <c r="AF283" s="197" t="str">
        <f>IF(AND($K283="x",AND(MAX(Z283:AB283)=AB283,AB283&lt;&gt;"")),Data!$BK$2,"")</f>
        <v/>
      </c>
      <c r="AG283" s="197"/>
      <c r="AH283" s="328"/>
      <c r="AI283" s="455"/>
      <c r="AJ283" s="456"/>
      <c r="AK283" s="447" t="str">
        <f t="shared" si="397"/>
        <v/>
      </c>
      <c r="AL283" s="328"/>
      <c r="AM283" s="197" t="str">
        <f>IF(AND($I283="x",AND(MAX(AI283:AK283)=AI283,AI283&lt;&gt;"")),Data!$BI$2,"")</f>
        <v/>
      </c>
      <c r="AN283" s="197" t="str">
        <f>IF(AND($J283="x",AND(MAX(AI283:AK283)=AJ283,AJ283&lt;&gt;"")),Data!$BJ$2,"")</f>
        <v/>
      </c>
      <c r="AO283" s="197" t="str">
        <f>IF(AND($K283="x",AND(MAX(AI283:AK283)=AK283,AK283&lt;&gt;"")),Data!$BK$2,"")</f>
        <v/>
      </c>
      <c r="AP283" s="197"/>
      <c r="AQ283" s="328"/>
      <c r="AR283" s="455"/>
      <c r="AS283" s="456"/>
      <c r="AT283" s="447" t="str">
        <f t="shared" si="398"/>
        <v/>
      </c>
      <c r="AU283" s="328"/>
      <c r="AV283" s="197" t="str">
        <f>IF(AND($I283="x",AND(MAX(AR283:AT283)=AR283,AR283&lt;&gt;"")),Data!$BI$2,"")</f>
        <v/>
      </c>
      <c r="AW283" s="197" t="str">
        <f>IF(AND($J283="x",AND(MAX(AR283:AT283)=AS283,AS283&lt;&gt;"")),Data!$BJ$2,"")</f>
        <v/>
      </c>
      <c r="AX283" s="197" t="str">
        <f>IF(AND($K283="x",AND(MAX(AR283:AT283)=AT283,AT283&lt;&gt;"")),Data!$BK$2,"")</f>
        <v/>
      </c>
      <c r="AY283" s="197"/>
      <c r="AZ283" s="328"/>
      <c r="BA283" s="455"/>
      <c r="BB283" s="456"/>
      <c r="BC283" s="447" t="str">
        <f t="shared" si="399"/>
        <v/>
      </c>
      <c r="BD283" s="328"/>
      <c r="BE283" s="197" t="str">
        <f>IF(AND($I283="x",AND(MAX(BA283:BC283)=BA283,BA283&lt;&gt;"")),Data!$BI$2,"")</f>
        <v/>
      </c>
      <c r="BF283" s="197" t="str">
        <f>IF(AND($J283="x",AND(MAX(BA283:BC283)=BB283,BB283&lt;&gt;"")),Data!$BJ$2,"")</f>
        <v/>
      </c>
      <c r="BG283" s="197" t="str">
        <f>IF(AND($K283="x",AND(MAX(BA283:BC283)=BC283,BC283&lt;&gt;"")),Data!$BK$2,"")</f>
        <v/>
      </c>
      <c r="BH283" s="197"/>
      <c r="BI283" s="328"/>
      <c r="BJ283" s="455"/>
      <c r="BK283" s="456"/>
      <c r="BL283" s="447" t="str">
        <f t="shared" si="400"/>
        <v/>
      </c>
      <c r="BM283" s="328"/>
      <c r="BN283" s="197" t="str">
        <f>IF(AND($I283="x",AND(MAX(BJ283:BL283)=BJ283,BJ283&lt;&gt;"")),Data!$BI$2,"")</f>
        <v/>
      </c>
      <c r="BO283" s="197" t="str">
        <f>IF(AND($J283="x",AND(MAX(BJ283:BL283)=BK283,BK283&lt;&gt;"")),Data!$BJ$2,"")</f>
        <v/>
      </c>
      <c r="BP283" s="197" t="str">
        <f>IF(AND($K283="x",AND(MAX(BJ283:BL283)=BL283,BL283&lt;&gt;"")),Data!$BK$2,"")</f>
        <v/>
      </c>
      <c r="BQ283" s="197"/>
      <c r="BR283" s="328"/>
      <c r="BS283" s="455"/>
      <c r="BT283" s="456"/>
      <c r="BU283" s="447" t="str">
        <f t="shared" si="401"/>
        <v/>
      </c>
      <c r="BV283" s="328"/>
      <c r="BW283" s="197" t="str">
        <f>IF(AND($I283="x",AND(MAX(BS283:BU283)=BS283,BS283&lt;&gt;"")),Data!$BI$2,"")</f>
        <v/>
      </c>
      <c r="BX283" s="197" t="str">
        <f>IF(AND($J283="x",AND(MAX(BS283:BU283)=BT283,BT283&lt;&gt;"")),Data!$BJ$2,"")</f>
        <v/>
      </c>
      <c r="BY283" s="197" t="str">
        <f>IF(AND($K283="x",AND(MAX(BS283:BU283)=BU283,BU283&lt;&gt;"")),Data!$BK$2,"")</f>
        <v/>
      </c>
      <c r="BZ283" s="197"/>
      <c r="CA283" s="328"/>
      <c r="CB283" s="463" t="str">
        <f t="shared" si="402"/>
        <v/>
      </c>
      <c r="CC283" s="464" t="str">
        <f t="shared" si="403"/>
        <v/>
      </c>
      <c r="CD283" s="465" t="str">
        <f t="shared" si="404"/>
        <v/>
      </c>
      <c r="CE283" s="328"/>
      <c r="CF283" s="197" t="str">
        <f>IF(AND($I283="x",AND(MAX(CB283:CD283)=CB283,CB283&lt;&gt;"")),Data!$BI$2,"")</f>
        <v/>
      </c>
      <c r="CG283" s="197" t="str">
        <f>IF(AND($J283="x",AND(MAX(CB283:CD283)=CC283,CC283&lt;&gt;"")),Data!$BJ$2,"")</f>
        <v/>
      </c>
      <c r="CH283" s="197" t="str">
        <f>IF(AND($K283="x",AND(MAX(CB283:CD283)=CD283,CD283&lt;&gt;"")),Data!$BK$2,"")</f>
        <v/>
      </c>
      <c r="CI283" s="197"/>
      <c r="CJ283" s="197"/>
      <c r="CK283" s="455"/>
      <c r="CL283" s="456"/>
      <c r="CM283" s="447" t="str">
        <f t="shared" si="405"/>
        <v/>
      </c>
      <c r="CN283" s="328"/>
      <c r="CO283" s="197" t="str">
        <f>IF(AND($I283="x",AND(MAX(CK283:CM283)=CK283,CK283&lt;&gt;"")),Data!$BI$2,"")</f>
        <v/>
      </c>
      <c r="CP283" s="197" t="str">
        <f>IF(AND($J283="x",AND(MAX(CK283:CM283)=CL283,CL283&lt;&gt;"")),Data!$BJ$2,"")</f>
        <v/>
      </c>
      <c r="CQ283" s="197" t="str">
        <f>IF(AND($K283="x",AND(MAX(CK283:CM283)=CM283,CM283&lt;&gt;"")),Data!$BK$2,"")</f>
        <v/>
      </c>
      <c r="CR283" s="197"/>
      <c r="CS283" s="197"/>
      <c r="CT283" s="328"/>
      <c r="CU283" s="259"/>
      <c r="CV283" s="209"/>
      <c r="CW283" s="227"/>
    </row>
    <row r="284" spans="1:101" x14ac:dyDescent="0.2">
      <c r="A284" s="227"/>
      <c r="B284" s="227"/>
      <c r="C284" s="168"/>
      <c r="D284" s="233"/>
      <c r="E284" s="199"/>
      <c r="F284" s="352" t="str">
        <f>IF(SUM(F272:F283)=0,"",SUM(F272:F283))</f>
        <v/>
      </c>
      <c r="G284" s="327" t="s">
        <v>51</v>
      </c>
      <c r="H284" s="353" t="str">
        <f>IF(SUM(H272:H283)=0,"",SUM(H272:H283))</f>
        <v/>
      </c>
      <c r="I284" s="354" t="str">
        <f>IF(COUNTIF(I272:I283,"=x")=0,"",COUNTIF(I272:I283,"=x"))</f>
        <v/>
      </c>
      <c r="J284" s="355" t="str">
        <f>IF(COUNTIF(J272:J283,"=x")=0,"",COUNTIF(J272:J283,"=x"))</f>
        <v/>
      </c>
      <c r="K284" s="356" t="str">
        <f>IF(COUNTIF(K272:K283,"=x")=0,"",COUNTIF(K272:K283,"=x"))</f>
        <v/>
      </c>
      <c r="L284" s="258"/>
      <c r="M284" s="332"/>
      <c r="N284" s="336"/>
      <c r="O284" s="200"/>
      <c r="P284" s="326"/>
      <c r="Q284" s="422">
        <f>SUM(U272:U283)</f>
        <v>0</v>
      </c>
      <c r="R284" s="422">
        <f t="shared" ref="R284:S284" si="406">SUM(V272:V283)</f>
        <v>0</v>
      </c>
      <c r="S284" s="422">
        <f t="shared" si="406"/>
        <v>0</v>
      </c>
      <c r="T284" s="325"/>
      <c r="U284" s="197">
        <f>SUM(U272:U283)</f>
        <v>0</v>
      </c>
      <c r="V284" s="197">
        <f t="shared" ref="V284:W284" si="407">SUM(V272:V283)</f>
        <v>0</v>
      </c>
      <c r="W284" s="197">
        <f t="shared" si="407"/>
        <v>0</v>
      </c>
      <c r="X284" s="197"/>
      <c r="Y284" s="324"/>
      <c r="Z284" s="422">
        <f>SUM(AD272:AD283)</f>
        <v>0</v>
      </c>
      <c r="AA284" s="422">
        <f t="shared" ref="AA284:AB284" si="408">SUM(AE272:AE283)</f>
        <v>0</v>
      </c>
      <c r="AB284" s="422">
        <f t="shared" si="408"/>
        <v>0</v>
      </c>
      <c r="AC284" s="325"/>
      <c r="AD284" s="197">
        <f>SUM(AD272:AD283)</f>
        <v>0</v>
      </c>
      <c r="AE284" s="197">
        <f t="shared" ref="AE284:AF284" si="409">SUM(AE272:AE283)</f>
        <v>0</v>
      </c>
      <c r="AF284" s="197">
        <f t="shared" si="409"/>
        <v>0</v>
      </c>
      <c r="AG284" s="197"/>
      <c r="AH284" s="324"/>
      <c r="AI284" s="422">
        <f>SUM(AM272:AM283)</f>
        <v>0</v>
      </c>
      <c r="AJ284" s="422">
        <f t="shared" ref="AJ284:AK284" si="410">SUM(AN272:AN283)</f>
        <v>0</v>
      </c>
      <c r="AK284" s="422">
        <f t="shared" si="410"/>
        <v>0</v>
      </c>
      <c r="AL284" s="325"/>
      <c r="AM284" s="197">
        <f>SUM(AM272:AM283)</f>
        <v>0</v>
      </c>
      <c r="AN284" s="197">
        <f t="shared" ref="AN284:AO284" si="411">SUM(AN272:AN283)</f>
        <v>0</v>
      </c>
      <c r="AO284" s="197">
        <f t="shared" si="411"/>
        <v>0</v>
      </c>
      <c r="AP284" s="197"/>
      <c r="AQ284" s="324"/>
      <c r="AR284" s="422">
        <f>SUM(AV272:AV283)</f>
        <v>0</v>
      </c>
      <c r="AS284" s="422">
        <f t="shared" ref="AS284:AT284" si="412">SUM(AW272:AW283)</f>
        <v>0</v>
      </c>
      <c r="AT284" s="422">
        <f t="shared" si="412"/>
        <v>0</v>
      </c>
      <c r="AU284" s="325"/>
      <c r="AV284" s="197">
        <f>SUM(AV272:AV283)</f>
        <v>0</v>
      </c>
      <c r="AW284" s="197">
        <f t="shared" ref="AW284:AX284" si="413">SUM(AW272:AW283)</f>
        <v>0</v>
      </c>
      <c r="AX284" s="197">
        <f t="shared" si="413"/>
        <v>0</v>
      </c>
      <c r="AY284" s="197"/>
      <c r="AZ284" s="324"/>
      <c r="BA284" s="422">
        <f>SUM(BE272:BE283)</f>
        <v>0</v>
      </c>
      <c r="BB284" s="422">
        <f t="shared" ref="BB284:BC284" si="414">SUM(BF272:BF283)</f>
        <v>0</v>
      </c>
      <c r="BC284" s="422">
        <f t="shared" si="414"/>
        <v>0</v>
      </c>
      <c r="BD284" s="325"/>
      <c r="BE284" s="197">
        <f>SUM(BE272:BE283)</f>
        <v>0</v>
      </c>
      <c r="BF284" s="197">
        <f t="shared" ref="BF284:BG284" si="415">SUM(BF272:BF283)</f>
        <v>0</v>
      </c>
      <c r="BG284" s="197">
        <f t="shared" si="415"/>
        <v>0</v>
      </c>
      <c r="BH284" s="197"/>
      <c r="BI284" s="324"/>
      <c r="BJ284" s="422">
        <f>SUM(BN272:BN283)</f>
        <v>0</v>
      </c>
      <c r="BK284" s="422">
        <f t="shared" ref="BK284" si="416">SUM(BO272:BO283)</f>
        <v>0</v>
      </c>
      <c r="BL284" s="422">
        <f t="shared" ref="BL284" si="417">SUM(BP272:BP283)</f>
        <v>0</v>
      </c>
      <c r="BM284" s="325"/>
      <c r="BN284" s="197">
        <f>SUM(BN272:BN283)</f>
        <v>0</v>
      </c>
      <c r="BO284" s="197">
        <f t="shared" ref="BO284:BP284" si="418">SUM(BO272:BO283)</f>
        <v>0</v>
      </c>
      <c r="BP284" s="197">
        <f t="shared" si="418"/>
        <v>0</v>
      </c>
      <c r="BQ284" s="197"/>
      <c r="BR284" s="324"/>
      <c r="BS284" s="422">
        <f>SUM(BW272:BW283)</f>
        <v>0</v>
      </c>
      <c r="BT284" s="422">
        <f t="shared" ref="BT284:BU284" si="419">SUM(BX272:BX283)</f>
        <v>0</v>
      </c>
      <c r="BU284" s="422">
        <f t="shared" si="419"/>
        <v>0</v>
      </c>
      <c r="BV284" s="325"/>
      <c r="BW284" s="197">
        <f>SUM(BW272:BW283)</f>
        <v>0</v>
      </c>
      <c r="BX284" s="197">
        <f t="shared" ref="BX284:BY284" si="420">SUM(BX272:BX283)</f>
        <v>0</v>
      </c>
      <c r="BY284" s="197">
        <f t="shared" si="420"/>
        <v>0</v>
      </c>
      <c r="BZ284" s="197"/>
      <c r="CA284" s="326"/>
      <c r="CB284" s="422">
        <f>SUM(CF272:CF283)</f>
        <v>0</v>
      </c>
      <c r="CC284" s="422">
        <f t="shared" ref="CC284:CD284" si="421">SUM(CG272:CG283)</f>
        <v>0</v>
      </c>
      <c r="CD284" s="422">
        <f t="shared" si="421"/>
        <v>0</v>
      </c>
      <c r="CE284" s="325"/>
      <c r="CF284" s="197">
        <f>SUM(CF272:CF283)</f>
        <v>0</v>
      </c>
      <c r="CG284" s="197">
        <f t="shared" ref="CG284:CH284" si="422">SUM(CG272:CG283)</f>
        <v>0</v>
      </c>
      <c r="CH284" s="197">
        <f t="shared" si="422"/>
        <v>0</v>
      </c>
      <c r="CI284" s="197"/>
      <c r="CJ284" s="197"/>
      <c r="CK284" s="422">
        <f>SUM(CO272:CO283)</f>
        <v>0</v>
      </c>
      <c r="CL284" s="422">
        <f t="shared" ref="CL284:CM284" si="423">SUM(CP272:CP283)</f>
        <v>0</v>
      </c>
      <c r="CM284" s="422">
        <f t="shared" si="423"/>
        <v>0</v>
      </c>
      <c r="CN284" s="325"/>
      <c r="CO284" s="197">
        <f>SUM(CO272:CO283)</f>
        <v>0</v>
      </c>
      <c r="CP284" s="197">
        <f t="shared" ref="CP284:CQ284" si="424">SUM(CP272:CP283)</f>
        <v>0</v>
      </c>
      <c r="CQ284" s="197">
        <f t="shared" si="424"/>
        <v>0</v>
      </c>
      <c r="CR284" s="197"/>
      <c r="CS284" s="197"/>
      <c r="CT284" s="197"/>
      <c r="CU284" s="259"/>
      <c r="CV284" s="209"/>
      <c r="CW284" s="228"/>
    </row>
    <row r="285" spans="1:101" x14ac:dyDescent="0.2">
      <c r="A285" s="227"/>
      <c r="B285" s="227"/>
      <c r="C285" s="168"/>
      <c r="D285" s="249"/>
      <c r="E285" s="242"/>
      <c r="F285" s="243"/>
      <c r="G285" s="242"/>
      <c r="H285" s="242"/>
      <c r="I285" s="242"/>
      <c r="J285" s="242"/>
      <c r="K285" s="242"/>
      <c r="L285" s="252"/>
      <c r="M285" s="260"/>
      <c r="N285" s="337"/>
      <c r="O285" s="333"/>
      <c r="P285" s="244"/>
      <c r="Q285" s="245"/>
      <c r="R285" s="245"/>
      <c r="S285" s="245"/>
      <c r="T285" s="246"/>
      <c r="U285" s="247"/>
      <c r="V285" s="247"/>
      <c r="W285" s="247"/>
      <c r="X285" s="247"/>
      <c r="Y285" s="244"/>
      <c r="Z285" s="245"/>
      <c r="AA285" s="245"/>
      <c r="AB285" s="245"/>
      <c r="AC285" s="246"/>
      <c r="AD285" s="247"/>
      <c r="AE285" s="247"/>
      <c r="AF285" s="247"/>
      <c r="AG285" s="247"/>
      <c r="AH285" s="244"/>
      <c r="AI285" s="245"/>
      <c r="AJ285" s="245"/>
      <c r="AK285" s="245"/>
      <c r="AL285" s="246"/>
      <c r="AM285" s="247"/>
      <c r="AN285" s="247"/>
      <c r="AO285" s="247"/>
      <c r="AP285" s="247"/>
      <c r="AQ285" s="244"/>
      <c r="AR285" s="245"/>
      <c r="AS285" s="245"/>
      <c r="AT285" s="245"/>
      <c r="AU285" s="246"/>
      <c r="AV285" s="247"/>
      <c r="AW285" s="247"/>
      <c r="AX285" s="247"/>
      <c r="AY285" s="247"/>
      <c r="AZ285" s="244"/>
      <c r="BA285" s="245"/>
      <c r="BB285" s="245"/>
      <c r="BC285" s="245"/>
      <c r="BD285" s="246"/>
      <c r="BE285" s="247"/>
      <c r="BF285" s="247"/>
      <c r="BG285" s="247"/>
      <c r="BH285" s="247"/>
      <c r="BI285" s="244"/>
      <c r="BJ285" s="244"/>
      <c r="BK285" s="244"/>
      <c r="BL285" s="244"/>
      <c r="BM285" s="244"/>
      <c r="BN285" s="247"/>
      <c r="BO285" s="247"/>
      <c r="BP285" s="247"/>
      <c r="BQ285" s="247"/>
      <c r="BR285" s="244"/>
      <c r="BS285" s="244"/>
      <c r="BT285" s="244"/>
      <c r="BU285" s="244"/>
      <c r="BV285" s="244"/>
      <c r="BW285" s="247"/>
      <c r="BX285" s="247"/>
      <c r="BY285" s="247"/>
      <c r="BZ285" s="247"/>
      <c r="CA285" s="244"/>
      <c r="CB285" s="244"/>
      <c r="CC285" s="244"/>
      <c r="CD285" s="244"/>
      <c r="CE285" s="244"/>
      <c r="CF285" s="247"/>
      <c r="CG285" s="247"/>
      <c r="CH285" s="247"/>
      <c r="CI285" s="247"/>
      <c r="CJ285" s="248"/>
      <c r="CK285" s="248"/>
      <c r="CL285" s="248"/>
      <c r="CM285" s="248"/>
      <c r="CN285" s="248"/>
      <c r="CO285" s="247"/>
      <c r="CP285" s="247"/>
      <c r="CQ285" s="247"/>
      <c r="CR285" s="247"/>
      <c r="CS285" s="248"/>
      <c r="CT285" s="242"/>
      <c r="CU285" s="253"/>
      <c r="CV285" s="209"/>
      <c r="CW285" s="228"/>
    </row>
    <row r="286" spans="1:101" x14ac:dyDescent="0.2">
      <c r="A286" s="219"/>
      <c r="B286" s="219"/>
      <c r="C286" s="175"/>
      <c r="D286" s="176"/>
      <c r="E286" s="210"/>
      <c r="F286" s="211"/>
      <c r="G286" s="210"/>
      <c r="H286" s="210"/>
      <c r="I286" s="210"/>
      <c r="J286" s="210"/>
      <c r="K286" s="210"/>
      <c r="L286" s="212"/>
      <c r="M286" s="213"/>
      <c r="N286" s="213"/>
      <c r="O286" s="213"/>
      <c r="P286" s="213"/>
      <c r="Q286" s="210"/>
      <c r="R286" s="210"/>
      <c r="S286" s="210"/>
      <c r="T286" s="214"/>
      <c r="U286" s="215"/>
      <c r="V286" s="215"/>
      <c r="W286" s="215"/>
      <c r="X286" s="215"/>
      <c r="Y286" s="213"/>
      <c r="Z286" s="210"/>
      <c r="AA286" s="210"/>
      <c r="AB286" s="210"/>
      <c r="AC286" s="214"/>
      <c r="AD286" s="215"/>
      <c r="AE286" s="215"/>
      <c r="AF286" s="215"/>
      <c r="AG286" s="215"/>
      <c r="AH286" s="213"/>
      <c r="AI286" s="210"/>
      <c r="AJ286" s="210"/>
      <c r="AK286" s="210"/>
      <c r="AL286" s="214"/>
      <c r="AM286" s="215"/>
      <c r="AN286" s="215"/>
      <c r="AO286" s="215"/>
      <c r="AP286" s="215"/>
      <c r="AQ286" s="213"/>
      <c r="AR286" s="210"/>
      <c r="AS286" s="210"/>
      <c r="AT286" s="210"/>
      <c r="AU286" s="214"/>
      <c r="AV286" s="215"/>
      <c r="AW286" s="215"/>
      <c r="AX286" s="215"/>
      <c r="AY286" s="215"/>
      <c r="AZ286" s="213"/>
      <c r="BA286" s="210"/>
      <c r="BB286" s="210"/>
      <c r="BC286" s="210"/>
      <c r="BD286" s="214"/>
      <c r="BE286" s="215"/>
      <c r="BF286" s="215"/>
      <c r="BG286" s="215"/>
      <c r="BH286" s="215"/>
      <c r="BI286" s="213"/>
      <c r="BJ286" s="210"/>
      <c r="BK286" s="210"/>
      <c r="BL286" s="210"/>
      <c r="BM286" s="214"/>
      <c r="BN286" s="215"/>
      <c r="BO286" s="215"/>
      <c r="BP286" s="215"/>
      <c r="BQ286" s="215"/>
      <c r="BR286" s="177"/>
      <c r="BS286" s="210"/>
      <c r="BT286" s="210"/>
      <c r="BU286" s="210"/>
      <c r="BV286" s="213"/>
      <c r="BW286" s="215"/>
      <c r="BX286" s="215"/>
      <c r="BY286" s="215"/>
      <c r="BZ286" s="215"/>
      <c r="CA286" s="210"/>
      <c r="CB286" s="216"/>
      <c r="CC286" s="216"/>
      <c r="CD286" s="216"/>
      <c r="CE286" s="216"/>
      <c r="CF286" s="215"/>
      <c r="CG286" s="215"/>
      <c r="CH286" s="215"/>
      <c r="CI286" s="215"/>
      <c r="CJ286" s="210"/>
      <c r="CK286" s="210"/>
      <c r="CL286" s="210"/>
      <c r="CM286" s="210"/>
      <c r="CN286" s="210"/>
      <c r="CO286" s="215"/>
      <c r="CP286" s="215"/>
      <c r="CQ286" s="215"/>
      <c r="CR286" s="215"/>
      <c r="CS286" s="210"/>
      <c r="CT286" s="210"/>
      <c r="CU286" s="210"/>
      <c r="CV286" s="217"/>
      <c r="CW286" s="218"/>
    </row>
    <row r="287" spans="1:101" ht="14.25" thickTop="1" thickBot="1" x14ac:dyDescent="0.25">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c r="AA287" s="218"/>
      <c r="AB287" s="218"/>
      <c r="AC287" s="218"/>
      <c r="AD287" s="218"/>
      <c r="AE287" s="218"/>
      <c r="AF287" s="218"/>
      <c r="AG287" s="218"/>
      <c r="AH287" s="218"/>
      <c r="AI287" s="218"/>
      <c r="AJ287" s="218"/>
      <c r="AK287" s="218"/>
      <c r="AL287" s="218"/>
      <c r="AM287" s="218"/>
      <c r="AN287" s="218"/>
      <c r="AO287" s="218"/>
      <c r="AP287" s="218"/>
      <c r="AQ287" s="218"/>
      <c r="AR287" s="218"/>
      <c r="AS287" s="218"/>
      <c r="AT287" s="218"/>
      <c r="AU287" s="218"/>
      <c r="AV287" s="218"/>
      <c r="AW287" s="218"/>
      <c r="AX287" s="218"/>
      <c r="AY287" s="218"/>
      <c r="AZ287" s="218"/>
      <c r="BA287" s="218"/>
      <c r="BB287" s="218"/>
      <c r="BC287" s="218"/>
      <c r="BD287" s="218"/>
      <c r="BE287" s="218"/>
      <c r="BF287" s="218"/>
      <c r="BG287" s="218"/>
      <c r="BH287" s="218"/>
      <c r="BI287" s="218"/>
      <c r="BJ287" s="218"/>
      <c r="BK287" s="218"/>
      <c r="BL287" s="218"/>
      <c r="BM287" s="218"/>
      <c r="BN287" s="218"/>
      <c r="BO287" s="218"/>
      <c r="BP287" s="218"/>
      <c r="BQ287" s="218"/>
      <c r="BR287" s="218"/>
      <c r="BS287" s="218"/>
      <c r="BT287" s="218"/>
      <c r="BU287" s="218"/>
      <c r="BV287" s="218"/>
      <c r="BW287" s="218"/>
      <c r="BX287" s="218"/>
      <c r="BY287" s="218"/>
      <c r="BZ287" s="218"/>
      <c r="CA287" s="218"/>
      <c r="CB287" s="392"/>
      <c r="CC287" s="392"/>
      <c r="CD287" s="392"/>
      <c r="CE287" s="392"/>
      <c r="CF287" s="218"/>
      <c r="CG287" s="218"/>
      <c r="CH287" s="218"/>
      <c r="CI287" s="218"/>
      <c r="CJ287" s="218"/>
      <c r="CK287" s="218"/>
      <c r="CL287" s="218"/>
      <c r="CM287" s="218"/>
      <c r="CN287" s="218"/>
      <c r="CO287" s="218"/>
      <c r="CP287" s="218"/>
      <c r="CQ287" s="218"/>
      <c r="CR287" s="218"/>
      <c r="CS287" s="218"/>
      <c r="CT287" s="218"/>
      <c r="CU287" s="218"/>
      <c r="CV287" s="218"/>
      <c r="CW287" s="218"/>
    </row>
    <row r="288" spans="1:101" ht="21" thickTop="1" x14ac:dyDescent="0.3">
      <c r="A288" s="219"/>
      <c r="B288" s="219"/>
      <c r="C288" s="157"/>
      <c r="D288" s="158"/>
      <c r="E288" s="731" t="s">
        <v>44</v>
      </c>
      <c r="F288" s="229"/>
      <c r="G288" s="229"/>
      <c r="H288" s="229"/>
      <c r="I288" s="877" t="e" vm="1">
        <v>#VALUE!</v>
      </c>
      <c r="J288" s="877"/>
      <c r="K288" s="877"/>
      <c r="L288" s="877"/>
      <c r="M288" s="159"/>
      <c r="N288" s="159"/>
      <c r="O288" s="159"/>
      <c r="P288" s="160"/>
      <c r="Q288" s="159"/>
      <c r="R288" s="159"/>
      <c r="S288" s="159"/>
      <c r="T288" s="161"/>
      <c r="U288" s="162"/>
      <c r="V288" s="162"/>
      <c r="W288" s="162"/>
      <c r="X288" s="162"/>
      <c r="Y288" s="160"/>
      <c r="Z288" s="159"/>
      <c r="AA288" s="159"/>
      <c r="AB288" s="159"/>
      <c r="AC288" s="161"/>
      <c r="AD288" s="162"/>
      <c r="AE288" s="162"/>
      <c r="AF288" s="162"/>
      <c r="AG288" s="162"/>
      <c r="AH288" s="160"/>
      <c r="AI288" s="159"/>
      <c r="AJ288" s="201"/>
      <c r="AK288" s="201"/>
      <c r="AL288" s="164"/>
      <c r="AM288" s="162"/>
      <c r="AN288" s="162"/>
      <c r="AO288" s="162"/>
      <c r="AP288" s="162"/>
      <c r="AQ288" s="202"/>
      <c r="AR288" s="203"/>
      <c r="AS288" s="165"/>
      <c r="AT288" s="166"/>
      <c r="AU288" s="164"/>
      <c r="AV288" s="162"/>
      <c r="AW288" s="162"/>
      <c r="AX288" s="162"/>
      <c r="AY288" s="162"/>
      <c r="AZ288" s="202"/>
      <c r="BA288" s="203"/>
      <c r="BB288" s="166"/>
      <c r="BC288" s="201"/>
      <c r="BD288" s="204"/>
      <c r="BE288" s="162"/>
      <c r="BF288" s="162"/>
      <c r="BG288" s="162"/>
      <c r="BH288" s="162"/>
      <c r="BI288" s="205"/>
      <c r="BJ288" s="201"/>
      <c r="BK288" s="201"/>
      <c r="BL288" s="201"/>
      <c r="BM288" s="204"/>
      <c r="BN288" s="162"/>
      <c r="BO288" s="162"/>
      <c r="BP288" s="162"/>
      <c r="BQ288" s="162"/>
      <c r="BR288" s="167"/>
      <c r="BS288" s="201"/>
      <c r="BT288" s="201"/>
      <c r="BU288" s="201"/>
      <c r="BV288" s="205"/>
      <c r="BW288" s="162"/>
      <c r="BX288" s="162"/>
      <c r="BY288" s="162"/>
      <c r="BZ288" s="162"/>
      <c r="CA288" s="201"/>
      <c r="CB288" s="393"/>
      <c r="CC288" s="393"/>
      <c r="CD288" s="393"/>
      <c r="CE288" s="393"/>
      <c r="CF288" s="162"/>
      <c r="CG288" s="162"/>
      <c r="CH288" s="162"/>
      <c r="CI288" s="162"/>
      <c r="CJ288" s="163"/>
      <c r="CK288" s="163"/>
      <c r="CL288" s="163"/>
      <c r="CM288" s="163"/>
      <c r="CN288" s="163"/>
      <c r="CO288" s="162"/>
      <c r="CP288" s="162"/>
      <c r="CQ288" s="162"/>
      <c r="CR288" s="162"/>
      <c r="CS288" s="163"/>
      <c r="CT288" s="358"/>
      <c r="CU288" s="201"/>
      <c r="CV288" s="206"/>
      <c r="CW288" s="218"/>
    </row>
    <row r="289" spans="1:101" ht="15.75" customHeight="1" thickBot="1" x14ac:dyDescent="0.25">
      <c r="A289" s="219"/>
      <c r="B289" s="219"/>
      <c r="C289" s="168"/>
      <c r="D289" s="785"/>
      <c r="E289" s="869" t="s">
        <v>45</v>
      </c>
      <c r="F289" s="363"/>
      <c r="G289" s="363"/>
      <c r="H289" s="363"/>
      <c r="I289" s="878"/>
      <c r="J289" s="878"/>
      <c r="K289" s="878"/>
      <c r="L289" s="878"/>
      <c r="M289" s="363"/>
      <c r="N289" s="363"/>
      <c r="O289" s="363"/>
      <c r="P289" s="363"/>
      <c r="Q289" s="363"/>
      <c r="R289" s="363"/>
      <c r="S289" s="363"/>
      <c r="T289" s="363"/>
      <c r="U289" s="363"/>
      <c r="V289" s="363"/>
      <c r="W289" s="363"/>
      <c r="X289" s="363"/>
      <c r="Y289" s="363"/>
      <c r="Z289" s="363"/>
      <c r="AA289" s="363"/>
      <c r="AB289" s="363"/>
      <c r="AC289" s="363"/>
      <c r="AD289" s="363"/>
      <c r="AE289" s="363"/>
      <c r="AF289" s="363"/>
      <c r="AG289" s="363"/>
      <c r="AH289" s="363"/>
      <c r="AI289" s="363"/>
      <c r="AJ289" s="363"/>
      <c r="AK289" s="363"/>
      <c r="AL289" s="363"/>
      <c r="AM289" s="363"/>
      <c r="AN289" s="363"/>
      <c r="AO289" s="363"/>
      <c r="AP289" s="363"/>
      <c r="AQ289" s="363"/>
      <c r="AR289" s="363"/>
      <c r="AS289" s="363"/>
      <c r="AT289" s="363"/>
      <c r="AU289" s="363"/>
      <c r="AV289" s="363"/>
      <c r="AW289" s="363"/>
      <c r="AX289" s="363"/>
      <c r="AY289" s="363"/>
      <c r="AZ289" s="363"/>
      <c r="BA289" s="363"/>
      <c r="BB289" s="363"/>
      <c r="BC289" s="363"/>
      <c r="BD289" s="363"/>
      <c r="BE289" s="363"/>
      <c r="BF289" s="363"/>
      <c r="BG289" s="363"/>
      <c r="BH289" s="363"/>
      <c r="BI289" s="363"/>
      <c r="BJ289" s="363"/>
      <c r="BK289" s="363"/>
      <c r="BL289" s="363"/>
      <c r="BM289" s="363"/>
      <c r="BN289" s="363"/>
      <c r="BO289" s="363"/>
      <c r="BP289" s="363"/>
      <c r="BQ289" s="363"/>
      <c r="BR289" s="363"/>
      <c r="BS289" s="363"/>
      <c r="BT289" s="363"/>
      <c r="BU289" s="363"/>
      <c r="BV289" s="363"/>
      <c r="BW289" s="363"/>
      <c r="BX289" s="363"/>
      <c r="BY289" s="363"/>
      <c r="BZ289" s="363"/>
      <c r="CA289" s="363"/>
      <c r="CB289" s="394"/>
      <c r="CC289" s="394"/>
      <c r="CD289" s="394"/>
      <c r="CE289" s="394"/>
      <c r="CF289" s="363"/>
      <c r="CG289" s="363"/>
      <c r="CH289" s="363"/>
      <c r="CI289" s="363"/>
      <c r="CJ289" s="363"/>
      <c r="CK289" s="363"/>
      <c r="CL289" s="363"/>
      <c r="CM289" s="363"/>
      <c r="CN289" s="323"/>
      <c r="CO289" s="363"/>
      <c r="CP289" s="363"/>
      <c r="CQ289" s="363"/>
      <c r="CR289" s="363"/>
      <c r="CS289" s="323"/>
      <c r="CT289" s="155"/>
      <c r="CU289" s="269"/>
      <c r="CV289" s="209"/>
      <c r="CW289" s="218"/>
    </row>
    <row r="290" spans="1:101" ht="18.75" customHeight="1" thickTop="1" x14ac:dyDescent="0.2">
      <c r="A290" s="219"/>
      <c r="B290" s="219"/>
      <c r="C290" s="174"/>
      <c r="D290" s="778"/>
      <c r="E290" s="777"/>
      <c r="F290" s="235"/>
      <c r="G290" s="234"/>
      <c r="H290" s="234"/>
      <c r="I290" s="875">
        <f>WEEKNUM(E291)</f>
        <v>46</v>
      </c>
      <c r="J290" s="875"/>
      <c r="K290" s="875"/>
      <c r="L290" s="250"/>
      <c r="M290" s="261"/>
      <c r="N290" s="205"/>
      <c r="O290" s="236"/>
      <c r="P290" s="236"/>
      <c r="Q290" s="675" t="str">
        <f>IF($F294="","",SUM(Q306:S306)-S292)</f>
        <v/>
      </c>
      <c r="R290" s="675"/>
      <c r="S290" s="675"/>
      <c r="T290" s="237"/>
      <c r="U290" s="238"/>
      <c r="V290" s="238"/>
      <c r="W290" s="238"/>
      <c r="X290" s="238"/>
      <c r="Y290" s="236"/>
      <c r="Z290" s="675" t="str">
        <f>IF($F294="","",SUM(Z306:AB306)-AB292)</f>
        <v/>
      </c>
      <c r="AA290" s="675"/>
      <c r="AB290" s="675"/>
      <c r="AC290" s="237"/>
      <c r="AD290" s="238"/>
      <c r="AE290" s="238"/>
      <c r="AF290" s="238"/>
      <c r="AG290" s="238"/>
      <c r="AH290" s="236"/>
      <c r="AI290" s="675" t="str">
        <f>IF($F294="","",SUM(AI306:AK306)-AK292)</f>
        <v/>
      </c>
      <c r="AJ290" s="675"/>
      <c r="AK290" s="675"/>
      <c r="AL290" s="237"/>
      <c r="AM290" s="238"/>
      <c r="AN290" s="238"/>
      <c r="AO290" s="238"/>
      <c r="AP290" s="238"/>
      <c r="AQ290" s="236"/>
      <c r="AR290" s="675" t="str">
        <f>IF($F294="","",SUM(AR306:AT306)-AT292)</f>
        <v/>
      </c>
      <c r="AS290" s="675"/>
      <c r="AT290" s="675"/>
      <c r="AU290" s="239"/>
      <c r="AV290" s="238"/>
      <c r="AW290" s="238"/>
      <c r="AX290" s="238"/>
      <c r="AY290" s="238"/>
      <c r="AZ290" s="240"/>
      <c r="BA290" s="675" t="str">
        <f>IF($F294="","",SUM(BA306:BC306)-BC292)</f>
        <v/>
      </c>
      <c r="BB290" s="675"/>
      <c r="BC290" s="675"/>
      <c r="BD290" s="239"/>
      <c r="BE290" s="238"/>
      <c r="BF290" s="238"/>
      <c r="BG290" s="238"/>
      <c r="BH290" s="238"/>
      <c r="BI290" s="240"/>
      <c r="BJ290" s="675" t="str">
        <f>IF($F294="","",SUM(BJ306:BL306)-BL292)</f>
        <v/>
      </c>
      <c r="BK290" s="675"/>
      <c r="BL290" s="675"/>
      <c r="BM290" s="239"/>
      <c r="BN290" s="238"/>
      <c r="BO290" s="238"/>
      <c r="BP290" s="238"/>
      <c r="BQ290" s="238"/>
      <c r="BR290" s="241"/>
      <c r="BS290" s="675" t="str">
        <f>IF($F294="","",SUM(BS306:BU306)-BU292)</f>
        <v/>
      </c>
      <c r="BT290" s="675"/>
      <c r="BU290" s="675"/>
      <c r="BV290" s="240"/>
      <c r="BW290" s="238"/>
      <c r="BX290" s="238"/>
      <c r="BY290" s="238"/>
      <c r="BZ290" s="238"/>
      <c r="CA290" s="241"/>
      <c r="CB290" s="675" t="str">
        <f>IF($F294="","",SUM(CB306:CD306)-CD292)</f>
        <v/>
      </c>
      <c r="CC290" s="675"/>
      <c r="CD290" s="675"/>
      <c r="CE290" s="240"/>
      <c r="CF290" s="238"/>
      <c r="CG290" s="238"/>
      <c r="CH290" s="238"/>
      <c r="CI290" s="238"/>
      <c r="CJ290" s="234"/>
      <c r="CK290" s="675" t="str">
        <f>IF($F294="","",SUM(CK306:CM306))</f>
        <v/>
      </c>
      <c r="CL290" s="675"/>
      <c r="CM290" s="675"/>
      <c r="CN290" s="240"/>
      <c r="CO290" s="238"/>
      <c r="CP290" s="238"/>
      <c r="CQ290" s="238"/>
      <c r="CR290" s="238"/>
      <c r="CS290" s="234"/>
      <c r="CT290" s="234"/>
      <c r="CU290" s="251"/>
      <c r="CV290" s="209"/>
      <c r="CW290" s="218"/>
    </row>
    <row r="291" spans="1:101" ht="12.75" customHeight="1" x14ac:dyDescent="0.2">
      <c r="A291" s="219"/>
      <c r="B291" s="219"/>
      <c r="C291" s="174"/>
      <c r="D291" s="779"/>
      <c r="E291" s="543">
        <f>E269+7</f>
        <v>46340</v>
      </c>
      <c r="F291" s="178"/>
      <c r="G291" s="179"/>
      <c r="H291" s="179"/>
      <c r="I291" s="876"/>
      <c r="J291" s="876"/>
      <c r="K291" s="876"/>
      <c r="L291" s="254"/>
      <c r="M291" s="329"/>
      <c r="N291" s="208"/>
      <c r="O291" s="180"/>
      <c r="P291" s="180"/>
      <c r="Q291" s="584" t="str">
        <f>IF(Q290="","",Q290/Data!$X$1)</f>
        <v/>
      </c>
      <c r="R291" s="584"/>
      <c r="S291" s="585" t="str">
        <f>IF(SUM(X294:X305)=0,"",SUM(X294:X305))</f>
        <v/>
      </c>
      <c r="T291" s="181"/>
      <c r="U291" s="182"/>
      <c r="V291" s="182"/>
      <c r="W291" s="182"/>
      <c r="X291" s="182"/>
      <c r="Y291" s="180"/>
      <c r="Z291" s="584" t="str">
        <f>IF(Z290="","",Z290/Data!$X$1)</f>
        <v/>
      </c>
      <c r="AA291" s="584"/>
      <c r="AB291" s="585" t="str">
        <f>IF(SUM(AG294:AG305)=0,"",SUM(AG294:AG305))</f>
        <v/>
      </c>
      <c r="AC291" s="181"/>
      <c r="AD291" s="182"/>
      <c r="AE291" s="182"/>
      <c r="AF291" s="182"/>
      <c r="AG291" s="182"/>
      <c r="AH291" s="180"/>
      <c r="AI291" s="584" t="str">
        <f>IF(AI290="","",AI290/Data!$X$1)</f>
        <v/>
      </c>
      <c r="AJ291" s="584"/>
      <c r="AK291" s="585" t="str">
        <f>IF(SUM(AP294:AP305)=0,"",SUM(AP294:AP305))</f>
        <v/>
      </c>
      <c r="AL291" s="181"/>
      <c r="AM291" s="182"/>
      <c r="AN291" s="182"/>
      <c r="AO291" s="182"/>
      <c r="AP291" s="182"/>
      <c r="AQ291" s="180"/>
      <c r="AR291" s="584" t="str">
        <f>IF(AR290="","",AR290/Data!$X$1)</f>
        <v/>
      </c>
      <c r="AS291" s="584"/>
      <c r="AT291" s="585" t="str">
        <f>IF(SUM(AY294:AY305)=0,"",SUM(AY294:AY305))</f>
        <v/>
      </c>
      <c r="AU291" s="183"/>
      <c r="AV291" s="182"/>
      <c r="AW291" s="182"/>
      <c r="AX291" s="182"/>
      <c r="AY291" s="182"/>
      <c r="AZ291" s="184"/>
      <c r="BA291" s="584" t="str">
        <f>IF(BA290="","",BA290/Data!$X$1)</f>
        <v/>
      </c>
      <c r="BB291" s="584"/>
      <c r="BC291" s="585" t="str">
        <f>IF(SUM(BH294:BH305)=0,"",SUM(BH294:BH305))</f>
        <v/>
      </c>
      <c r="BD291" s="183"/>
      <c r="BE291" s="182"/>
      <c r="BF291" s="182"/>
      <c r="BG291" s="182"/>
      <c r="BH291" s="182"/>
      <c r="BI291" s="184"/>
      <c r="BJ291" s="584" t="str">
        <f>IF(BJ290="","",BJ290/Data!$X$1)</f>
        <v/>
      </c>
      <c r="BK291" s="584"/>
      <c r="BL291" s="585" t="str">
        <f>IF(SUM(BQ294:BQ305)=0,"",SUM(BQ294:BQ305))</f>
        <v/>
      </c>
      <c r="BM291" s="183"/>
      <c r="BN291" s="182"/>
      <c r="BO291" s="182"/>
      <c r="BP291" s="182"/>
      <c r="BQ291" s="182"/>
      <c r="BR291" s="185"/>
      <c r="BS291" s="584" t="str">
        <f>IF(BS290="","",BS290/Data!$X$1)</f>
        <v/>
      </c>
      <c r="BT291" s="584"/>
      <c r="BU291" s="585" t="str">
        <f>IF(SUM(BZ294:BZ305)=0,"",SUM(BZ294:BZ305))</f>
        <v/>
      </c>
      <c r="BV291" s="184"/>
      <c r="BW291" s="182"/>
      <c r="BX291" s="182"/>
      <c r="BY291" s="182"/>
      <c r="BZ291" s="182"/>
      <c r="CA291" s="185"/>
      <c r="CB291" s="584" t="str">
        <f>IF(CB290="","",CB290/Data!$X$1)</f>
        <v/>
      </c>
      <c r="CC291" s="584"/>
      <c r="CD291" s="585" t="str">
        <f>IF(SUM(CI294:CI305)=0,"",SUM(CI294:CI305))</f>
        <v/>
      </c>
      <c r="CE291" s="184"/>
      <c r="CF291" s="182"/>
      <c r="CG291" s="182"/>
      <c r="CH291" s="182"/>
      <c r="CI291" s="182"/>
      <c r="CJ291" s="182"/>
      <c r="CK291" s="584" t="str">
        <f>IF(CK290="","",CK290/Data!$X$1)</f>
        <v/>
      </c>
      <c r="CL291" s="584"/>
      <c r="CM291" s="585" t="str">
        <f>IF(SUM(CR294:CR305)=0,"",SUM(CR294:CR305))</f>
        <v/>
      </c>
      <c r="CN291" s="184"/>
      <c r="CO291" s="182"/>
      <c r="CP291" s="182"/>
      <c r="CQ291" s="182"/>
      <c r="CR291" s="182"/>
      <c r="CS291" s="182"/>
      <c r="CT291" s="182"/>
      <c r="CU291" s="255"/>
      <c r="CV291" s="209"/>
      <c r="CW291" s="218"/>
    </row>
    <row r="292" spans="1:101" ht="13.5" thickBot="1" x14ac:dyDescent="0.25">
      <c r="A292" s="219"/>
      <c r="B292" s="219"/>
      <c r="C292" s="174"/>
      <c r="D292" s="230"/>
      <c r="E292" s="359"/>
      <c r="F292" s="186"/>
      <c r="G292" s="187"/>
      <c r="H292" s="187"/>
      <c r="I292" s="673"/>
      <c r="J292" s="674"/>
      <c r="K292" s="674"/>
      <c r="L292" s="256"/>
      <c r="M292" s="330"/>
      <c r="N292" s="334"/>
      <c r="O292" s="187"/>
      <c r="P292" s="187"/>
      <c r="Q292" s="342" t="str">
        <f>Data!$E$11</f>
        <v>AHH</v>
      </c>
      <c r="R292" s="343" t="str">
        <f>IF($F305="","",RANK(Q290,$Q290:$CL290))</f>
        <v/>
      </c>
      <c r="S292" s="466"/>
      <c r="T292" s="181"/>
      <c r="U292" s="182"/>
      <c r="V292" s="182"/>
      <c r="W292" s="182"/>
      <c r="X292" s="197">
        <f>COUNTIF(U294:W305,"&gt;0")</f>
        <v>0</v>
      </c>
      <c r="Y292" s="180"/>
      <c r="Z292" s="342" t="str">
        <f>Data!$E$12</f>
        <v>RB</v>
      </c>
      <c r="AA292" s="343" t="str">
        <f>IF($F305="","",RANK(Z290,$Q290:$CL290))</f>
        <v/>
      </c>
      <c r="AB292" s="466"/>
      <c r="AC292" s="181"/>
      <c r="AD292" s="182"/>
      <c r="AE292" s="182"/>
      <c r="AF292" s="182"/>
      <c r="AG292" s="197">
        <f>COUNTIF(AD294:AF305,"&gt;0")</f>
        <v>0</v>
      </c>
      <c r="AH292" s="180"/>
      <c r="AI292" s="342" t="str">
        <f>Data!$E$13</f>
        <v>EB</v>
      </c>
      <c r="AJ292" s="343" t="str">
        <f>IF($F305="","",RANK(AI290,$Q290:$CL290))</f>
        <v/>
      </c>
      <c r="AK292" s="466"/>
      <c r="AL292" s="181"/>
      <c r="AM292" s="182"/>
      <c r="AN292" s="182"/>
      <c r="AO292" s="182"/>
      <c r="AP292" s="197">
        <f>COUNTIF(AM294:AO305,"&gt;0")</f>
        <v>0</v>
      </c>
      <c r="AQ292" s="180"/>
      <c r="AR292" s="305" t="str">
        <f>Data!$E$14</f>
        <v>KAF</v>
      </c>
      <c r="AS292" s="343" t="str">
        <f>IF($F305="","",RANK(AR290,$Q290:$CL290))</f>
        <v/>
      </c>
      <c r="AT292" s="466"/>
      <c r="AU292" s="181"/>
      <c r="AV292" s="182"/>
      <c r="AW292" s="182"/>
      <c r="AX292" s="182"/>
      <c r="AY292" s="197">
        <f>COUNTIF(AV294:AX305,"&gt;0")</f>
        <v>0</v>
      </c>
      <c r="AZ292" s="180"/>
      <c r="BA292" s="305" t="str">
        <f>Data!$E$15</f>
        <v>ØG</v>
      </c>
      <c r="BB292" s="343" t="str">
        <f>IF($F305="","",RANK(BA290,$Q290:$CL290))</f>
        <v/>
      </c>
      <c r="BC292" s="466"/>
      <c r="BD292" s="181"/>
      <c r="BE292" s="182"/>
      <c r="BF292" s="182"/>
      <c r="BG292" s="182"/>
      <c r="BH292" s="197">
        <f>COUNTIF(BE294:BG305,"&gt;0")</f>
        <v>0</v>
      </c>
      <c r="BI292" s="180"/>
      <c r="BJ292" s="305" t="str">
        <f>Data!$E$16</f>
        <v>JH</v>
      </c>
      <c r="BK292" s="343" t="str">
        <f>IF($F305="","",RANK(BJ290,$Q290:$CL290))</f>
        <v/>
      </c>
      <c r="BL292" s="466"/>
      <c r="BM292" s="181"/>
      <c r="BN292" s="182"/>
      <c r="BO292" s="182"/>
      <c r="BP292" s="182"/>
      <c r="BQ292" s="197">
        <f>COUNTIF(BN294:BP305,"&gt;0")</f>
        <v>0</v>
      </c>
      <c r="BR292" s="188"/>
      <c r="BS292" s="305" t="str">
        <f>Data!$E$17</f>
        <v>TOH</v>
      </c>
      <c r="BT292" s="343" t="str">
        <f>IF($F305="","",RANK(BS290,$Q290:$CL290))</f>
        <v/>
      </c>
      <c r="BU292" s="466"/>
      <c r="BV292" s="180"/>
      <c r="BW292" s="182"/>
      <c r="BX292" s="182"/>
      <c r="BY292" s="182"/>
      <c r="BZ292" s="197">
        <f>COUNTIF(BW294:BY305,"&gt;0")</f>
        <v>0</v>
      </c>
      <c r="CA292" s="188"/>
      <c r="CB292" s="305" t="s">
        <v>26</v>
      </c>
      <c r="CC292" s="343" t="str">
        <f>IF($F305="","",RANK(CB290,$Q290:$CM290))</f>
        <v/>
      </c>
      <c r="CD292" s="467"/>
      <c r="CE292" s="180"/>
      <c r="CF292" s="182"/>
      <c r="CG292" s="182"/>
      <c r="CH292" s="182"/>
      <c r="CI292" s="197">
        <f>COUNTIF(CF294:CH305,"&gt;0")</f>
        <v>0</v>
      </c>
      <c r="CJ292" s="182"/>
      <c r="CK292" s="305" t="s">
        <v>27</v>
      </c>
      <c r="CL292" s="343" t="str">
        <f>IF($F305="","",RANK(CK290,$Q290:$CM290))</f>
        <v/>
      </c>
      <c r="CM292" s="669"/>
      <c r="CN292" s="180"/>
      <c r="CO292" s="182"/>
      <c r="CP292" s="182"/>
      <c r="CQ292" s="182"/>
      <c r="CR292" s="197">
        <f>COUNTIF(CO294:CQ305,"&gt;0")</f>
        <v>0</v>
      </c>
      <c r="CS292" s="182"/>
      <c r="CT292" s="182"/>
      <c r="CU292" s="255"/>
      <c r="CV292" s="209"/>
      <c r="CW292" s="218"/>
    </row>
    <row r="293" spans="1:101" ht="13.5" thickBot="1" x14ac:dyDescent="0.25">
      <c r="A293" s="227"/>
      <c r="B293" s="227"/>
      <c r="C293" s="168"/>
      <c r="D293" s="231"/>
      <c r="E293" s="189"/>
      <c r="F293" s="190"/>
      <c r="G293" s="191"/>
      <c r="H293" s="191"/>
      <c r="I293" s="192" t="s">
        <v>47</v>
      </c>
      <c r="J293" s="193" t="s">
        <v>48</v>
      </c>
      <c r="K293" s="194" t="s">
        <v>49</v>
      </c>
      <c r="L293" s="257"/>
      <c r="M293" s="331"/>
      <c r="N293" s="335"/>
      <c r="O293" s="195"/>
      <c r="P293" s="195"/>
      <c r="Q293" s="192" t="s">
        <v>47</v>
      </c>
      <c r="R293" s="193" t="s">
        <v>48</v>
      </c>
      <c r="S293" s="194" t="s">
        <v>49</v>
      </c>
      <c r="T293" s="196"/>
      <c r="U293" s="197"/>
      <c r="V293" s="197"/>
      <c r="W293" s="197"/>
      <c r="X293" s="197"/>
      <c r="Y293" s="195"/>
      <c r="Z293" s="192" t="s">
        <v>47</v>
      </c>
      <c r="AA293" s="193" t="s">
        <v>48</v>
      </c>
      <c r="AB293" s="194" t="s">
        <v>49</v>
      </c>
      <c r="AC293" s="196"/>
      <c r="AD293" s="197"/>
      <c r="AE293" s="197"/>
      <c r="AF293" s="197"/>
      <c r="AG293" s="197"/>
      <c r="AH293" s="195"/>
      <c r="AI293" s="192" t="s">
        <v>47</v>
      </c>
      <c r="AJ293" s="193" t="s">
        <v>48</v>
      </c>
      <c r="AK293" s="194" t="s">
        <v>49</v>
      </c>
      <c r="AL293" s="196"/>
      <c r="AM293" s="197"/>
      <c r="AN293" s="197"/>
      <c r="AO293" s="197"/>
      <c r="AP293" s="197"/>
      <c r="AQ293" s="195"/>
      <c r="AR293" s="192" t="s">
        <v>47</v>
      </c>
      <c r="AS293" s="193" t="s">
        <v>48</v>
      </c>
      <c r="AT293" s="194" t="s">
        <v>49</v>
      </c>
      <c r="AU293" s="196"/>
      <c r="AV293" s="197"/>
      <c r="AW293" s="197"/>
      <c r="AX293" s="197"/>
      <c r="AY293" s="197"/>
      <c r="AZ293" s="195"/>
      <c r="BA293" s="192" t="s">
        <v>47</v>
      </c>
      <c r="BB293" s="193" t="s">
        <v>48</v>
      </c>
      <c r="BC293" s="194" t="s">
        <v>49</v>
      </c>
      <c r="BD293" s="196"/>
      <c r="BE293" s="197"/>
      <c r="BF293" s="197"/>
      <c r="BG293" s="197"/>
      <c r="BH293" s="197"/>
      <c r="BI293" s="195"/>
      <c r="BJ293" s="192" t="s">
        <v>47</v>
      </c>
      <c r="BK293" s="193" t="s">
        <v>48</v>
      </c>
      <c r="BL293" s="194" t="s">
        <v>49</v>
      </c>
      <c r="BM293" s="196"/>
      <c r="BN293" s="197"/>
      <c r="BO293" s="197"/>
      <c r="BP293" s="197"/>
      <c r="BQ293" s="197"/>
      <c r="BR293" s="195"/>
      <c r="BS293" s="192" t="s">
        <v>47</v>
      </c>
      <c r="BT293" s="193" t="s">
        <v>48</v>
      </c>
      <c r="BU293" s="194" t="s">
        <v>49</v>
      </c>
      <c r="BV293" s="196"/>
      <c r="BW293" s="197"/>
      <c r="BX293" s="197"/>
      <c r="BY293" s="197"/>
      <c r="BZ293" s="197"/>
      <c r="CA293" s="195"/>
      <c r="CB293" s="192" t="s">
        <v>47</v>
      </c>
      <c r="CC293" s="193" t="s">
        <v>48</v>
      </c>
      <c r="CD293" s="194" t="s">
        <v>49</v>
      </c>
      <c r="CE293" s="196"/>
      <c r="CF293" s="197"/>
      <c r="CG293" s="197"/>
      <c r="CH293" s="197"/>
      <c r="CI293" s="197"/>
      <c r="CJ293" s="197"/>
      <c r="CK293" s="192" t="s">
        <v>47</v>
      </c>
      <c r="CL293" s="193" t="s">
        <v>48</v>
      </c>
      <c r="CM293" s="194" t="s">
        <v>49</v>
      </c>
      <c r="CN293" s="196"/>
      <c r="CO293" s="197"/>
      <c r="CP293" s="197"/>
      <c r="CQ293" s="197"/>
      <c r="CR293" s="197"/>
      <c r="CS293" s="197"/>
      <c r="CT293" s="198"/>
      <c r="CU293" s="255"/>
      <c r="CV293" s="209"/>
      <c r="CW293" s="228"/>
    </row>
    <row r="294" spans="1:101" x14ac:dyDescent="0.2">
      <c r="A294" s="227"/>
      <c r="B294" s="227"/>
      <c r="C294" s="168"/>
      <c r="D294" s="232"/>
      <c r="E294" s="134" t="s">
        <v>210</v>
      </c>
      <c r="F294" s="424"/>
      <c r="G294" s="428"/>
      <c r="H294" s="429"/>
      <c r="I294" s="138" t="str">
        <f t="shared" ref="I294:I305" si="425">IF($F294&gt;$H294,"x","")</f>
        <v/>
      </c>
      <c r="J294" s="344" t="str">
        <f t="shared" ref="J294:J305" si="426">IF(F294&lt;&gt;"",IF(H294&lt;&gt;"",IF(F294=H294,"x",""),""),"")</f>
        <v/>
      </c>
      <c r="K294" s="345" t="str">
        <f t="shared" ref="K294:K305" si="427">IF($F294&lt;$H294,"x","")</f>
        <v/>
      </c>
      <c r="L294" s="258"/>
      <c r="M294" s="332"/>
      <c r="N294" s="336"/>
      <c r="O294" s="200"/>
      <c r="P294" s="200"/>
      <c r="Q294" s="436"/>
      <c r="R294" s="437"/>
      <c r="S294" s="438" t="str">
        <f t="shared" ref="S294:S305" si="428">IF(Q294="","",100-SUM(Q294:R294))</f>
        <v/>
      </c>
      <c r="T294" s="328"/>
      <c r="U294" s="197" t="str">
        <f>IF(AND($I294="x",AND(MAX(Q294:S294)=Q294,Q294&gt;=0)),Data!$BI$2,"")</f>
        <v/>
      </c>
      <c r="V294" s="197" t="str">
        <f>IF(AND($J294="x",AND(MAX(Q294:S294)=R294,R294&gt;=0)),Data!$BJ$2,"")</f>
        <v/>
      </c>
      <c r="W294" s="197" t="str">
        <f>IF(AND($K294="x",AND(MAX(Q294:S294)=S294,S294&gt;=0)),Data!$BK$2,"")</f>
        <v/>
      </c>
      <c r="X294" s="197"/>
      <c r="Y294" s="328"/>
      <c r="Z294" s="451"/>
      <c r="AA294" s="452"/>
      <c r="AB294" s="438" t="str">
        <f t="shared" ref="AB294:AB305" si="429">IF(Z294="","",100-SUM(Z294:AA294))</f>
        <v/>
      </c>
      <c r="AC294" s="328"/>
      <c r="AD294" s="197" t="str">
        <f>IF(AND($I294="x",AND(MAX(Z294:AB294)=Z294,Z294&lt;&gt;"")),Data!$BI$2,"")</f>
        <v/>
      </c>
      <c r="AE294" s="197" t="str">
        <f>IF(AND($J294="x",AND(MAX(Z294:AB294)=AA294,AA294&lt;&gt;"")),Data!$BJ$2,"")</f>
        <v/>
      </c>
      <c r="AF294" s="197" t="str">
        <f>IF(AND($K294="x",AND(MAX(Z294:AB294)=AB294,AB294&lt;&gt;"")),Data!$BK$2,"")</f>
        <v/>
      </c>
      <c r="AG294" s="197"/>
      <c r="AH294" s="328"/>
      <c r="AI294" s="451"/>
      <c r="AJ294" s="452"/>
      <c r="AK294" s="438" t="str">
        <f t="shared" ref="AK294:AK305" si="430">IF(AI294="","",100-SUM(AI294:AJ294))</f>
        <v/>
      </c>
      <c r="AL294" s="328"/>
      <c r="AM294" s="197" t="str">
        <f>IF(AND($I294="x",AND(MAX(AI294:AK294)=AI294,AI294&lt;&gt;"")),Data!$BI$2,"")</f>
        <v/>
      </c>
      <c r="AN294" s="197" t="str">
        <f>IF(AND($J294="x",AND(MAX(AI294:AK294)=AJ294,AJ294&lt;&gt;"")),Data!$BJ$2,"")</f>
        <v/>
      </c>
      <c r="AO294" s="197" t="str">
        <f>IF(AND($K294="x",AND(MAX(AI294:AK294)=AK294,AK294&lt;&gt;"")),Data!$BK$2,"")</f>
        <v/>
      </c>
      <c r="AP294" s="197"/>
      <c r="AQ294" s="328"/>
      <c r="AR294" s="451"/>
      <c r="AS294" s="452"/>
      <c r="AT294" s="438" t="str">
        <f t="shared" ref="AT294:AT305" si="431">IF(AR294="","",100-SUM(AR294:AS294))</f>
        <v/>
      </c>
      <c r="AU294" s="328"/>
      <c r="AV294" s="197" t="str">
        <f>IF(AND($I294="x",AND(MAX(AR294:AT294)=AR294,AR294&lt;&gt;"")),Data!$BI$2,"")</f>
        <v/>
      </c>
      <c r="AW294" s="197" t="str">
        <f>IF(AND($J294="x",AND(MAX(AR294:AT294)=AS294,AS294&lt;&gt;"")),Data!$BJ$2,"")</f>
        <v/>
      </c>
      <c r="AX294" s="197" t="str">
        <f>IF(AND($K294="x",AND(MAX(AR294:AT294)=AT294,AT294&lt;&gt;"")),Data!$BK$2,"")</f>
        <v/>
      </c>
      <c r="AY294" s="197"/>
      <c r="AZ294" s="328"/>
      <c r="BA294" s="451"/>
      <c r="BB294" s="452"/>
      <c r="BC294" s="438" t="str">
        <f t="shared" ref="BC294:BC305" si="432">IF(BA294="","",100-SUM(BA294:BB294))</f>
        <v/>
      </c>
      <c r="BD294" s="328"/>
      <c r="BE294" s="197" t="str">
        <f>IF(AND($I294="x",AND(MAX(BA294:BC294)=BA294,BA294&lt;&gt;"")),Data!$BI$2,"")</f>
        <v/>
      </c>
      <c r="BF294" s="197" t="str">
        <f>IF(AND($J294="x",AND(MAX(BA294:BC294)=BB294,BB294&lt;&gt;"")),Data!$BJ$2,"")</f>
        <v/>
      </c>
      <c r="BG294" s="197" t="str">
        <f>IF(AND($K294="x",AND(MAX(BA294:BC294)=BC294,BC294&lt;&gt;"")),Data!$BK$2,"")</f>
        <v/>
      </c>
      <c r="BH294" s="197"/>
      <c r="BI294" s="328"/>
      <c r="BJ294" s="451"/>
      <c r="BK294" s="452"/>
      <c r="BL294" s="438" t="str">
        <f t="shared" ref="BL294:BL305" si="433">IF(BJ294="","",100-SUM(BJ294:BK294))</f>
        <v/>
      </c>
      <c r="BM294" s="328"/>
      <c r="BN294" s="197" t="str">
        <f>IF(AND($I294="x",AND(MAX(BJ294:BL294)=BJ294,BJ294&lt;&gt;"")),Data!$BI$2,"")</f>
        <v/>
      </c>
      <c r="BO294" s="197" t="str">
        <f>IF(AND($J294="x",AND(MAX(BJ294:BL294)=BK294,BK294&lt;&gt;"")),Data!$BJ$2,"")</f>
        <v/>
      </c>
      <c r="BP294" s="197" t="str">
        <f>IF(AND($K294="x",AND(MAX(BJ294:BL294)=BL294,BL294&lt;&gt;"")),Data!$BK$2,"")</f>
        <v/>
      </c>
      <c r="BQ294" s="197"/>
      <c r="BR294" s="328"/>
      <c r="BS294" s="451"/>
      <c r="BT294" s="452"/>
      <c r="BU294" s="438" t="str">
        <f t="shared" ref="BU294:BU305" si="434">IF(BS294="","",100-SUM(BS294:BT294))</f>
        <v/>
      </c>
      <c r="BV294" s="328"/>
      <c r="BW294" s="197" t="str">
        <f>IF(AND($I294="x",AND(MAX(BS294:BU294)=BS294,BS294&lt;&gt;"")),Data!$BI$2,"")</f>
        <v/>
      </c>
      <c r="BX294" s="197" t="str">
        <f>IF(AND($J294="x",AND(MAX(BS294:BU294)=BT294,BT294&lt;&gt;"")),Data!$BJ$2,"")</f>
        <v/>
      </c>
      <c r="BY294" s="197" t="str">
        <f>IF(AND($K294="x",AND(MAX(BS294:BU294)=BU294,BU294&lt;&gt;"")),Data!$BK$2,"")</f>
        <v/>
      </c>
      <c r="BZ294" s="197"/>
      <c r="CA294" s="328"/>
      <c r="CB294" s="457" t="str">
        <f t="shared" ref="CB294:CB305" si="435">IFERROR(ROUNDUP((SUM(Q294,Z294,AI294,AR294,BA294,BJ294,BS294)/SUM($Q294:$S294,$Z294:$AB294,$AI294:$AK294,$AR294:$AT294,$BA294:$BC294,$BJ294:$BL294,$BS294:$BU294))*100,-1),"")</f>
        <v/>
      </c>
      <c r="CC294" s="458" t="str">
        <f t="shared" ref="CC294:CC305" si="436">IFERROR(ROUNDDOWN((SUM(R294,AA294,AJ294,AS294,BB294,BK294,BT294)/SUM($Q294:$S294,$Z294:$AB294,$AI294:$AK294,$AR294:$AT294,$BA294:$BC294,$BJ294:$BL294,$BS294:$BU294))*100,-1),"")</f>
        <v/>
      </c>
      <c r="CD294" s="459" t="str">
        <f t="shared" ref="CD294:CD305" si="437">IF(CB294="","",100-SUM(CB294:CC294))</f>
        <v/>
      </c>
      <c r="CE294" s="328"/>
      <c r="CF294" s="197" t="str">
        <f>IF(AND($I294="x",AND(MAX(CB294:CD294)=CB294,CB294&lt;&gt;"")),Data!$BI$2,"")</f>
        <v/>
      </c>
      <c r="CG294" s="197" t="str">
        <f>IF(AND($J294="x",AND(MAX(CB294:CD294)=CC294,CC294&lt;&gt;"")),Data!$BJ$2,"")</f>
        <v/>
      </c>
      <c r="CH294" s="197" t="str">
        <f>IF(AND($K294="x",AND(MAX(CB294:CD294)=CD294,CD294&lt;&gt;"")),Data!$BK$2,"")</f>
        <v/>
      </c>
      <c r="CI294" s="197"/>
      <c r="CJ294" s="197"/>
      <c r="CK294" s="451"/>
      <c r="CL294" s="452"/>
      <c r="CM294" s="438" t="str">
        <f t="shared" ref="CM294:CM305" si="438">IF(CK294="","",100-SUM(CK294:CL294))</f>
        <v/>
      </c>
      <c r="CN294" s="328"/>
      <c r="CO294" s="197" t="str">
        <f>IF(AND($I294="x",AND(MAX(CK294:CM294)=CK294,CK294&lt;&gt;"")),Data!$BI$2,"")</f>
        <v/>
      </c>
      <c r="CP294" s="197" t="str">
        <f>IF(AND($J294="x",AND(MAX(CK294:CM294)=CL294,CL294&lt;&gt;"")),Data!$BJ$2,"")</f>
        <v/>
      </c>
      <c r="CQ294" s="197" t="str">
        <f>IF(AND($K294="x",AND(MAX(CK294:CM294)=CM294,CM294&lt;&gt;"")),Data!$BK$2,"")</f>
        <v/>
      </c>
      <c r="CR294" s="197"/>
      <c r="CS294" s="197"/>
      <c r="CT294" s="328"/>
      <c r="CU294" s="255"/>
      <c r="CV294" s="209"/>
      <c r="CW294" s="227"/>
    </row>
    <row r="295" spans="1:101" x14ac:dyDescent="0.2">
      <c r="A295" s="227"/>
      <c r="B295" s="227"/>
      <c r="C295" s="168"/>
      <c r="D295" s="232"/>
      <c r="E295" s="135" t="s">
        <v>211</v>
      </c>
      <c r="F295" s="425"/>
      <c r="G295" s="430"/>
      <c r="H295" s="431"/>
      <c r="I295" s="346" t="str">
        <f t="shared" si="425"/>
        <v/>
      </c>
      <c r="J295" s="347" t="str">
        <f t="shared" si="426"/>
        <v/>
      </c>
      <c r="K295" s="348" t="str">
        <f t="shared" si="427"/>
        <v/>
      </c>
      <c r="L295" s="258"/>
      <c r="M295" s="332"/>
      <c r="N295" s="336"/>
      <c r="O295" s="200"/>
      <c r="P295" s="200"/>
      <c r="Q295" s="439"/>
      <c r="R295" s="440"/>
      <c r="S295" s="441" t="str">
        <f t="shared" si="428"/>
        <v/>
      </c>
      <c r="T295" s="328"/>
      <c r="U295" s="197" t="str">
        <f>IF(AND($I295="x",AND(MAX(Q295:S295)=Q295,Q295&gt;=0)),Data!$BI$2,"")</f>
        <v/>
      </c>
      <c r="V295" s="197" t="str">
        <f>IF(AND($J295="x",AND(MAX(Q295:S295)=R295,R295&gt;=0)),Data!$BJ$2,"")</f>
        <v/>
      </c>
      <c r="W295" s="197" t="str">
        <f>IF(AND($K295="x",AND(MAX(Q295:S295)=S295,S295&gt;=0)),Data!$BK$2,"")</f>
        <v/>
      </c>
      <c r="X295" s="197"/>
      <c r="Y295" s="328"/>
      <c r="Z295" s="453"/>
      <c r="AA295" s="454"/>
      <c r="AB295" s="441" t="str">
        <f t="shared" si="429"/>
        <v/>
      </c>
      <c r="AC295" s="328"/>
      <c r="AD295" s="197" t="str">
        <f>IF(AND($I295="x",AND(MAX(Z295:AB295)=Z295,Z295&lt;&gt;"")),Data!$BI$2,"")</f>
        <v/>
      </c>
      <c r="AE295" s="197" t="str">
        <f>IF(AND($J295="x",AND(MAX(Z295:AB295)=AA295,AA295&lt;&gt;"")),Data!$BJ$2,"")</f>
        <v/>
      </c>
      <c r="AF295" s="197" t="str">
        <f>IF(AND($K295="x",AND(MAX(Z295:AB295)=AB295,AB295&lt;&gt;"")),Data!$BK$2,"")</f>
        <v/>
      </c>
      <c r="AG295" s="197"/>
      <c r="AH295" s="328"/>
      <c r="AI295" s="453"/>
      <c r="AJ295" s="454"/>
      <c r="AK295" s="441" t="str">
        <f t="shared" si="430"/>
        <v/>
      </c>
      <c r="AL295" s="328"/>
      <c r="AM295" s="197" t="str">
        <f>IF(AND($I295="x",AND(MAX(AI295:AK295)=AI295,AI295&lt;&gt;"")),Data!$BI$2,"")</f>
        <v/>
      </c>
      <c r="AN295" s="197" t="str">
        <f>IF(AND($J295="x",AND(MAX(AI295:AK295)=AJ295,AJ295&lt;&gt;"")),Data!$BJ$2,"")</f>
        <v/>
      </c>
      <c r="AO295" s="197" t="str">
        <f>IF(AND($K295="x",AND(MAX(AI295:AK295)=AK295,AK295&lt;&gt;"")),Data!$BK$2,"")</f>
        <v/>
      </c>
      <c r="AP295" s="197"/>
      <c r="AQ295" s="328"/>
      <c r="AR295" s="453"/>
      <c r="AS295" s="454"/>
      <c r="AT295" s="441" t="str">
        <f t="shared" si="431"/>
        <v/>
      </c>
      <c r="AU295" s="328"/>
      <c r="AV295" s="197" t="str">
        <f>IF(AND($I295="x",AND(MAX(AR295:AT295)=AR295,AR295&lt;&gt;"")),Data!$BI$2,"")</f>
        <v/>
      </c>
      <c r="AW295" s="197" t="str">
        <f>IF(AND($J295="x",AND(MAX(AR295:AT295)=AS295,AS295&lt;&gt;"")),Data!$BJ$2,"")</f>
        <v/>
      </c>
      <c r="AX295" s="197" t="str">
        <f>IF(AND($K295="x",AND(MAX(AR295:AT295)=AT295,AT295&lt;&gt;"")),Data!$BK$2,"")</f>
        <v/>
      </c>
      <c r="AY295" s="197"/>
      <c r="AZ295" s="328"/>
      <c r="BA295" s="453"/>
      <c r="BB295" s="454"/>
      <c r="BC295" s="441" t="str">
        <f t="shared" si="432"/>
        <v/>
      </c>
      <c r="BD295" s="328"/>
      <c r="BE295" s="197" t="str">
        <f>IF(AND($I295="x",AND(MAX(BA295:BC295)=BA295,BA295&lt;&gt;"")),Data!$BI$2,"")</f>
        <v/>
      </c>
      <c r="BF295" s="197" t="str">
        <f>IF(AND($J295="x",AND(MAX(BA295:BC295)=BB295,BB295&lt;&gt;"")),Data!$BJ$2,"")</f>
        <v/>
      </c>
      <c r="BG295" s="197" t="str">
        <f>IF(AND($K295="x",AND(MAX(BA295:BC295)=BC295,BC295&lt;&gt;"")),Data!$BK$2,"")</f>
        <v/>
      </c>
      <c r="BH295" s="197"/>
      <c r="BI295" s="328"/>
      <c r="BJ295" s="453"/>
      <c r="BK295" s="454"/>
      <c r="BL295" s="441" t="str">
        <f t="shared" si="433"/>
        <v/>
      </c>
      <c r="BM295" s="328"/>
      <c r="BN295" s="197" t="str">
        <f>IF(AND($I295="x",AND(MAX(BJ295:BL295)=BJ295,BJ295&lt;&gt;"")),Data!$BI$2,"")</f>
        <v/>
      </c>
      <c r="BO295" s="197" t="str">
        <f>IF(AND($J295="x",AND(MAX(BJ295:BL295)=BK295,BK295&lt;&gt;"")),Data!$BJ$2,"")</f>
        <v/>
      </c>
      <c r="BP295" s="197" t="str">
        <f>IF(AND($K295="x",AND(MAX(BJ295:BL295)=BL295,BL295&lt;&gt;"")),Data!$BK$2,"")</f>
        <v/>
      </c>
      <c r="BQ295" s="197"/>
      <c r="BR295" s="328"/>
      <c r="BS295" s="453"/>
      <c r="BT295" s="454"/>
      <c r="BU295" s="441" t="str">
        <f t="shared" si="434"/>
        <v/>
      </c>
      <c r="BV295" s="328"/>
      <c r="BW295" s="197" t="str">
        <f>IF(AND($I295="x",AND(MAX(BS295:BU295)=BS295,BS295&lt;&gt;"")),Data!$BI$2,"")</f>
        <v/>
      </c>
      <c r="BX295" s="197" t="str">
        <f>IF(AND($J295="x",AND(MAX(BS295:BU295)=BT295,BT295&lt;&gt;"")),Data!$BJ$2,"")</f>
        <v/>
      </c>
      <c r="BY295" s="197" t="str">
        <f>IF(AND($K295="x",AND(MAX(BS295:BU295)=BU295,BU295&lt;&gt;"")),Data!$BK$2,"")</f>
        <v/>
      </c>
      <c r="BZ295" s="197"/>
      <c r="CA295" s="328"/>
      <c r="CB295" s="460" t="str">
        <f t="shared" si="435"/>
        <v/>
      </c>
      <c r="CC295" s="461" t="str">
        <f t="shared" si="436"/>
        <v/>
      </c>
      <c r="CD295" s="462" t="str">
        <f t="shared" si="437"/>
        <v/>
      </c>
      <c r="CE295" s="328"/>
      <c r="CF295" s="197" t="str">
        <f>IF(AND($I295="x",AND(MAX(CB295:CD295)=CB295,CB295&lt;&gt;"")),Data!$BI$2,"")</f>
        <v/>
      </c>
      <c r="CG295" s="197" t="str">
        <f>IF(AND($J295="x",AND(MAX(CB295:CD295)=CC295,CC295&lt;&gt;"")),Data!$BJ$2,"")</f>
        <v/>
      </c>
      <c r="CH295" s="197" t="str">
        <f>IF(AND($K295="x",AND(MAX(CB295:CD295)=CD295,CD295&lt;&gt;"")),Data!$BK$2,"")</f>
        <v/>
      </c>
      <c r="CI295" s="197"/>
      <c r="CJ295" s="197"/>
      <c r="CK295" s="453"/>
      <c r="CL295" s="454"/>
      <c r="CM295" s="441" t="str">
        <f t="shared" si="438"/>
        <v/>
      </c>
      <c r="CN295" s="328"/>
      <c r="CO295" s="197" t="str">
        <f>IF(AND($I295="x",AND(MAX(CK295:CM295)=CK295,CK295&lt;&gt;"")),Data!$BI$2,"")</f>
        <v/>
      </c>
      <c r="CP295" s="197" t="str">
        <f>IF(AND($J295="x",AND(MAX(CK295:CM295)=CL295,CL295&lt;&gt;"")),Data!$BJ$2,"")</f>
        <v/>
      </c>
      <c r="CQ295" s="197" t="str">
        <f>IF(AND($K295="x",AND(MAX(CK295:CM295)=CM295,CM295&lt;&gt;"")),Data!$BK$2,"")</f>
        <v/>
      </c>
      <c r="CR295" s="197"/>
      <c r="CS295" s="197"/>
      <c r="CT295" s="328"/>
      <c r="CU295" s="255"/>
      <c r="CV295" s="209"/>
      <c r="CW295" s="227"/>
    </row>
    <row r="296" spans="1:101" x14ac:dyDescent="0.2">
      <c r="A296" s="227"/>
      <c r="B296" s="227"/>
      <c r="C296" s="168"/>
      <c r="D296" s="232"/>
      <c r="E296" s="136" t="s">
        <v>212</v>
      </c>
      <c r="F296" s="426"/>
      <c r="G296" s="432"/>
      <c r="H296" s="433"/>
      <c r="I296" s="349" t="str">
        <f t="shared" si="425"/>
        <v/>
      </c>
      <c r="J296" s="350" t="str">
        <f t="shared" si="426"/>
        <v/>
      </c>
      <c r="K296" s="351" t="str">
        <f t="shared" si="427"/>
        <v/>
      </c>
      <c r="L296" s="258"/>
      <c r="M296" s="332"/>
      <c r="N296" s="336"/>
      <c r="O296" s="200"/>
      <c r="P296" s="200"/>
      <c r="Q296" s="442"/>
      <c r="R296" s="443"/>
      <c r="S296" s="444" t="str">
        <f t="shared" si="428"/>
        <v/>
      </c>
      <c r="T296" s="328"/>
      <c r="U296" s="197" t="str">
        <f>IF(AND($I296="x",AND(MAX(Q296:S296)=Q296,Q296&gt;=0)),Data!$BI$2,"")</f>
        <v/>
      </c>
      <c r="V296" s="197" t="str">
        <f>IF(AND($J296="x",AND(MAX(Q296:S296)=R296,R296&gt;=0)),Data!$BJ$2,"")</f>
        <v/>
      </c>
      <c r="W296" s="197" t="str">
        <f>IF(AND($K296="x",AND(MAX(Q296:S296)=S296,S296&gt;=0)),Data!$BK$2,"")</f>
        <v/>
      </c>
      <c r="X296" s="197"/>
      <c r="Y296" s="328"/>
      <c r="Z296" s="455"/>
      <c r="AA296" s="456"/>
      <c r="AB296" s="444" t="str">
        <f t="shared" si="429"/>
        <v/>
      </c>
      <c r="AC296" s="328"/>
      <c r="AD296" s="197" t="str">
        <f>IF(AND($I296="x",AND(MAX(Z296:AB296)=Z296,Z296&lt;&gt;"")),Data!$BI$2,"")</f>
        <v/>
      </c>
      <c r="AE296" s="197" t="str">
        <f>IF(AND($J296="x",AND(MAX(Z296:AB296)=AA296,AA296&lt;&gt;"")),Data!$BJ$2,"")</f>
        <v/>
      </c>
      <c r="AF296" s="197" t="str">
        <f>IF(AND($K296="x",AND(MAX(Z296:AB296)=AB296,AB296&lt;&gt;"")),Data!$BK$2,"")</f>
        <v/>
      </c>
      <c r="AG296" s="197"/>
      <c r="AH296" s="328"/>
      <c r="AI296" s="455"/>
      <c r="AJ296" s="456"/>
      <c r="AK296" s="444" t="str">
        <f t="shared" si="430"/>
        <v/>
      </c>
      <c r="AL296" s="328"/>
      <c r="AM296" s="197" t="str">
        <f>IF(AND($I296="x",AND(MAX(AI296:AK296)=AI296,AI296&lt;&gt;"")),Data!$BI$2,"")</f>
        <v/>
      </c>
      <c r="AN296" s="197" t="str">
        <f>IF(AND($J296="x",AND(MAX(AI296:AK296)=AJ296,AJ296&lt;&gt;"")),Data!$BJ$2,"")</f>
        <v/>
      </c>
      <c r="AO296" s="197" t="str">
        <f>IF(AND($K296="x",AND(MAX(AI296:AK296)=AK296,AK296&lt;&gt;"")),Data!$BK$2,"")</f>
        <v/>
      </c>
      <c r="AP296" s="197"/>
      <c r="AQ296" s="328"/>
      <c r="AR296" s="455"/>
      <c r="AS296" s="456"/>
      <c r="AT296" s="444" t="str">
        <f t="shared" si="431"/>
        <v/>
      </c>
      <c r="AU296" s="328"/>
      <c r="AV296" s="197" t="str">
        <f>IF(AND($I296="x",AND(MAX(AR296:AT296)=AR296,AR296&lt;&gt;"")),Data!$BI$2,"")</f>
        <v/>
      </c>
      <c r="AW296" s="197" t="str">
        <f>IF(AND($J296="x",AND(MAX(AR296:AT296)=AS296,AS296&lt;&gt;"")),Data!$BJ$2,"")</f>
        <v/>
      </c>
      <c r="AX296" s="197" t="str">
        <f>IF(AND($K296="x",AND(MAX(AR296:AT296)=AT296,AT296&lt;&gt;"")),Data!$BK$2,"")</f>
        <v/>
      </c>
      <c r="AY296" s="197"/>
      <c r="AZ296" s="328"/>
      <c r="BA296" s="455"/>
      <c r="BB296" s="456"/>
      <c r="BC296" s="444" t="str">
        <f t="shared" si="432"/>
        <v/>
      </c>
      <c r="BD296" s="328"/>
      <c r="BE296" s="197" t="str">
        <f>IF(AND($I296="x",AND(MAX(BA296:BC296)=BA296,BA296&lt;&gt;"")),Data!$BI$2,"")</f>
        <v/>
      </c>
      <c r="BF296" s="197" t="str">
        <f>IF(AND($J296="x",AND(MAX(BA296:BC296)=BB296,BB296&lt;&gt;"")),Data!$BJ$2,"")</f>
        <v/>
      </c>
      <c r="BG296" s="197" t="str">
        <f>IF(AND($K296="x",AND(MAX(BA296:BC296)=BC296,BC296&lt;&gt;"")),Data!$BK$2,"")</f>
        <v/>
      </c>
      <c r="BH296" s="197"/>
      <c r="BI296" s="328"/>
      <c r="BJ296" s="455"/>
      <c r="BK296" s="456"/>
      <c r="BL296" s="444" t="str">
        <f t="shared" si="433"/>
        <v/>
      </c>
      <c r="BM296" s="328"/>
      <c r="BN296" s="197" t="str">
        <f>IF(AND($I296="x",AND(MAX(BJ296:BL296)=BJ296,BJ296&lt;&gt;"")),Data!$BI$2,"")</f>
        <v/>
      </c>
      <c r="BO296" s="197" t="str">
        <f>IF(AND($J296="x",AND(MAX(BJ296:BL296)=BK296,BK296&lt;&gt;"")),Data!$BJ$2,"")</f>
        <v/>
      </c>
      <c r="BP296" s="197" t="str">
        <f>IF(AND($K296="x",AND(MAX(BJ296:BL296)=BL296,BL296&lt;&gt;"")),Data!$BK$2,"")</f>
        <v/>
      </c>
      <c r="BQ296" s="197"/>
      <c r="BR296" s="328"/>
      <c r="BS296" s="455"/>
      <c r="BT296" s="456"/>
      <c r="BU296" s="444" t="str">
        <f t="shared" si="434"/>
        <v/>
      </c>
      <c r="BV296" s="328"/>
      <c r="BW296" s="197" t="str">
        <f>IF(AND($I296="x",AND(MAX(BS296:BU296)=BS296,BS296&lt;&gt;"")),Data!$BI$2,"")</f>
        <v/>
      </c>
      <c r="BX296" s="197" t="str">
        <f>IF(AND($J296="x",AND(MAX(BS296:BU296)=BT296,BT296&lt;&gt;"")),Data!$BJ$2,"")</f>
        <v/>
      </c>
      <c r="BY296" s="197" t="str">
        <f>IF(AND($K296="x",AND(MAX(BS296:BU296)=BU296,BU296&lt;&gt;"")),Data!$BK$2,"")</f>
        <v/>
      </c>
      <c r="BZ296" s="197"/>
      <c r="CA296" s="328"/>
      <c r="CB296" s="463" t="str">
        <f t="shared" si="435"/>
        <v/>
      </c>
      <c r="CC296" s="464" t="str">
        <f t="shared" si="436"/>
        <v/>
      </c>
      <c r="CD296" s="465" t="str">
        <f t="shared" si="437"/>
        <v/>
      </c>
      <c r="CE296" s="328"/>
      <c r="CF296" s="197" t="str">
        <f>IF(AND($I296="x",AND(MAX(CB296:CD296)=CB296,CB296&lt;&gt;"")),Data!$BI$2,"")</f>
        <v/>
      </c>
      <c r="CG296" s="197" t="str">
        <f>IF(AND($J296="x",AND(MAX(CB296:CD296)=CC296,CC296&lt;&gt;"")),Data!$BJ$2,"")</f>
        <v/>
      </c>
      <c r="CH296" s="197" t="str">
        <f>IF(AND($K296="x",AND(MAX(CB296:CD296)=CD296,CD296&lt;&gt;"")),Data!$BK$2,"")</f>
        <v/>
      </c>
      <c r="CI296" s="197"/>
      <c r="CJ296" s="197"/>
      <c r="CK296" s="455"/>
      <c r="CL296" s="456"/>
      <c r="CM296" s="444" t="str">
        <f t="shared" si="438"/>
        <v/>
      </c>
      <c r="CN296" s="328"/>
      <c r="CO296" s="197" t="str">
        <f>IF(AND($I296="x",AND(MAX(CK296:CM296)=CK296,CK296&lt;&gt;"")),Data!$BI$2,"")</f>
        <v/>
      </c>
      <c r="CP296" s="197" t="str">
        <f>IF(AND($J296="x",AND(MAX(CK296:CM296)=CL296,CL296&lt;&gt;"")),Data!$BJ$2,"")</f>
        <v/>
      </c>
      <c r="CQ296" s="197" t="str">
        <f>IF(AND($K296="x",AND(MAX(CK296:CM296)=CM296,CM296&lt;&gt;"")),Data!$BK$2,"")</f>
        <v/>
      </c>
      <c r="CR296" s="197"/>
      <c r="CS296" s="197"/>
      <c r="CT296" s="328"/>
      <c r="CU296" s="255"/>
      <c r="CV296" s="209"/>
      <c r="CW296" s="227"/>
    </row>
    <row r="297" spans="1:101" x14ac:dyDescent="0.2">
      <c r="A297" s="227"/>
      <c r="B297" s="227"/>
      <c r="C297" s="168"/>
      <c r="D297" s="232"/>
      <c r="E297" s="134" t="s">
        <v>213</v>
      </c>
      <c r="F297" s="424"/>
      <c r="G297" s="428"/>
      <c r="H297" s="429"/>
      <c r="I297" s="138" t="str">
        <f t="shared" si="425"/>
        <v/>
      </c>
      <c r="J297" s="344" t="str">
        <f t="shared" si="426"/>
        <v/>
      </c>
      <c r="K297" s="345" t="str">
        <f t="shared" si="427"/>
        <v/>
      </c>
      <c r="L297" s="258"/>
      <c r="M297" s="332"/>
      <c r="N297" s="336"/>
      <c r="O297" s="200"/>
      <c r="P297" s="200"/>
      <c r="Q297" s="436"/>
      <c r="R297" s="437"/>
      <c r="S297" s="438" t="str">
        <f t="shared" si="428"/>
        <v/>
      </c>
      <c r="T297" s="328"/>
      <c r="U297" s="197" t="str">
        <f>IF(AND($I297="x",AND(MAX(Q297:S297)=Q297,Q297&gt;=0)),Data!$BI$2,"")</f>
        <v/>
      </c>
      <c r="V297" s="197" t="str">
        <f>IF(AND($J297="x",AND(MAX(Q297:S297)=R297,R297&gt;=0)),Data!$BJ$2,"")</f>
        <v/>
      </c>
      <c r="W297" s="197" t="str">
        <f>IF(AND($K297="x",AND(MAX(Q297:S297)=S297,S297&gt;=0)),Data!$BK$2,"")</f>
        <v/>
      </c>
      <c r="X297" s="197"/>
      <c r="Y297" s="328"/>
      <c r="Z297" s="451"/>
      <c r="AA297" s="452"/>
      <c r="AB297" s="438" t="str">
        <f t="shared" si="429"/>
        <v/>
      </c>
      <c r="AC297" s="328"/>
      <c r="AD297" s="197" t="str">
        <f>IF(AND($I297="x",AND(MAX(Z297:AB297)=Z297,Z297&lt;&gt;"")),Data!$BI$2,"")</f>
        <v/>
      </c>
      <c r="AE297" s="197" t="str">
        <f>IF(AND($J297="x",AND(MAX(Z297:AB297)=AA297,AA297&lt;&gt;"")),Data!$BJ$2,"")</f>
        <v/>
      </c>
      <c r="AF297" s="197" t="str">
        <f>IF(AND($K297="x",AND(MAX(Z297:AB297)=AB297,AB297&lt;&gt;"")),Data!$BK$2,"")</f>
        <v/>
      </c>
      <c r="AG297" s="197"/>
      <c r="AH297" s="328"/>
      <c r="AI297" s="451"/>
      <c r="AJ297" s="452"/>
      <c r="AK297" s="438" t="str">
        <f t="shared" si="430"/>
        <v/>
      </c>
      <c r="AL297" s="328"/>
      <c r="AM297" s="197" t="str">
        <f>IF(AND($I297="x",AND(MAX(AI297:AK297)=AI297,AI297&lt;&gt;"")),Data!$BI$2,"")</f>
        <v/>
      </c>
      <c r="AN297" s="197" t="str">
        <f>IF(AND($J297="x",AND(MAX(AI297:AK297)=AJ297,AJ297&lt;&gt;"")),Data!$BJ$2,"")</f>
        <v/>
      </c>
      <c r="AO297" s="197" t="str">
        <f>IF(AND($K297="x",AND(MAX(AI297:AK297)=AK297,AK297&lt;&gt;"")),Data!$BK$2,"")</f>
        <v/>
      </c>
      <c r="AP297" s="197"/>
      <c r="AQ297" s="328"/>
      <c r="AR297" s="451"/>
      <c r="AS297" s="452"/>
      <c r="AT297" s="438" t="str">
        <f t="shared" si="431"/>
        <v/>
      </c>
      <c r="AU297" s="328"/>
      <c r="AV297" s="197" t="str">
        <f>IF(AND($I297="x",AND(MAX(AR297:AT297)=AR297,AR297&lt;&gt;"")),Data!$BI$2,"")</f>
        <v/>
      </c>
      <c r="AW297" s="197" t="str">
        <f>IF(AND($J297="x",AND(MAX(AR297:AT297)=AS297,AS297&lt;&gt;"")),Data!$BJ$2,"")</f>
        <v/>
      </c>
      <c r="AX297" s="197" t="str">
        <f>IF(AND($K297="x",AND(MAX(AR297:AT297)=AT297,AT297&lt;&gt;"")),Data!$BK$2,"")</f>
        <v/>
      </c>
      <c r="AY297" s="197"/>
      <c r="AZ297" s="328"/>
      <c r="BA297" s="451"/>
      <c r="BB297" s="452"/>
      <c r="BC297" s="438" t="str">
        <f t="shared" si="432"/>
        <v/>
      </c>
      <c r="BD297" s="328"/>
      <c r="BE297" s="197" t="str">
        <f>IF(AND($I297="x",AND(MAX(BA297:BC297)=BA297,BA297&lt;&gt;"")),Data!$BI$2,"")</f>
        <v/>
      </c>
      <c r="BF297" s="197" t="str">
        <f>IF(AND($J297="x",AND(MAX(BA297:BC297)=BB297,BB297&lt;&gt;"")),Data!$BJ$2,"")</f>
        <v/>
      </c>
      <c r="BG297" s="197" t="str">
        <f>IF(AND($K297="x",AND(MAX(BA297:BC297)=BC297,BC297&lt;&gt;"")),Data!$BK$2,"")</f>
        <v/>
      </c>
      <c r="BH297" s="197"/>
      <c r="BI297" s="328"/>
      <c r="BJ297" s="451"/>
      <c r="BK297" s="452"/>
      <c r="BL297" s="438" t="str">
        <f t="shared" si="433"/>
        <v/>
      </c>
      <c r="BM297" s="328"/>
      <c r="BN297" s="197" t="str">
        <f>IF(AND($I297="x",AND(MAX(BJ297:BL297)=BJ297,BJ297&lt;&gt;"")),Data!$BI$2,"")</f>
        <v/>
      </c>
      <c r="BO297" s="197" t="str">
        <f>IF(AND($J297="x",AND(MAX(BJ297:BL297)=BK297,BK297&lt;&gt;"")),Data!$BJ$2,"")</f>
        <v/>
      </c>
      <c r="BP297" s="197" t="str">
        <f>IF(AND($K297="x",AND(MAX(BJ297:BL297)=BL297,BL297&lt;&gt;"")),Data!$BK$2,"")</f>
        <v/>
      </c>
      <c r="BQ297" s="197"/>
      <c r="BR297" s="328"/>
      <c r="BS297" s="451"/>
      <c r="BT297" s="452"/>
      <c r="BU297" s="438" t="str">
        <f t="shared" si="434"/>
        <v/>
      </c>
      <c r="BV297" s="328"/>
      <c r="BW297" s="197" t="str">
        <f>IF(AND($I297="x",AND(MAX(BS297:BU297)=BS297,BS297&lt;&gt;"")),Data!$BI$2,"")</f>
        <v/>
      </c>
      <c r="BX297" s="197" t="str">
        <f>IF(AND($J297="x",AND(MAX(BS297:BU297)=BT297,BT297&lt;&gt;"")),Data!$BJ$2,"")</f>
        <v/>
      </c>
      <c r="BY297" s="197" t="str">
        <f>IF(AND($K297="x",AND(MAX(BS297:BU297)=BU297,BU297&lt;&gt;"")),Data!$BK$2,"")</f>
        <v/>
      </c>
      <c r="BZ297" s="197"/>
      <c r="CA297" s="328"/>
      <c r="CB297" s="457" t="str">
        <f t="shared" si="435"/>
        <v/>
      </c>
      <c r="CC297" s="458" t="str">
        <f t="shared" si="436"/>
        <v/>
      </c>
      <c r="CD297" s="459" t="str">
        <f t="shared" si="437"/>
        <v/>
      </c>
      <c r="CE297" s="328"/>
      <c r="CF297" s="197" t="str">
        <f>IF(AND($I297="x",AND(MAX(CB297:CD297)=CB297,CB297&lt;&gt;"")),Data!$BI$2,"")</f>
        <v/>
      </c>
      <c r="CG297" s="197" t="str">
        <f>IF(AND($J297="x",AND(MAX(CB297:CD297)=CC297,CC297&lt;&gt;"")),Data!$BJ$2,"")</f>
        <v/>
      </c>
      <c r="CH297" s="197" t="str">
        <f>IF(AND($K297="x",AND(MAX(CB297:CD297)=CD297,CD297&lt;&gt;"")),Data!$BK$2,"")</f>
        <v/>
      </c>
      <c r="CI297" s="197"/>
      <c r="CJ297" s="197"/>
      <c r="CK297" s="451"/>
      <c r="CL297" s="452"/>
      <c r="CM297" s="438" t="str">
        <f t="shared" si="438"/>
        <v/>
      </c>
      <c r="CN297" s="328"/>
      <c r="CO297" s="197" t="str">
        <f>IF(AND($I297="x",AND(MAX(CK297:CM297)=CK297,CK297&lt;&gt;"")),Data!$BI$2,"")</f>
        <v/>
      </c>
      <c r="CP297" s="197" t="str">
        <f>IF(AND($J297="x",AND(MAX(CK297:CM297)=CL297,CL297&lt;&gt;"")),Data!$BJ$2,"")</f>
        <v/>
      </c>
      <c r="CQ297" s="197" t="str">
        <f>IF(AND($K297="x",AND(MAX(CK297:CM297)=CM297,CM297&lt;&gt;"")),Data!$BK$2,"")</f>
        <v/>
      </c>
      <c r="CR297" s="197"/>
      <c r="CS297" s="197"/>
      <c r="CT297" s="328"/>
      <c r="CU297" s="255"/>
      <c r="CV297" s="209"/>
      <c r="CW297" s="227"/>
    </row>
    <row r="298" spans="1:101" x14ac:dyDescent="0.2">
      <c r="A298" s="227"/>
      <c r="B298" s="227"/>
      <c r="C298" s="168"/>
      <c r="D298" s="232"/>
      <c r="E298" s="135" t="s">
        <v>214</v>
      </c>
      <c r="F298" s="425"/>
      <c r="G298" s="430"/>
      <c r="H298" s="431"/>
      <c r="I298" s="346" t="str">
        <f t="shared" si="425"/>
        <v/>
      </c>
      <c r="J298" s="347" t="str">
        <f t="shared" si="426"/>
        <v/>
      </c>
      <c r="K298" s="348" t="str">
        <f t="shared" si="427"/>
        <v/>
      </c>
      <c r="L298" s="258"/>
      <c r="M298" s="332"/>
      <c r="N298" s="336"/>
      <c r="O298" s="200"/>
      <c r="P298" s="200"/>
      <c r="Q298" s="439"/>
      <c r="R298" s="440"/>
      <c r="S298" s="441" t="str">
        <f t="shared" si="428"/>
        <v/>
      </c>
      <c r="T298" s="328"/>
      <c r="U298" s="197" t="str">
        <f>IF(AND($I298="x",AND(MAX(Q298:S298)=Q298,Q298&gt;=0)),Data!$BI$2,"")</f>
        <v/>
      </c>
      <c r="V298" s="197" t="str">
        <f>IF(AND($J298="x",AND(MAX(Q298:S298)=R298,R298&gt;=0)),Data!$BJ$2,"")</f>
        <v/>
      </c>
      <c r="W298" s="197" t="str">
        <f>IF(AND($K298="x",AND(MAX(Q298:S298)=S298,S298&gt;=0)),Data!$BK$2,"")</f>
        <v/>
      </c>
      <c r="X298" s="197"/>
      <c r="Y298" s="328"/>
      <c r="Z298" s="453"/>
      <c r="AA298" s="454"/>
      <c r="AB298" s="441" t="str">
        <f t="shared" si="429"/>
        <v/>
      </c>
      <c r="AC298" s="328"/>
      <c r="AD298" s="197" t="str">
        <f>IF(AND($I298="x",AND(MAX(Z298:AB298)=Z298,Z298&lt;&gt;"")),Data!$BI$2,"")</f>
        <v/>
      </c>
      <c r="AE298" s="197" t="str">
        <f>IF(AND($J298="x",AND(MAX(Z298:AB298)=AA298,AA298&lt;&gt;"")),Data!$BJ$2,"")</f>
        <v/>
      </c>
      <c r="AF298" s="197" t="str">
        <f>IF(AND($K298="x",AND(MAX(Z298:AB298)=AB298,AB298&lt;&gt;"")),Data!$BK$2,"")</f>
        <v/>
      </c>
      <c r="AG298" s="197"/>
      <c r="AH298" s="328"/>
      <c r="AI298" s="453"/>
      <c r="AJ298" s="454"/>
      <c r="AK298" s="441" t="str">
        <f t="shared" si="430"/>
        <v/>
      </c>
      <c r="AL298" s="328"/>
      <c r="AM298" s="197" t="str">
        <f>IF(AND($I298="x",AND(MAX(AI298:AK298)=AI298,AI298&lt;&gt;"")),Data!$BI$2,"")</f>
        <v/>
      </c>
      <c r="AN298" s="197" t="str">
        <f>IF(AND($J298="x",AND(MAX(AI298:AK298)=AJ298,AJ298&lt;&gt;"")),Data!$BJ$2,"")</f>
        <v/>
      </c>
      <c r="AO298" s="197" t="str">
        <f>IF(AND($K298="x",AND(MAX(AI298:AK298)=AK298,AK298&lt;&gt;"")),Data!$BK$2,"")</f>
        <v/>
      </c>
      <c r="AP298" s="197"/>
      <c r="AQ298" s="328"/>
      <c r="AR298" s="453"/>
      <c r="AS298" s="454"/>
      <c r="AT298" s="441" t="str">
        <f t="shared" si="431"/>
        <v/>
      </c>
      <c r="AU298" s="328"/>
      <c r="AV298" s="197" t="str">
        <f>IF(AND($I298="x",AND(MAX(AR298:AT298)=AR298,AR298&lt;&gt;"")),Data!$BI$2,"")</f>
        <v/>
      </c>
      <c r="AW298" s="197" t="str">
        <f>IF(AND($J298="x",AND(MAX(AR298:AT298)=AS298,AS298&lt;&gt;"")),Data!$BJ$2,"")</f>
        <v/>
      </c>
      <c r="AX298" s="197" t="str">
        <f>IF(AND($K298="x",AND(MAX(AR298:AT298)=AT298,AT298&lt;&gt;"")),Data!$BK$2,"")</f>
        <v/>
      </c>
      <c r="AY298" s="197"/>
      <c r="AZ298" s="328"/>
      <c r="BA298" s="453"/>
      <c r="BB298" s="454"/>
      <c r="BC298" s="441" t="str">
        <f t="shared" si="432"/>
        <v/>
      </c>
      <c r="BD298" s="328"/>
      <c r="BE298" s="197" t="str">
        <f>IF(AND($I298="x",AND(MAX(BA298:BC298)=BA298,BA298&lt;&gt;"")),Data!$BI$2,"")</f>
        <v/>
      </c>
      <c r="BF298" s="197" t="str">
        <f>IF(AND($J298="x",AND(MAX(BA298:BC298)=BB298,BB298&lt;&gt;"")),Data!$BJ$2,"")</f>
        <v/>
      </c>
      <c r="BG298" s="197" t="str">
        <f>IF(AND($K298="x",AND(MAX(BA298:BC298)=BC298,BC298&lt;&gt;"")),Data!$BK$2,"")</f>
        <v/>
      </c>
      <c r="BH298" s="197"/>
      <c r="BI298" s="328"/>
      <c r="BJ298" s="453"/>
      <c r="BK298" s="454"/>
      <c r="BL298" s="441" t="str">
        <f t="shared" si="433"/>
        <v/>
      </c>
      <c r="BM298" s="328"/>
      <c r="BN298" s="197" t="str">
        <f>IF(AND($I298="x",AND(MAX(BJ298:BL298)=BJ298,BJ298&lt;&gt;"")),Data!$BI$2,"")</f>
        <v/>
      </c>
      <c r="BO298" s="197" t="str">
        <f>IF(AND($J298="x",AND(MAX(BJ298:BL298)=BK298,BK298&lt;&gt;"")),Data!$BJ$2,"")</f>
        <v/>
      </c>
      <c r="BP298" s="197" t="str">
        <f>IF(AND($K298="x",AND(MAX(BJ298:BL298)=BL298,BL298&lt;&gt;"")),Data!$BK$2,"")</f>
        <v/>
      </c>
      <c r="BQ298" s="197"/>
      <c r="BR298" s="328"/>
      <c r="BS298" s="453"/>
      <c r="BT298" s="454"/>
      <c r="BU298" s="441" t="str">
        <f t="shared" si="434"/>
        <v/>
      </c>
      <c r="BV298" s="328"/>
      <c r="BW298" s="197" t="str">
        <f>IF(AND($I298="x",AND(MAX(BS298:BU298)=BS298,BS298&lt;&gt;"")),Data!$BI$2,"")</f>
        <v/>
      </c>
      <c r="BX298" s="197" t="str">
        <f>IF(AND($J298="x",AND(MAX(BS298:BU298)=BT298,BT298&lt;&gt;"")),Data!$BJ$2,"")</f>
        <v/>
      </c>
      <c r="BY298" s="197" t="str">
        <f>IF(AND($K298="x",AND(MAX(BS298:BU298)=BU298,BU298&lt;&gt;"")),Data!$BK$2,"")</f>
        <v/>
      </c>
      <c r="BZ298" s="197"/>
      <c r="CA298" s="328"/>
      <c r="CB298" s="460" t="str">
        <f t="shared" si="435"/>
        <v/>
      </c>
      <c r="CC298" s="461" t="str">
        <f t="shared" si="436"/>
        <v/>
      </c>
      <c r="CD298" s="462" t="str">
        <f t="shared" si="437"/>
        <v/>
      </c>
      <c r="CE298" s="328"/>
      <c r="CF298" s="197" t="str">
        <f>IF(AND($I298="x",AND(MAX(CB298:CD298)=CB298,CB298&lt;&gt;"")),Data!$BI$2,"")</f>
        <v/>
      </c>
      <c r="CG298" s="197" t="str">
        <f>IF(AND($J298="x",AND(MAX(CB298:CD298)=CC298,CC298&lt;&gt;"")),Data!$BJ$2,"")</f>
        <v/>
      </c>
      <c r="CH298" s="197" t="str">
        <f>IF(AND($K298="x",AND(MAX(CB298:CD298)=CD298,CD298&lt;&gt;"")),Data!$BK$2,"")</f>
        <v/>
      </c>
      <c r="CI298" s="197"/>
      <c r="CJ298" s="197"/>
      <c r="CK298" s="453"/>
      <c r="CL298" s="454"/>
      <c r="CM298" s="441" t="str">
        <f t="shared" si="438"/>
        <v/>
      </c>
      <c r="CN298" s="328"/>
      <c r="CO298" s="197" t="str">
        <f>IF(AND($I298="x",AND(MAX(CK298:CM298)=CK298,CK298&lt;&gt;"")),Data!$BI$2,"")</f>
        <v/>
      </c>
      <c r="CP298" s="197" t="str">
        <f>IF(AND($J298="x",AND(MAX(CK298:CM298)=CL298,CL298&lt;&gt;"")),Data!$BJ$2,"")</f>
        <v/>
      </c>
      <c r="CQ298" s="197" t="str">
        <f>IF(AND($K298="x",AND(MAX(CK298:CM298)=CM298,CM298&lt;&gt;"")),Data!$BK$2,"")</f>
        <v/>
      </c>
      <c r="CR298" s="197"/>
      <c r="CS298" s="197"/>
      <c r="CT298" s="328"/>
      <c r="CU298" s="255"/>
      <c r="CV298" s="209"/>
      <c r="CW298" s="227"/>
    </row>
    <row r="299" spans="1:101" x14ac:dyDescent="0.2">
      <c r="A299" s="227"/>
      <c r="B299" s="227"/>
      <c r="C299" s="168"/>
      <c r="D299" s="232"/>
      <c r="E299" s="136" t="s">
        <v>215</v>
      </c>
      <c r="F299" s="426"/>
      <c r="G299" s="432"/>
      <c r="H299" s="433"/>
      <c r="I299" s="349" t="str">
        <f t="shared" si="425"/>
        <v/>
      </c>
      <c r="J299" s="350" t="str">
        <f t="shared" si="426"/>
        <v/>
      </c>
      <c r="K299" s="351" t="str">
        <f t="shared" si="427"/>
        <v/>
      </c>
      <c r="L299" s="258"/>
      <c r="M299" s="332"/>
      <c r="N299" s="336"/>
      <c r="O299" s="200"/>
      <c r="P299" s="200"/>
      <c r="Q299" s="445"/>
      <c r="R299" s="446"/>
      <c r="S299" s="447" t="str">
        <f t="shared" si="428"/>
        <v/>
      </c>
      <c r="T299" s="328"/>
      <c r="U299" s="197" t="str">
        <f>IF(AND($I299="x",AND(MAX(Q299:S299)=Q299,Q299&gt;=0)),Data!$BI$2,"")</f>
        <v/>
      </c>
      <c r="V299" s="197" t="str">
        <f>IF(AND($J299="x",AND(MAX(Q299:S299)=R299,R299&gt;=0)),Data!$BJ$2,"")</f>
        <v/>
      </c>
      <c r="W299" s="197" t="str">
        <f>IF(AND($K299="x",AND(MAX(Q299:S299)=S299,S299&gt;=0)),Data!$BK$2,"")</f>
        <v/>
      </c>
      <c r="X299" s="197"/>
      <c r="Y299" s="328"/>
      <c r="Z299" s="455"/>
      <c r="AA299" s="456"/>
      <c r="AB299" s="447" t="str">
        <f t="shared" si="429"/>
        <v/>
      </c>
      <c r="AC299" s="328"/>
      <c r="AD299" s="197" t="str">
        <f>IF(AND($I299="x",AND(MAX(Z299:AB299)=Z299,Z299&lt;&gt;"")),Data!$BI$2,"")</f>
        <v/>
      </c>
      <c r="AE299" s="197" t="str">
        <f>IF(AND($J299="x",AND(MAX(Z299:AB299)=AA299,AA299&lt;&gt;"")),Data!$BJ$2,"")</f>
        <v/>
      </c>
      <c r="AF299" s="197" t="str">
        <f>IF(AND($K299="x",AND(MAX(Z299:AB299)=AB299,AB299&lt;&gt;"")),Data!$BK$2,"")</f>
        <v/>
      </c>
      <c r="AG299" s="197"/>
      <c r="AH299" s="328"/>
      <c r="AI299" s="455"/>
      <c r="AJ299" s="456"/>
      <c r="AK299" s="447" t="str">
        <f t="shared" si="430"/>
        <v/>
      </c>
      <c r="AL299" s="328"/>
      <c r="AM299" s="197" t="str">
        <f>IF(AND($I299="x",AND(MAX(AI299:AK299)=AI299,AI299&lt;&gt;"")),Data!$BI$2,"")</f>
        <v/>
      </c>
      <c r="AN299" s="197" t="str">
        <f>IF(AND($J299="x",AND(MAX(AI299:AK299)=AJ299,AJ299&lt;&gt;"")),Data!$BJ$2,"")</f>
        <v/>
      </c>
      <c r="AO299" s="197" t="str">
        <f>IF(AND($K299="x",AND(MAX(AI299:AK299)=AK299,AK299&lt;&gt;"")),Data!$BK$2,"")</f>
        <v/>
      </c>
      <c r="AP299" s="197"/>
      <c r="AQ299" s="328"/>
      <c r="AR299" s="455"/>
      <c r="AS299" s="456"/>
      <c r="AT299" s="447" t="str">
        <f t="shared" si="431"/>
        <v/>
      </c>
      <c r="AU299" s="328"/>
      <c r="AV299" s="197" t="str">
        <f>IF(AND($I299="x",AND(MAX(AR299:AT299)=AR299,AR299&lt;&gt;"")),Data!$BI$2,"")</f>
        <v/>
      </c>
      <c r="AW299" s="197" t="str">
        <f>IF(AND($J299="x",AND(MAX(AR299:AT299)=AS299,AS299&lt;&gt;"")),Data!$BJ$2,"")</f>
        <v/>
      </c>
      <c r="AX299" s="197" t="str">
        <f>IF(AND($K299="x",AND(MAX(AR299:AT299)=AT299,AT299&lt;&gt;"")),Data!$BK$2,"")</f>
        <v/>
      </c>
      <c r="AY299" s="197"/>
      <c r="AZ299" s="328"/>
      <c r="BA299" s="455"/>
      <c r="BB299" s="456"/>
      <c r="BC299" s="447" t="str">
        <f t="shared" si="432"/>
        <v/>
      </c>
      <c r="BD299" s="328"/>
      <c r="BE299" s="197" t="str">
        <f>IF(AND($I299="x",AND(MAX(BA299:BC299)=BA299,BA299&lt;&gt;"")),Data!$BI$2,"")</f>
        <v/>
      </c>
      <c r="BF299" s="197" t="str">
        <f>IF(AND($J299="x",AND(MAX(BA299:BC299)=BB299,BB299&lt;&gt;"")),Data!$BJ$2,"")</f>
        <v/>
      </c>
      <c r="BG299" s="197" t="str">
        <f>IF(AND($K299="x",AND(MAX(BA299:BC299)=BC299,BC299&lt;&gt;"")),Data!$BK$2,"")</f>
        <v/>
      </c>
      <c r="BH299" s="197"/>
      <c r="BI299" s="328"/>
      <c r="BJ299" s="455"/>
      <c r="BK299" s="456"/>
      <c r="BL299" s="447" t="str">
        <f t="shared" si="433"/>
        <v/>
      </c>
      <c r="BM299" s="328"/>
      <c r="BN299" s="197" t="str">
        <f>IF(AND($I299="x",AND(MAX(BJ299:BL299)=BJ299,BJ299&lt;&gt;"")),Data!$BI$2,"")</f>
        <v/>
      </c>
      <c r="BO299" s="197" t="str">
        <f>IF(AND($J299="x",AND(MAX(BJ299:BL299)=BK299,BK299&lt;&gt;"")),Data!$BJ$2,"")</f>
        <v/>
      </c>
      <c r="BP299" s="197" t="str">
        <f>IF(AND($K299="x",AND(MAX(BJ299:BL299)=BL299,BL299&lt;&gt;"")),Data!$BK$2,"")</f>
        <v/>
      </c>
      <c r="BQ299" s="197"/>
      <c r="BR299" s="328"/>
      <c r="BS299" s="455"/>
      <c r="BT299" s="456"/>
      <c r="BU299" s="447" t="str">
        <f t="shared" si="434"/>
        <v/>
      </c>
      <c r="BV299" s="328"/>
      <c r="BW299" s="197" t="str">
        <f>IF(AND($I299="x",AND(MAX(BS299:BU299)=BS299,BS299&lt;&gt;"")),Data!$BI$2,"")</f>
        <v/>
      </c>
      <c r="BX299" s="197" t="str">
        <f>IF(AND($J299="x",AND(MAX(BS299:BU299)=BT299,BT299&lt;&gt;"")),Data!$BJ$2,"")</f>
        <v/>
      </c>
      <c r="BY299" s="197" t="str">
        <f>IF(AND($K299="x",AND(MAX(BS299:BU299)=BU299,BU299&lt;&gt;"")),Data!$BK$2,"")</f>
        <v/>
      </c>
      <c r="BZ299" s="197"/>
      <c r="CA299" s="328"/>
      <c r="CB299" s="463" t="str">
        <f t="shared" si="435"/>
        <v/>
      </c>
      <c r="CC299" s="464" t="str">
        <f t="shared" si="436"/>
        <v/>
      </c>
      <c r="CD299" s="465" t="str">
        <f t="shared" si="437"/>
        <v/>
      </c>
      <c r="CE299" s="328"/>
      <c r="CF299" s="197" t="str">
        <f>IF(AND($I299="x",AND(MAX(CB299:CD299)=CB299,CB299&lt;&gt;"")),Data!$BI$2,"")</f>
        <v/>
      </c>
      <c r="CG299" s="197" t="str">
        <f>IF(AND($J299="x",AND(MAX(CB299:CD299)=CC299,CC299&lt;&gt;"")),Data!$BJ$2,"")</f>
        <v/>
      </c>
      <c r="CH299" s="197" t="str">
        <f>IF(AND($K299="x",AND(MAX(CB299:CD299)=CD299,CD299&lt;&gt;"")),Data!$BK$2,"")</f>
        <v/>
      </c>
      <c r="CI299" s="197"/>
      <c r="CJ299" s="197"/>
      <c r="CK299" s="455"/>
      <c r="CL299" s="456"/>
      <c r="CM299" s="447" t="str">
        <f t="shared" si="438"/>
        <v/>
      </c>
      <c r="CN299" s="328"/>
      <c r="CO299" s="197" t="str">
        <f>IF(AND($I299="x",AND(MAX(CK299:CM299)=CK299,CK299&lt;&gt;"")),Data!$BI$2,"")</f>
        <v/>
      </c>
      <c r="CP299" s="197" t="str">
        <f>IF(AND($J299="x",AND(MAX(CK299:CM299)=CL299,CL299&lt;&gt;"")),Data!$BJ$2,"")</f>
        <v/>
      </c>
      <c r="CQ299" s="197" t="str">
        <f>IF(AND($K299="x",AND(MAX(CK299:CM299)=CM299,CM299&lt;&gt;"")),Data!$BK$2,"")</f>
        <v/>
      </c>
      <c r="CR299" s="197"/>
      <c r="CS299" s="197"/>
      <c r="CT299" s="328"/>
      <c r="CU299" s="255"/>
      <c r="CV299" s="209"/>
      <c r="CW299" s="227"/>
    </row>
    <row r="300" spans="1:101" x14ac:dyDescent="0.2">
      <c r="A300" s="227"/>
      <c r="B300" s="227"/>
      <c r="C300" s="168"/>
      <c r="D300" s="232"/>
      <c r="E300" s="134" t="s">
        <v>216</v>
      </c>
      <c r="F300" s="424"/>
      <c r="G300" s="428"/>
      <c r="H300" s="429"/>
      <c r="I300" s="138" t="str">
        <f t="shared" si="425"/>
        <v/>
      </c>
      <c r="J300" s="344" t="str">
        <f t="shared" si="426"/>
        <v/>
      </c>
      <c r="K300" s="345" t="str">
        <f t="shared" si="427"/>
        <v/>
      </c>
      <c r="L300" s="258"/>
      <c r="M300" s="332"/>
      <c r="N300" s="336"/>
      <c r="O300" s="200"/>
      <c r="P300" s="200"/>
      <c r="Q300" s="436"/>
      <c r="R300" s="437"/>
      <c r="S300" s="438" t="str">
        <f t="shared" si="428"/>
        <v/>
      </c>
      <c r="T300" s="328"/>
      <c r="U300" s="197" t="str">
        <f>IF(AND($I300="x",AND(MAX(Q300:S300)=Q300,Q300&gt;=0)),Data!$BI$2,"")</f>
        <v/>
      </c>
      <c r="V300" s="197" t="str">
        <f>IF(AND($J300="x",AND(MAX(Q300:S300)=R300,R300&gt;=0)),Data!$BJ$2,"")</f>
        <v/>
      </c>
      <c r="W300" s="197" t="str">
        <f>IF(AND($K300="x",AND(MAX(Q300:S300)=S300,S300&gt;=0)),Data!$BK$2,"")</f>
        <v/>
      </c>
      <c r="X300" s="197"/>
      <c r="Y300" s="328"/>
      <c r="Z300" s="451"/>
      <c r="AA300" s="452"/>
      <c r="AB300" s="438" t="str">
        <f t="shared" si="429"/>
        <v/>
      </c>
      <c r="AC300" s="328"/>
      <c r="AD300" s="197" t="str">
        <f>IF(AND($I300="x",AND(MAX(Z300:AB300)=Z300,Z300&lt;&gt;"")),Data!$BI$2,"")</f>
        <v/>
      </c>
      <c r="AE300" s="197" t="str">
        <f>IF(AND($J300="x",AND(MAX(Z300:AB300)=AA300,AA300&lt;&gt;"")),Data!$BJ$2,"")</f>
        <v/>
      </c>
      <c r="AF300" s="197" t="str">
        <f>IF(AND($K300="x",AND(MAX(Z300:AB300)=AB300,AB300&lt;&gt;"")),Data!$BK$2,"")</f>
        <v/>
      </c>
      <c r="AG300" s="197"/>
      <c r="AH300" s="328"/>
      <c r="AI300" s="451"/>
      <c r="AJ300" s="452"/>
      <c r="AK300" s="438" t="str">
        <f t="shared" si="430"/>
        <v/>
      </c>
      <c r="AL300" s="328"/>
      <c r="AM300" s="197" t="str">
        <f>IF(AND($I300="x",AND(MAX(AI300:AK300)=AI300,AI300&lt;&gt;"")),Data!$BI$2,"")</f>
        <v/>
      </c>
      <c r="AN300" s="197" t="str">
        <f>IF(AND($J300="x",AND(MAX(AI300:AK300)=AJ300,AJ300&lt;&gt;"")),Data!$BJ$2,"")</f>
        <v/>
      </c>
      <c r="AO300" s="197" t="str">
        <f>IF(AND($K300="x",AND(MAX(AI300:AK300)=AK300,AK300&lt;&gt;"")),Data!$BK$2,"")</f>
        <v/>
      </c>
      <c r="AP300" s="197"/>
      <c r="AQ300" s="328"/>
      <c r="AR300" s="451"/>
      <c r="AS300" s="452"/>
      <c r="AT300" s="438" t="str">
        <f t="shared" si="431"/>
        <v/>
      </c>
      <c r="AU300" s="328"/>
      <c r="AV300" s="197" t="str">
        <f>IF(AND($I300="x",AND(MAX(AR300:AT300)=AR300,AR300&lt;&gt;"")),Data!$BI$2,"")</f>
        <v/>
      </c>
      <c r="AW300" s="197" t="str">
        <f>IF(AND($J300="x",AND(MAX(AR300:AT300)=AS300,AS300&lt;&gt;"")),Data!$BJ$2,"")</f>
        <v/>
      </c>
      <c r="AX300" s="197" t="str">
        <f>IF(AND($K300="x",AND(MAX(AR300:AT300)=AT300,AT300&lt;&gt;"")),Data!$BK$2,"")</f>
        <v/>
      </c>
      <c r="AY300" s="197"/>
      <c r="AZ300" s="328"/>
      <c r="BA300" s="451"/>
      <c r="BB300" s="452"/>
      <c r="BC300" s="438" t="str">
        <f t="shared" si="432"/>
        <v/>
      </c>
      <c r="BD300" s="328"/>
      <c r="BE300" s="197" t="str">
        <f>IF(AND($I300="x",AND(MAX(BA300:BC300)=BA300,BA300&lt;&gt;"")),Data!$BI$2,"")</f>
        <v/>
      </c>
      <c r="BF300" s="197" t="str">
        <f>IF(AND($J300="x",AND(MAX(BA300:BC300)=BB300,BB300&lt;&gt;"")),Data!$BJ$2,"")</f>
        <v/>
      </c>
      <c r="BG300" s="197" t="str">
        <f>IF(AND($K300="x",AND(MAX(BA300:BC300)=BC300,BC300&lt;&gt;"")),Data!$BK$2,"")</f>
        <v/>
      </c>
      <c r="BH300" s="197"/>
      <c r="BI300" s="328"/>
      <c r="BJ300" s="451"/>
      <c r="BK300" s="452"/>
      <c r="BL300" s="438" t="str">
        <f t="shared" si="433"/>
        <v/>
      </c>
      <c r="BM300" s="328"/>
      <c r="BN300" s="197" t="str">
        <f>IF(AND($I300="x",AND(MAX(BJ300:BL300)=BJ300,BJ300&lt;&gt;"")),Data!$BI$2,"")</f>
        <v/>
      </c>
      <c r="BO300" s="197" t="str">
        <f>IF(AND($J300="x",AND(MAX(BJ300:BL300)=BK300,BK300&lt;&gt;"")),Data!$BJ$2,"")</f>
        <v/>
      </c>
      <c r="BP300" s="197" t="str">
        <f>IF(AND($K300="x",AND(MAX(BJ300:BL300)=BL300,BL300&lt;&gt;"")),Data!$BK$2,"")</f>
        <v/>
      </c>
      <c r="BQ300" s="197"/>
      <c r="BR300" s="328"/>
      <c r="BS300" s="451"/>
      <c r="BT300" s="452"/>
      <c r="BU300" s="438" t="str">
        <f t="shared" si="434"/>
        <v/>
      </c>
      <c r="BV300" s="328"/>
      <c r="BW300" s="197" t="str">
        <f>IF(AND($I300="x",AND(MAX(BS300:BU300)=BS300,BS300&lt;&gt;"")),Data!$BI$2,"")</f>
        <v/>
      </c>
      <c r="BX300" s="197" t="str">
        <f>IF(AND($J300="x",AND(MAX(BS300:BU300)=BT300,BT300&lt;&gt;"")),Data!$BJ$2,"")</f>
        <v/>
      </c>
      <c r="BY300" s="197" t="str">
        <f>IF(AND($K300="x",AND(MAX(BS300:BU300)=BU300,BU300&lt;&gt;"")),Data!$BK$2,"")</f>
        <v/>
      </c>
      <c r="BZ300" s="197"/>
      <c r="CA300" s="328"/>
      <c r="CB300" s="457" t="str">
        <f t="shared" si="435"/>
        <v/>
      </c>
      <c r="CC300" s="458" t="str">
        <f t="shared" si="436"/>
        <v/>
      </c>
      <c r="CD300" s="459" t="str">
        <f t="shared" si="437"/>
        <v/>
      </c>
      <c r="CE300" s="328"/>
      <c r="CF300" s="197" t="str">
        <f>IF(AND($I300="x",AND(MAX(CB300:CD300)=CB300,CB300&lt;&gt;"")),Data!$BI$2,"")</f>
        <v/>
      </c>
      <c r="CG300" s="197" t="str">
        <f>IF(AND($J300="x",AND(MAX(CB300:CD300)=CC300,CC300&lt;&gt;"")),Data!$BJ$2,"")</f>
        <v/>
      </c>
      <c r="CH300" s="197" t="str">
        <f>IF(AND($K300="x",AND(MAX(CB300:CD300)=CD300,CD300&lt;&gt;"")),Data!$BK$2,"")</f>
        <v/>
      </c>
      <c r="CI300" s="197"/>
      <c r="CJ300" s="197"/>
      <c r="CK300" s="451"/>
      <c r="CL300" s="452"/>
      <c r="CM300" s="438" t="str">
        <f t="shared" si="438"/>
        <v/>
      </c>
      <c r="CN300" s="328"/>
      <c r="CO300" s="197" t="str">
        <f>IF(AND($I300="x",AND(MAX(CK300:CM300)=CK300,CK300&lt;&gt;"")),Data!$BI$2,"")</f>
        <v/>
      </c>
      <c r="CP300" s="197" t="str">
        <f>IF(AND($J300="x",AND(MAX(CK300:CM300)=CL300,CL300&lt;&gt;"")),Data!$BJ$2,"")</f>
        <v/>
      </c>
      <c r="CQ300" s="197" t="str">
        <f>IF(AND($K300="x",AND(MAX(CK300:CM300)=CM300,CM300&lt;&gt;"")),Data!$BK$2,"")</f>
        <v/>
      </c>
      <c r="CR300" s="197"/>
      <c r="CS300" s="197"/>
      <c r="CT300" s="328"/>
      <c r="CU300" s="259"/>
      <c r="CV300" s="209"/>
      <c r="CW300" s="227"/>
    </row>
    <row r="301" spans="1:101" x14ac:dyDescent="0.2">
      <c r="A301" s="227"/>
      <c r="B301" s="227"/>
      <c r="C301" s="168"/>
      <c r="D301" s="232"/>
      <c r="E301" s="135" t="s">
        <v>217</v>
      </c>
      <c r="F301" s="425"/>
      <c r="G301" s="430"/>
      <c r="H301" s="431"/>
      <c r="I301" s="346" t="str">
        <f t="shared" si="425"/>
        <v/>
      </c>
      <c r="J301" s="347" t="str">
        <f t="shared" si="426"/>
        <v/>
      </c>
      <c r="K301" s="348" t="str">
        <f t="shared" si="427"/>
        <v/>
      </c>
      <c r="L301" s="258"/>
      <c r="M301" s="332"/>
      <c r="N301" s="336"/>
      <c r="O301" s="200"/>
      <c r="P301" s="200"/>
      <c r="Q301" s="439"/>
      <c r="R301" s="440"/>
      <c r="S301" s="441" t="str">
        <f t="shared" si="428"/>
        <v/>
      </c>
      <c r="T301" s="328"/>
      <c r="U301" s="197" t="str">
        <f>IF(AND($I301="x",AND(MAX(Q301:S301)=Q301,Q301&gt;=0)),Data!$BI$2,"")</f>
        <v/>
      </c>
      <c r="V301" s="197" t="str">
        <f>IF(AND($J301="x",AND(MAX(Q301:S301)=R301,R301&gt;=0)),Data!$BJ$2,"")</f>
        <v/>
      </c>
      <c r="W301" s="197" t="str">
        <f>IF(AND($K301="x",AND(MAX(Q301:S301)=S301,S301&gt;=0)),Data!$BK$2,"")</f>
        <v/>
      </c>
      <c r="X301" s="197"/>
      <c r="Y301" s="328"/>
      <c r="Z301" s="453"/>
      <c r="AA301" s="454"/>
      <c r="AB301" s="441" t="str">
        <f t="shared" si="429"/>
        <v/>
      </c>
      <c r="AC301" s="328"/>
      <c r="AD301" s="197" t="str">
        <f>IF(AND($I301="x",AND(MAX(Z301:AB301)=Z301,Z301&lt;&gt;"")),Data!$BI$2,"")</f>
        <v/>
      </c>
      <c r="AE301" s="197" t="str">
        <f>IF(AND($J301="x",AND(MAX(Z301:AB301)=AA301,AA301&lt;&gt;"")),Data!$BJ$2,"")</f>
        <v/>
      </c>
      <c r="AF301" s="197" t="str">
        <f>IF(AND($K301="x",AND(MAX(Z301:AB301)=AB301,AB301&lt;&gt;"")),Data!$BK$2,"")</f>
        <v/>
      </c>
      <c r="AG301" s="197"/>
      <c r="AH301" s="328"/>
      <c r="AI301" s="453"/>
      <c r="AJ301" s="454"/>
      <c r="AK301" s="441" t="str">
        <f t="shared" si="430"/>
        <v/>
      </c>
      <c r="AL301" s="328"/>
      <c r="AM301" s="197" t="str">
        <f>IF(AND($I301="x",AND(MAX(AI301:AK301)=AI301,AI301&lt;&gt;"")),Data!$BI$2,"")</f>
        <v/>
      </c>
      <c r="AN301" s="197" t="str">
        <f>IF(AND($J301="x",AND(MAX(AI301:AK301)=AJ301,AJ301&lt;&gt;"")),Data!$BJ$2,"")</f>
        <v/>
      </c>
      <c r="AO301" s="197" t="str">
        <f>IF(AND($K301="x",AND(MAX(AI301:AK301)=AK301,AK301&lt;&gt;"")),Data!$BK$2,"")</f>
        <v/>
      </c>
      <c r="AP301" s="197"/>
      <c r="AQ301" s="328"/>
      <c r="AR301" s="453"/>
      <c r="AS301" s="454"/>
      <c r="AT301" s="441" t="str">
        <f t="shared" si="431"/>
        <v/>
      </c>
      <c r="AU301" s="328"/>
      <c r="AV301" s="197" t="str">
        <f>IF(AND($I301="x",AND(MAX(AR301:AT301)=AR301,AR301&lt;&gt;"")),Data!$BI$2,"")</f>
        <v/>
      </c>
      <c r="AW301" s="197" t="str">
        <f>IF(AND($J301="x",AND(MAX(AR301:AT301)=AS301,AS301&lt;&gt;"")),Data!$BJ$2,"")</f>
        <v/>
      </c>
      <c r="AX301" s="197" t="str">
        <f>IF(AND($K301="x",AND(MAX(AR301:AT301)=AT301,AT301&lt;&gt;"")),Data!$BK$2,"")</f>
        <v/>
      </c>
      <c r="AY301" s="197"/>
      <c r="AZ301" s="328"/>
      <c r="BA301" s="453"/>
      <c r="BB301" s="454"/>
      <c r="BC301" s="441" t="str">
        <f t="shared" si="432"/>
        <v/>
      </c>
      <c r="BD301" s="328"/>
      <c r="BE301" s="197" t="str">
        <f>IF(AND($I301="x",AND(MAX(BA301:BC301)=BA301,BA301&lt;&gt;"")),Data!$BI$2,"")</f>
        <v/>
      </c>
      <c r="BF301" s="197" t="str">
        <f>IF(AND($J301="x",AND(MAX(BA301:BC301)=BB301,BB301&lt;&gt;"")),Data!$BJ$2,"")</f>
        <v/>
      </c>
      <c r="BG301" s="197" t="str">
        <f>IF(AND($K301="x",AND(MAX(BA301:BC301)=BC301,BC301&lt;&gt;"")),Data!$BK$2,"")</f>
        <v/>
      </c>
      <c r="BH301" s="197"/>
      <c r="BI301" s="328"/>
      <c r="BJ301" s="453"/>
      <c r="BK301" s="454"/>
      <c r="BL301" s="441" t="str">
        <f t="shared" si="433"/>
        <v/>
      </c>
      <c r="BM301" s="328"/>
      <c r="BN301" s="197" t="str">
        <f>IF(AND($I301="x",AND(MAX(BJ301:BL301)=BJ301,BJ301&lt;&gt;"")),Data!$BI$2,"")</f>
        <v/>
      </c>
      <c r="BO301" s="197" t="str">
        <f>IF(AND($J301="x",AND(MAX(BJ301:BL301)=BK301,BK301&lt;&gt;"")),Data!$BJ$2,"")</f>
        <v/>
      </c>
      <c r="BP301" s="197" t="str">
        <f>IF(AND($K301="x",AND(MAX(BJ301:BL301)=BL301,BL301&lt;&gt;"")),Data!$BK$2,"")</f>
        <v/>
      </c>
      <c r="BQ301" s="197"/>
      <c r="BR301" s="328"/>
      <c r="BS301" s="453"/>
      <c r="BT301" s="454"/>
      <c r="BU301" s="441" t="str">
        <f t="shared" si="434"/>
        <v/>
      </c>
      <c r="BV301" s="328"/>
      <c r="BW301" s="197" t="str">
        <f>IF(AND($I301="x",AND(MAX(BS301:BU301)=BS301,BS301&lt;&gt;"")),Data!$BI$2,"")</f>
        <v/>
      </c>
      <c r="BX301" s="197" t="str">
        <f>IF(AND($J301="x",AND(MAX(BS301:BU301)=BT301,BT301&lt;&gt;"")),Data!$BJ$2,"")</f>
        <v/>
      </c>
      <c r="BY301" s="197" t="str">
        <f>IF(AND($K301="x",AND(MAX(BS301:BU301)=BU301,BU301&lt;&gt;"")),Data!$BK$2,"")</f>
        <v/>
      </c>
      <c r="BZ301" s="197"/>
      <c r="CA301" s="328"/>
      <c r="CB301" s="460" t="str">
        <f t="shared" si="435"/>
        <v/>
      </c>
      <c r="CC301" s="461" t="str">
        <f t="shared" si="436"/>
        <v/>
      </c>
      <c r="CD301" s="462" t="str">
        <f t="shared" si="437"/>
        <v/>
      </c>
      <c r="CE301" s="328"/>
      <c r="CF301" s="197" t="str">
        <f>IF(AND($I301="x",AND(MAX(CB301:CD301)=CB301,CB301&lt;&gt;"")),Data!$BI$2,"")</f>
        <v/>
      </c>
      <c r="CG301" s="197" t="str">
        <f>IF(AND($J301="x",AND(MAX(CB301:CD301)=CC301,CC301&lt;&gt;"")),Data!$BJ$2,"")</f>
        <v/>
      </c>
      <c r="CH301" s="197" t="str">
        <f>IF(AND($K301="x",AND(MAX(CB301:CD301)=CD301,CD301&lt;&gt;"")),Data!$BK$2,"")</f>
        <v/>
      </c>
      <c r="CI301" s="197"/>
      <c r="CJ301" s="197"/>
      <c r="CK301" s="453"/>
      <c r="CL301" s="454"/>
      <c r="CM301" s="441" t="str">
        <f t="shared" si="438"/>
        <v/>
      </c>
      <c r="CN301" s="328"/>
      <c r="CO301" s="197" t="str">
        <f>IF(AND($I301="x",AND(MAX(CK301:CM301)=CK301,CK301&lt;&gt;"")),Data!$BI$2,"")</f>
        <v/>
      </c>
      <c r="CP301" s="197" t="str">
        <f>IF(AND($J301="x",AND(MAX(CK301:CM301)=CL301,CL301&lt;&gt;"")),Data!$BJ$2,"")</f>
        <v/>
      </c>
      <c r="CQ301" s="197" t="str">
        <f>IF(AND($K301="x",AND(MAX(CK301:CM301)=CM301,CM301&lt;&gt;"")),Data!$BK$2,"")</f>
        <v/>
      </c>
      <c r="CR301" s="197"/>
      <c r="CS301" s="197"/>
      <c r="CT301" s="328"/>
      <c r="CU301" s="259"/>
      <c r="CV301" s="209"/>
      <c r="CW301" s="227"/>
    </row>
    <row r="302" spans="1:101" x14ac:dyDescent="0.2">
      <c r="A302" s="227"/>
      <c r="B302" s="227"/>
      <c r="C302" s="168"/>
      <c r="D302" s="232"/>
      <c r="E302" s="136" t="s">
        <v>218</v>
      </c>
      <c r="F302" s="426"/>
      <c r="G302" s="432"/>
      <c r="H302" s="433"/>
      <c r="I302" s="349" t="str">
        <f t="shared" si="425"/>
        <v/>
      </c>
      <c r="J302" s="350" t="str">
        <f t="shared" si="426"/>
        <v/>
      </c>
      <c r="K302" s="351" t="str">
        <f t="shared" si="427"/>
        <v/>
      </c>
      <c r="L302" s="258"/>
      <c r="M302" s="332"/>
      <c r="N302" s="336"/>
      <c r="O302" s="200"/>
      <c r="P302" s="200"/>
      <c r="Q302" s="445"/>
      <c r="R302" s="446"/>
      <c r="S302" s="447" t="str">
        <f t="shared" si="428"/>
        <v/>
      </c>
      <c r="T302" s="328"/>
      <c r="U302" s="197" t="str">
        <f>IF(AND($I302="x",AND(MAX(Q302:S302)=Q302,Q302&gt;=0)),Data!$BI$2,"")</f>
        <v/>
      </c>
      <c r="V302" s="197" t="str">
        <f>IF(AND($J302="x",AND(MAX(Q302:S302)=R302,R302&gt;=0)),Data!$BJ$2,"")</f>
        <v/>
      </c>
      <c r="W302" s="197" t="str">
        <f>IF(AND($K302="x",AND(MAX(Q302:S302)=S302,S302&gt;=0)),Data!$BK$2,"")</f>
        <v/>
      </c>
      <c r="X302" s="197"/>
      <c r="Y302" s="328"/>
      <c r="Z302" s="455"/>
      <c r="AA302" s="456"/>
      <c r="AB302" s="447" t="str">
        <f t="shared" si="429"/>
        <v/>
      </c>
      <c r="AC302" s="328"/>
      <c r="AD302" s="197" t="str">
        <f>IF(AND($I302="x",AND(MAX(Z302:AB302)=Z302,Z302&lt;&gt;"")),Data!$BI$2,"")</f>
        <v/>
      </c>
      <c r="AE302" s="197" t="str">
        <f>IF(AND($J302="x",AND(MAX(Z302:AB302)=AA302,AA302&lt;&gt;"")),Data!$BJ$2,"")</f>
        <v/>
      </c>
      <c r="AF302" s="197" t="str">
        <f>IF(AND($K302="x",AND(MAX(Z302:AB302)=AB302,AB302&lt;&gt;"")),Data!$BK$2,"")</f>
        <v/>
      </c>
      <c r="AG302" s="197"/>
      <c r="AH302" s="328"/>
      <c r="AI302" s="455"/>
      <c r="AJ302" s="456"/>
      <c r="AK302" s="447" t="str">
        <f t="shared" si="430"/>
        <v/>
      </c>
      <c r="AL302" s="328"/>
      <c r="AM302" s="197" t="str">
        <f>IF(AND($I302="x",AND(MAX(AI302:AK302)=AI302,AI302&lt;&gt;"")),Data!$BI$2,"")</f>
        <v/>
      </c>
      <c r="AN302" s="197" t="str">
        <f>IF(AND($J302="x",AND(MAX(AI302:AK302)=AJ302,AJ302&lt;&gt;"")),Data!$BJ$2,"")</f>
        <v/>
      </c>
      <c r="AO302" s="197" t="str">
        <f>IF(AND($K302="x",AND(MAX(AI302:AK302)=AK302,AK302&lt;&gt;"")),Data!$BK$2,"")</f>
        <v/>
      </c>
      <c r="AP302" s="197"/>
      <c r="AQ302" s="328"/>
      <c r="AR302" s="455"/>
      <c r="AS302" s="456"/>
      <c r="AT302" s="447" t="str">
        <f t="shared" si="431"/>
        <v/>
      </c>
      <c r="AU302" s="328"/>
      <c r="AV302" s="197" t="str">
        <f>IF(AND($I302="x",AND(MAX(AR302:AT302)=AR302,AR302&lt;&gt;"")),Data!$BI$2,"")</f>
        <v/>
      </c>
      <c r="AW302" s="197" t="str">
        <f>IF(AND($J302="x",AND(MAX(AR302:AT302)=AS302,AS302&lt;&gt;"")),Data!$BJ$2,"")</f>
        <v/>
      </c>
      <c r="AX302" s="197" t="str">
        <f>IF(AND($K302="x",AND(MAX(AR302:AT302)=AT302,AT302&lt;&gt;"")),Data!$BK$2,"")</f>
        <v/>
      </c>
      <c r="AY302" s="197"/>
      <c r="AZ302" s="328"/>
      <c r="BA302" s="455"/>
      <c r="BB302" s="456"/>
      <c r="BC302" s="447" t="str">
        <f t="shared" si="432"/>
        <v/>
      </c>
      <c r="BD302" s="328"/>
      <c r="BE302" s="197" t="str">
        <f>IF(AND($I302="x",AND(MAX(BA302:BC302)=BA302,BA302&lt;&gt;"")),Data!$BI$2,"")</f>
        <v/>
      </c>
      <c r="BF302" s="197" t="str">
        <f>IF(AND($J302="x",AND(MAX(BA302:BC302)=BB302,BB302&lt;&gt;"")),Data!$BJ$2,"")</f>
        <v/>
      </c>
      <c r="BG302" s="197" t="str">
        <f>IF(AND($K302="x",AND(MAX(BA302:BC302)=BC302,BC302&lt;&gt;"")),Data!$BK$2,"")</f>
        <v/>
      </c>
      <c r="BH302" s="197"/>
      <c r="BI302" s="328"/>
      <c r="BJ302" s="455"/>
      <c r="BK302" s="456"/>
      <c r="BL302" s="447" t="str">
        <f t="shared" si="433"/>
        <v/>
      </c>
      <c r="BM302" s="328"/>
      <c r="BN302" s="197" t="str">
        <f>IF(AND($I302="x",AND(MAX(BJ302:BL302)=BJ302,BJ302&lt;&gt;"")),Data!$BI$2,"")</f>
        <v/>
      </c>
      <c r="BO302" s="197" t="str">
        <f>IF(AND($J302="x",AND(MAX(BJ302:BL302)=BK302,BK302&lt;&gt;"")),Data!$BJ$2,"")</f>
        <v/>
      </c>
      <c r="BP302" s="197" t="str">
        <f>IF(AND($K302="x",AND(MAX(BJ302:BL302)=BL302,BL302&lt;&gt;"")),Data!$BK$2,"")</f>
        <v/>
      </c>
      <c r="BQ302" s="197"/>
      <c r="BR302" s="328"/>
      <c r="BS302" s="455"/>
      <c r="BT302" s="456"/>
      <c r="BU302" s="447" t="str">
        <f t="shared" si="434"/>
        <v/>
      </c>
      <c r="BV302" s="328"/>
      <c r="BW302" s="197" t="str">
        <f>IF(AND($I302="x",AND(MAX(BS302:BU302)=BS302,BS302&lt;&gt;"")),Data!$BI$2,"")</f>
        <v/>
      </c>
      <c r="BX302" s="197" t="str">
        <f>IF(AND($J302="x",AND(MAX(BS302:BU302)=BT302,BT302&lt;&gt;"")),Data!$BJ$2,"")</f>
        <v/>
      </c>
      <c r="BY302" s="197" t="str">
        <f>IF(AND($K302="x",AND(MAX(BS302:BU302)=BU302,BU302&lt;&gt;"")),Data!$BK$2,"")</f>
        <v/>
      </c>
      <c r="BZ302" s="197"/>
      <c r="CA302" s="328"/>
      <c r="CB302" s="463" t="str">
        <f t="shared" si="435"/>
        <v/>
      </c>
      <c r="CC302" s="464" t="str">
        <f t="shared" si="436"/>
        <v/>
      </c>
      <c r="CD302" s="465" t="str">
        <f t="shared" si="437"/>
        <v/>
      </c>
      <c r="CE302" s="328"/>
      <c r="CF302" s="197" t="str">
        <f>IF(AND($I302="x",AND(MAX(CB302:CD302)=CB302,CB302&lt;&gt;"")),Data!$BI$2,"")</f>
        <v/>
      </c>
      <c r="CG302" s="197" t="str">
        <f>IF(AND($J302="x",AND(MAX(CB302:CD302)=CC302,CC302&lt;&gt;"")),Data!$BJ$2,"")</f>
        <v/>
      </c>
      <c r="CH302" s="197" t="str">
        <f>IF(AND($K302="x",AND(MAX(CB302:CD302)=CD302,CD302&lt;&gt;"")),Data!$BK$2,"")</f>
        <v/>
      </c>
      <c r="CI302" s="197"/>
      <c r="CJ302" s="197"/>
      <c r="CK302" s="455"/>
      <c r="CL302" s="456"/>
      <c r="CM302" s="447" t="str">
        <f t="shared" si="438"/>
        <v/>
      </c>
      <c r="CN302" s="328"/>
      <c r="CO302" s="197" t="str">
        <f>IF(AND($I302="x",AND(MAX(CK302:CM302)=CK302,CK302&lt;&gt;"")),Data!$BI$2,"")</f>
        <v/>
      </c>
      <c r="CP302" s="197" t="str">
        <f>IF(AND($J302="x",AND(MAX(CK302:CM302)=CL302,CL302&lt;&gt;"")),Data!$BJ$2,"")</f>
        <v/>
      </c>
      <c r="CQ302" s="197" t="str">
        <f>IF(AND($K302="x",AND(MAX(CK302:CM302)=CM302,CM302&lt;&gt;"")),Data!$BK$2,"")</f>
        <v/>
      </c>
      <c r="CR302" s="197"/>
      <c r="CS302" s="197"/>
      <c r="CT302" s="328"/>
      <c r="CU302" s="259"/>
      <c r="CV302" s="209"/>
      <c r="CW302" s="227"/>
    </row>
    <row r="303" spans="1:101" x14ac:dyDescent="0.2">
      <c r="A303" s="227"/>
      <c r="B303" s="227"/>
      <c r="C303" s="168"/>
      <c r="D303" s="232"/>
      <c r="E303" s="137" t="s">
        <v>219</v>
      </c>
      <c r="F303" s="427"/>
      <c r="G303" s="434"/>
      <c r="H303" s="435"/>
      <c r="I303" s="138" t="str">
        <f t="shared" si="425"/>
        <v/>
      </c>
      <c r="J303" s="344" t="str">
        <f t="shared" si="426"/>
        <v/>
      </c>
      <c r="K303" s="345" t="str">
        <f t="shared" si="427"/>
        <v/>
      </c>
      <c r="L303" s="258"/>
      <c r="M303" s="332"/>
      <c r="N303" s="336"/>
      <c r="O303" s="200"/>
      <c r="P303" s="200"/>
      <c r="Q303" s="448"/>
      <c r="R303" s="449"/>
      <c r="S303" s="450" t="str">
        <f t="shared" si="428"/>
        <v/>
      </c>
      <c r="T303" s="328"/>
      <c r="U303" s="197" t="str">
        <f>IF(AND($I303="x",AND(MAX(Q303:S303)=Q303,Q303&gt;=0)),Data!$BI$2,"")</f>
        <v/>
      </c>
      <c r="V303" s="197" t="str">
        <f>IF(AND($J303="x",AND(MAX(Q303:S303)=R303,R303&gt;=0)),Data!$BJ$2,"")</f>
        <v/>
      </c>
      <c r="W303" s="197" t="str">
        <f>IF(AND($K303="x",AND(MAX(Q303:S303)=S303,S303&gt;=0)),Data!$BK$2,"")</f>
        <v/>
      </c>
      <c r="X303" s="197"/>
      <c r="Y303" s="328"/>
      <c r="Z303" s="451"/>
      <c r="AA303" s="452"/>
      <c r="AB303" s="450" t="str">
        <f t="shared" si="429"/>
        <v/>
      </c>
      <c r="AC303" s="328"/>
      <c r="AD303" s="197" t="str">
        <f>IF(AND($I303="x",AND(MAX(Z303:AB303)=Z303,Z303&lt;&gt;"")),Data!$BI$2,"")</f>
        <v/>
      </c>
      <c r="AE303" s="197" t="str">
        <f>IF(AND($J303="x",AND(MAX(Z303:AB303)=AA303,AA303&lt;&gt;"")),Data!$BJ$2,"")</f>
        <v/>
      </c>
      <c r="AF303" s="197" t="str">
        <f>IF(AND($K303="x",AND(MAX(Z303:AB303)=AB303,AB303&lt;&gt;"")),Data!$BK$2,"")</f>
        <v/>
      </c>
      <c r="AG303" s="197"/>
      <c r="AH303" s="328"/>
      <c r="AI303" s="451"/>
      <c r="AJ303" s="452"/>
      <c r="AK303" s="450" t="str">
        <f t="shared" si="430"/>
        <v/>
      </c>
      <c r="AL303" s="328"/>
      <c r="AM303" s="197" t="str">
        <f>IF(AND($I303="x",AND(MAX(AI303:AK303)=AI303,AI303&lt;&gt;"")),Data!$BI$2,"")</f>
        <v/>
      </c>
      <c r="AN303" s="197" t="str">
        <f>IF(AND($J303="x",AND(MAX(AI303:AK303)=AJ303,AJ303&lt;&gt;"")),Data!$BJ$2,"")</f>
        <v/>
      </c>
      <c r="AO303" s="197" t="str">
        <f>IF(AND($K303="x",AND(MAX(AI303:AK303)=AK303,AK303&lt;&gt;"")),Data!$BK$2,"")</f>
        <v/>
      </c>
      <c r="AP303" s="197"/>
      <c r="AQ303" s="328"/>
      <c r="AR303" s="451"/>
      <c r="AS303" s="452"/>
      <c r="AT303" s="450" t="str">
        <f t="shared" si="431"/>
        <v/>
      </c>
      <c r="AU303" s="328"/>
      <c r="AV303" s="197" t="str">
        <f>IF(AND($I303="x",AND(MAX(AR303:AT303)=AR303,AR303&lt;&gt;"")),Data!$BI$2,"")</f>
        <v/>
      </c>
      <c r="AW303" s="197" t="str">
        <f>IF(AND($J303="x",AND(MAX(AR303:AT303)=AS303,AS303&lt;&gt;"")),Data!$BJ$2,"")</f>
        <v/>
      </c>
      <c r="AX303" s="197" t="str">
        <f>IF(AND($K303="x",AND(MAX(AR303:AT303)=AT303,AT303&lt;&gt;"")),Data!$BK$2,"")</f>
        <v/>
      </c>
      <c r="AY303" s="197"/>
      <c r="AZ303" s="328"/>
      <c r="BA303" s="451"/>
      <c r="BB303" s="452"/>
      <c r="BC303" s="450" t="str">
        <f t="shared" si="432"/>
        <v/>
      </c>
      <c r="BD303" s="328"/>
      <c r="BE303" s="197" t="str">
        <f>IF(AND($I303="x",AND(MAX(BA303:BC303)=BA303,BA303&lt;&gt;"")),Data!$BI$2,"")</f>
        <v/>
      </c>
      <c r="BF303" s="197" t="str">
        <f>IF(AND($J303="x",AND(MAX(BA303:BC303)=BB303,BB303&lt;&gt;"")),Data!$BJ$2,"")</f>
        <v/>
      </c>
      <c r="BG303" s="197" t="str">
        <f>IF(AND($K303="x",AND(MAX(BA303:BC303)=BC303,BC303&lt;&gt;"")),Data!$BK$2,"")</f>
        <v/>
      </c>
      <c r="BH303" s="197"/>
      <c r="BI303" s="328"/>
      <c r="BJ303" s="451"/>
      <c r="BK303" s="452"/>
      <c r="BL303" s="450" t="str">
        <f t="shared" si="433"/>
        <v/>
      </c>
      <c r="BM303" s="328"/>
      <c r="BN303" s="197" t="str">
        <f>IF(AND($I303="x",AND(MAX(BJ303:BL303)=BJ303,BJ303&lt;&gt;"")),Data!$BI$2,"")</f>
        <v/>
      </c>
      <c r="BO303" s="197" t="str">
        <f>IF(AND($J303="x",AND(MAX(BJ303:BL303)=BK303,BK303&lt;&gt;"")),Data!$BJ$2,"")</f>
        <v/>
      </c>
      <c r="BP303" s="197" t="str">
        <f>IF(AND($K303="x",AND(MAX(BJ303:BL303)=BL303,BL303&lt;&gt;"")),Data!$BK$2,"")</f>
        <v/>
      </c>
      <c r="BQ303" s="197"/>
      <c r="BR303" s="328"/>
      <c r="BS303" s="451"/>
      <c r="BT303" s="452"/>
      <c r="BU303" s="450" t="str">
        <f t="shared" si="434"/>
        <v/>
      </c>
      <c r="BV303" s="328"/>
      <c r="BW303" s="197" t="str">
        <f>IF(AND($I303="x",AND(MAX(BS303:BU303)=BS303,BS303&lt;&gt;"")),Data!$BI$2,"")</f>
        <v/>
      </c>
      <c r="BX303" s="197" t="str">
        <f>IF(AND($J303="x",AND(MAX(BS303:BU303)=BT303,BT303&lt;&gt;"")),Data!$BJ$2,"")</f>
        <v/>
      </c>
      <c r="BY303" s="197" t="str">
        <f>IF(AND($K303="x",AND(MAX(BS303:BU303)=BU303,BU303&lt;&gt;"")),Data!$BK$2,"")</f>
        <v/>
      </c>
      <c r="BZ303" s="197"/>
      <c r="CA303" s="328"/>
      <c r="CB303" s="457" t="str">
        <f t="shared" si="435"/>
        <v/>
      </c>
      <c r="CC303" s="458" t="str">
        <f t="shared" si="436"/>
        <v/>
      </c>
      <c r="CD303" s="459" t="str">
        <f t="shared" si="437"/>
        <v/>
      </c>
      <c r="CE303" s="328"/>
      <c r="CF303" s="197" t="str">
        <f>IF(AND($I303="x",AND(MAX(CB303:CD303)=CB303,CB303&lt;&gt;"")),Data!$BI$2,"")</f>
        <v/>
      </c>
      <c r="CG303" s="197" t="str">
        <f>IF(AND($J303="x",AND(MAX(CB303:CD303)=CC303,CC303&lt;&gt;"")),Data!$BJ$2,"")</f>
        <v/>
      </c>
      <c r="CH303" s="197" t="str">
        <f>IF(AND($K303="x",AND(MAX(CB303:CD303)=CD303,CD303&lt;&gt;"")),Data!$BK$2,"")</f>
        <v/>
      </c>
      <c r="CI303" s="197"/>
      <c r="CJ303" s="197"/>
      <c r="CK303" s="451"/>
      <c r="CL303" s="452"/>
      <c r="CM303" s="450" t="str">
        <f t="shared" si="438"/>
        <v/>
      </c>
      <c r="CN303" s="328"/>
      <c r="CO303" s="197" t="str">
        <f>IF(AND($I303="x",AND(MAX(CK303:CM303)=CK303,CK303&lt;&gt;"")),Data!$BI$2,"")</f>
        <v/>
      </c>
      <c r="CP303" s="197" t="str">
        <f>IF(AND($J303="x",AND(MAX(CK303:CM303)=CL303,CL303&lt;&gt;"")),Data!$BJ$2,"")</f>
        <v/>
      </c>
      <c r="CQ303" s="197" t="str">
        <f>IF(AND($K303="x",AND(MAX(CK303:CM303)=CM303,CM303&lt;&gt;"")),Data!$BK$2,"")</f>
        <v/>
      </c>
      <c r="CR303" s="197"/>
      <c r="CS303" s="197"/>
      <c r="CT303" s="328"/>
      <c r="CU303" s="259"/>
      <c r="CV303" s="209"/>
      <c r="CW303" s="227"/>
    </row>
    <row r="304" spans="1:101" x14ac:dyDescent="0.2">
      <c r="A304" s="227"/>
      <c r="B304" s="227"/>
      <c r="C304" s="168"/>
      <c r="D304" s="232"/>
      <c r="E304" s="135" t="s">
        <v>220</v>
      </c>
      <c r="F304" s="425"/>
      <c r="G304" s="430"/>
      <c r="H304" s="431"/>
      <c r="I304" s="346" t="str">
        <f t="shared" si="425"/>
        <v/>
      </c>
      <c r="J304" s="347" t="str">
        <f t="shared" si="426"/>
        <v/>
      </c>
      <c r="K304" s="348" t="str">
        <f t="shared" si="427"/>
        <v/>
      </c>
      <c r="L304" s="258"/>
      <c r="M304" s="332"/>
      <c r="N304" s="336"/>
      <c r="O304" s="200"/>
      <c r="P304" s="200"/>
      <c r="Q304" s="439"/>
      <c r="R304" s="440"/>
      <c r="S304" s="441" t="str">
        <f t="shared" si="428"/>
        <v/>
      </c>
      <c r="T304" s="328"/>
      <c r="U304" s="197" t="str">
        <f>IF(AND($I304="x",AND(MAX(Q304:S304)=Q304,Q304&gt;=0)),Data!$BI$2,"")</f>
        <v/>
      </c>
      <c r="V304" s="197" t="str">
        <f>IF(AND($J304="x",AND(MAX(Q304:S304)=R304,R304&gt;=0)),Data!$BJ$2,"")</f>
        <v/>
      </c>
      <c r="W304" s="197" t="str">
        <f>IF(AND($K304="x",AND(MAX(Q304:S304)=S304,S304&gt;=0)),Data!$BK$2,"")</f>
        <v/>
      </c>
      <c r="X304" s="197"/>
      <c r="Y304" s="328"/>
      <c r="Z304" s="453"/>
      <c r="AA304" s="454"/>
      <c r="AB304" s="441" t="str">
        <f t="shared" si="429"/>
        <v/>
      </c>
      <c r="AC304" s="328"/>
      <c r="AD304" s="197" t="str">
        <f>IF(AND($I304="x",AND(MAX(Z304:AB304)=Z304,Z304&lt;&gt;"")),Data!$BI$2,"")</f>
        <v/>
      </c>
      <c r="AE304" s="197" t="str">
        <f>IF(AND($J304="x",AND(MAX(Z304:AB304)=AA304,AA304&lt;&gt;"")),Data!$BJ$2,"")</f>
        <v/>
      </c>
      <c r="AF304" s="197" t="str">
        <f>IF(AND($K304="x",AND(MAX(Z304:AB304)=AB304,AB304&lt;&gt;"")),Data!$BK$2,"")</f>
        <v/>
      </c>
      <c r="AG304" s="197"/>
      <c r="AH304" s="328"/>
      <c r="AI304" s="453"/>
      <c r="AJ304" s="454"/>
      <c r="AK304" s="441" t="str">
        <f t="shared" si="430"/>
        <v/>
      </c>
      <c r="AL304" s="328"/>
      <c r="AM304" s="197" t="str">
        <f>IF(AND($I304="x",AND(MAX(AI304:AK304)=AI304,AI304&lt;&gt;"")),Data!$BI$2,"")</f>
        <v/>
      </c>
      <c r="AN304" s="197" t="str">
        <f>IF(AND($J304="x",AND(MAX(AI304:AK304)=AJ304,AJ304&lt;&gt;"")),Data!$BJ$2,"")</f>
        <v/>
      </c>
      <c r="AO304" s="197" t="str">
        <f>IF(AND($K304="x",AND(MAX(AI304:AK304)=AK304,AK304&lt;&gt;"")),Data!$BK$2,"")</f>
        <v/>
      </c>
      <c r="AP304" s="197"/>
      <c r="AQ304" s="328"/>
      <c r="AR304" s="453"/>
      <c r="AS304" s="454"/>
      <c r="AT304" s="441" t="str">
        <f t="shared" si="431"/>
        <v/>
      </c>
      <c r="AU304" s="328"/>
      <c r="AV304" s="197" t="str">
        <f>IF(AND($I304="x",AND(MAX(AR304:AT304)=AR304,AR304&lt;&gt;"")),Data!$BI$2,"")</f>
        <v/>
      </c>
      <c r="AW304" s="197" t="str">
        <f>IF(AND($J304="x",AND(MAX(AR304:AT304)=AS304,AS304&lt;&gt;"")),Data!$BJ$2,"")</f>
        <v/>
      </c>
      <c r="AX304" s="197" t="str">
        <f>IF(AND($K304="x",AND(MAX(AR304:AT304)=AT304,AT304&lt;&gt;"")),Data!$BK$2,"")</f>
        <v/>
      </c>
      <c r="AY304" s="197"/>
      <c r="AZ304" s="328"/>
      <c r="BA304" s="453"/>
      <c r="BB304" s="454"/>
      <c r="BC304" s="441" t="str">
        <f t="shared" si="432"/>
        <v/>
      </c>
      <c r="BD304" s="328"/>
      <c r="BE304" s="197" t="str">
        <f>IF(AND($I304="x",AND(MAX(BA304:BC304)=BA304,BA304&lt;&gt;"")),Data!$BI$2,"")</f>
        <v/>
      </c>
      <c r="BF304" s="197" t="str">
        <f>IF(AND($J304="x",AND(MAX(BA304:BC304)=BB304,BB304&lt;&gt;"")),Data!$BJ$2,"")</f>
        <v/>
      </c>
      <c r="BG304" s="197" t="str">
        <f>IF(AND($K304="x",AND(MAX(BA304:BC304)=BC304,BC304&lt;&gt;"")),Data!$BK$2,"")</f>
        <v/>
      </c>
      <c r="BH304" s="197"/>
      <c r="BI304" s="328"/>
      <c r="BJ304" s="453"/>
      <c r="BK304" s="454"/>
      <c r="BL304" s="441" t="str">
        <f t="shared" si="433"/>
        <v/>
      </c>
      <c r="BM304" s="328"/>
      <c r="BN304" s="197" t="str">
        <f>IF(AND($I304="x",AND(MAX(BJ304:BL304)=BJ304,BJ304&lt;&gt;"")),Data!$BI$2,"")</f>
        <v/>
      </c>
      <c r="BO304" s="197" t="str">
        <f>IF(AND($J304="x",AND(MAX(BJ304:BL304)=BK304,BK304&lt;&gt;"")),Data!$BJ$2,"")</f>
        <v/>
      </c>
      <c r="BP304" s="197" t="str">
        <f>IF(AND($K304="x",AND(MAX(BJ304:BL304)=BL304,BL304&lt;&gt;"")),Data!$BK$2,"")</f>
        <v/>
      </c>
      <c r="BQ304" s="197"/>
      <c r="BR304" s="328"/>
      <c r="BS304" s="453"/>
      <c r="BT304" s="454"/>
      <c r="BU304" s="441" t="str">
        <f t="shared" si="434"/>
        <v/>
      </c>
      <c r="BV304" s="328"/>
      <c r="BW304" s="197" t="str">
        <f>IF(AND($I304="x",AND(MAX(BS304:BU304)=BS304,BS304&lt;&gt;"")),Data!$BI$2,"")</f>
        <v/>
      </c>
      <c r="BX304" s="197" t="str">
        <f>IF(AND($J304="x",AND(MAX(BS304:BU304)=BT304,BT304&lt;&gt;"")),Data!$BJ$2,"")</f>
        <v/>
      </c>
      <c r="BY304" s="197" t="str">
        <f>IF(AND($K304="x",AND(MAX(BS304:BU304)=BU304,BU304&lt;&gt;"")),Data!$BK$2,"")</f>
        <v/>
      </c>
      <c r="BZ304" s="197"/>
      <c r="CA304" s="328"/>
      <c r="CB304" s="460" t="str">
        <f t="shared" si="435"/>
        <v/>
      </c>
      <c r="CC304" s="461" t="str">
        <f t="shared" si="436"/>
        <v/>
      </c>
      <c r="CD304" s="462" t="str">
        <f t="shared" si="437"/>
        <v/>
      </c>
      <c r="CE304" s="328"/>
      <c r="CF304" s="197" t="str">
        <f>IF(AND($I304="x",AND(MAX(CB304:CD304)=CB304,CB304&lt;&gt;"")),Data!$BI$2,"")</f>
        <v/>
      </c>
      <c r="CG304" s="197" t="str">
        <f>IF(AND($J304="x",AND(MAX(CB304:CD304)=CC304,CC304&lt;&gt;"")),Data!$BJ$2,"")</f>
        <v/>
      </c>
      <c r="CH304" s="197" t="str">
        <f>IF(AND($K304="x",AND(MAX(CB304:CD304)=CD304,CD304&lt;&gt;"")),Data!$BK$2,"")</f>
        <v/>
      </c>
      <c r="CI304" s="197"/>
      <c r="CJ304" s="197"/>
      <c r="CK304" s="453"/>
      <c r="CL304" s="454"/>
      <c r="CM304" s="441" t="str">
        <f t="shared" si="438"/>
        <v/>
      </c>
      <c r="CN304" s="328"/>
      <c r="CO304" s="197" t="str">
        <f>IF(AND($I304="x",AND(MAX(CK304:CM304)=CK304,CK304&lt;&gt;"")),Data!$BI$2,"")</f>
        <v/>
      </c>
      <c r="CP304" s="197" t="str">
        <f>IF(AND($J304="x",AND(MAX(CK304:CM304)=CL304,CL304&lt;&gt;"")),Data!$BJ$2,"")</f>
        <v/>
      </c>
      <c r="CQ304" s="197" t="str">
        <f>IF(AND($K304="x",AND(MAX(CK304:CM304)=CM304,CM304&lt;&gt;"")),Data!$BK$2,"")</f>
        <v/>
      </c>
      <c r="CR304" s="197"/>
      <c r="CS304" s="197"/>
      <c r="CT304" s="328"/>
      <c r="CU304" s="259"/>
      <c r="CV304" s="209"/>
      <c r="CW304" s="227"/>
    </row>
    <row r="305" spans="1:101" x14ac:dyDescent="0.2">
      <c r="A305" s="227"/>
      <c r="B305" s="227"/>
      <c r="C305" s="168"/>
      <c r="D305" s="232"/>
      <c r="E305" s="136" t="s">
        <v>221</v>
      </c>
      <c r="F305" s="426"/>
      <c r="G305" s="432"/>
      <c r="H305" s="433"/>
      <c r="I305" s="349" t="str">
        <f t="shared" si="425"/>
        <v/>
      </c>
      <c r="J305" s="350" t="str">
        <f t="shared" si="426"/>
        <v/>
      </c>
      <c r="K305" s="351" t="str">
        <f t="shared" si="427"/>
        <v/>
      </c>
      <c r="L305" s="258"/>
      <c r="M305" s="332"/>
      <c r="N305" s="336"/>
      <c r="O305" s="200"/>
      <c r="P305" s="200"/>
      <c r="Q305" s="445"/>
      <c r="R305" s="446"/>
      <c r="S305" s="447" t="str">
        <f t="shared" si="428"/>
        <v/>
      </c>
      <c r="T305" s="328"/>
      <c r="U305" s="197" t="str">
        <f>IF(AND($I305="x",AND(MAX(Q305:S305)=Q305,Q305&gt;=0)),Data!$BI$2,"")</f>
        <v/>
      </c>
      <c r="V305" s="197" t="str">
        <f>IF(AND($J305="x",AND(MAX(Q305:S305)=R305,R305&gt;=0)),Data!$BJ$2,"")</f>
        <v/>
      </c>
      <c r="W305" s="197" t="str">
        <f>IF(AND($K305="x",AND(MAX(Q305:S305)=S305,S305&gt;=0)),Data!$BK$2,"")</f>
        <v/>
      </c>
      <c r="X305" s="197"/>
      <c r="Y305" s="328"/>
      <c r="Z305" s="455"/>
      <c r="AA305" s="456"/>
      <c r="AB305" s="447" t="str">
        <f t="shared" si="429"/>
        <v/>
      </c>
      <c r="AC305" s="328"/>
      <c r="AD305" s="197" t="str">
        <f>IF(AND($I305="x",AND(MAX(Z305:AB305)=Z305,Z305&lt;&gt;"")),Data!$BI$2,"")</f>
        <v/>
      </c>
      <c r="AE305" s="197" t="str">
        <f>IF(AND($J305="x",AND(MAX(Z305:AB305)=AA305,AA305&lt;&gt;"")),Data!$BJ$2,"")</f>
        <v/>
      </c>
      <c r="AF305" s="197" t="str">
        <f>IF(AND($K305="x",AND(MAX(Z305:AB305)=AB305,AB305&lt;&gt;"")),Data!$BK$2,"")</f>
        <v/>
      </c>
      <c r="AG305" s="197"/>
      <c r="AH305" s="328"/>
      <c r="AI305" s="455"/>
      <c r="AJ305" s="456"/>
      <c r="AK305" s="447" t="str">
        <f t="shared" si="430"/>
        <v/>
      </c>
      <c r="AL305" s="328"/>
      <c r="AM305" s="197" t="str">
        <f>IF(AND($I305="x",AND(MAX(AI305:AK305)=AI305,AI305&lt;&gt;"")),Data!$BI$2,"")</f>
        <v/>
      </c>
      <c r="AN305" s="197" t="str">
        <f>IF(AND($J305="x",AND(MAX(AI305:AK305)=AJ305,AJ305&lt;&gt;"")),Data!$BJ$2,"")</f>
        <v/>
      </c>
      <c r="AO305" s="197" t="str">
        <f>IF(AND($K305="x",AND(MAX(AI305:AK305)=AK305,AK305&lt;&gt;"")),Data!$BK$2,"")</f>
        <v/>
      </c>
      <c r="AP305" s="197"/>
      <c r="AQ305" s="328"/>
      <c r="AR305" s="455"/>
      <c r="AS305" s="456"/>
      <c r="AT305" s="447" t="str">
        <f t="shared" si="431"/>
        <v/>
      </c>
      <c r="AU305" s="328"/>
      <c r="AV305" s="197" t="str">
        <f>IF(AND($I305="x",AND(MAX(AR305:AT305)=AR305,AR305&lt;&gt;"")),Data!$BI$2,"")</f>
        <v/>
      </c>
      <c r="AW305" s="197" t="str">
        <f>IF(AND($J305="x",AND(MAX(AR305:AT305)=AS305,AS305&lt;&gt;"")),Data!$BJ$2,"")</f>
        <v/>
      </c>
      <c r="AX305" s="197" t="str">
        <f>IF(AND($K305="x",AND(MAX(AR305:AT305)=AT305,AT305&lt;&gt;"")),Data!$BK$2,"")</f>
        <v/>
      </c>
      <c r="AY305" s="197"/>
      <c r="AZ305" s="328"/>
      <c r="BA305" s="455"/>
      <c r="BB305" s="456"/>
      <c r="BC305" s="447" t="str">
        <f t="shared" si="432"/>
        <v/>
      </c>
      <c r="BD305" s="328"/>
      <c r="BE305" s="197" t="str">
        <f>IF(AND($I305="x",AND(MAX(BA305:BC305)=BA305,BA305&lt;&gt;"")),Data!$BI$2,"")</f>
        <v/>
      </c>
      <c r="BF305" s="197" t="str">
        <f>IF(AND($J305="x",AND(MAX(BA305:BC305)=BB305,BB305&lt;&gt;"")),Data!$BJ$2,"")</f>
        <v/>
      </c>
      <c r="BG305" s="197" t="str">
        <f>IF(AND($K305="x",AND(MAX(BA305:BC305)=BC305,BC305&lt;&gt;"")),Data!$BK$2,"")</f>
        <v/>
      </c>
      <c r="BH305" s="197"/>
      <c r="BI305" s="328"/>
      <c r="BJ305" s="455"/>
      <c r="BK305" s="456"/>
      <c r="BL305" s="447" t="str">
        <f t="shared" si="433"/>
        <v/>
      </c>
      <c r="BM305" s="328"/>
      <c r="BN305" s="197" t="str">
        <f>IF(AND($I305="x",AND(MAX(BJ305:BL305)=BJ305,BJ305&lt;&gt;"")),Data!$BI$2,"")</f>
        <v/>
      </c>
      <c r="BO305" s="197" t="str">
        <f>IF(AND($J305="x",AND(MAX(BJ305:BL305)=BK305,BK305&lt;&gt;"")),Data!$BJ$2,"")</f>
        <v/>
      </c>
      <c r="BP305" s="197" t="str">
        <f>IF(AND($K305="x",AND(MAX(BJ305:BL305)=BL305,BL305&lt;&gt;"")),Data!$BK$2,"")</f>
        <v/>
      </c>
      <c r="BQ305" s="197"/>
      <c r="BR305" s="328"/>
      <c r="BS305" s="455"/>
      <c r="BT305" s="456"/>
      <c r="BU305" s="447" t="str">
        <f t="shared" si="434"/>
        <v/>
      </c>
      <c r="BV305" s="328"/>
      <c r="BW305" s="197" t="str">
        <f>IF(AND($I305="x",AND(MAX(BS305:BU305)=BS305,BS305&lt;&gt;"")),Data!$BI$2,"")</f>
        <v/>
      </c>
      <c r="BX305" s="197" t="str">
        <f>IF(AND($J305="x",AND(MAX(BS305:BU305)=BT305,BT305&lt;&gt;"")),Data!$BJ$2,"")</f>
        <v/>
      </c>
      <c r="BY305" s="197" t="str">
        <f>IF(AND($K305="x",AND(MAX(BS305:BU305)=BU305,BU305&lt;&gt;"")),Data!$BK$2,"")</f>
        <v/>
      </c>
      <c r="BZ305" s="197"/>
      <c r="CA305" s="328"/>
      <c r="CB305" s="463" t="str">
        <f t="shared" si="435"/>
        <v/>
      </c>
      <c r="CC305" s="464" t="str">
        <f t="shared" si="436"/>
        <v/>
      </c>
      <c r="CD305" s="465" t="str">
        <f t="shared" si="437"/>
        <v/>
      </c>
      <c r="CE305" s="328"/>
      <c r="CF305" s="197" t="str">
        <f>IF(AND($I305="x",AND(MAX(CB305:CD305)=CB305,CB305&lt;&gt;"")),Data!$BI$2,"")</f>
        <v/>
      </c>
      <c r="CG305" s="197" t="str">
        <f>IF(AND($J305="x",AND(MAX(CB305:CD305)=CC305,CC305&lt;&gt;"")),Data!$BJ$2,"")</f>
        <v/>
      </c>
      <c r="CH305" s="197" t="str">
        <f>IF(AND($K305="x",AND(MAX(CB305:CD305)=CD305,CD305&lt;&gt;"")),Data!$BK$2,"")</f>
        <v/>
      </c>
      <c r="CI305" s="197"/>
      <c r="CJ305" s="197"/>
      <c r="CK305" s="455"/>
      <c r="CL305" s="456"/>
      <c r="CM305" s="447" t="str">
        <f t="shared" si="438"/>
        <v/>
      </c>
      <c r="CN305" s="328"/>
      <c r="CO305" s="197" t="str">
        <f>IF(AND($I305="x",AND(MAX(CK305:CM305)=CK305,CK305&lt;&gt;"")),Data!$BI$2,"")</f>
        <v/>
      </c>
      <c r="CP305" s="197" t="str">
        <f>IF(AND($J305="x",AND(MAX(CK305:CM305)=CL305,CL305&lt;&gt;"")),Data!$BJ$2,"")</f>
        <v/>
      </c>
      <c r="CQ305" s="197" t="str">
        <f>IF(AND($K305="x",AND(MAX(CK305:CM305)=CM305,CM305&lt;&gt;"")),Data!$BK$2,"")</f>
        <v/>
      </c>
      <c r="CR305" s="197"/>
      <c r="CS305" s="197"/>
      <c r="CT305" s="328"/>
      <c r="CU305" s="259"/>
      <c r="CV305" s="209"/>
      <c r="CW305" s="227"/>
    </row>
    <row r="306" spans="1:101" x14ac:dyDescent="0.2">
      <c r="A306" s="227"/>
      <c r="B306" s="227"/>
      <c r="C306" s="168"/>
      <c r="D306" s="233"/>
      <c r="E306" s="199"/>
      <c r="F306" s="352" t="str">
        <f>IF(SUM(F294:F305)=0,"",SUM(F294:F305))</f>
        <v/>
      </c>
      <c r="G306" s="327" t="s">
        <v>51</v>
      </c>
      <c r="H306" s="353" t="str">
        <f>IF(SUM(H294:H305)=0,"",SUM(H294:H305))</f>
        <v/>
      </c>
      <c r="I306" s="354" t="str">
        <f>IF(COUNTIF(I294:I305,"=x")=0,"",COUNTIF(I294:I305,"=x"))</f>
        <v/>
      </c>
      <c r="J306" s="355" t="str">
        <f>IF(COUNTIF(J294:J305,"=x")=0,"",COUNTIF(J294:J305,"=x"))</f>
        <v/>
      </c>
      <c r="K306" s="356" t="str">
        <f>IF(COUNTIF(K294:K305,"=x")=0,"",COUNTIF(K294:K305,"=x"))</f>
        <v/>
      </c>
      <c r="L306" s="258"/>
      <c r="M306" s="332"/>
      <c r="N306" s="336"/>
      <c r="O306" s="200"/>
      <c r="P306" s="326"/>
      <c r="Q306" s="422">
        <f>SUM(U294:U305)</f>
        <v>0</v>
      </c>
      <c r="R306" s="422">
        <f t="shared" ref="R306:S306" si="439">SUM(V294:V305)</f>
        <v>0</v>
      </c>
      <c r="S306" s="422">
        <f t="shared" si="439"/>
        <v>0</v>
      </c>
      <c r="T306" s="325"/>
      <c r="U306" s="197">
        <f>SUM(U294:U305)</f>
        <v>0</v>
      </c>
      <c r="V306" s="197">
        <f t="shared" ref="V306:W306" si="440">SUM(V294:V305)</f>
        <v>0</v>
      </c>
      <c r="W306" s="197">
        <f t="shared" si="440"/>
        <v>0</v>
      </c>
      <c r="X306" s="197"/>
      <c r="Y306" s="324"/>
      <c r="Z306" s="422">
        <f>SUM(AD294:AD305)</f>
        <v>0</v>
      </c>
      <c r="AA306" s="422">
        <f t="shared" ref="AA306:AB306" si="441">SUM(AE294:AE305)</f>
        <v>0</v>
      </c>
      <c r="AB306" s="422">
        <f t="shared" si="441"/>
        <v>0</v>
      </c>
      <c r="AC306" s="325"/>
      <c r="AD306" s="197">
        <f>SUM(AD294:AD305)</f>
        <v>0</v>
      </c>
      <c r="AE306" s="197">
        <f t="shared" ref="AE306:AF306" si="442">SUM(AE294:AE305)</f>
        <v>0</v>
      </c>
      <c r="AF306" s="197">
        <f t="shared" si="442"/>
        <v>0</v>
      </c>
      <c r="AG306" s="197"/>
      <c r="AH306" s="324"/>
      <c r="AI306" s="422">
        <f>SUM(AM294:AM305)</f>
        <v>0</v>
      </c>
      <c r="AJ306" s="422">
        <f t="shared" ref="AJ306:AK306" si="443">SUM(AN294:AN305)</f>
        <v>0</v>
      </c>
      <c r="AK306" s="422">
        <f t="shared" si="443"/>
        <v>0</v>
      </c>
      <c r="AL306" s="325"/>
      <c r="AM306" s="197">
        <f>SUM(AM294:AM305)</f>
        <v>0</v>
      </c>
      <c r="AN306" s="197">
        <f t="shared" ref="AN306:AO306" si="444">SUM(AN294:AN305)</f>
        <v>0</v>
      </c>
      <c r="AO306" s="197">
        <f t="shared" si="444"/>
        <v>0</v>
      </c>
      <c r="AP306" s="197"/>
      <c r="AQ306" s="324"/>
      <c r="AR306" s="422">
        <f>SUM(AV294:AV305)</f>
        <v>0</v>
      </c>
      <c r="AS306" s="422">
        <f t="shared" ref="AS306:AT306" si="445">SUM(AW294:AW305)</f>
        <v>0</v>
      </c>
      <c r="AT306" s="422">
        <f t="shared" si="445"/>
        <v>0</v>
      </c>
      <c r="AU306" s="325"/>
      <c r="AV306" s="197">
        <f>SUM(AV294:AV305)</f>
        <v>0</v>
      </c>
      <c r="AW306" s="197">
        <f t="shared" ref="AW306:AX306" si="446">SUM(AW294:AW305)</f>
        <v>0</v>
      </c>
      <c r="AX306" s="197">
        <f t="shared" si="446"/>
        <v>0</v>
      </c>
      <c r="AY306" s="197"/>
      <c r="AZ306" s="324"/>
      <c r="BA306" s="422">
        <f>SUM(BE294:BE305)</f>
        <v>0</v>
      </c>
      <c r="BB306" s="422">
        <f t="shared" ref="BB306:BC306" si="447">SUM(BF294:BF305)</f>
        <v>0</v>
      </c>
      <c r="BC306" s="422">
        <f t="shared" si="447"/>
        <v>0</v>
      </c>
      <c r="BD306" s="325"/>
      <c r="BE306" s="197">
        <f>SUM(BE294:BE305)</f>
        <v>0</v>
      </c>
      <c r="BF306" s="197">
        <f t="shared" ref="BF306:BG306" si="448">SUM(BF294:BF305)</f>
        <v>0</v>
      </c>
      <c r="BG306" s="197">
        <f t="shared" si="448"/>
        <v>0</v>
      </c>
      <c r="BH306" s="197"/>
      <c r="BI306" s="324"/>
      <c r="BJ306" s="422">
        <f>SUM(BN294:BN305)</f>
        <v>0</v>
      </c>
      <c r="BK306" s="422">
        <f t="shared" ref="BK306" si="449">SUM(BO294:BO305)</f>
        <v>0</v>
      </c>
      <c r="BL306" s="422">
        <f t="shared" ref="BL306" si="450">SUM(BP294:BP305)</f>
        <v>0</v>
      </c>
      <c r="BM306" s="325"/>
      <c r="BN306" s="197">
        <f>SUM(BN294:BN305)</f>
        <v>0</v>
      </c>
      <c r="BO306" s="197">
        <f t="shared" ref="BO306:BP306" si="451">SUM(BO294:BO305)</f>
        <v>0</v>
      </c>
      <c r="BP306" s="197">
        <f t="shared" si="451"/>
        <v>0</v>
      </c>
      <c r="BQ306" s="197"/>
      <c r="BR306" s="324"/>
      <c r="BS306" s="422">
        <f>SUM(BW294:BW305)</f>
        <v>0</v>
      </c>
      <c r="BT306" s="422">
        <f t="shared" ref="BT306:BU306" si="452">SUM(BX294:BX305)</f>
        <v>0</v>
      </c>
      <c r="BU306" s="422">
        <f t="shared" si="452"/>
        <v>0</v>
      </c>
      <c r="BV306" s="325"/>
      <c r="BW306" s="197">
        <f>SUM(BW294:BW305)</f>
        <v>0</v>
      </c>
      <c r="BX306" s="197">
        <f t="shared" ref="BX306:BY306" si="453">SUM(BX294:BX305)</f>
        <v>0</v>
      </c>
      <c r="BY306" s="197">
        <f t="shared" si="453"/>
        <v>0</v>
      </c>
      <c r="BZ306" s="197"/>
      <c r="CA306" s="326"/>
      <c r="CB306" s="422">
        <f>SUM(CF294:CF305)</f>
        <v>0</v>
      </c>
      <c r="CC306" s="422">
        <f t="shared" ref="CC306:CD306" si="454">SUM(CG294:CG305)</f>
        <v>0</v>
      </c>
      <c r="CD306" s="422">
        <f t="shared" si="454"/>
        <v>0</v>
      </c>
      <c r="CE306" s="325"/>
      <c r="CF306" s="197">
        <f>SUM(CF294:CF305)</f>
        <v>0</v>
      </c>
      <c r="CG306" s="197">
        <f t="shared" ref="CG306:CH306" si="455">SUM(CG294:CG305)</f>
        <v>0</v>
      </c>
      <c r="CH306" s="197">
        <f t="shared" si="455"/>
        <v>0</v>
      </c>
      <c r="CI306" s="197"/>
      <c r="CJ306" s="197"/>
      <c r="CK306" s="422">
        <f>SUM(CO294:CO305)</f>
        <v>0</v>
      </c>
      <c r="CL306" s="422">
        <f t="shared" ref="CL306:CM306" si="456">SUM(CP294:CP305)</f>
        <v>0</v>
      </c>
      <c r="CM306" s="422">
        <f t="shared" si="456"/>
        <v>0</v>
      </c>
      <c r="CN306" s="325"/>
      <c r="CO306" s="197">
        <f>SUM(CO294:CO305)</f>
        <v>0</v>
      </c>
      <c r="CP306" s="197">
        <f t="shared" ref="CP306:CQ306" si="457">SUM(CP294:CP305)</f>
        <v>0</v>
      </c>
      <c r="CQ306" s="197">
        <f t="shared" si="457"/>
        <v>0</v>
      </c>
      <c r="CR306" s="197"/>
      <c r="CS306" s="197"/>
      <c r="CT306" s="197"/>
      <c r="CU306" s="259"/>
      <c r="CV306" s="209"/>
      <c r="CW306" s="228"/>
    </row>
    <row r="307" spans="1:101" x14ac:dyDescent="0.2">
      <c r="A307" s="227"/>
      <c r="B307" s="227"/>
      <c r="C307" s="168"/>
      <c r="D307" s="249"/>
      <c r="E307" s="242"/>
      <c r="F307" s="243"/>
      <c r="G307" s="242"/>
      <c r="H307" s="242"/>
      <c r="I307" s="242"/>
      <c r="J307" s="242"/>
      <c r="K307" s="242"/>
      <c r="L307" s="252"/>
      <c r="M307" s="260"/>
      <c r="N307" s="337"/>
      <c r="O307" s="333"/>
      <c r="P307" s="244"/>
      <c r="Q307" s="245"/>
      <c r="R307" s="245"/>
      <c r="S307" s="245"/>
      <c r="T307" s="246"/>
      <c r="U307" s="247"/>
      <c r="V307" s="247"/>
      <c r="W307" s="247"/>
      <c r="X307" s="247"/>
      <c r="Y307" s="244"/>
      <c r="Z307" s="245"/>
      <c r="AA307" s="245"/>
      <c r="AB307" s="245"/>
      <c r="AC307" s="246"/>
      <c r="AD307" s="247"/>
      <c r="AE307" s="247"/>
      <c r="AF307" s="247"/>
      <c r="AG307" s="247"/>
      <c r="AH307" s="244"/>
      <c r="AI307" s="245"/>
      <c r="AJ307" s="245"/>
      <c r="AK307" s="245"/>
      <c r="AL307" s="246"/>
      <c r="AM307" s="247"/>
      <c r="AN307" s="247"/>
      <c r="AO307" s="247"/>
      <c r="AP307" s="247"/>
      <c r="AQ307" s="244"/>
      <c r="AR307" s="245"/>
      <c r="AS307" s="245"/>
      <c r="AT307" s="245"/>
      <c r="AU307" s="246"/>
      <c r="AV307" s="247"/>
      <c r="AW307" s="247"/>
      <c r="AX307" s="247"/>
      <c r="AY307" s="247"/>
      <c r="AZ307" s="244"/>
      <c r="BA307" s="245"/>
      <c r="BB307" s="245"/>
      <c r="BC307" s="245"/>
      <c r="BD307" s="246"/>
      <c r="BE307" s="247"/>
      <c r="BF307" s="247"/>
      <c r="BG307" s="247"/>
      <c r="BH307" s="247"/>
      <c r="BI307" s="244"/>
      <c r="BJ307" s="244"/>
      <c r="BK307" s="244"/>
      <c r="BL307" s="244"/>
      <c r="BM307" s="244"/>
      <c r="BN307" s="247"/>
      <c r="BO307" s="247"/>
      <c r="BP307" s="247"/>
      <c r="BQ307" s="247"/>
      <c r="BR307" s="244"/>
      <c r="BS307" s="244"/>
      <c r="BT307" s="244"/>
      <c r="BU307" s="244"/>
      <c r="BV307" s="244"/>
      <c r="BW307" s="247"/>
      <c r="BX307" s="247"/>
      <c r="BY307" s="247"/>
      <c r="BZ307" s="247"/>
      <c r="CA307" s="244"/>
      <c r="CB307" s="244"/>
      <c r="CC307" s="244"/>
      <c r="CD307" s="244"/>
      <c r="CE307" s="244"/>
      <c r="CF307" s="247"/>
      <c r="CG307" s="247"/>
      <c r="CH307" s="247"/>
      <c r="CI307" s="247"/>
      <c r="CJ307" s="248"/>
      <c r="CK307" s="248"/>
      <c r="CL307" s="248"/>
      <c r="CM307" s="248"/>
      <c r="CN307" s="248"/>
      <c r="CO307" s="247"/>
      <c r="CP307" s="247"/>
      <c r="CQ307" s="247"/>
      <c r="CR307" s="247"/>
      <c r="CS307" s="248"/>
      <c r="CT307" s="242"/>
      <c r="CU307" s="253"/>
      <c r="CV307" s="209"/>
      <c r="CW307" s="228"/>
    </row>
    <row r="308" spans="1:101" x14ac:dyDescent="0.2">
      <c r="A308" s="219"/>
      <c r="B308" s="219"/>
      <c r="C308" s="175"/>
      <c r="D308" s="176"/>
      <c r="E308" s="210"/>
      <c r="F308" s="211"/>
      <c r="G308" s="210"/>
      <c r="H308" s="210"/>
      <c r="I308" s="210"/>
      <c r="J308" s="210"/>
      <c r="K308" s="210"/>
      <c r="L308" s="212"/>
      <c r="M308" s="213"/>
      <c r="N308" s="213"/>
      <c r="O308" s="213"/>
      <c r="P308" s="213"/>
      <c r="Q308" s="210"/>
      <c r="R308" s="210"/>
      <c r="S308" s="210"/>
      <c r="T308" s="214"/>
      <c r="U308" s="215"/>
      <c r="V308" s="215"/>
      <c r="W308" s="215"/>
      <c r="X308" s="215"/>
      <c r="Y308" s="213"/>
      <c r="Z308" s="210"/>
      <c r="AA308" s="210"/>
      <c r="AB308" s="210"/>
      <c r="AC308" s="214"/>
      <c r="AD308" s="215"/>
      <c r="AE308" s="215"/>
      <c r="AF308" s="215"/>
      <c r="AG308" s="215"/>
      <c r="AH308" s="213"/>
      <c r="AI308" s="210"/>
      <c r="AJ308" s="210"/>
      <c r="AK308" s="210"/>
      <c r="AL308" s="214"/>
      <c r="AM308" s="215"/>
      <c r="AN308" s="215"/>
      <c r="AO308" s="215"/>
      <c r="AP308" s="215"/>
      <c r="AQ308" s="213"/>
      <c r="AR308" s="210"/>
      <c r="AS308" s="210"/>
      <c r="AT308" s="210"/>
      <c r="AU308" s="214"/>
      <c r="AV308" s="215"/>
      <c r="AW308" s="215"/>
      <c r="AX308" s="215"/>
      <c r="AY308" s="215"/>
      <c r="AZ308" s="213"/>
      <c r="BA308" s="210"/>
      <c r="BB308" s="210"/>
      <c r="BC308" s="210"/>
      <c r="BD308" s="214"/>
      <c r="BE308" s="215"/>
      <c r="BF308" s="215"/>
      <c r="BG308" s="215"/>
      <c r="BH308" s="215"/>
      <c r="BI308" s="213"/>
      <c r="BJ308" s="210"/>
      <c r="BK308" s="210"/>
      <c r="BL308" s="210"/>
      <c r="BM308" s="214"/>
      <c r="BN308" s="215"/>
      <c r="BO308" s="215"/>
      <c r="BP308" s="215"/>
      <c r="BQ308" s="215"/>
      <c r="BR308" s="177"/>
      <c r="BS308" s="210"/>
      <c r="BT308" s="210"/>
      <c r="BU308" s="210"/>
      <c r="BV308" s="213"/>
      <c r="BW308" s="215"/>
      <c r="BX308" s="215"/>
      <c r="BY308" s="215"/>
      <c r="BZ308" s="215"/>
      <c r="CA308" s="210"/>
      <c r="CB308" s="216"/>
      <c r="CC308" s="216"/>
      <c r="CD308" s="216"/>
      <c r="CE308" s="216"/>
      <c r="CF308" s="215"/>
      <c r="CG308" s="215"/>
      <c r="CH308" s="215"/>
      <c r="CI308" s="215"/>
      <c r="CJ308" s="210"/>
      <c r="CK308" s="210"/>
      <c r="CL308" s="210"/>
      <c r="CM308" s="210"/>
      <c r="CN308" s="210"/>
      <c r="CO308" s="215"/>
      <c r="CP308" s="215"/>
      <c r="CQ308" s="215"/>
      <c r="CR308" s="215"/>
      <c r="CS308" s="210"/>
      <c r="CT308" s="210"/>
      <c r="CU308" s="210"/>
      <c r="CV308" s="217"/>
      <c r="CW308" s="218"/>
    </row>
    <row r="309" spans="1:101" ht="14.25" thickTop="1" thickBot="1" x14ac:dyDescent="0.25">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c r="AA309" s="218"/>
      <c r="AB309" s="218"/>
      <c r="AC309" s="218"/>
      <c r="AD309" s="218"/>
      <c r="AE309" s="218"/>
      <c r="AF309" s="218"/>
      <c r="AG309" s="218"/>
      <c r="AH309" s="218"/>
      <c r="AI309" s="218"/>
      <c r="AJ309" s="218"/>
      <c r="AK309" s="218"/>
      <c r="AL309" s="218"/>
      <c r="AM309" s="218"/>
      <c r="AN309" s="218"/>
      <c r="AO309" s="218"/>
      <c r="AP309" s="218"/>
      <c r="AQ309" s="218"/>
      <c r="AR309" s="218"/>
      <c r="AS309" s="218"/>
      <c r="AT309" s="218"/>
      <c r="AU309" s="218"/>
      <c r="AV309" s="218"/>
      <c r="AW309" s="218"/>
      <c r="AX309" s="218"/>
      <c r="AY309" s="218"/>
      <c r="AZ309" s="218"/>
      <c r="BA309" s="218"/>
      <c r="BB309" s="218"/>
      <c r="BC309" s="218"/>
      <c r="BD309" s="218"/>
      <c r="BE309" s="218"/>
      <c r="BF309" s="218"/>
      <c r="BG309" s="218"/>
      <c r="BH309" s="218"/>
      <c r="BI309" s="218"/>
      <c r="BJ309" s="218"/>
      <c r="BK309" s="218"/>
      <c r="BL309" s="218"/>
      <c r="BM309" s="218"/>
      <c r="BN309" s="218"/>
      <c r="BO309" s="218"/>
      <c r="BP309" s="218"/>
      <c r="BQ309" s="218"/>
      <c r="BR309" s="218"/>
      <c r="BS309" s="218"/>
      <c r="BT309" s="218"/>
      <c r="BU309" s="218"/>
      <c r="BV309" s="218"/>
      <c r="BW309" s="218"/>
      <c r="BX309" s="218"/>
      <c r="BY309" s="218"/>
      <c r="BZ309" s="218"/>
      <c r="CA309" s="218"/>
      <c r="CB309" s="392"/>
      <c r="CC309" s="392"/>
      <c r="CD309" s="392"/>
      <c r="CE309" s="392"/>
      <c r="CF309" s="218"/>
      <c r="CG309" s="218"/>
      <c r="CH309" s="218"/>
      <c r="CI309" s="218"/>
      <c r="CJ309" s="218"/>
      <c r="CK309" s="218"/>
      <c r="CL309" s="218"/>
      <c r="CM309" s="218"/>
      <c r="CN309" s="218"/>
      <c r="CO309" s="218"/>
      <c r="CP309" s="218"/>
      <c r="CQ309" s="218"/>
      <c r="CR309" s="218"/>
      <c r="CS309" s="218"/>
      <c r="CT309" s="218"/>
      <c r="CU309" s="218"/>
      <c r="CV309" s="218"/>
      <c r="CW309" s="218"/>
    </row>
    <row r="310" spans="1:101" ht="21" thickTop="1" x14ac:dyDescent="0.3">
      <c r="A310" s="219"/>
      <c r="B310" s="219"/>
      <c r="C310" s="157"/>
      <c r="D310" s="158"/>
      <c r="E310" s="731" t="s">
        <v>44</v>
      </c>
      <c r="F310" s="229"/>
      <c r="G310" s="229"/>
      <c r="H310" s="229"/>
      <c r="I310" s="877" t="e" vm="1">
        <v>#VALUE!</v>
      </c>
      <c r="J310" s="877"/>
      <c r="K310" s="877"/>
      <c r="L310" s="877"/>
      <c r="M310" s="159"/>
      <c r="N310" s="159"/>
      <c r="O310" s="159"/>
      <c r="P310" s="160"/>
      <c r="Q310" s="159"/>
      <c r="R310" s="159"/>
      <c r="S310" s="159"/>
      <c r="T310" s="161"/>
      <c r="U310" s="162"/>
      <c r="V310" s="162"/>
      <c r="W310" s="162"/>
      <c r="X310" s="162"/>
      <c r="Y310" s="160"/>
      <c r="Z310" s="159"/>
      <c r="AA310" s="159"/>
      <c r="AB310" s="159"/>
      <c r="AC310" s="161"/>
      <c r="AD310" s="162"/>
      <c r="AE310" s="162"/>
      <c r="AF310" s="162"/>
      <c r="AG310" s="162"/>
      <c r="AH310" s="160"/>
      <c r="AI310" s="159"/>
      <c r="AJ310" s="201"/>
      <c r="AK310" s="201"/>
      <c r="AL310" s="164"/>
      <c r="AM310" s="162"/>
      <c r="AN310" s="162"/>
      <c r="AO310" s="162"/>
      <c r="AP310" s="162"/>
      <c r="AQ310" s="202"/>
      <c r="AR310" s="203"/>
      <c r="AS310" s="165"/>
      <c r="AT310" s="166"/>
      <c r="AU310" s="164"/>
      <c r="AV310" s="162"/>
      <c r="AW310" s="162"/>
      <c r="AX310" s="162"/>
      <c r="AY310" s="162"/>
      <c r="AZ310" s="202"/>
      <c r="BA310" s="203"/>
      <c r="BB310" s="166"/>
      <c r="BC310" s="201"/>
      <c r="BD310" s="204"/>
      <c r="BE310" s="162"/>
      <c r="BF310" s="162"/>
      <c r="BG310" s="162"/>
      <c r="BH310" s="162"/>
      <c r="BI310" s="205"/>
      <c r="BJ310" s="201"/>
      <c r="BK310" s="201"/>
      <c r="BL310" s="201"/>
      <c r="BM310" s="204"/>
      <c r="BN310" s="162"/>
      <c r="BO310" s="162"/>
      <c r="BP310" s="162"/>
      <c r="BQ310" s="162"/>
      <c r="BR310" s="167"/>
      <c r="BS310" s="201"/>
      <c r="BT310" s="201"/>
      <c r="BU310" s="201"/>
      <c r="BV310" s="205"/>
      <c r="BW310" s="162"/>
      <c r="BX310" s="162"/>
      <c r="BY310" s="162"/>
      <c r="BZ310" s="162"/>
      <c r="CA310" s="201"/>
      <c r="CB310" s="393"/>
      <c r="CC310" s="393"/>
      <c r="CD310" s="393"/>
      <c r="CE310" s="393"/>
      <c r="CF310" s="162"/>
      <c r="CG310" s="162"/>
      <c r="CH310" s="162"/>
      <c r="CI310" s="162"/>
      <c r="CJ310" s="163"/>
      <c r="CK310" s="163"/>
      <c r="CL310" s="163"/>
      <c r="CM310" s="163"/>
      <c r="CN310" s="163"/>
      <c r="CO310" s="162"/>
      <c r="CP310" s="162"/>
      <c r="CQ310" s="162"/>
      <c r="CR310" s="162"/>
      <c r="CS310" s="163"/>
      <c r="CT310" s="358"/>
      <c r="CU310" s="201"/>
      <c r="CV310" s="206"/>
      <c r="CW310" s="218"/>
    </row>
    <row r="311" spans="1:101" ht="15.75" thickBot="1" x14ac:dyDescent="0.25">
      <c r="A311" s="219"/>
      <c r="B311" s="219"/>
      <c r="C311" s="168"/>
      <c r="D311" s="785"/>
      <c r="E311" s="869" t="s">
        <v>45</v>
      </c>
      <c r="F311" s="363"/>
      <c r="G311" s="363"/>
      <c r="H311" s="363"/>
      <c r="I311" s="878"/>
      <c r="J311" s="878"/>
      <c r="K311" s="878"/>
      <c r="L311" s="878"/>
      <c r="M311" s="363"/>
      <c r="N311" s="363"/>
      <c r="O311" s="363"/>
      <c r="P311" s="363"/>
      <c r="Q311" s="363"/>
      <c r="R311" s="363"/>
      <c r="S311" s="363"/>
      <c r="T311" s="363"/>
      <c r="U311" s="363"/>
      <c r="V311" s="363"/>
      <c r="W311" s="363"/>
      <c r="X311" s="363"/>
      <c r="Y311" s="363"/>
      <c r="Z311" s="363"/>
      <c r="AA311" s="363"/>
      <c r="AB311" s="363"/>
      <c r="AC311" s="363"/>
      <c r="AD311" s="363"/>
      <c r="AE311" s="363"/>
      <c r="AF311" s="363"/>
      <c r="AG311" s="363"/>
      <c r="AH311" s="363"/>
      <c r="AI311" s="363"/>
      <c r="AJ311" s="363"/>
      <c r="AK311" s="363"/>
      <c r="AL311" s="363"/>
      <c r="AM311" s="363"/>
      <c r="AN311" s="363"/>
      <c r="AO311" s="363"/>
      <c r="AP311" s="363"/>
      <c r="AQ311" s="363"/>
      <c r="AR311" s="363"/>
      <c r="AS311" s="363"/>
      <c r="AT311" s="363"/>
      <c r="AU311" s="363"/>
      <c r="AV311" s="363"/>
      <c r="AW311" s="363"/>
      <c r="AX311" s="363"/>
      <c r="AY311" s="363"/>
      <c r="AZ311" s="363"/>
      <c r="BA311" s="363"/>
      <c r="BB311" s="363"/>
      <c r="BC311" s="363"/>
      <c r="BD311" s="363"/>
      <c r="BE311" s="363"/>
      <c r="BF311" s="363"/>
      <c r="BG311" s="363"/>
      <c r="BH311" s="363"/>
      <c r="BI311" s="363"/>
      <c r="BJ311" s="363"/>
      <c r="BK311" s="363"/>
      <c r="BL311" s="363"/>
      <c r="BM311" s="363"/>
      <c r="BN311" s="363"/>
      <c r="BO311" s="363"/>
      <c r="BP311" s="363"/>
      <c r="BQ311" s="363"/>
      <c r="BR311" s="363"/>
      <c r="BS311" s="363"/>
      <c r="BT311" s="363"/>
      <c r="BU311" s="363"/>
      <c r="BV311" s="363"/>
      <c r="BW311" s="363"/>
      <c r="BX311" s="363"/>
      <c r="BY311" s="363"/>
      <c r="BZ311" s="363"/>
      <c r="CA311" s="363"/>
      <c r="CB311" s="394"/>
      <c r="CC311" s="394"/>
      <c r="CD311" s="394"/>
      <c r="CE311" s="394"/>
      <c r="CF311" s="363"/>
      <c r="CG311" s="363"/>
      <c r="CH311" s="363"/>
      <c r="CI311" s="363"/>
      <c r="CJ311" s="363"/>
      <c r="CK311" s="363"/>
      <c r="CL311" s="363"/>
      <c r="CM311" s="363"/>
      <c r="CN311" s="323"/>
      <c r="CO311" s="363"/>
      <c r="CP311" s="363"/>
      <c r="CQ311" s="363"/>
      <c r="CR311" s="363"/>
      <c r="CS311" s="323"/>
      <c r="CT311" s="155"/>
      <c r="CU311" s="269"/>
      <c r="CV311" s="209"/>
      <c r="CW311" s="218"/>
    </row>
    <row r="312" spans="1:101" ht="18.75" thickTop="1" x14ac:dyDescent="0.2">
      <c r="A312" s="219"/>
      <c r="B312" s="219"/>
      <c r="C312" s="174"/>
      <c r="D312" s="778"/>
      <c r="E312" s="777"/>
      <c r="F312" s="235"/>
      <c r="G312" s="234"/>
      <c r="H312" s="234"/>
      <c r="I312" s="875">
        <f>WEEKNUM(E313)</f>
        <v>47</v>
      </c>
      <c r="J312" s="875"/>
      <c r="K312" s="875"/>
      <c r="L312" s="250"/>
      <c r="M312" s="261"/>
      <c r="N312" s="205"/>
      <c r="O312" s="236"/>
      <c r="P312" s="236"/>
      <c r="Q312" s="675" t="str">
        <f>IF($F316="","",SUM(Q328:S328)-S314)</f>
        <v/>
      </c>
      <c r="R312" s="675"/>
      <c r="S312" s="675"/>
      <c r="T312" s="237"/>
      <c r="U312" s="238"/>
      <c r="V312" s="238"/>
      <c r="W312" s="238"/>
      <c r="X312" s="238"/>
      <c r="Y312" s="236"/>
      <c r="Z312" s="675" t="str">
        <f>IF($F316="","",SUM(Z328:AB328)-AB314)</f>
        <v/>
      </c>
      <c r="AA312" s="675"/>
      <c r="AB312" s="675"/>
      <c r="AC312" s="237"/>
      <c r="AD312" s="238"/>
      <c r="AE312" s="238"/>
      <c r="AF312" s="238"/>
      <c r="AG312" s="238"/>
      <c r="AH312" s="236"/>
      <c r="AI312" s="675" t="str">
        <f>IF($F316="","",SUM(AI328:AK328)-AK314)</f>
        <v/>
      </c>
      <c r="AJ312" s="675"/>
      <c r="AK312" s="675"/>
      <c r="AL312" s="237"/>
      <c r="AM312" s="238"/>
      <c r="AN312" s="238"/>
      <c r="AO312" s="238"/>
      <c r="AP312" s="238"/>
      <c r="AQ312" s="236"/>
      <c r="AR312" s="675" t="str">
        <f>IF($F316="","",SUM(AR328:AT328)-AT314)</f>
        <v/>
      </c>
      <c r="AS312" s="675"/>
      <c r="AT312" s="675"/>
      <c r="AU312" s="239"/>
      <c r="AV312" s="238"/>
      <c r="AW312" s="238"/>
      <c r="AX312" s="238"/>
      <c r="AY312" s="238"/>
      <c r="AZ312" s="240"/>
      <c r="BA312" s="675" t="str">
        <f>IF($F316="","",SUM(BA328:BC328)-BC314)</f>
        <v/>
      </c>
      <c r="BB312" s="675"/>
      <c r="BC312" s="675"/>
      <c r="BD312" s="239"/>
      <c r="BE312" s="238"/>
      <c r="BF312" s="238"/>
      <c r="BG312" s="238"/>
      <c r="BH312" s="238"/>
      <c r="BI312" s="240"/>
      <c r="BJ312" s="675" t="str">
        <f>IF($F316="","",SUM(BJ328:BL328)-BL314)</f>
        <v/>
      </c>
      <c r="BK312" s="675"/>
      <c r="BL312" s="675"/>
      <c r="BM312" s="239"/>
      <c r="BN312" s="238"/>
      <c r="BO312" s="238"/>
      <c r="BP312" s="238"/>
      <c r="BQ312" s="238"/>
      <c r="BR312" s="241"/>
      <c r="BS312" s="675" t="str">
        <f>IF($F316="","",SUM(BS328:BU328)-BU314)</f>
        <v/>
      </c>
      <c r="BT312" s="675"/>
      <c r="BU312" s="675"/>
      <c r="BV312" s="240"/>
      <c r="BW312" s="238"/>
      <c r="BX312" s="238"/>
      <c r="BY312" s="238"/>
      <c r="BZ312" s="238"/>
      <c r="CA312" s="241"/>
      <c r="CB312" s="675" t="str">
        <f>IF($F316="","",SUM(CB328:CD328)-CD314)</f>
        <v/>
      </c>
      <c r="CC312" s="675"/>
      <c r="CD312" s="675"/>
      <c r="CE312" s="240"/>
      <c r="CF312" s="238"/>
      <c r="CG312" s="238"/>
      <c r="CH312" s="238"/>
      <c r="CI312" s="238"/>
      <c r="CJ312" s="234"/>
      <c r="CK312" s="675" t="str">
        <f>IF($F316="","",SUM(CK328:CM328))</f>
        <v/>
      </c>
      <c r="CL312" s="675"/>
      <c r="CM312" s="675"/>
      <c r="CN312" s="240"/>
      <c r="CO312" s="238"/>
      <c r="CP312" s="238"/>
      <c r="CQ312" s="238"/>
      <c r="CR312" s="238"/>
      <c r="CS312" s="234"/>
      <c r="CT312" s="234"/>
      <c r="CU312" s="251"/>
      <c r="CV312" s="209"/>
      <c r="CW312" s="218"/>
    </row>
    <row r="313" spans="1:101" x14ac:dyDescent="0.2">
      <c r="A313" s="219"/>
      <c r="B313" s="219"/>
      <c r="C313" s="174"/>
      <c r="D313" s="779"/>
      <c r="E313" s="543">
        <f>E291+7</f>
        <v>46347</v>
      </c>
      <c r="F313" s="178"/>
      <c r="G313" s="179"/>
      <c r="H313" s="179"/>
      <c r="I313" s="876"/>
      <c r="J313" s="876"/>
      <c r="K313" s="876"/>
      <c r="L313" s="254"/>
      <c r="M313" s="329"/>
      <c r="N313" s="208"/>
      <c r="O313" s="180"/>
      <c r="P313" s="180"/>
      <c r="Q313" s="584" t="str">
        <f>IF(Q312="","",Q312/Data!$X$1)</f>
        <v/>
      </c>
      <c r="R313" s="584"/>
      <c r="S313" s="585" t="str">
        <f>IF(SUM(X316:X327)=0,"",SUM(X316:X327))</f>
        <v/>
      </c>
      <c r="T313" s="181"/>
      <c r="U313" s="182"/>
      <c r="V313" s="182"/>
      <c r="W313" s="182"/>
      <c r="X313" s="182"/>
      <c r="Y313" s="180"/>
      <c r="Z313" s="584" t="str">
        <f>IF(Z312="","",Z312/Data!$X$1)</f>
        <v/>
      </c>
      <c r="AA313" s="584"/>
      <c r="AB313" s="585" t="str">
        <f>IF(SUM(AG316:AG327)=0,"",SUM(AG316:AG327))</f>
        <v/>
      </c>
      <c r="AC313" s="181"/>
      <c r="AD313" s="182"/>
      <c r="AE313" s="182"/>
      <c r="AF313" s="182"/>
      <c r="AG313" s="182"/>
      <c r="AH313" s="180"/>
      <c r="AI313" s="584" t="str">
        <f>IF(AI312="","",AI312/Data!$X$1)</f>
        <v/>
      </c>
      <c r="AJ313" s="584"/>
      <c r="AK313" s="585" t="str">
        <f>IF(SUM(AP316:AP327)=0,"",SUM(AP316:AP327))</f>
        <v/>
      </c>
      <c r="AL313" s="181"/>
      <c r="AM313" s="182"/>
      <c r="AN313" s="182"/>
      <c r="AO313" s="182"/>
      <c r="AP313" s="182"/>
      <c r="AQ313" s="180"/>
      <c r="AR313" s="584" t="str">
        <f>IF(AR312="","",AR312/Data!$X$1)</f>
        <v/>
      </c>
      <c r="AS313" s="584"/>
      <c r="AT313" s="585" t="str">
        <f>IF(SUM(AY316:AY327)=0,"",SUM(AY316:AY327))</f>
        <v/>
      </c>
      <c r="AU313" s="183"/>
      <c r="AV313" s="182"/>
      <c r="AW313" s="182"/>
      <c r="AX313" s="182"/>
      <c r="AY313" s="182"/>
      <c r="AZ313" s="184"/>
      <c r="BA313" s="584" t="str">
        <f>IF(BA312="","",BA312/Data!$X$1)</f>
        <v/>
      </c>
      <c r="BB313" s="584"/>
      <c r="BC313" s="585" t="str">
        <f>IF(SUM(BH316:BH327)=0,"",SUM(BH316:BH327))</f>
        <v/>
      </c>
      <c r="BD313" s="183"/>
      <c r="BE313" s="182"/>
      <c r="BF313" s="182"/>
      <c r="BG313" s="182"/>
      <c r="BH313" s="182"/>
      <c r="BI313" s="184"/>
      <c r="BJ313" s="584" t="str">
        <f>IF(BJ312="","",BJ312/Data!$X$1)</f>
        <v/>
      </c>
      <c r="BK313" s="584"/>
      <c r="BL313" s="585" t="str">
        <f>IF(SUM(BQ316:BQ327)=0,"",SUM(BQ316:BQ327))</f>
        <v/>
      </c>
      <c r="BM313" s="183"/>
      <c r="BN313" s="182"/>
      <c r="BO313" s="182"/>
      <c r="BP313" s="182"/>
      <c r="BQ313" s="182"/>
      <c r="BR313" s="185"/>
      <c r="BS313" s="584" t="str">
        <f>IF(BS312="","",BS312/Data!$X$1)</f>
        <v/>
      </c>
      <c r="BT313" s="584"/>
      <c r="BU313" s="585" t="str">
        <f>IF(SUM(BZ316:BZ327)=0,"",SUM(BZ316:BZ327))</f>
        <v/>
      </c>
      <c r="BV313" s="184"/>
      <c r="BW313" s="182"/>
      <c r="BX313" s="182"/>
      <c r="BY313" s="182"/>
      <c r="BZ313" s="182"/>
      <c r="CA313" s="185"/>
      <c r="CB313" s="584" t="str">
        <f>IF(CB312="","",CB312/Data!$X$1)</f>
        <v/>
      </c>
      <c r="CC313" s="584"/>
      <c r="CD313" s="585" t="str">
        <f>IF(SUM(CI316:CI327)=0,"",SUM(CI316:CI327))</f>
        <v/>
      </c>
      <c r="CE313" s="184"/>
      <c r="CF313" s="182"/>
      <c r="CG313" s="182"/>
      <c r="CH313" s="182"/>
      <c r="CI313" s="182"/>
      <c r="CJ313" s="182"/>
      <c r="CK313" s="584" t="str">
        <f>IF(CK312="","",CK312/Data!$X$1)</f>
        <v/>
      </c>
      <c r="CL313" s="584"/>
      <c r="CM313" s="585" t="str">
        <f>IF(SUM(CR316:CR327)=0,"",SUM(CR316:CR327))</f>
        <v/>
      </c>
      <c r="CN313" s="184"/>
      <c r="CO313" s="182"/>
      <c r="CP313" s="182"/>
      <c r="CQ313" s="182"/>
      <c r="CR313" s="182"/>
      <c r="CS313" s="182"/>
      <c r="CT313" s="182"/>
      <c r="CU313" s="255"/>
      <c r="CV313" s="209"/>
      <c r="CW313" s="218"/>
    </row>
    <row r="314" spans="1:101" ht="13.5" thickBot="1" x14ac:dyDescent="0.25">
      <c r="A314" s="219"/>
      <c r="B314" s="219"/>
      <c r="C314" s="174"/>
      <c r="D314" s="230"/>
      <c r="E314" s="359"/>
      <c r="F314" s="186"/>
      <c r="G314" s="187"/>
      <c r="H314" s="187"/>
      <c r="I314" s="673"/>
      <c r="J314" s="674"/>
      <c r="K314" s="674"/>
      <c r="L314" s="256"/>
      <c r="M314" s="330"/>
      <c r="N314" s="334"/>
      <c r="O314" s="187"/>
      <c r="P314" s="187"/>
      <c r="Q314" s="342" t="str">
        <f>Data!$E$11</f>
        <v>AHH</v>
      </c>
      <c r="R314" s="343" t="str">
        <f>IF($F327="","",RANK(Q312,$Q312:$CL312))</f>
        <v/>
      </c>
      <c r="S314" s="466"/>
      <c r="T314" s="181"/>
      <c r="U314" s="182"/>
      <c r="V314" s="182"/>
      <c r="W314" s="182"/>
      <c r="X314" s="197">
        <f>COUNTIF(U316:W327,"&gt;0")</f>
        <v>0</v>
      </c>
      <c r="Y314" s="180"/>
      <c r="Z314" s="342" t="str">
        <f>Data!$E$12</f>
        <v>RB</v>
      </c>
      <c r="AA314" s="343" t="str">
        <f>IF($F327="","",RANK(Z312,$Q312:$CL312))</f>
        <v/>
      </c>
      <c r="AB314" s="466"/>
      <c r="AC314" s="181"/>
      <c r="AD314" s="182"/>
      <c r="AE314" s="182"/>
      <c r="AF314" s="182"/>
      <c r="AG314" s="197">
        <f>COUNTIF(AD316:AF327,"&gt;0")</f>
        <v>0</v>
      </c>
      <c r="AH314" s="180"/>
      <c r="AI314" s="342" t="str">
        <f>Data!$E$13</f>
        <v>EB</v>
      </c>
      <c r="AJ314" s="343" t="str">
        <f>IF($F327="","",RANK(AI312,$Q312:$CL312))</f>
        <v/>
      </c>
      <c r="AK314" s="466"/>
      <c r="AL314" s="181"/>
      <c r="AM314" s="182"/>
      <c r="AN314" s="182"/>
      <c r="AO314" s="182"/>
      <c r="AP314" s="197">
        <f>COUNTIF(AM316:AO327,"&gt;0")</f>
        <v>0</v>
      </c>
      <c r="AQ314" s="180"/>
      <c r="AR314" s="305" t="str">
        <f>Data!$E$14</f>
        <v>KAF</v>
      </c>
      <c r="AS314" s="343" t="str">
        <f>IF($F327="","",RANK(AR312,$Q312:$CL312))</f>
        <v/>
      </c>
      <c r="AT314" s="466"/>
      <c r="AU314" s="181"/>
      <c r="AV314" s="182"/>
      <c r="AW314" s="182"/>
      <c r="AX314" s="182"/>
      <c r="AY314" s="197">
        <f>COUNTIF(AV316:AX327,"&gt;0")</f>
        <v>0</v>
      </c>
      <c r="AZ314" s="180"/>
      <c r="BA314" s="305" t="str">
        <f>Data!$E$15</f>
        <v>ØG</v>
      </c>
      <c r="BB314" s="343" t="str">
        <f>IF($F327="","",RANK(BA312,$Q312:$CL312))</f>
        <v/>
      </c>
      <c r="BC314" s="466"/>
      <c r="BD314" s="181"/>
      <c r="BE314" s="182"/>
      <c r="BF314" s="182"/>
      <c r="BG314" s="182"/>
      <c r="BH314" s="197">
        <f>COUNTIF(BE316:BG327,"&gt;0")</f>
        <v>0</v>
      </c>
      <c r="BI314" s="180"/>
      <c r="BJ314" s="305" t="str">
        <f>Data!$E$16</f>
        <v>JH</v>
      </c>
      <c r="BK314" s="343" t="str">
        <f>IF($F327="","",RANK(BJ312,$Q312:$CL312))</f>
        <v/>
      </c>
      <c r="BL314" s="466"/>
      <c r="BM314" s="181"/>
      <c r="BN314" s="182"/>
      <c r="BO314" s="182"/>
      <c r="BP314" s="182"/>
      <c r="BQ314" s="197">
        <f>COUNTIF(BN316:BP327,"&gt;0")</f>
        <v>0</v>
      </c>
      <c r="BR314" s="188"/>
      <c r="BS314" s="305" t="str">
        <f>Data!$E$17</f>
        <v>TOH</v>
      </c>
      <c r="BT314" s="343" t="str">
        <f>IF($F327="","",RANK(BS312,$Q312:$CL312))</f>
        <v/>
      </c>
      <c r="BU314" s="466"/>
      <c r="BV314" s="180"/>
      <c r="BW314" s="182"/>
      <c r="BX314" s="182"/>
      <c r="BY314" s="182"/>
      <c r="BZ314" s="197">
        <f>COUNTIF(BW316:BY327,"&gt;0")</f>
        <v>0</v>
      </c>
      <c r="CA314" s="188"/>
      <c r="CB314" s="305" t="s">
        <v>26</v>
      </c>
      <c r="CC314" s="343" t="str">
        <f>IF($F327="","",RANK(CB312,$Q312:$CM312))</f>
        <v/>
      </c>
      <c r="CD314" s="467"/>
      <c r="CE314" s="180"/>
      <c r="CF314" s="182"/>
      <c r="CG314" s="182"/>
      <c r="CH314" s="182"/>
      <c r="CI314" s="197">
        <f>COUNTIF(CF316:CH327,"&gt;0")</f>
        <v>0</v>
      </c>
      <c r="CJ314" s="182"/>
      <c r="CK314" s="305" t="s">
        <v>27</v>
      </c>
      <c r="CL314" s="343" t="str">
        <f>IF($F327="","",RANK(CK312,$Q312:$CM312))</f>
        <v/>
      </c>
      <c r="CM314" s="669"/>
      <c r="CN314" s="180"/>
      <c r="CO314" s="182"/>
      <c r="CP314" s="182"/>
      <c r="CQ314" s="182"/>
      <c r="CR314" s="197">
        <f>COUNTIF(CO316:CQ327,"&gt;0")</f>
        <v>0</v>
      </c>
      <c r="CS314" s="182"/>
      <c r="CT314" s="182"/>
      <c r="CU314" s="255"/>
      <c r="CV314" s="209"/>
      <c r="CW314" s="218"/>
    </row>
    <row r="315" spans="1:101" ht="13.5" thickBot="1" x14ac:dyDescent="0.25">
      <c r="A315" s="227"/>
      <c r="B315" s="227"/>
      <c r="C315" s="168"/>
      <c r="D315" s="231"/>
      <c r="E315" s="189"/>
      <c r="F315" s="190"/>
      <c r="G315" s="191"/>
      <c r="H315" s="191"/>
      <c r="I315" s="192" t="s">
        <v>47</v>
      </c>
      <c r="J315" s="193" t="s">
        <v>48</v>
      </c>
      <c r="K315" s="194" t="s">
        <v>49</v>
      </c>
      <c r="L315" s="257"/>
      <c r="M315" s="331"/>
      <c r="N315" s="335"/>
      <c r="O315" s="195"/>
      <c r="P315" s="195"/>
      <c r="Q315" s="192" t="s">
        <v>47</v>
      </c>
      <c r="R315" s="193" t="s">
        <v>48</v>
      </c>
      <c r="S315" s="194" t="s">
        <v>49</v>
      </c>
      <c r="T315" s="196"/>
      <c r="U315" s="197"/>
      <c r="V315" s="197"/>
      <c r="W315" s="197"/>
      <c r="X315" s="197"/>
      <c r="Y315" s="195"/>
      <c r="Z315" s="192" t="s">
        <v>47</v>
      </c>
      <c r="AA315" s="193" t="s">
        <v>48</v>
      </c>
      <c r="AB315" s="194" t="s">
        <v>49</v>
      </c>
      <c r="AC315" s="196"/>
      <c r="AD315" s="197"/>
      <c r="AE315" s="197"/>
      <c r="AF315" s="197"/>
      <c r="AG315" s="197"/>
      <c r="AH315" s="195"/>
      <c r="AI315" s="192" t="s">
        <v>47</v>
      </c>
      <c r="AJ315" s="193" t="s">
        <v>48</v>
      </c>
      <c r="AK315" s="194" t="s">
        <v>49</v>
      </c>
      <c r="AL315" s="196"/>
      <c r="AM315" s="197"/>
      <c r="AN315" s="197"/>
      <c r="AO315" s="197"/>
      <c r="AP315" s="197"/>
      <c r="AQ315" s="195"/>
      <c r="AR315" s="192" t="s">
        <v>47</v>
      </c>
      <c r="AS315" s="193" t="s">
        <v>48</v>
      </c>
      <c r="AT315" s="194" t="s">
        <v>49</v>
      </c>
      <c r="AU315" s="196"/>
      <c r="AV315" s="197"/>
      <c r="AW315" s="197"/>
      <c r="AX315" s="197"/>
      <c r="AY315" s="197"/>
      <c r="AZ315" s="195"/>
      <c r="BA315" s="192" t="s">
        <v>47</v>
      </c>
      <c r="BB315" s="193" t="s">
        <v>48</v>
      </c>
      <c r="BC315" s="194" t="s">
        <v>49</v>
      </c>
      <c r="BD315" s="196"/>
      <c r="BE315" s="197"/>
      <c r="BF315" s="197"/>
      <c r="BG315" s="197"/>
      <c r="BH315" s="197"/>
      <c r="BI315" s="195"/>
      <c r="BJ315" s="192" t="s">
        <v>47</v>
      </c>
      <c r="BK315" s="193" t="s">
        <v>48</v>
      </c>
      <c r="BL315" s="194" t="s">
        <v>49</v>
      </c>
      <c r="BM315" s="196"/>
      <c r="BN315" s="197"/>
      <c r="BO315" s="197"/>
      <c r="BP315" s="197"/>
      <c r="BQ315" s="197"/>
      <c r="BR315" s="195"/>
      <c r="BS315" s="192" t="s">
        <v>47</v>
      </c>
      <c r="BT315" s="193" t="s">
        <v>48</v>
      </c>
      <c r="BU315" s="194" t="s">
        <v>49</v>
      </c>
      <c r="BV315" s="196"/>
      <c r="BW315" s="197"/>
      <c r="BX315" s="197"/>
      <c r="BY315" s="197"/>
      <c r="BZ315" s="197"/>
      <c r="CA315" s="195"/>
      <c r="CB315" s="192" t="s">
        <v>47</v>
      </c>
      <c r="CC315" s="193" t="s">
        <v>48</v>
      </c>
      <c r="CD315" s="194" t="s">
        <v>49</v>
      </c>
      <c r="CE315" s="196"/>
      <c r="CF315" s="197"/>
      <c r="CG315" s="197"/>
      <c r="CH315" s="197"/>
      <c r="CI315" s="197"/>
      <c r="CJ315" s="197"/>
      <c r="CK315" s="192" t="s">
        <v>47</v>
      </c>
      <c r="CL315" s="193" t="s">
        <v>48</v>
      </c>
      <c r="CM315" s="194" t="s">
        <v>49</v>
      </c>
      <c r="CN315" s="196"/>
      <c r="CO315" s="197"/>
      <c r="CP315" s="197"/>
      <c r="CQ315" s="197"/>
      <c r="CR315" s="197"/>
      <c r="CS315" s="197"/>
      <c r="CT315" s="198"/>
      <c r="CU315" s="255"/>
      <c r="CV315" s="209"/>
      <c r="CW315" s="228"/>
    </row>
    <row r="316" spans="1:101" x14ac:dyDescent="0.2">
      <c r="A316" s="227"/>
      <c r="B316" s="227"/>
      <c r="C316" s="168"/>
      <c r="D316" s="232"/>
      <c r="E316" s="134" t="s">
        <v>222</v>
      </c>
      <c r="F316" s="424"/>
      <c r="G316" s="428"/>
      <c r="H316" s="429"/>
      <c r="I316" s="138" t="str">
        <f t="shared" ref="I316:I327" si="458">IF($F316&gt;$H316,"x","")</f>
        <v/>
      </c>
      <c r="J316" s="344" t="str">
        <f t="shared" ref="J316:J327" si="459">IF(F316&lt;&gt;"",IF(H316&lt;&gt;"",IF(F316=H316,"x",""),""),"")</f>
        <v/>
      </c>
      <c r="K316" s="345" t="str">
        <f t="shared" ref="K316:K327" si="460">IF($F316&lt;$H316,"x","")</f>
        <v/>
      </c>
      <c r="L316" s="258"/>
      <c r="M316" s="332"/>
      <c r="N316" s="336"/>
      <c r="O316" s="200"/>
      <c r="P316" s="200"/>
      <c r="Q316" s="436"/>
      <c r="R316" s="437"/>
      <c r="S316" s="438" t="str">
        <f t="shared" ref="S316:S327" si="461">IF(Q316="","",100-SUM(Q316:R316))</f>
        <v/>
      </c>
      <c r="T316" s="328"/>
      <c r="U316" s="197" t="str">
        <f>IF(AND($I316="x",AND(MAX(Q316:S316)=Q316,Q316&gt;=0)),Data!$BI$2,"")</f>
        <v/>
      </c>
      <c r="V316" s="197" t="str">
        <f>IF(AND($J316="x",AND(MAX(Q316:S316)=R316,R316&gt;=0)),Data!$BJ$2,"")</f>
        <v/>
      </c>
      <c r="W316" s="197" t="str">
        <f>IF(AND($K316="x",AND(MAX(Q316:S316)=S316,S316&gt;=0)),Data!$BK$2,"")</f>
        <v/>
      </c>
      <c r="X316" s="197"/>
      <c r="Y316" s="328"/>
      <c r="Z316" s="451"/>
      <c r="AA316" s="452"/>
      <c r="AB316" s="438" t="str">
        <f t="shared" ref="AB316:AB327" si="462">IF(Z316="","",100-SUM(Z316:AA316))</f>
        <v/>
      </c>
      <c r="AC316" s="328"/>
      <c r="AD316" s="197" t="str">
        <f>IF(AND($I316="x",AND(MAX(Z316:AB316)=Z316,Z316&lt;&gt;"")),Data!$BI$2,"")</f>
        <v/>
      </c>
      <c r="AE316" s="197" t="str">
        <f>IF(AND($J316="x",AND(MAX(Z316:AB316)=AA316,AA316&lt;&gt;"")),Data!$BJ$2,"")</f>
        <v/>
      </c>
      <c r="AF316" s="197" t="str">
        <f>IF(AND($K316="x",AND(MAX(Z316:AB316)=AB316,AB316&lt;&gt;"")),Data!$BK$2,"")</f>
        <v/>
      </c>
      <c r="AG316" s="197"/>
      <c r="AH316" s="328"/>
      <c r="AI316" s="451"/>
      <c r="AJ316" s="452"/>
      <c r="AK316" s="438" t="str">
        <f t="shared" ref="AK316:AK327" si="463">IF(AI316="","",100-SUM(AI316:AJ316))</f>
        <v/>
      </c>
      <c r="AL316" s="328"/>
      <c r="AM316" s="197" t="str">
        <f>IF(AND($I316="x",AND(MAX(AI316:AK316)=AI316,AI316&lt;&gt;"")),Data!$BI$2,"")</f>
        <v/>
      </c>
      <c r="AN316" s="197" t="str">
        <f>IF(AND($J316="x",AND(MAX(AI316:AK316)=AJ316,AJ316&lt;&gt;"")),Data!$BJ$2,"")</f>
        <v/>
      </c>
      <c r="AO316" s="197" t="str">
        <f>IF(AND($K316="x",AND(MAX(AI316:AK316)=AK316,AK316&lt;&gt;"")),Data!$BK$2,"")</f>
        <v/>
      </c>
      <c r="AP316" s="197"/>
      <c r="AQ316" s="328"/>
      <c r="AR316" s="451"/>
      <c r="AS316" s="452"/>
      <c r="AT316" s="438" t="str">
        <f t="shared" ref="AT316:AT327" si="464">IF(AR316="","",100-SUM(AR316:AS316))</f>
        <v/>
      </c>
      <c r="AU316" s="328"/>
      <c r="AV316" s="197" t="str">
        <f>IF(AND($I316="x",AND(MAX(AR316:AT316)=AR316,AR316&lt;&gt;"")),Data!$BI$2,"")</f>
        <v/>
      </c>
      <c r="AW316" s="197" t="str">
        <f>IF(AND($J316="x",AND(MAX(AR316:AT316)=AS316,AS316&lt;&gt;"")),Data!$BJ$2,"")</f>
        <v/>
      </c>
      <c r="AX316" s="197" t="str">
        <f>IF(AND($K316="x",AND(MAX(AR316:AT316)=AT316,AT316&lt;&gt;"")),Data!$BK$2,"")</f>
        <v/>
      </c>
      <c r="AY316" s="197"/>
      <c r="AZ316" s="328"/>
      <c r="BA316" s="451"/>
      <c r="BB316" s="452"/>
      <c r="BC316" s="438" t="str">
        <f t="shared" ref="BC316:BC327" si="465">IF(BA316="","",100-SUM(BA316:BB316))</f>
        <v/>
      </c>
      <c r="BD316" s="328"/>
      <c r="BE316" s="197" t="str">
        <f>IF(AND($I316="x",AND(MAX(BA316:BC316)=BA316,BA316&lt;&gt;"")),Data!$BI$2,"")</f>
        <v/>
      </c>
      <c r="BF316" s="197" t="str">
        <f>IF(AND($J316="x",AND(MAX(BA316:BC316)=BB316,BB316&lt;&gt;"")),Data!$BJ$2,"")</f>
        <v/>
      </c>
      <c r="BG316" s="197" t="str">
        <f>IF(AND($K316="x",AND(MAX(BA316:BC316)=BC316,BC316&lt;&gt;"")),Data!$BK$2,"")</f>
        <v/>
      </c>
      <c r="BH316" s="197"/>
      <c r="BI316" s="328"/>
      <c r="BJ316" s="451"/>
      <c r="BK316" s="452"/>
      <c r="BL316" s="438" t="str">
        <f t="shared" ref="BL316:BL327" si="466">IF(BJ316="","",100-SUM(BJ316:BK316))</f>
        <v/>
      </c>
      <c r="BM316" s="328"/>
      <c r="BN316" s="197" t="str">
        <f>IF(AND($I316="x",AND(MAX(BJ316:BL316)=BJ316,BJ316&lt;&gt;"")),Data!$BI$2,"")</f>
        <v/>
      </c>
      <c r="BO316" s="197" t="str">
        <f>IF(AND($J316="x",AND(MAX(BJ316:BL316)=BK316,BK316&lt;&gt;"")),Data!$BJ$2,"")</f>
        <v/>
      </c>
      <c r="BP316" s="197" t="str">
        <f>IF(AND($K316="x",AND(MAX(BJ316:BL316)=BL316,BL316&lt;&gt;"")),Data!$BK$2,"")</f>
        <v/>
      </c>
      <c r="BQ316" s="197"/>
      <c r="BR316" s="328"/>
      <c r="BS316" s="451"/>
      <c r="BT316" s="452"/>
      <c r="BU316" s="438" t="str">
        <f t="shared" ref="BU316:BU327" si="467">IF(BS316="","",100-SUM(BS316:BT316))</f>
        <v/>
      </c>
      <c r="BV316" s="328"/>
      <c r="BW316" s="197" t="str">
        <f>IF(AND($I316="x",AND(MAX(BS316:BU316)=BS316,BS316&lt;&gt;"")),Data!$BI$2,"")</f>
        <v/>
      </c>
      <c r="BX316" s="197" t="str">
        <f>IF(AND($J316="x",AND(MAX(BS316:BU316)=BT316,BT316&lt;&gt;"")),Data!$BJ$2,"")</f>
        <v/>
      </c>
      <c r="BY316" s="197" t="str">
        <f>IF(AND($K316="x",AND(MAX(BS316:BU316)=BU316,BU316&lt;&gt;"")),Data!$BK$2,"")</f>
        <v/>
      </c>
      <c r="BZ316" s="197"/>
      <c r="CA316" s="328"/>
      <c r="CB316" s="457" t="str">
        <f t="shared" ref="CB316:CB327" si="468">IFERROR(ROUNDUP((SUM(Q316,Z316,AI316,AR316,BA316,BJ316,BS316)/SUM($Q316:$S316,$Z316:$AB316,$AI316:$AK316,$AR316:$AT316,$BA316:$BC316,$BJ316:$BL316,$BS316:$BU316))*100,-1),"")</f>
        <v/>
      </c>
      <c r="CC316" s="458" t="str">
        <f t="shared" ref="CC316:CC327" si="469">IFERROR(ROUNDDOWN((SUM(R316,AA316,AJ316,AS316,BB316,BK316,BT316)/SUM($Q316:$S316,$Z316:$AB316,$AI316:$AK316,$AR316:$AT316,$BA316:$BC316,$BJ316:$BL316,$BS316:$BU316))*100,-1),"")</f>
        <v/>
      </c>
      <c r="CD316" s="459" t="str">
        <f t="shared" ref="CD316:CD327" si="470">IF(CB316="","",100-SUM(CB316:CC316))</f>
        <v/>
      </c>
      <c r="CE316" s="328"/>
      <c r="CF316" s="197" t="str">
        <f>IF(AND($I316="x",AND(MAX(CB316:CD316)=CB316,CB316&lt;&gt;"")),Data!$BI$2,"")</f>
        <v/>
      </c>
      <c r="CG316" s="197" t="str">
        <f>IF(AND($J316="x",AND(MAX(CB316:CD316)=CC316,CC316&lt;&gt;"")),Data!$BJ$2,"")</f>
        <v/>
      </c>
      <c r="CH316" s="197" t="str">
        <f>IF(AND($K316="x",AND(MAX(CB316:CD316)=CD316,CD316&lt;&gt;"")),Data!$BK$2,"")</f>
        <v/>
      </c>
      <c r="CI316" s="197"/>
      <c r="CJ316" s="197"/>
      <c r="CK316" s="451"/>
      <c r="CL316" s="452"/>
      <c r="CM316" s="438" t="str">
        <f t="shared" ref="CM316:CM327" si="471">IF(CK316="","",100-SUM(CK316:CL316))</f>
        <v/>
      </c>
      <c r="CN316" s="328"/>
      <c r="CO316" s="197" t="str">
        <f>IF(AND($I316="x",AND(MAX(CK316:CM316)=CK316,CK316&lt;&gt;"")),Data!$BI$2,"")</f>
        <v/>
      </c>
      <c r="CP316" s="197" t="str">
        <f>IF(AND($J316="x",AND(MAX(CK316:CM316)=CL316,CL316&lt;&gt;"")),Data!$BJ$2,"")</f>
        <v/>
      </c>
      <c r="CQ316" s="197" t="str">
        <f>IF(AND($K316="x",AND(MAX(CK316:CM316)=CM316,CM316&lt;&gt;"")),Data!$BK$2,"")</f>
        <v/>
      </c>
      <c r="CR316" s="197"/>
      <c r="CS316" s="197"/>
      <c r="CT316" s="328"/>
      <c r="CU316" s="255"/>
      <c r="CV316" s="209"/>
      <c r="CW316" s="227"/>
    </row>
    <row r="317" spans="1:101" x14ac:dyDescent="0.2">
      <c r="A317" s="227"/>
      <c r="B317" s="227"/>
      <c r="C317" s="168"/>
      <c r="D317" s="232"/>
      <c r="E317" s="135" t="s">
        <v>223</v>
      </c>
      <c r="F317" s="425"/>
      <c r="G317" s="430"/>
      <c r="H317" s="431"/>
      <c r="I317" s="346" t="str">
        <f t="shared" si="458"/>
        <v/>
      </c>
      <c r="J317" s="347" t="str">
        <f t="shared" si="459"/>
        <v/>
      </c>
      <c r="K317" s="348" t="str">
        <f t="shared" si="460"/>
        <v/>
      </c>
      <c r="L317" s="258"/>
      <c r="M317" s="332"/>
      <c r="N317" s="336"/>
      <c r="O317" s="200"/>
      <c r="P317" s="200"/>
      <c r="Q317" s="439"/>
      <c r="R317" s="440"/>
      <c r="S317" s="441" t="str">
        <f t="shared" si="461"/>
        <v/>
      </c>
      <c r="T317" s="328"/>
      <c r="U317" s="197" t="str">
        <f>IF(AND($I317="x",AND(MAX(Q317:S317)=Q317,Q317&gt;=0)),Data!$BI$2,"")</f>
        <v/>
      </c>
      <c r="V317" s="197" t="str">
        <f>IF(AND($J317="x",AND(MAX(Q317:S317)=R317,R317&gt;=0)),Data!$BJ$2,"")</f>
        <v/>
      </c>
      <c r="W317" s="197" t="str">
        <f>IF(AND($K317="x",AND(MAX(Q317:S317)=S317,S317&gt;=0)),Data!$BK$2,"")</f>
        <v/>
      </c>
      <c r="X317" s="197"/>
      <c r="Y317" s="328"/>
      <c r="Z317" s="453"/>
      <c r="AA317" s="454"/>
      <c r="AB317" s="441" t="str">
        <f t="shared" si="462"/>
        <v/>
      </c>
      <c r="AC317" s="328"/>
      <c r="AD317" s="197" t="str">
        <f>IF(AND($I317="x",AND(MAX(Z317:AB317)=Z317,Z317&lt;&gt;"")),Data!$BI$2,"")</f>
        <v/>
      </c>
      <c r="AE317" s="197" t="str">
        <f>IF(AND($J317="x",AND(MAX(Z317:AB317)=AA317,AA317&lt;&gt;"")),Data!$BJ$2,"")</f>
        <v/>
      </c>
      <c r="AF317" s="197" t="str">
        <f>IF(AND($K317="x",AND(MAX(Z317:AB317)=AB317,AB317&lt;&gt;"")),Data!$BK$2,"")</f>
        <v/>
      </c>
      <c r="AG317" s="197"/>
      <c r="AH317" s="328"/>
      <c r="AI317" s="453"/>
      <c r="AJ317" s="454"/>
      <c r="AK317" s="441" t="str">
        <f t="shared" si="463"/>
        <v/>
      </c>
      <c r="AL317" s="328"/>
      <c r="AM317" s="197" t="str">
        <f>IF(AND($I317="x",AND(MAX(AI317:AK317)=AI317,AI317&lt;&gt;"")),Data!$BI$2,"")</f>
        <v/>
      </c>
      <c r="AN317" s="197" t="str">
        <f>IF(AND($J317="x",AND(MAX(AI317:AK317)=AJ317,AJ317&lt;&gt;"")),Data!$BJ$2,"")</f>
        <v/>
      </c>
      <c r="AO317" s="197" t="str">
        <f>IF(AND($K317="x",AND(MAX(AI317:AK317)=AK317,AK317&lt;&gt;"")),Data!$BK$2,"")</f>
        <v/>
      </c>
      <c r="AP317" s="197"/>
      <c r="AQ317" s="328"/>
      <c r="AR317" s="453"/>
      <c r="AS317" s="454"/>
      <c r="AT317" s="441" t="str">
        <f t="shared" si="464"/>
        <v/>
      </c>
      <c r="AU317" s="328"/>
      <c r="AV317" s="197" t="str">
        <f>IF(AND($I317="x",AND(MAX(AR317:AT317)=AR317,AR317&lt;&gt;"")),Data!$BI$2,"")</f>
        <v/>
      </c>
      <c r="AW317" s="197" t="str">
        <f>IF(AND($J317="x",AND(MAX(AR317:AT317)=AS317,AS317&lt;&gt;"")),Data!$BJ$2,"")</f>
        <v/>
      </c>
      <c r="AX317" s="197" t="str">
        <f>IF(AND($K317="x",AND(MAX(AR317:AT317)=AT317,AT317&lt;&gt;"")),Data!$BK$2,"")</f>
        <v/>
      </c>
      <c r="AY317" s="197"/>
      <c r="AZ317" s="328"/>
      <c r="BA317" s="453"/>
      <c r="BB317" s="454"/>
      <c r="BC317" s="441" t="str">
        <f t="shared" si="465"/>
        <v/>
      </c>
      <c r="BD317" s="328"/>
      <c r="BE317" s="197" t="str">
        <f>IF(AND($I317="x",AND(MAX(BA317:BC317)=BA317,BA317&lt;&gt;"")),Data!$BI$2,"")</f>
        <v/>
      </c>
      <c r="BF317" s="197" t="str">
        <f>IF(AND($J317="x",AND(MAX(BA317:BC317)=BB317,BB317&lt;&gt;"")),Data!$BJ$2,"")</f>
        <v/>
      </c>
      <c r="BG317" s="197" t="str">
        <f>IF(AND($K317="x",AND(MAX(BA317:BC317)=BC317,BC317&lt;&gt;"")),Data!$BK$2,"")</f>
        <v/>
      </c>
      <c r="BH317" s="197"/>
      <c r="BI317" s="328"/>
      <c r="BJ317" s="453"/>
      <c r="BK317" s="454"/>
      <c r="BL317" s="441" t="str">
        <f t="shared" si="466"/>
        <v/>
      </c>
      <c r="BM317" s="328"/>
      <c r="BN317" s="197" t="str">
        <f>IF(AND($I317="x",AND(MAX(BJ317:BL317)=BJ317,BJ317&lt;&gt;"")),Data!$BI$2,"")</f>
        <v/>
      </c>
      <c r="BO317" s="197" t="str">
        <f>IF(AND($J317="x",AND(MAX(BJ317:BL317)=BK317,BK317&lt;&gt;"")),Data!$BJ$2,"")</f>
        <v/>
      </c>
      <c r="BP317" s="197" t="str">
        <f>IF(AND($K317="x",AND(MAX(BJ317:BL317)=BL317,BL317&lt;&gt;"")),Data!$BK$2,"")</f>
        <v/>
      </c>
      <c r="BQ317" s="197"/>
      <c r="BR317" s="328"/>
      <c r="BS317" s="453"/>
      <c r="BT317" s="454"/>
      <c r="BU317" s="441" t="str">
        <f t="shared" si="467"/>
        <v/>
      </c>
      <c r="BV317" s="328"/>
      <c r="BW317" s="197" t="str">
        <f>IF(AND($I317="x",AND(MAX(BS317:BU317)=BS317,BS317&lt;&gt;"")),Data!$BI$2,"")</f>
        <v/>
      </c>
      <c r="BX317" s="197" t="str">
        <f>IF(AND($J317="x",AND(MAX(BS317:BU317)=BT317,BT317&lt;&gt;"")),Data!$BJ$2,"")</f>
        <v/>
      </c>
      <c r="BY317" s="197" t="str">
        <f>IF(AND($K317="x",AND(MAX(BS317:BU317)=BU317,BU317&lt;&gt;"")),Data!$BK$2,"")</f>
        <v/>
      </c>
      <c r="BZ317" s="197"/>
      <c r="CA317" s="328"/>
      <c r="CB317" s="460" t="str">
        <f t="shared" si="468"/>
        <v/>
      </c>
      <c r="CC317" s="461" t="str">
        <f t="shared" si="469"/>
        <v/>
      </c>
      <c r="CD317" s="462" t="str">
        <f t="shared" si="470"/>
        <v/>
      </c>
      <c r="CE317" s="328"/>
      <c r="CF317" s="197" t="str">
        <f>IF(AND($I317="x",AND(MAX(CB317:CD317)=CB317,CB317&lt;&gt;"")),Data!$BI$2,"")</f>
        <v/>
      </c>
      <c r="CG317" s="197" t="str">
        <f>IF(AND($J317="x",AND(MAX(CB317:CD317)=CC317,CC317&lt;&gt;"")),Data!$BJ$2,"")</f>
        <v/>
      </c>
      <c r="CH317" s="197" t="str">
        <f>IF(AND($K317="x",AND(MAX(CB317:CD317)=CD317,CD317&lt;&gt;"")),Data!$BK$2,"")</f>
        <v/>
      </c>
      <c r="CI317" s="197"/>
      <c r="CJ317" s="197"/>
      <c r="CK317" s="453"/>
      <c r="CL317" s="454"/>
      <c r="CM317" s="441" t="str">
        <f t="shared" si="471"/>
        <v/>
      </c>
      <c r="CN317" s="328"/>
      <c r="CO317" s="197" t="str">
        <f>IF(AND($I317="x",AND(MAX(CK317:CM317)=CK317,CK317&lt;&gt;"")),Data!$BI$2,"")</f>
        <v/>
      </c>
      <c r="CP317" s="197" t="str">
        <f>IF(AND($J317="x",AND(MAX(CK317:CM317)=CL317,CL317&lt;&gt;"")),Data!$BJ$2,"")</f>
        <v/>
      </c>
      <c r="CQ317" s="197" t="str">
        <f>IF(AND($K317="x",AND(MAX(CK317:CM317)=CM317,CM317&lt;&gt;"")),Data!$BK$2,"")</f>
        <v/>
      </c>
      <c r="CR317" s="197"/>
      <c r="CS317" s="197"/>
      <c r="CT317" s="328"/>
      <c r="CU317" s="255"/>
      <c r="CV317" s="209"/>
      <c r="CW317" s="227"/>
    </row>
    <row r="318" spans="1:101" x14ac:dyDescent="0.2">
      <c r="A318" s="227"/>
      <c r="B318" s="227"/>
      <c r="C318" s="168"/>
      <c r="D318" s="232"/>
      <c r="E318" s="136" t="s">
        <v>224</v>
      </c>
      <c r="F318" s="426"/>
      <c r="G318" s="432"/>
      <c r="H318" s="433"/>
      <c r="I318" s="349" t="str">
        <f t="shared" si="458"/>
        <v/>
      </c>
      <c r="J318" s="350" t="str">
        <f t="shared" si="459"/>
        <v/>
      </c>
      <c r="K318" s="351" t="str">
        <f t="shared" si="460"/>
        <v/>
      </c>
      <c r="L318" s="258"/>
      <c r="M318" s="332"/>
      <c r="N318" s="336"/>
      <c r="O318" s="200"/>
      <c r="P318" s="200"/>
      <c r="Q318" s="442"/>
      <c r="R318" s="443"/>
      <c r="S318" s="444" t="str">
        <f t="shared" si="461"/>
        <v/>
      </c>
      <c r="T318" s="328"/>
      <c r="U318" s="197" t="str">
        <f>IF(AND($I318="x",AND(MAX(Q318:S318)=Q318,Q318&gt;=0)),Data!$BI$2,"")</f>
        <v/>
      </c>
      <c r="V318" s="197" t="str">
        <f>IF(AND($J318="x",AND(MAX(Q318:S318)=R318,R318&gt;=0)),Data!$BJ$2,"")</f>
        <v/>
      </c>
      <c r="W318" s="197" t="str">
        <f>IF(AND($K318="x",AND(MAX(Q318:S318)=S318,S318&gt;=0)),Data!$BK$2,"")</f>
        <v/>
      </c>
      <c r="X318" s="197"/>
      <c r="Y318" s="328"/>
      <c r="Z318" s="455"/>
      <c r="AA318" s="456"/>
      <c r="AB318" s="444" t="str">
        <f t="shared" si="462"/>
        <v/>
      </c>
      <c r="AC318" s="328"/>
      <c r="AD318" s="197" t="str">
        <f>IF(AND($I318="x",AND(MAX(Z318:AB318)=Z318,Z318&lt;&gt;"")),Data!$BI$2,"")</f>
        <v/>
      </c>
      <c r="AE318" s="197" t="str">
        <f>IF(AND($J318="x",AND(MAX(Z318:AB318)=AA318,AA318&lt;&gt;"")),Data!$BJ$2,"")</f>
        <v/>
      </c>
      <c r="AF318" s="197" t="str">
        <f>IF(AND($K318="x",AND(MAX(Z318:AB318)=AB318,AB318&lt;&gt;"")),Data!$BK$2,"")</f>
        <v/>
      </c>
      <c r="AG318" s="197"/>
      <c r="AH318" s="328"/>
      <c r="AI318" s="455"/>
      <c r="AJ318" s="456"/>
      <c r="AK318" s="444" t="str">
        <f t="shared" si="463"/>
        <v/>
      </c>
      <c r="AL318" s="328"/>
      <c r="AM318" s="197" t="str">
        <f>IF(AND($I318="x",AND(MAX(AI318:AK318)=AI318,AI318&lt;&gt;"")),Data!$BI$2,"")</f>
        <v/>
      </c>
      <c r="AN318" s="197" t="str">
        <f>IF(AND($J318="x",AND(MAX(AI318:AK318)=AJ318,AJ318&lt;&gt;"")),Data!$BJ$2,"")</f>
        <v/>
      </c>
      <c r="AO318" s="197" t="str">
        <f>IF(AND($K318="x",AND(MAX(AI318:AK318)=AK318,AK318&lt;&gt;"")),Data!$BK$2,"")</f>
        <v/>
      </c>
      <c r="AP318" s="197"/>
      <c r="AQ318" s="328"/>
      <c r="AR318" s="455"/>
      <c r="AS318" s="456"/>
      <c r="AT318" s="444" t="str">
        <f t="shared" si="464"/>
        <v/>
      </c>
      <c r="AU318" s="328"/>
      <c r="AV318" s="197" t="str">
        <f>IF(AND($I318="x",AND(MAX(AR318:AT318)=AR318,AR318&lt;&gt;"")),Data!$BI$2,"")</f>
        <v/>
      </c>
      <c r="AW318" s="197" t="str">
        <f>IF(AND($J318="x",AND(MAX(AR318:AT318)=AS318,AS318&lt;&gt;"")),Data!$BJ$2,"")</f>
        <v/>
      </c>
      <c r="AX318" s="197" t="str">
        <f>IF(AND($K318="x",AND(MAX(AR318:AT318)=AT318,AT318&lt;&gt;"")),Data!$BK$2,"")</f>
        <v/>
      </c>
      <c r="AY318" s="197"/>
      <c r="AZ318" s="328"/>
      <c r="BA318" s="455"/>
      <c r="BB318" s="456"/>
      <c r="BC318" s="444" t="str">
        <f t="shared" si="465"/>
        <v/>
      </c>
      <c r="BD318" s="328"/>
      <c r="BE318" s="197" t="str">
        <f>IF(AND($I318="x",AND(MAX(BA318:BC318)=BA318,BA318&lt;&gt;"")),Data!$BI$2,"")</f>
        <v/>
      </c>
      <c r="BF318" s="197" t="str">
        <f>IF(AND($J318="x",AND(MAX(BA318:BC318)=BB318,BB318&lt;&gt;"")),Data!$BJ$2,"")</f>
        <v/>
      </c>
      <c r="BG318" s="197" t="str">
        <f>IF(AND($K318="x",AND(MAX(BA318:BC318)=BC318,BC318&lt;&gt;"")),Data!$BK$2,"")</f>
        <v/>
      </c>
      <c r="BH318" s="197"/>
      <c r="BI318" s="328"/>
      <c r="BJ318" s="455"/>
      <c r="BK318" s="456"/>
      <c r="BL318" s="444" t="str">
        <f t="shared" si="466"/>
        <v/>
      </c>
      <c r="BM318" s="328"/>
      <c r="BN318" s="197" t="str">
        <f>IF(AND($I318="x",AND(MAX(BJ318:BL318)=BJ318,BJ318&lt;&gt;"")),Data!$BI$2,"")</f>
        <v/>
      </c>
      <c r="BO318" s="197" t="str">
        <f>IF(AND($J318="x",AND(MAX(BJ318:BL318)=BK318,BK318&lt;&gt;"")),Data!$BJ$2,"")</f>
        <v/>
      </c>
      <c r="BP318" s="197" t="str">
        <f>IF(AND($K318="x",AND(MAX(BJ318:BL318)=BL318,BL318&lt;&gt;"")),Data!$BK$2,"")</f>
        <v/>
      </c>
      <c r="BQ318" s="197"/>
      <c r="BR318" s="328"/>
      <c r="BS318" s="455"/>
      <c r="BT318" s="456"/>
      <c r="BU318" s="444" t="str">
        <f t="shared" si="467"/>
        <v/>
      </c>
      <c r="BV318" s="328"/>
      <c r="BW318" s="197" t="str">
        <f>IF(AND($I318="x",AND(MAX(BS318:BU318)=BS318,BS318&lt;&gt;"")),Data!$BI$2,"")</f>
        <v/>
      </c>
      <c r="BX318" s="197" t="str">
        <f>IF(AND($J318="x",AND(MAX(BS318:BU318)=BT318,BT318&lt;&gt;"")),Data!$BJ$2,"")</f>
        <v/>
      </c>
      <c r="BY318" s="197" t="str">
        <f>IF(AND($K318="x",AND(MAX(BS318:BU318)=BU318,BU318&lt;&gt;"")),Data!$BK$2,"")</f>
        <v/>
      </c>
      <c r="BZ318" s="197"/>
      <c r="CA318" s="328"/>
      <c r="CB318" s="463" t="str">
        <f t="shared" si="468"/>
        <v/>
      </c>
      <c r="CC318" s="464" t="str">
        <f t="shared" si="469"/>
        <v/>
      </c>
      <c r="CD318" s="465" t="str">
        <f t="shared" si="470"/>
        <v/>
      </c>
      <c r="CE318" s="328"/>
      <c r="CF318" s="197" t="str">
        <f>IF(AND($I318="x",AND(MAX(CB318:CD318)=CB318,CB318&lt;&gt;"")),Data!$BI$2,"")</f>
        <v/>
      </c>
      <c r="CG318" s="197" t="str">
        <f>IF(AND($J318="x",AND(MAX(CB318:CD318)=CC318,CC318&lt;&gt;"")),Data!$BJ$2,"")</f>
        <v/>
      </c>
      <c r="CH318" s="197" t="str">
        <f>IF(AND($K318="x",AND(MAX(CB318:CD318)=CD318,CD318&lt;&gt;"")),Data!$BK$2,"")</f>
        <v/>
      </c>
      <c r="CI318" s="197"/>
      <c r="CJ318" s="197"/>
      <c r="CK318" s="455"/>
      <c r="CL318" s="456"/>
      <c r="CM318" s="444" t="str">
        <f t="shared" si="471"/>
        <v/>
      </c>
      <c r="CN318" s="328"/>
      <c r="CO318" s="197" t="str">
        <f>IF(AND($I318="x",AND(MAX(CK318:CM318)=CK318,CK318&lt;&gt;"")),Data!$BI$2,"")</f>
        <v/>
      </c>
      <c r="CP318" s="197" t="str">
        <f>IF(AND($J318="x",AND(MAX(CK318:CM318)=CL318,CL318&lt;&gt;"")),Data!$BJ$2,"")</f>
        <v/>
      </c>
      <c r="CQ318" s="197" t="str">
        <f>IF(AND($K318="x",AND(MAX(CK318:CM318)=CM318,CM318&lt;&gt;"")),Data!$BK$2,"")</f>
        <v/>
      </c>
      <c r="CR318" s="197"/>
      <c r="CS318" s="197"/>
      <c r="CT318" s="328"/>
      <c r="CU318" s="255"/>
      <c r="CV318" s="209"/>
      <c r="CW318" s="227"/>
    </row>
    <row r="319" spans="1:101" x14ac:dyDescent="0.2">
      <c r="A319" s="227"/>
      <c r="B319" s="227"/>
      <c r="C319" s="168"/>
      <c r="D319" s="232"/>
      <c r="E319" s="134" t="s">
        <v>225</v>
      </c>
      <c r="F319" s="424"/>
      <c r="G319" s="428"/>
      <c r="H319" s="429"/>
      <c r="I319" s="138" t="str">
        <f t="shared" si="458"/>
        <v/>
      </c>
      <c r="J319" s="344" t="str">
        <f t="shared" si="459"/>
        <v/>
      </c>
      <c r="K319" s="345" t="str">
        <f t="shared" si="460"/>
        <v/>
      </c>
      <c r="L319" s="258"/>
      <c r="M319" s="332"/>
      <c r="N319" s="336"/>
      <c r="O319" s="200"/>
      <c r="P319" s="200"/>
      <c r="Q319" s="436"/>
      <c r="R319" s="437"/>
      <c r="S319" s="438" t="str">
        <f t="shared" si="461"/>
        <v/>
      </c>
      <c r="T319" s="328"/>
      <c r="U319" s="197" t="str">
        <f>IF(AND($I319="x",AND(MAX(Q319:S319)=Q319,Q319&gt;=0)),Data!$BI$2,"")</f>
        <v/>
      </c>
      <c r="V319" s="197" t="str">
        <f>IF(AND($J319="x",AND(MAX(Q319:S319)=R319,R319&gt;=0)),Data!$BJ$2,"")</f>
        <v/>
      </c>
      <c r="W319" s="197" t="str">
        <f>IF(AND($K319="x",AND(MAX(Q319:S319)=S319,S319&gt;=0)),Data!$BK$2,"")</f>
        <v/>
      </c>
      <c r="X319" s="197"/>
      <c r="Y319" s="328"/>
      <c r="Z319" s="451"/>
      <c r="AA319" s="452"/>
      <c r="AB319" s="438" t="str">
        <f t="shared" si="462"/>
        <v/>
      </c>
      <c r="AC319" s="328"/>
      <c r="AD319" s="197" t="str">
        <f>IF(AND($I319="x",AND(MAX(Z319:AB319)=Z319,Z319&lt;&gt;"")),Data!$BI$2,"")</f>
        <v/>
      </c>
      <c r="AE319" s="197" t="str">
        <f>IF(AND($J319="x",AND(MAX(Z319:AB319)=AA319,AA319&lt;&gt;"")),Data!$BJ$2,"")</f>
        <v/>
      </c>
      <c r="AF319" s="197" t="str">
        <f>IF(AND($K319="x",AND(MAX(Z319:AB319)=AB319,AB319&lt;&gt;"")),Data!$BK$2,"")</f>
        <v/>
      </c>
      <c r="AG319" s="197"/>
      <c r="AH319" s="328"/>
      <c r="AI319" s="451"/>
      <c r="AJ319" s="452"/>
      <c r="AK319" s="438" t="str">
        <f t="shared" si="463"/>
        <v/>
      </c>
      <c r="AL319" s="328"/>
      <c r="AM319" s="197" t="str">
        <f>IF(AND($I319="x",AND(MAX(AI319:AK319)=AI319,AI319&lt;&gt;"")),Data!$BI$2,"")</f>
        <v/>
      </c>
      <c r="AN319" s="197" t="str">
        <f>IF(AND($J319="x",AND(MAX(AI319:AK319)=AJ319,AJ319&lt;&gt;"")),Data!$BJ$2,"")</f>
        <v/>
      </c>
      <c r="AO319" s="197" t="str">
        <f>IF(AND($K319="x",AND(MAX(AI319:AK319)=AK319,AK319&lt;&gt;"")),Data!$BK$2,"")</f>
        <v/>
      </c>
      <c r="AP319" s="197"/>
      <c r="AQ319" s="328"/>
      <c r="AR319" s="451"/>
      <c r="AS319" s="452"/>
      <c r="AT319" s="438" t="str">
        <f t="shared" si="464"/>
        <v/>
      </c>
      <c r="AU319" s="328"/>
      <c r="AV319" s="197" t="str">
        <f>IF(AND($I319="x",AND(MAX(AR319:AT319)=AR319,AR319&lt;&gt;"")),Data!$BI$2,"")</f>
        <v/>
      </c>
      <c r="AW319" s="197" t="str">
        <f>IF(AND($J319="x",AND(MAX(AR319:AT319)=AS319,AS319&lt;&gt;"")),Data!$BJ$2,"")</f>
        <v/>
      </c>
      <c r="AX319" s="197" t="str">
        <f>IF(AND($K319="x",AND(MAX(AR319:AT319)=AT319,AT319&lt;&gt;"")),Data!$BK$2,"")</f>
        <v/>
      </c>
      <c r="AY319" s="197"/>
      <c r="AZ319" s="328"/>
      <c r="BA319" s="451"/>
      <c r="BB319" s="452"/>
      <c r="BC319" s="438" t="str">
        <f t="shared" si="465"/>
        <v/>
      </c>
      <c r="BD319" s="328"/>
      <c r="BE319" s="197" t="str">
        <f>IF(AND($I319="x",AND(MAX(BA319:BC319)=BA319,BA319&lt;&gt;"")),Data!$BI$2,"")</f>
        <v/>
      </c>
      <c r="BF319" s="197" t="str">
        <f>IF(AND($J319="x",AND(MAX(BA319:BC319)=BB319,BB319&lt;&gt;"")),Data!$BJ$2,"")</f>
        <v/>
      </c>
      <c r="BG319" s="197" t="str">
        <f>IF(AND($K319="x",AND(MAX(BA319:BC319)=BC319,BC319&lt;&gt;"")),Data!$BK$2,"")</f>
        <v/>
      </c>
      <c r="BH319" s="197"/>
      <c r="BI319" s="328"/>
      <c r="BJ319" s="451"/>
      <c r="BK319" s="452"/>
      <c r="BL319" s="438" t="str">
        <f t="shared" si="466"/>
        <v/>
      </c>
      <c r="BM319" s="328"/>
      <c r="BN319" s="197" t="str">
        <f>IF(AND($I319="x",AND(MAX(BJ319:BL319)=BJ319,BJ319&lt;&gt;"")),Data!$BI$2,"")</f>
        <v/>
      </c>
      <c r="BO319" s="197" t="str">
        <f>IF(AND($J319="x",AND(MAX(BJ319:BL319)=BK319,BK319&lt;&gt;"")),Data!$BJ$2,"")</f>
        <v/>
      </c>
      <c r="BP319" s="197" t="str">
        <f>IF(AND($K319="x",AND(MAX(BJ319:BL319)=BL319,BL319&lt;&gt;"")),Data!$BK$2,"")</f>
        <v/>
      </c>
      <c r="BQ319" s="197"/>
      <c r="BR319" s="328"/>
      <c r="BS319" s="451"/>
      <c r="BT319" s="452"/>
      <c r="BU319" s="438" t="str">
        <f t="shared" si="467"/>
        <v/>
      </c>
      <c r="BV319" s="328"/>
      <c r="BW319" s="197" t="str">
        <f>IF(AND($I319="x",AND(MAX(BS319:BU319)=BS319,BS319&lt;&gt;"")),Data!$BI$2,"")</f>
        <v/>
      </c>
      <c r="BX319" s="197" t="str">
        <f>IF(AND($J319="x",AND(MAX(BS319:BU319)=BT319,BT319&lt;&gt;"")),Data!$BJ$2,"")</f>
        <v/>
      </c>
      <c r="BY319" s="197" t="str">
        <f>IF(AND($K319="x",AND(MAX(BS319:BU319)=BU319,BU319&lt;&gt;"")),Data!$BK$2,"")</f>
        <v/>
      </c>
      <c r="BZ319" s="197"/>
      <c r="CA319" s="328"/>
      <c r="CB319" s="457" t="str">
        <f t="shared" si="468"/>
        <v/>
      </c>
      <c r="CC319" s="458" t="str">
        <f t="shared" si="469"/>
        <v/>
      </c>
      <c r="CD319" s="459" t="str">
        <f t="shared" si="470"/>
        <v/>
      </c>
      <c r="CE319" s="328"/>
      <c r="CF319" s="197" t="str">
        <f>IF(AND($I319="x",AND(MAX(CB319:CD319)=CB319,CB319&lt;&gt;"")),Data!$BI$2,"")</f>
        <v/>
      </c>
      <c r="CG319" s="197" t="str">
        <f>IF(AND($J319="x",AND(MAX(CB319:CD319)=CC319,CC319&lt;&gt;"")),Data!$BJ$2,"")</f>
        <v/>
      </c>
      <c r="CH319" s="197" t="str">
        <f>IF(AND($K319="x",AND(MAX(CB319:CD319)=CD319,CD319&lt;&gt;"")),Data!$BK$2,"")</f>
        <v/>
      </c>
      <c r="CI319" s="197"/>
      <c r="CJ319" s="197"/>
      <c r="CK319" s="451"/>
      <c r="CL319" s="452"/>
      <c r="CM319" s="438" t="str">
        <f t="shared" si="471"/>
        <v/>
      </c>
      <c r="CN319" s="328"/>
      <c r="CO319" s="197" t="str">
        <f>IF(AND($I319="x",AND(MAX(CK319:CM319)=CK319,CK319&lt;&gt;"")),Data!$BI$2,"")</f>
        <v/>
      </c>
      <c r="CP319" s="197" t="str">
        <f>IF(AND($J319="x",AND(MAX(CK319:CM319)=CL319,CL319&lt;&gt;"")),Data!$BJ$2,"")</f>
        <v/>
      </c>
      <c r="CQ319" s="197" t="str">
        <f>IF(AND($K319="x",AND(MAX(CK319:CM319)=CM319,CM319&lt;&gt;"")),Data!$BK$2,"")</f>
        <v/>
      </c>
      <c r="CR319" s="197"/>
      <c r="CS319" s="197"/>
      <c r="CT319" s="328"/>
      <c r="CU319" s="255"/>
      <c r="CV319" s="209"/>
      <c r="CW319" s="227"/>
    </row>
    <row r="320" spans="1:101" x14ac:dyDescent="0.2">
      <c r="A320" s="227"/>
      <c r="B320" s="227"/>
      <c r="C320" s="168"/>
      <c r="D320" s="232"/>
      <c r="E320" s="135" t="s">
        <v>226</v>
      </c>
      <c r="F320" s="425"/>
      <c r="G320" s="430"/>
      <c r="H320" s="431"/>
      <c r="I320" s="346" t="str">
        <f t="shared" si="458"/>
        <v/>
      </c>
      <c r="J320" s="347" t="str">
        <f t="shared" si="459"/>
        <v/>
      </c>
      <c r="K320" s="348" t="str">
        <f t="shared" si="460"/>
        <v/>
      </c>
      <c r="L320" s="258"/>
      <c r="M320" s="332"/>
      <c r="N320" s="336"/>
      <c r="O320" s="200"/>
      <c r="P320" s="200"/>
      <c r="Q320" s="439"/>
      <c r="R320" s="440"/>
      <c r="S320" s="441" t="str">
        <f t="shared" si="461"/>
        <v/>
      </c>
      <c r="T320" s="328"/>
      <c r="U320" s="197" t="str">
        <f>IF(AND($I320="x",AND(MAX(Q320:S320)=Q320,Q320&gt;=0)),Data!$BI$2,"")</f>
        <v/>
      </c>
      <c r="V320" s="197" t="str">
        <f>IF(AND($J320="x",AND(MAX(Q320:S320)=R320,R320&gt;=0)),Data!$BJ$2,"")</f>
        <v/>
      </c>
      <c r="W320" s="197" t="str">
        <f>IF(AND($K320="x",AND(MAX(Q320:S320)=S320,S320&gt;=0)),Data!$BK$2,"")</f>
        <v/>
      </c>
      <c r="X320" s="197"/>
      <c r="Y320" s="328"/>
      <c r="Z320" s="453"/>
      <c r="AA320" s="454"/>
      <c r="AB320" s="441" t="str">
        <f t="shared" si="462"/>
        <v/>
      </c>
      <c r="AC320" s="328"/>
      <c r="AD320" s="197" t="str">
        <f>IF(AND($I320="x",AND(MAX(Z320:AB320)=Z320,Z320&lt;&gt;"")),Data!$BI$2,"")</f>
        <v/>
      </c>
      <c r="AE320" s="197" t="str">
        <f>IF(AND($J320="x",AND(MAX(Z320:AB320)=AA320,AA320&lt;&gt;"")),Data!$BJ$2,"")</f>
        <v/>
      </c>
      <c r="AF320" s="197" t="str">
        <f>IF(AND($K320="x",AND(MAX(Z320:AB320)=AB320,AB320&lt;&gt;"")),Data!$BK$2,"")</f>
        <v/>
      </c>
      <c r="AG320" s="197"/>
      <c r="AH320" s="328"/>
      <c r="AI320" s="453"/>
      <c r="AJ320" s="454"/>
      <c r="AK320" s="441" t="str">
        <f t="shared" si="463"/>
        <v/>
      </c>
      <c r="AL320" s="328"/>
      <c r="AM320" s="197" t="str">
        <f>IF(AND($I320="x",AND(MAX(AI320:AK320)=AI320,AI320&lt;&gt;"")),Data!$BI$2,"")</f>
        <v/>
      </c>
      <c r="AN320" s="197" t="str">
        <f>IF(AND($J320="x",AND(MAX(AI320:AK320)=AJ320,AJ320&lt;&gt;"")),Data!$BJ$2,"")</f>
        <v/>
      </c>
      <c r="AO320" s="197" t="str">
        <f>IF(AND($K320="x",AND(MAX(AI320:AK320)=AK320,AK320&lt;&gt;"")),Data!$BK$2,"")</f>
        <v/>
      </c>
      <c r="AP320" s="197"/>
      <c r="AQ320" s="328"/>
      <c r="AR320" s="453"/>
      <c r="AS320" s="454"/>
      <c r="AT320" s="441" t="str">
        <f t="shared" si="464"/>
        <v/>
      </c>
      <c r="AU320" s="328"/>
      <c r="AV320" s="197" t="str">
        <f>IF(AND($I320="x",AND(MAX(AR320:AT320)=AR320,AR320&lt;&gt;"")),Data!$BI$2,"")</f>
        <v/>
      </c>
      <c r="AW320" s="197" t="str">
        <f>IF(AND($J320="x",AND(MAX(AR320:AT320)=AS320,AS320&lt;&gt;"")),Data!$BJ$2,"")</f>
        <v/>
      </c>
      <c r="AX320" s="197" t="str">
        <f>IF(AND($K320="x",AND(MAX(AR320:AT320)=AT320,AT320&lt;&gt;"")),Data!$BK$2,"")</f>
        <v/>
      </c>
      <c r="AY320" s="197"/>
      <c r="AZ320" s="328"/>
      <c r="BA320" s="453"/>
      <c r="BB320" s="454"/>
      <c r="BC320" s="441" t="str">
        <f t="shared" si="465"/>
        <v/>
      </c>
      <c r="BD320" s="328"/>
      <c r="BE320" s="197" t="str">
        <f>IF(AND($I320="x",AND(MAX(BA320:BC320)=BA320,BA320&lt;&gt;"")),Data!$BI$2,"")</f>
        <v/>
      </c>
      <c r="BF320" s="197" t="str">
        <f>IF(AND($J320="x",AND(MAX(BA320:BC320)=BB320,BB320&lt;&gt;"")),Data!$BJ$2,"")</f>
        <v/>
      </c>
      <c r="BG320" s="197" t="str">
        <f>IF(AND($K320="x",AND(MAX(BA320:BC320)=BC320,BC320&lt;&gt;"")),Data!$BK$2,"")</f>
        <v/>
      </c>
      <c r="BH320" s="197"/>
      <c r="BI320" s="328"/>
      <c r="BJ320" s="453"/>
      <c r="BK320" s="454"/>
      <c r="BL320" s="441" t="str">
        <f t="shared" si="466"/>
        <v/>
      </c>
      <c r="BM320" s="328"/>
      <c r="BN320" s="197" t="str">
        <f>IF(AND($I320="x",AND(MAX(BJ320:BL320)=BJ320,BJ320&lt;&gt;"")),Data!$BI$2,"")</f>
        <v/>
      </c>
      <c r="BO320" s="197" t="str">
        <f>IF(AND($J320="x",AND(MAX(BJ320:BL320)=BK320,BK320&lt;&gt;"")),Data!$BJ$2,"")</f>
        <v/>
      </c>
      <c r="BP320" s="197" t="str">
        <f>IF(AND($K320="x",AND(MAX(BJ320:BL320)=BL320,BL320&lt;&gt;"")),Data!$BK$2,"")</f>
        <v/>
      </c>
      <c r="BQ320" s="197"/>
      <c r="BR320" s="328"/>
      <c r="BS320" s="453"/>
      <c r="BT320" s="454"/>
      <c r="BU320" s="441" t="str">
        <f t="shared" si="467"/>
        <v/>
      </c>
      <c r="BV320" s="328"/>
      <c r="BW320" s="197" t="str">
        <f>IF(AND($I320="x",AND(MAX(BS320:BU320)=BS320,BS320&lt;&gt;"")),Data!$BI$2,"")</f>
        <v/>
      </c>
      <c r="BX320" s="197" t="str">
        <f>IF(AND($J320="x",AND(MAX(BS320:BU320)=BT320,BT320&lt;&gt;"")),Data!$BJ$2,"")</f>
        <v/>
      </c>
      <c r="BY320" s="197" t="str">
        <f>IF(AND($K320="x",AND(MAX(BS320:BU320)=BU320,BU320&lt;&gt;"")),Data!$BK$2,"")</f>
        <v/>
      </c>
      <c r="BZ320" s="197"/>
      <c r="CA320" s="328"/>
      <c r="CB320" s="460" t="str">
        <f t="shared" si="468"/>
        <v/>
      </c>
      <c r="CC320" s="461" t="str">
        <f t="shared" si="469"/>
        <v/>
      </c>
      <c r="CD320" s="462" t="str">
        <f t="shared" si="470"/>
        <v/>
      </c>
      <c r="CE320" s="328"/>
      <c r="CF320" s="197" t="str">
        <f>IF(AND($I320="x",AND(MAX(CB320:CD320)=CB320,CB320&lt;&gt;"")),Data!$BI$2,"")</f>
        <v/>
      </c>
      <c r="CG320" s="197" t="str">
        <f>IF(AND($J320="x",AND(MAX(CB320:CD320)=CC320,CC320&lt;&gt;"")),Data!$BJ$2,"")</f>
        <v/>
      </c>
      <c r="CH320" s="197" t="str">
        <f>IF(AND($K320="x",AND(MAX(CB320:CD320)=CD320,CD320&lt;&gt;"")),Data!$BK$2,"")</f>
        <v/>
      </c>
      <c r="CI320" s="197"/>
      <c r="CJ320" s="197"/>
      <c r="CK320" s="453"/>
      <c r="CL320" s="454"/>
      <c r="CM320" s="441" t="str">
        <f t="shared" si="471"/>
        <v/>
      </c>
      <c r="CN320" s="328"/>
      <c r="CO320" s="197" t="str">
        <f>IF(AND($I320="x",AND(MAX(CK320:CM320)=CK320,CK320&lt;&gt;"")),Data!$BI$2,"")</f>
        <v/>
      </c>
      <c r="CP320" s="197" t="str">
        <f>IF(AND($J320="x",AND(MAX(CK320:CM320)=CL320,CL320&lt;&gt;"")),Data!$BJ$2,"")</f>
        <v/>
      </c>
      <c r="CQ320" s="197" t="str">
        <f>IF(AND($K320="x",AND(MAX(CK320:CM320)=CM320,CM320&lt;&gt;"")),Data!$BK$2,"")</f>
        <v/>
      </c>
      <c r="CR320" s="197"/>
      <c r="CS320" s="197"/>
      <c r="CT320" s="328"/>
      <c r="CU320" s="255"/>
      <c r="CV320" s="209"/>
      <c r="CW320" s="227"/>
    </row>
    <row r="321" spans="1:101" x14ac:dyDescent="0.2">
      <c r="A321" s="227"/>
      <c r="B321" s="227"/>
      <c r="C321" s="168"/>
      <c r="D321" s="232"/>
      <c r="E321" s="136" t="s">
        <v>227</v>
      </c>
      <c r="F321" s="426"/>
      <c r="G321" s="432"/>
      <c r="H321" s="433"/>
      <c r="I321" s="349" t="str">
        <f t="shared" si="458"/>
        <v/>
      </c>
      <c r="J321" s="350" t="str">
        <f t="shared" si="459"/>
        <v/>
      </c>
      <c r="K321" s="351" t="str">
        <f t="shared" si="460"/>
        <v/>
      </c>
      <c r="L321" s="258"/>
      <c r="M321" s="332"/>
      <c r="N321" s="336"/>
      <c r="O321" s="200"/>
      <c r="P321" s="200"/>
      <c r="Q321" s="445"/>
      <c r="R321" s="446"/>
      <c r="S321" s="447" t="str">
        <f t="shared" si="461"/>
        <v/>
      </c>
      <c r="T321" s="328"/>
      <c r="U321" s="197" t="str">
        <f>IF(AND($I321="x",AND(MAX(Q321:S321)=Q321,Q321&gt;=0)),Data!$BI$2,"")</f>
        <v/>
      </c>
      <c r="V321" s="197" t="str">
        <f>IF(AND($J321="x",AND(MAX(Q321:S321)=R321,R321&gt;=0)),Data!$BJ$2,"")</f>
        <v/>
      </c>
      <c r="W321" s="197" t="str">
        <f>IF(AND($K321="x",AND(MAX(Q321:S321)=S321,S321&gt;=0)),Data!$BK$2,"")</f>
        <v/>
      </c>
      <c r="X321" s="197"/>
      <c r="Y321" s="328"/>
      <c r="Z321" s="455"/>
      <c r="AA321" s="456"/>
      <c r="AB321" s="447" t="str">
        <f t="shared" si="462"/>
        <v/>
      </c>
      <c r="AC321" s="328"/>
      <c r="AD321" s="197" t="str">
        <f>IF(AND($I321="x",AND(MAX(Z321:AB321)=Z321,Z321&lt;&gt;"")),Data!$BI$2,"")</f>
        <v/>
      </c>
      <c r="AE321" s="197" t="str">
        <f>IF(AND($J321="x",AND(MAX(Z321:AB321)=AA321,AA321&lt;&gt;"")),Data!$BJ$2,"")</f>
        <v/>
      </c>
      <c r="AF321" s="197" t="str">
        <f>IF(AND($K321="x",AND(MAX(Z321:AB321)=AB321,AB321&lt;&gt;"")),Data!$BK$2,"")</f>
        <v/>
      </c>
      <c r="AG321" s="197"/>
      <c r="AH321" s="328"/>
      <c r="AI321" s="455"/>
      <c r="AJ321" s="456"/>
      <c r="AK321" s="447" t="str">
        <f t="shared" si="463"/>
        <v/>
      </c>
      <c r="AL321" s="328"/>
      <c r="AM321" s="197" t="str">
        <f>IF(AND($I321="x",AND(MAX(AI321:AK321)=AI321,AI321&lt;&gt;"")),Data!$BI$2,"")</f>
        <v/>
      </c>
      <c r="AN321" s="197" t="str">
        <f>IF(AND($J321="x",AND(MAX(AI321:AK321)=AJ321,AJ321&lt;&gt;"")),Data!$BJ$2,"")</f>
        <v/>
      </c>
      <c r="AO321" s="197" t="str">
        <f>IF(AND($K321="x",AND(MAX(AI321:AK321)=AK321,AK321&lt;&gt;"")),Data!$BK$2,"")</f>
        <v/>
      </c>
      <c r="AP321" s="197"/>
      <c r="AQ321" s="328"/>
      <c r="AR321" s="455"/>
      <c r="AS321" s="456"/>
      <c r="AT321" s="447" t="str">
        <f t="shared" si="464"/>
        <v/>
      </c>
      <c r="AU321" s="328"/>
      <c r="AV321" s="197" t="str">
        <f>IF(AND($I321="x",AND(MAX(AR321:AT321)=AR321,AR321&lt;&gt;"")),Data!$BI$2,"")</f>
        <v/>
      </c>
      <c r="AW321" s="197" t="str">
        <f>IF(AND($J321="x",AND(MAX(AR321:AT321)=AS321,AS321&lt;&gt;"")),Data!$BJ$2,"")</f>
        <v/>
      </c>
      <c r="AX321" s="197" t="str">
        <f>IF(AND($K321="x",AND(MAX(AR321:AT321)=AT321,AT321&lt;&gt;"")),Data!$BK$2,"")</f>
        <v/>
      </c>
      <c r="AY321" s="197"/>
      <c r="AZ321" s="328"/>
      <c r="BA321" s="455"/>
      <c r="BB321" s="456"/>
      <c r="BC321" s="447" t="str">
        <f t="shared" si="465"/>
        <v/>
      </c>
      <c r="BD321" s="328"/>
      <c r="BE321" s="197" t="str">
        <f>IF(AND($I321="x",AND(MAX(BA321:BC321)=BA321,BA321&lt;&gt;"")),Data!$BI$2,"")</f>
        <v/>
      </c>
      <c r="BF321" s="197" t="str">
        <f>IF(AND($J321="x",AND(MAX(BA321:BC321)=BB321,BB321&lt;&gt;"")),Data!$BJ$2,"")</f>
        <v/>
      </c>
      <c r="BG321" s="197" t="str">
        <f>IF(AND($K321="x",AND(MAX(BA321:BC321)=BC321,BC321&lt;&gt;"")),Data!$BK$2,"")</f>
        <v/>
      </c>
      <c r="BH321" s="197"/>
      <c r="BI321" s="328"/>
      <c r="BJ321" s="455"/>
      <c r="BK321" s="456"/>
      <c r="BL321" s="447" t="str">
        <f t="shared" si="466"/>
        <v/>
      </c>
      <c r="BM321" s="328"/>
      <c r="BN321" s="197" t="str">
        <f>IF(AND($I321="x",AND(MAX(BJ321:BL321)=BJ321,BJ321&lt;&gt;"")),Data!$BI$2,"")</f>
        <v/>
      </c>
      <c r="BO321" s="197" t="str">
        <f>IF(AND($J321="x",AND(MAX(BJ321:BL321)=BK321,BK321&lt;&gt;"")),Data!$BJ$2,"")</f>
        <v/>
      </c>
      <c r="BP321" s="197" t="str">
        <f>IF(AND($K321="x",AND(MAX(BJ321:BL321)=BL321,BL321&lt;&gt;"")),Data!$BK$2,"")</f>
        <v/>
      </c>
      <c r="BQ321" s="197"/>
      <c r="BR321" s="328"/>
      <c r="BS321" s="455"/>
      <c r="BT321" s="456"/>
      <c r="BU321" s="447" t="str">
        <f t="shared" si="467"/>
        <v/>
      </c>
      <c r="BV321" s="328"/>
      <c r="BW321" s="197" t="str">
        <f>IF(AND($I321="x",AND(MAX(BS321:BU321)=BS321,BS321&lt;&gt;"")),Data!$BI$2,"")</f>
        <v/>
      </c>
      <c r="BX321" s="197" t="str">
        <f>IF(AND($J321="x",AND(MAX(BS321:BU321)=BT321,BT321&lt;&gt;"")),Data!$BJ$2,"")</f>
        <v/>
      </c>
      <c r="BY321" s="197" t="str">
        <f>IF(AND($K321="x",AND(MAX(BS321:BU321)=BU321,BU321&lt;&gt;"")),Data!$BK$2,"")</f>
        <v/>
      </c>
      <c r="BZ321" s="197"/>
      <c r="CA321" s="328"/>
      <c r="CB321" s="463" t="str">
        <f t="shared" si="468"/>
        <v/>
      </c>
      <c r="CC321" s="464" t="str">
        <f t="shared" si="469"/>
        <v/>
      </c>
      <c r="CD321" s="465" t="str">
        <f t="shared" si="470"/>
        <v/>
      </c>
      <c r="CE321" s="328"/>
      <c r="CF321" s="197" t="str">
        <f>IF(AND($I321="x",AND(MAX(CB321:CD321)=CB321,CB321&lt;&gt;"")),Data!$BI$2,"")</f>
        <v/>
      </c>
      <c r="CG321" s="197" t="str">
        <f>IF(AND($J321="x",AND(MAX(CB321:CD321)=CC321,CC321&lt;&gt;"")),Data!$BJ$2,"")</f>
        <v/>
      </c>
      <c r="CH321" s="197" t="str">
        <f>IF(AND($K321="x",AND(MAX(CB321:CD321)=CD321,CD321&lt;&gt;"")),Data!$BK$2,"")</f>
        <v/>
      </c>
      <c r="CI321" s="197"/>
      <c r="CJ321" s="197"/>
      <c r="CK321" s="455"/>
      <c r="CL321" s="456"/>
      <c r="CM321" s="447" t="str">
        <f t="shared" si="471"/>
        <v/>
      </c>
      <c r="CN321" s="328"/>
      <c r="CO321" s="197" t="str">
        <f>IF(AND($I321="x",AND(MAX(CK321:CM321)=CK321,CK321&lt;&gt;"")),Data!$BI$2,"")</f>
        <v/>
      </c>
      <c r="CP321" s="197" t="str">
        <f>IF(AND($J321="x",AND(MAX(CK321:CM321)=CL321,CL321&lt;&gt;"")),Data!$BJ$2,"")</f>
        <v/>
      </c>
      <c r="CQ321" s="197" t="str">
        <f>IF(AND($K321="x",AND(MAX(CK321:CM321)=CM321,CM321&lt;&gt;"")),Data!$BK$2,"")</f>
        <v/>
      </c>
      <c r="CR321" s="197"/>
      <c r="CS321" s="197"/>
      <c r="CT321" s="328"/>
      <c r="CU321" s="255"/>
      <c r="CV321" s="209"/>
      <c r="CW321" s="227"/>
    </row>
    <row r="322" spans="1:101" x14ac:dyDescent="0.2">
      <c r="A322" s="227"/>
      <c r="B322" s="227"/>
      <c r="C322" s="168"/>
      <c r="D322" s="232"/>
      <c r="E322" s="134" t="s">
        <v>228</v>
      </c>
      <c r="F322" s="424"/>
      <c r="G322" s="428"/>
      <c r="H322" s="429"/>
      <c r="I322" s="138" t="str">
        <f t="shared" si="458"/>
        <v/>
      </c>
      <c r="J322" s="344" t="str">
        <f t="shared" si="459"/>
        <v/>
      </c>
      <c r="K322" s="345" t="str">
        <f t="shared" si="460"/>
        <v/>
      </c>
      <c r="L322" s="258"/>
      <c r="M322" s="332"/>
      <c r="N322" s="336"/>
      <c r="O322" s="200"/>
      <c r="P322" s="200"/>
      <c r="Q322" s="436"/>
      <c r="R322" s="437"/>
      <c r="S322" s="438" t="str">
        <f t="shared" si="461"/>
        <v/>
      </c>
      <c r="T322" s="328"/>
      <c r="U322" s="197" t="str">
        <f>IF(AND($I322="x",AND(MAX(Q322:S322)=Q322,Q322&gt;=0)),Data!$BI$2,"")</f>
        <v/>
      </c>
      <c r="V322" s="197" t="str">
        <f>IF(AND($J322="x",AND(MAX(Q322:S322)=R322,R322&gt;=0)),Data!$BJ$2,"")</f>
        <v/>
      </c>
      <c r="W322" s="197" t="str">
        <f>IF(AND($K322="x",AND(MAX(Q322:S322)=S322,S322&gt;=0)),Data!$BK$2,"")</f>
        <v/>
      </c>
      <c r="X322" s="197"/>
      <c r="Y322" s="328"/>
      <c r="Z322" s="451"/>
      <c r="AA322" s="452"/>
      <c r="AB322" s="438" t="str">
        <f t="shared" si="462"/>
        <v/>
      </c>
      <c r="AC322" s="328"/>
      <c r="AD322" s="197" t="str">
        <f>IF(AND($I322="x",AND(MAX(Z322:AB322)=Z322,Z322&lt;&gt;"")),Data!$BI$2,"")</f>
        <v/>
      </c>
      <c r="AE322" s="197" t="str">
        <f>IF(AND($J322="x",AND(MAX(Z322:AB322)=AA322,AA322&lt;&gt;"")),Data!$BJ$2,"")</f>
        <v/>
      </c>
      <c r="AF322" s="197" t="str">
        <f>IF(AND($K322="x",AND(MAX(Z322:AB322)=AB322,AB322&lt;&gt;"")),Data!$BK$2,"")</f>
        <v/>
      </c>
      <c r="AG322" s="197"/>
      <c r="AH322" s="328"/>
      <c r="AI322" s="451"/>
      <c r="AJ322" s="452"/>
      <c r="AK322" s="438" t="str">
        <f t="shared" si="463"/>
        <v/>
      </c>
      <c r="AL322" s="328"/>
      <c r="AM322" s="197" t="str">
        <f>IF(AND($I322="x",AND(MAX(AI322:AK322)=AI322,AI322&lt;&gt;"")),Data!$BI$2,"")</f>
        <v/>
      </c>
      <c r="AN322" s="197" t="str">
        <f>IF(AND($J322="x",AND(MAX(AI322:AK322)=AJ322,AJ322&lt;&gt;"")),Data!$BJ$2,"")</f>
        <v/>
      </c>
      <c r="AO322" s="197" t="str">
        <f>IF(AND($K322="x",AND(MAX(AI322:AK322)=AK322,AK322&lt;&gt;"")),Data!$BK$2,"")</f>
        <v/>
      </c>
      <c r="AP322" s="197"/>
      <c r="AQ322" s="328"/>
      <c r="AR322" s="451"/>
      <c r="AS322" s="452"/>
      <c r="AT322" s="438" t="str">
        <f t="shared" si="464"/>
        <v/>
      </c>
      <c r="AU322" s="328"/>
      <c r="AV322" s="197" t="str">
        <f>IF(AND($I322="x",AND(MAX(AR322:AT322)=AR322,AR322&lt;&gt;"")),Data!$BI$2,"")</f>
        <v/>
      </c>
      <c r="AW322" s="197" t="str">
        <f>IF(AND($J322="x",AND(MAX(AR322:AT322)=AS322,AS322&lt;&gt;"")),Data!$BJ$2,"")</f>
        <v/>
      </c>
      <c r="AX322" s="197" t="str">
        <f>IF(AND($K322="x",AND(MAX(AR322:AT322)=AT322,AT322&lt;&gt;"")),Data!$BK$2,"")</f>
        <v/>
      </c>
      <c r="AY322" s="197"/>
      <c r="AZ322" s="328"/>
      <c r="BA322" s="451"/>
      <c r="BB322" s="452"/>
      <c r="BC322" s="438" t="str">
        <f t="shared" si="465"/>
        <v/>
      </c>
      <c r="BD322" s="328"/>
      <c r="BE322" s="197" t="str">
        <f>IF(AND($I322="x",AND(MAX(BA322:BC322)=BA322,BA322&lt;&gt;"")),Data!$BI$2,"")</f>
        <v/>
      </c>
      <c r="BF322" s="197" t="str">
        <f>IF(AND($J322="x",AND(MAX(BA322:BC322)=BB322,BB322&lt;&gt;"")),Data!$BJ$2,"")</f>
        <v/>
      </c>
      <c r="BG322" s="197" t="str">
        <f>IF(AND($K322="x",AND(MAX(BA322:BC322)=BC322,BC322&lt;&gt;"")),Data!$BK$2,"")</f>
        <v/>
      </c>
      <c r="BH322" s="197"/>
      <c r="BI322" s="328"/>
      <c r="BJ322" s="451"/>
      <c r="BK322" s="452"/>
      <c r="BL322" s="438" t="str">
        <f t="shared" si="466"/>
        <v/>
      </c>
      <c r="BM322" s="328"/>
      <c r="BN322" s="197" t="str">
        <f>IF(AND($I322="x",AND(MAX(BJ322:BL322)=BJ322,BJ322&lt;&gt;"")),Data!$BI$2,"")</f>
        <v/>
      </c>
      <c r="BO322" s="197" t="str">
        <f>IF(AND($J322="x",AND(MAX(BJ322:BL322)=BK322,BK322&lt;&gt;"")),Data!$BJ$2,"")</f>
        <v/>
      </c>
      <c r="BP322" s="197" t="str">
        <f>IF(AND($K322="x",AND(MAX(BJ322:BL322)=BL322,BL322&lt;&gt;"")),Data!$BK$2,"")</f>
        <v/>
      </c>
      <c r="BQ322" s="197"/>
      <c r="BR322" s="328"/>
      <c r="BS322" s="451"/>
      <c r="BT322" s="452"/>
      <c r="BU322" s="438" t="str">
        <f t="shared" si="467"/>
        <v/>
      </c>
      <c r="BV322" s="328"/>
      <c r="BW322" s="197" t="str">
        <f>IF(AND($I322="x",AND(MAX(BS322:BU322)=BS322,BS322&lt;&gt;"")),Data!$BI$2,"")</f>
        <v/>
      </c>
      <c r="BX322" s="197" t="str">
        <f>IF(AND($J322="x",AND(MAX(BS322:BU322)=BT322,BT322&lt;&gt;"")),Data!$BJ$2,"")</f>
        <v/>
      </c>
      <c r="BY322" s="197" t="str">
        <f>IF(AND($K322="x",AND(MAX(BS322:BU322)=BU322,BU322&lt;&gt;"")),Data!$BK$2,"")</f>
        <v/>
      </c>
      <c r="BZ322" s="197"/>
      <c r="CA322" s="328"/>
      <c r="CB322" s="457" t="str">
        <f t="shared" si="468"/>
        <v/>
      </c>
      <c r="CC322" s="458" t="str">
        <f t="shared" si="469"/>
        <v/>
      </c>
      <c r="CD322" s="459" t="str">
        <f t="shared" si="470"/>
        <v/>
      </c>
      <c r="CE322" s="328"/>
      <c r="CF322" s="197" t="str">
        <f>IF(AND($I322="x",AND(MAX(CB322:CD322)=CB322,CB322&lt;&gt;"")),Data!$BI$2,"")</f>
        <v/>
      </c>
      <c r="CG322" s="197" t="str">
        <f>IF(AND($J322="x",AND(MAX(CB322:CD322)=CC322,CC322&lt;&gt;"")),Data!$BJ$2,"")</f>
        <v/>
      </c>
      <c r="CH322" s="197" t="str">
        <f>IF(AND($K322="x",AND(MAX(CB322:CD322)=CD322,CD322&lt;&gt;"")),Data!$BK$2,"")</f>
        <v/>
      </c>
      <c r="CI322" s="197"/>
      <c r="CJ322" s="197"/>
      <c r="CK322" s="451"/>
      <c r="CL322" s="452"/>
      <c r="CM322" s="438" t="str">
        <f t="shared" si="471"/>
        <v/>
      </c>
      <c r="CN322" s="328"/>
      <c r="CO322" s="197" t="str">
        <f>IF(AND($I322="x",AND(MAX(CK322:CM322)=CK322,CK322&lt;&gt;"")),Data!$BI$2,"")</f>
        <v/>
      </c>
      <c r="CP322" s="197" t="str">
        <f>IF(AND($J322="x",AND(MAX(CK322:CM322)=CL322,CL322&lt;&gt;"")),Data!$BJ$2,"")</f>
        <v/>
      </c>
      <c r="CQ322" s="197" t="str">
        <f>IF(AND($K322="x",AND(MAX(CK322:CM322)=CM322,CM322&lt;&gt;"")),Data!$BK$2,"")</f>
        <v/>
      </c>
      <c r="CR322" s="197"/>
      <c r="CS322" s="197"/>
      <c r="CT322" s="328"/>
      <c r="CU322" s="259"/>
      <c r="CV322" s="209"/>
      <c r="CW322" s="227"/>
    </row>
    <row r="323" spans="1:101" x14ac:dyDescent="0.2">
      <c r="A323" s="227"/>
      <c r="B323" s="227"/>
      <c r="C323" s="168"/>
      <c r="D323" s="232"/>
      <c r="E323" s="135" t="s">
        <v>229</v>
      </c>
      <c r="F323" s="425"/>
      <c r="G323" s="430"/>
      <c r="H323" s="431"/>
      <c r="I323" s="346" t="str">
        <f t="shared" si="458"/>
        <v/>
      </c>
      <c r="J323" s="347" t="str">
        <f t="shared" si="459"/>
        <v/>
      </c>
      <c r="K323" s="348" t="str">
        <f t="shared" si="460"/>
        <v/>
      </c>
      <c r="L323" s="258"/>
      <c r="M323" s="332"/>
      <c r="N323" s="336"/>
      <c r="O323" s="200"/>
      <c r="P323" s="200"/>
      <c r="Q323" s="439"/>
      <c r="R323" s="440"/>
      <c r="S323" s="441" t="str">
        <f t="shared" si="461"/>
        <v/>
      </c>
      <c r="T323" s="328"/>
      <c r="U323" s="197" t="str">
        <f>IF(AND($I323="x",AND(MAX(Q323:S323)=Q323,Q323&gt;=0)),Data!$BI$2,"")</f>
        <v/>
      </c>
      <c r="V323" s="197" t="str">
        <f>IF(AND($J323="x",AND(MAX(Q323:S323)=R323,R323&gt;=0)),Data!$BJ$2,"")</f>
        <v/>
      </c>
      <c r="W323" s="197" t="str">
        <f>IF(AND($K323="x",AND(MAX(Q323:S323)=S323,S323&gt;=0)),Data!$BK$2,"")</f>
        <v/>
      </c>
      <c r="X323" s="197"/>
      <c r="Y323" s="328"/>
      <c r="Z323" s="453"/>
      <c r="AA323" s="454"/>
      <c r="AB323" s="441" t="str">
        <f t="shared" si="462"/>
        <v/>
      </c>
      <c r="AC323" s="328"/>
      <c r="AD323" s="197" t="str">
        <f>IF(AND($I323="x",AND(MAX(Z323:AB323)=Z323,Z323&lt;&gt;"")),Data!$BI$2,"")</f>
        <v/>
      </c>
      <c r="AE323" s="197" t="str">
        <f>IF(AND($J323="x",AND(MAX(Z323:AB323)=AA323,AA323&lt;&gt;"")),Data!$BJ$2,"")</f>
        <v/>
      </c>
      <c r="AF323" s="197" t="str">
        <f>IF(AND($K323="x",AND(MAX(Z323:AB323)=AB323,AB323&lt;&gt;"")),Data!$BK$2,"")</f>
        <v/>
      </c>
      <c r="AG323" s="197"/>
      <c r="AH323" s="328"/>
      <c r="AI323" s="453"/>
      <c r="AJ323" s="454"/>
      <c r="AK323" s="441" t="str">
        <f t="shared" si="463"/>
        <v/>
      </c>
      <c r="AL323" s="328"/>
      <c r="AM323" s="197" t="str">
        <f>IF(AND($I323="x",AND(MAX(AI323:AK323)=AI323,AI323&lt;&gt;"")),Data!$BI$2,"")</f>
        <v/>
      </c>
      <c r="AN323" s="197" t="str">
        <f>IF(AND($J323="x",AND(MAX(AI323:AK323)=AJ323,AJ323&lt;&gt;"")),Data!$BJ$2,"")</f>
        <v/>
      </c>
      <c r="AO323" s="197" t="str">
        <f>IF(AND($K323="x",AND(MAX(AI323:AK323)=AK323,AK323&lt;&gt;"")),Data!$BK$2,"")</f>
        <v/>
      </c>
      <c r="AP323" s="197"/>
      <c r="AQ323" s="328"/>
      <c r="AR323" s="453"/>
      <c r="AS323" s="454"/>
      <c r="AT323" s="441" t="str">
        <f t="shared" si="464"/>
        <v/>
      </c>
      <c r="AU323" s="328"/>
      <c r="AV323" s="197" t="str">
        <f>IF(AND($I323="x",AND(MAX(AR323:AT323)=AR323,AR323&lt;&gt;"")),Data!$BI$2,"")</f>
        <v/>
      </c>
      <c r="AW323" s="197" t="str">
        <f>IF(AND($J323="x",AND(MAX(AR323:AT323)=AS323,AS323&lt;&gt;"")),Data!$BJ$2,"")</f>
        <v/>
      </c>
      <c r="AX323" s="197" t="str">
        <f>IF(AND($K323="x",AND(MAX(AR323:AT323)=AT323,AT323&lt;&gt;"")),Data!$BK$2,"")</f>
        <v/>
      </c>
      <c r="AY323" s="197"/>
      <c r="AZ323" s="328"/>
      <c r="BA323" s="453"/>
      <c r="BB323" s="454"/>
      <c r="BC323" s="441" t="str">
        <f t="shared" si="465"/>
        <v/>
      </c>
      <c r="BD323" s="328"/>
      <c r="BE323" s="197" t="str">
        <f>IF(AND($I323="x",AND(MAX(BA323:BC323)=BA323,BA323&lt;&gt;"")),Data!$BI$2,"")</f>
        <v/>
      </c>
      <c r="BF323" s="197" t="str">
        <f>IF(AND($J323="x",AND(MAX(BA323:BC323)=BB323,BB323&lt;&gt;"")),Data!$BJ$2,"")</f>
        <v/>
      </c>
      <c r="BG323" s="197" t="str">
        <f>IF(AND($K323="x",AND(MAX(BA323:BC323)=BC323,BC323&lt;&gt;"")),Data!$BK$2,"")</f>
        <v/>
      </c>
      <c r="BH323" s="197"/>
      <c r="BI323" s="328"/>
      <c r="BJ323" s="453"/>
      <c r="BK323" s="454"/>
      <c r="BL323" s="441" t="str">
        <f t="shared" si="466"/>
        <v/>
      </c>
      <c r="BM323" s="328"/>
      <c r="BN323" s="197" t="str">
        <f>IF(AND($I323="x",AND(MAX(BJ323:BL323)=BJ323,BJ323&lt;&gt;"")),Data!$BI$2,"")</f>
        <v/>
      </c>
      <c r="BO323" s="197" t="str">
        <f>IF(AND($J323="x",AND(MAX(BJ323:BL323)=BK323,BK323&lt;&gt;"")),Data!$BJ$2,"")</f>
        <v/>
      </c>
      <c r="BP323" s="197" t="str">
        <f>IF(AND($K323="x",AND(MAX(BJ323:BL323)=BL323,BL323&lt;&gt;"")),Data!$BK$2,"")</f>
        <v/>
      </c>
      <c r="BQ323" s="197"/>
      <c r="BR323" s="328"/>
      <c r="BS323" s="453"/>
      <c r="BT323" s="454"/>
      <c r="BU323" s="441" t="str">
        <f t="shared" si="467"/>
        <v/>
      </c>
      <c r="BV323" s="328"/>
      <c r="BW323" s="197" t="str">
        <f>IF(AND($I323="x",AND(MAX(BS323:BU323)=BS323,BS323&lt;&gt;"")),Data!$BI$2,"")</f>
        <v/>
      </c>
      <c r="BX323" s="197" t="str">
        <f>IF(AND($J323="x",AND(MAX(BS323:BU323)=BT323,BT323&lt;&gt;"")),Data!$BJ$2,"")</f>
        <v/>
      </c>
      <c r="BY323" s="197" t="str">
        <f>IF(AND($K323="x",AND(MAX(BS323:BU323)=BU323,BU323&lt;&gt;"")),Data!$BK$2,"")</f>
        <v/>
      </c>
      <c r="BZ323" s="197"/>
      <c r="CA323" s="328"/>
      <c r="CB323" s="460" t="str">
        <f t="shared" si="468"/>
        <v/>
      </c>
      <c r="CC323" s="461" t="str">
        <f t="shared" si="469"/>
        <v/>
      </c>
      <c r="CD323" s="462" t="str">
        <f t="shared" si="470"/>
        <v/>
      </c>
      <c r="CE323" s="328"/>
      <c r="CF323" s="197" t="str">
        <f>IF(AND($I323="x",AND(MAX(CB323:CD323)=CB323,CB323&lt;&gt;"")),Data!$BI$2,"")</f>
        <v/>
      </c>
      <c r="CG323" s="197" t="str">
        <f>IF(AND($J323="x",AND(MAX(CB323:CD323)=CC323,CC323&lt;&gt;"")),Data!$BJ$2,"")</f>
        <v/>
      </c>
      <c r="CH323" s="197" t="str">
        <f>IF(AND($K323="x",AND(MAX(CB323:CD323)=CD323,CD323&lt;&gt;"")),Data!$BK$2,"")</f>
        <v/>
      </c>
      <c r="CI323" s="197"/>
      <c r="CJ323" s="197"/>
      <c r="CK323" s="453"/>
      <c r="CL323" s="454"/>
      <c r="CM323" s="441" t="str">
        <f t="shared" si="471"/>
        <v/>
      </c>
      <c r="CN323" s="328"/>
      <c r="CO323" s="197" t="str">
        <f>IF(AND($I323="x",AND(MAX(CK323:CM323)=CK323,CK323&lt;&gt;"")),Data!$BI$2,"")</f>
        <v/>
      </c>
      <c r="CP323" s="197" t="str">
        <f>IF(AND($J323="x",AND(MAX(CK323:CM323)=CL323,CL323&lt;&gt;"")),Data!$BJ$2,"")</f>
        <v/>
      </c>
      <c r="CQ323" s="197" t="str">
        <f>IF(AND($K323="x",AND(MAX(CK323:CM323)=CM323,CM323&lt;&gt;"")),Data!$BK$2,"")</f>
        <v/>
      </c>
      <c r="CR323" s="197"/>
      <c r="CS323" s="197"/>
      <c r="CT323" s="328"/>
      <c r="CU323" s="259"/>
      <c r="CV323" s="209"/>
      <c r="CW323" s="227"/>
    </row>
    <row r="324" spans="1:101" x14ac:dyDescent="0.2">
      <c r="A324" s="227"/>
      <c r="B324" s="227"/>
      <c r="C324" s="168"/>
      <c r="D324" s="232"/>
      <c r="E324" s="136" t="s">
        <v>230</v>
      </c>
      <c r="F324" s="426"/>
      <c r="G324" s="432"/>
      <c r="H324" s="433"/>
      <c r="I324" s="349" t="str">
        <f t="shared" si="458"/>
        <v/>
      </c>
      <c r="J324" s="350" t="str">
        <f t="shared" si="459"/>
        <v/>
      </c>
      <c r="K324" s="351" t="str">
        <f t="shared" si="460"/>
        <v/>
      </c>
      <c r="L324" s="258"/>
      <c r="M324" s="332"/>
      <c r="N324" s="336"/>
      <c r="O324" s="200"/>
      <c r="P324" s="200"/>
      <c r="Q324" s="445"/>
      <c r="R324" s="446"/>
      <c r="S324" s="447" t="str">
        <f t="shared" si="461"/>
        <v/>
      </c>
      <c r="T324" s="328"/>
      <c r="U324" s="197" t="str">
        <f>IF(AND($I324="x",AND(MAX(Q324:S324)=Q324,Q324&gt;=0)),Data!$BI$2,"")</f>
        <v/>
      </c>
      <c r="V324" s="197" t="str">
        <f>IF(AND($J324="x",AND(MAX(Q324:S324)=R324,R324&gt;=0)),Data!$BJ$2,"")</f>
        <v/>
      </c>
      <c r="W324" s="197" t="str">
        <f>IF(AND($K324="x",AND(MAX(Q324:S324)=S324,S324&gt;=0)),Data!$BK$2,"")</f>
        <v/>
      </c>
      <c r="X324" s="197"/>
      <c r="Y324" s="328"/>
      <c r="Z324" s="455"/>
      <c r="AA324" s="456"/>
      <c r="AB324" s="447" t="str">
        <f t="shared" si="462"/>
        <v/>
      </c>
      <c r="AC324" s="328"/>
      <c r="AD324" s="197" t="str">
        <f>IF(AND($I324="x",AND(MAX(Z324:AB324)=Z324,Z324&lt;&gt;"")),Data!$BI$2,"")</f>
        <v/>
      </c>
      <c r="AE324" s="197" t="str">
        <f>IF(AND($J324="x",AND(MAX(Z324:AB324)=AA324,AA324&lt;&gt;"")),Data!$BJ$2,"")</f>
        <v/>
      </c>
      <c r="AF324" s="197" t="str">
        <f>IF(AND($K324="x",AND(MAX(Z324:AB324)=AB324,AB324&lt;&gt;"")),Data!$BK$2,"")</f>
        <v/>
      </c>
      <c r="AG324" s="197"/>
      <c r="AH324" s="328"/>
      <c r="AI324" s="455"/>
      <c r="AJ324" s="456"/>
      <c r="AK324" s="447" t="str">
        <f t="shared" si="463"/>
        <v/>
      </c>
      <c r="AL324" s="328"/>
      <c r="AM324" s="197" t="str">
        <f>IF(AND($I324="x",AND(MAX(AI324:AK324)=AI324,AI324&lt;&gt;"")),Data!$BI$2,"")</f>
        <v/>
      </c>
      <c r="AN324" s="197" t="str">
        <f>IF(AND($J324="x",AND(MAX(AI324:AK324)=AJ324,AJ324&lt;&gt;"")),Data!$BJ$2,"")</f>
        <v/>
      </c>
      <c r="AO324" s="197" t="str">
        <f>IF(AND($K324="x",AND(MAX(AI324:AK324)=AK324,AK324&lt;&gt;"")),Data!$BK$2,"")</f>
        <v/>
      </c>
      <c r="AP324" s="197"/>
      <c r="AQ324" s="328"/>
      <c r="AR324" s="455"/>
      <c r="AS324" s="456"/>
      <c r="AT324" s="447" t="str">
        <f t="shared" si="464"/>
        <v/>
      </c>
      <c r="AU324" s="328"/>
      <c r="AV324" s="197" t="str">
        <f>IF(AND($I324="x",AND(MAX(AR324:AT324)=AR324,AR324&lt;&gt;"")),Data!$BI$2,"")</f>
        <v/>
      </c>
      <c r="AW324" s="197" t="str">
        <f>IF(AND($J324="x",AND(MAX(AR324:AT324)=AS324,AS324&lt;&gt;"")),Data!$BJ$2,"")</f>
        <v/>
      </c>
      <c r="AX324" s="197" t="str">
        <f>IF(AND($K324="x",AND(MAX(AR324:AT324)=AT324,AT324&lt;&gt;"")),Data!$BK$2,"")</f>
        <v/>
      </c>
      <c r="AY324" s="197"/>
      <c r="AZ324" s="328"/>
      <c r="BA324" s="455"/>
      <c r="BB324" s="456"/>
      <c r="BC324" s="447" t="str">
        <f t="shared" si="465"/>
        <v/>
      </c>
      <c r="BD324" s="328"/>
      <c r="BE324" s="197" t="str">
        <f>IF(AND($I324="x",AND(MAX(BA324:BC324)=BA324,BA324&lt;&gt;"")),Data!$BI$2,"")</f>
        <v/>
      </c>
      <c r="BF324" s="197" t="str">
        <f>IF(AND($J324="x",AND(MAX(BA324:BC324)=BB324,BB324&lt;&gt;"")),Data!$BJ$2,"")</f>
        <v/>
      </c>
      <c r="BG324" s="197" t="str">
        <f>IF(AND($K324="x",AND(MAX(BA324:BC324)=BC324,BC324&lt;&gt;"")),Data!$BK$2,"")</f>
        <v/>
      </c>
      <c r="BH324" s="197"/>
      <c r="BI324" s="328"/>
      <c r="BJ324" s="455"/>
      <c r="BK324" s="456"/>
      <c r="BL324" s="447" t="str">
        <f t="shared" si="466"/>
        <v/>
      </c>
      <c r="BM324" s="328"/>
      <c r="BN324" s="197" t="str">
        <f>IF(AND($I324="x",AND(MAX(BJ324:BL324)=BJ324,BJ324&lt;&gt;"")),Data!$BI$2,"")</f>
        <v/>
      </c>
      <c r="BO324" s="197" t="str">
        <f>IF(AND($J324="x",AND(MAX(BJ324:BL324)=BK324,BK324&lt;&gt;"")),Data!$BJ$2,"")</f>
        <v/>
      </c>
      <c r="BP324" s="197" t="str">
        <f>IF(AND($K324="x",AND(MAX(BJ324:BL324)=BL324,BL324&lt;&gt;"")),Data!$BK$2,"")</f>
        <v/>
      </c>
      <c r="BQ324" s="197"/>
      <c r="BR324" s="328"/>
      <c r="BS324" s="455"/>
      <c r="BT324" s="456"/>
      <c r="BU324" s="447" t="str">
        <f t="shared" si="467"/>
        <v/>
      </c>
      <c r="BV324" s="328"/>
      <c r="BW324" s="197" t="str">
        <f>IF(AND($I324="x",AND(MAX(BS324:BU324)=BS324,BS324&lt;&gt;"")),Data!$BI$2,"")</f>
        <v/>
      </c>
      <c r="BX324" s="197" t="str">
        <f>IF(AND($J324="x",AND(MAX(BS324:BU324)=BT324,BT324&lt;&gt;"")),Data!$BJ$2,"")</f>
        <v/>
      </c>
      <c r="BY324" s="197" t="str">
        <f>IF(AND($K324="x",AND(MAX(BS324:BU324)=BU324,BU324&lt;&gt;"")),Data!$BK$2,"")</f>
        <v/>
      </c>
      <c r="BZ324" s="197"/>
      <c r="CA324" s="328"/>
      <c r="CB324" s="463" t="str">
        <f t="shared" si="468"/>
        <v/>
      </c>
      <c r="CC324" s="464" t="str">
        <f t="shared" si="469"/>
        <v/>
      </c>
      <c r="CD324" s="465" t="str">
        <f t="shared" si="470"/>
        <v/>
      </c>
      <c r="CE324" s="328"/>
      <c r="CF324" s="197" t="str">
        <f>IF(AND($I324="x",AND(MAX(CB324:CD324)=CB324,CB324&lt;&gt;"")),Data!$BI$2,"")</f>
        <v/>
      </c>
      <c r="CG324" s="197" t="str">
        <f>IF(AND($J324="x",AND(MAX(CB324:CD324)=CC324,CC324&lt;&gt;"")),Data!$BJ$2,"")</f>
        <v/>
      </c>
      <c r="CH324" s="197" t="str">
        <f>IF(AND($K324="x",AND(MAX(CB324:CD324)=CD324,CD324&lt;&gt;"")),Data!$BK$2,"")</f>
        <v/>
      </c>
      <c r="CI324" s="197"/>
      <c r="CJ324" s="197"/>
      <c r="CK324" s="455"/>
      <c r="CL324" s="456"/>
      <c r="CM324" s="447" t="str">
        <f t="shared" si="471"/>
        <v/>
      </c>
      <c r="CN324" s="328"/>
      <c r="CO324" s="197" t="str">
        <f>IF(AND($I324="x",AND(MAX(CK324:CM324)=CK324,CK324&lt;&gt;"")),Data!$BI$2,"")</f>
        <v/>
      </c>
      <c r="CP324" s="197" t="str">
        <f>IF(AND($J324="x",AND(MAX(CK324:CM324)=CL324,CL324&lt;&gt;"")),Data!$BJ$2,"")</f>
        <v/>
      </c>
      <c r="CQ324" s="197" t="str">
        <f>IF(AND($K324="x",AND(MAX(CK324:CM324)=CM324,CM324&lt;&gt;"")),Data!$BK$2,"")</f>
        <v/>
      </c>
      <c r="CR324" s="197"/>
      <c r="CS324" s="197"/>
      <c r="CT324" s="328"/>
      <c r="CU324" s="259"/>
      <c r="CV324" s="209"/>
      <c r="CW324" s="227"/>
    </row>
    <row r="325" spans="1:101" x14ac:dyDescent="0.2">
      <c r="A325" s="227"/>
      <c r="B325" s="227"/>
      <c r="C325" s="168"/>
      <c r="D325" s="232"/>
      <c r="E325" s="137" t="s">
        <v>231</v>
      </c>
      <c r="F325" s="427"/>
      <c r="G325" s="434"/>
      <c r="H325" s="435"/>
      <c r="I325" s="138" t="str">
        <f t="shared" si="458"/>
        <v/>
      </c>
      <c r="J325" s="344" t="str">
        <f t="shared" si="459"/>
        <v/>
      </c>
      <c r="K325" s="345" t="str">
        <f t="shared" si="460"/>
        <v/>
      </c>
      <c r="L325" s="258"/>
      <c r="M325" s="332"/>
      <c r="N325" s="336"/>
      <c r="O325" s="200"/>
      <c r="P325" s="200"/>
      <c r="Q325" s="448"/>
      <c r="R325" s="449"/>
      <c r="S325" s="450" t="str">
        <f t="shared" si="461"/>
        <v/>
      </c>
      <c r="T325" s="328"/>
      <c r="U325" s="197" t="str">
        <f>IF(AND($I325="x",AND(MAX(Q325:S325)=Q325,Q325&gt;=0)),Data!$BI$2,"")</f>
        <v/>
      </c>
      <c r="V325" s="197" t="str">
        <f>IF(AND($J325="x",AND(MAX(Q325:S325)=R325,R325&gt;=0)),Data!$BJ$2,"")</f>
        <v/>
      </c>
      <c r="W325" s="197" t="str">
        <f>IF(AND($K325="x",AND(MAX(Q325:S325)=S325,S325&gt;=0)),Data!$BK$2,"")</f>
        <v/>
      </c>
      <c r="X325" s="197"/>
      <c r="Y325" s="328"/>
      <c r="Z325" s="451"/>
      <c r="AA325" s="452"/>
      <c r="AB325" s="450" t="str">
        <f t="shared" si="462"/>
        <v/>
      </c>
      <c r="AC325" s="328"/>
      <c r="AD325" s="197" t="str">
        <f>IF(AND($I325="x",AND(MAX(Z325:AB325)=Z325,Z325&lt;&gt;"")),Data!$BI$2,"")</f>
        <v/>
      </c>
      <c r="AE325" s="197" t="str">
        <f>IF(AND($J325="x",AND(MAX(Z325:AB325)=AA325,AA325&lt;&gt;"")),Data!$BJ$2,"")</f>
        <v/>
      </c>
      <c r="AF325" s="197" t="str">
        <f>IF(AND($K325="x",AND(MAX(Z325:AB325)=AB325,AB325&lt;&gt;"")),Data!$BK$2,"")</f>
        <v/>
      </c>
      <c r="AG325" s="197"/>
      <c r="AH325" s="328"/>
      <c r="AI325" s="451"/>
      <c r="AJ325" s="452"/>
      <c r="AK325" s="450" t="str">
        <f t="shared" si="463"/>
        <v/>
      </c>
      <c r="AL325" s="328"/>
      <c r="AM325" s="197" t="str">
        <f>IF(AND($I325="x",AND(MAX(AI325:AK325)=AI325,AI325&lt;&gt;"")),Data!$BI$2,"")</f>
        <v/>
      </c>
      <c r="AN325" s="197" t="str">
        <f>IF(AND($J325="x",AND(MAX(AI325:AK325)=AJ325,AJ325&lt;&gt;"")),Data!$BJ$2,"")</f>
        <v/>
      </c>
      <c r="AO325" s="197" t="str">
        <f>IF(AND($K325="x",AND(MAX(AI325:AK325)=AK325,AK325&lt;&gt;"")),Data!$BK$2,"")</f>
        <v/>
      </c>
      <c r="AP325" s="197"/>
      <c r="AQ325" s="328"/>
      <c r="AR325" s="451"/>
      <c r="AS325" s="452"/>
      <c r="AT325" s="450" t="str">
        <f t="shared" si="464"/>
        <v/>
      </c>
      <c r="AU325" s="328"/>
      <c r="AV325" s="197" t="str">
        <f>IF(AND($I325="x",AND(MAX(AR325:AT325)=AR325,AR325&lt;&gt;"")),Data!$BI$2,"")</f>
        <v/>
      </c>
      <c r="AW325" s="197" t="str">
        <f>IF(AND($J325="x",AND(MAX(AR325:AT325)=AS325,AS325&lt;&gt;"")),Data!$BJ$2,"")</f>
        <v/>
      </c>
      <c r="AX325" s="197" t="str">
        <f>IF(AND($K325="x",AND(MAX(AR325:AT325)=AT325,AT325&lt;&gt;"")),Data!$BK$2,"")</f>
        <v/>
      </c>
      <c r="AY325" s="197"/>
      <c r="AZ325" s="328"/>
      <c r="BA325" s="451"/>
      <c r="BB325" s="452"/>
      <c r="BC325" s="450" t="str">
        <f t="shared" si="465"/>
        <v/>
      </c>
      <c r="BD325" s="328"/>
      <c r="BE325" s="197" t="str">
        <f>IF(AND($I325="x",AND(MAX(BA325:BC325)=BA325,BA325&lt;&gt;"")),Data!$BI$2,"")</f>
        <v/>
      </c>
      <c r="BF325" s="197" t="str">
        <f>IF(AND($J325="x",AND(MAX(BA325:BC325)=BB325,BB325&lt;&gt;"")),Data!$BJ$2,"")</f>
        <v/>
      </c>
      <c r="BG325" s="197" t="str">
        <f>IF(AND($K325="x",AND(MAX(BA325:BC325)=BC325,BC325&lt;&gt;"")),Data!$BK$2,"")</f>
        <v/>
      </c>
      <c r="BH325" s="197"/>
      <c r="BI325" s="328"/>
      <c r="BJ325" s="451"/>
      <c r="BK325" s="452"/>
      <c r="BL325" s="450" t="str">
        <f t="shared" si="466"/>
        <v/>
      </c>
      <c r="BM325" s="328"/>
      <c r="BN325" s="197" t="str">
        <f>IF(AND($I325="x",AND(MAX(BJ325:BL325)=BJ325,BJ325&lt;&gt;"")),Data!$BI$2,"")</f>
        <v/>
      </c>
      <c r="BO325" s="197" t="str">
        <f>IF(AND($J325="x",AND(MAX(BJ325:BL325)=BK325,BK325&lt;&gt;"")),Data!$BJ$2,"")</f>
        <v/>
      </c>
      <c r="BP325" s="197" t="str">
        <f>IF(AND($K325="x",AND(MAX(BJ325:BL325)=BL325,BL325&lt;&gt;"")),Data!$BK$2,"")</f>
        <v/>
      </c>
      <c r="BQ325" s="197"/>
      <c r="BR325" s="328"/>
      <c r="BS325" s="451"/>
      <c r="BT325" s="452"/>
      <c r="BU325" s="450" t="str">
        <f t="shared" si="467"/>
        <v/>
      </c>
      <c r="BV325" s="328"/>
      <c r="BW325" s="197" t="str">
        <f>IF(AND($I325="x",AND(MAX(BS325:BU325)=BS325,BS325&lt;&gt;"")),Data!$BI$2,"")</f>
        <v/>
      </c>
      <c r="BX325" s="197" t="str">
        <f>IF(AND($J325="x",AND(MAX(BS325:BU325)=BT325,BT325&lt;&gt;"")),Data!$BJ$2,"")</f>
        <v/>
      </c>
      <c r="BY325" s="197" t="str">
        <f>IF(AND($K325="x",AND(MAX(BS325:BU325)=BU325,BU325&lt;&gt;"")),Data!$BK$2,"")</f>
        <v/>
      </c>
      <c r="BZ325" s="197"/>
      <c r="CA325" s="328"/>
      <c r="CB325" s="457" t="str">
        <f t="shared" si="468"/>
        <v/>
      </c>
      <c r="CC325" s="458" t="str">
        <f t="shared" si="469"/>
        <v/>
      </c>
      <c r="CD325" s="459" t="str">
        <f t="shared" si="470"/>
        <v/>
      </c>
      <c r="CE325" s="328"/>
      <c r="CF325" s="197" t="str">
        <f>IF(AND($I325="x",AND(MAX(CB325:CD325)=CB325,CB325&lt;&gt;"")),Data!$BI$2,"")</f>
        <v/>
      </c>
      <c r="CG325" s="197" t="str">
        <f>IF(AND($J325="x",AND(MAX(CB325:CD325)=CC325,CC325&lt;&gt;"")),Data!$BJ$2,"")</f>
        <v/>
      </c>
      <c r="CH325" s="197" t="str">
        <f>IF(AND($K325="x",AND(MAX(CB325:CD325)=CD325,CD325&lt;&gt;"")),Data!$BK$2,"")</f>
        <v/>
      </c>
      <c r="CI325" s="197"/>
      <c r="CJ325" s="197"/>
      <c r="CK325" s="451"/>
      <c r="CL325" s="452"/>
      <c r="CM325" s="450" t="str">
        <f t="shared" si="471"/>
        <v/>
      </c>
      <c r="CN325" s="328"/>
      <c r="CO325" s="197" t="str">
        <f>IF(AND($I325="x",AND(MAX(CK325:CM325)=CK325,CK325&lt;&gt;"")),Data!$BI$2,"")</f>
        <v/>
      </c>
      <c r="CP325" s="197" t="str">
        <f>IF(AND($J325="x",AND(MAX(CK325:CM325)=CL325,CL325&lt;&gt;"")),Data!$BJ$2,"")</f>
        <v/>
      </c>
      <c r="CQ325" s="197" t="str">
        <f>IF(AND($K325="x",AND(MAX(CK325:CM325)=CM325,CM325&lt;&gt;"")),Data!$BK$2,"")</f>
        <v/>
      </c>
      <c r="CR325" s="197"/>
      <c r="CS325" s="197"/>
      <c r="CT325" s="328"/>
      <c r="CU325" s="259"/>
      <c r="CV325" s="209"/>
      <c r="CW325" s="227"/>
    </row>
    <row r="326" spans="1:101" x14ac:dyDescent="0.2">
      <c r="A326" s="227"/>
      <c r="B326" s="227"/>
      <c r="C326" s="168"/>
      <c r="D326" s="232"/>
      <c r="E326" s="135" t="s">
        <v>232</v>
      </c>
      <c r="F326" s="425"/>
      <c r="G326" s="430"/>
      <c r="H326" s="431"/>
      <c r="I326" s="346" t="str">
        <f t="shared" si="458"/>
        <v/>
      </c>
      <c r="J326" s="347" t="str">
        <f t="shared" si="459"/>
        <v/>
      </c>
      <c r="K326" s="348" t="str">
        <f t="shared" si="460"/>
        <v/>
      </c>
      <c r="L326" s="258"/>
      <c r="M326" s="332"/>
      <c r="N326" s="336"/>
      <c r="O326" s="200"/>
      <c r="P326" s="200"/>
      <c r="Q326" s="439"/>
      <c r="R326" s="440"/>
      <c r="S326" s="441" t="str">
        <f t="shared" si="461"/>
        <v/>
      </c>
      <c r="T326" s="328"/>
      <c r="U326" s="197" t="str">
        <f>IF(AND($I326="x",AND(MAX(Q326:S326)=Q326,Q326&gt;=0)),Data!$BI$2,"")</f>
        <v/>
      </c>
      <c r="V326" s="197" t="str">
        <f>IF(AND($J326="x",AND(MAX(Q326:S326)=R326,R326&gt;=0)),Data!$BJ$2,"")</f>
        <v/>
      </c>
      <c r="W326" s="197" t="str">
        <f>IF(AND($K326="x",AND(MAX(Q326:S326)=S326,S326&gt;=0)),Data!$BK$2,"")</f>
        <v/>
      </c>
      <c r="X326" s="197"/>
      <c r="Y326" s="328"/>
      <c r="Z326" s="453"/>
      <c r="AA326" s="454"/>
      <c r="AB326" s="441" t="str">
        <f t="shared" si="462"/>
        <v/>
      </c>
      <c r="AC326" s="328"/>
      <c r="AD326" s="197" t="str">
        <f>IF(AND($I326="x",AND(MAX(Z326:AB326)=Z326,Z326&lt;&gt;"")),Data!$BI$2,"")</f>
        <v/>
      </c>
      <c r="AE326" s="197" t="str">
        <f>IF(AND($J326="x",AND(MAX(Z326:AB326)=AA326,AA326&lt;&gt;"")),Data!$BJ$2,"")</f>
        <v/>
      </c>
      <c r="AF326" s="197" t="str">
        <f>IF(AND($K326="x",AND(MAX(Z326:AB326)=AB326,AB326&lt;&gt;"")),Data!$BK$2,"")</f>
        <v/>
      </c>
      <c r="AG326" s="197"/>
      <c r="AH326" s="328"/>
      <c r="AI326" s="453"/>
      <c r="AJ326" s="454"/>
      <c r="AK326" s="441" t="str">
        <f t="shared" si="463"/>
        <v/>
      </c>
      <c r="AL326" s="328"/>
      <c r="AM326" s="197" t="str">
        <f>IF(AND($I326="x",AND(MAX(AI326:AK326)=AI326,AI326&lt;&gt;"")),Data!$BI$2,"")</f>
        <v/>
      </c>
      <c r="AN326" s="197" t="str">
        <f>IF(AND($J326="x",AND(MAX(AI326:AK326)=AJ326,AJ326&lt;&gt;"")),Data!$BJ$2,"")</f>
        <v/>
      </c>
      <c r="AO326" s="197" t="str">
        <f>IF(AND($K326="x",AND(MAX(AI326:AK326)=AK326,AK326&lt;&gt;"")),Data!$BK$2,"")</f>
        <v/>
      </c>
      <c r="AP326" s="197"/>
      <c r="AQ326" s="328"/>
      <c r="AR326" s="453"/>
      <c r="AS326" s="454"/>
      <c r="AT326" s="441" t="str">
        <f t="shared" si="464"/>
        <v/>
      </c>
      <c r="AU326" s="328"/>
      <c r="AV326" s="197" t="str">
        <f>IF(AND($I326="x",AND(MAX(AR326:AT326)=AR326,AR326&lt;&gt;"")),Data!$BI$2,"")</f>
        <v/>
      </c>
      <c r="AW326" s="197" t="str">
        <f>IF(AND($J326="x",AND(MAX(AR326:AT326)=AS326,AS326&lt;&gt;"")),Data!$BJ$2,"")</f>
        <v/>
      </c>
      <c r="AX326" s="197" t="str">
        <f>IF(AND($K326="x",AND(MAX(AR326:AT326)=AT326,AT326&lt;&gt;"")),Data!$BK$2,"")</f>
        <v/>
      </c>
      <c r="AY326" s="197"/>
      <c r="AZ326" s="328"/>
      <c r="BA326" s="453"/>
      <c r="BB326" s="454"/>
      <c r="BC326" s="441" t="str">
        <f t="shared" si="465"/>
        <v/>
      </c>
      <c r="BD326" s="328"/>
      <c r="BE326" s="197" t="str">
        <f>IF(AND($I326="x",AND(MAX(BA326:BC326)=BA326,BA326&lt;&gt;"")),Data!$BI$2,"")</f>
        <v/>
      </c>
      <c r="BF326" s="197" t="str">
        <f>IF(AND($J326="x",AND(MAX(BA326:BC326)=BB326,BB326&lt;&gt;"")),Data!$BJ$2,"")</f>
        <v/>
      </c>
      <c r="BG326" s="197" t="str">
        <f>IF(AND($K326="x",AND(MAX(BA326:BC326)=BC326,BC326&lt;&gt;"")),Data!$BK$2,"")</f>
        <v/>
      </c>
      <c r="BH326" s="197"/>
      <c r="BI326" s="328"/>
      <c r="BJ326" s="453"/>
      <c r="BK326" s="454"/>
      <c r="BL326" s="441" t="str">
        <f t="shared" si="466"/>
        <v/>
      </c>
      <c r="BM326" s="328"/>
      <c r="BN326" s="197" t="str">
        <f>IF(AND($I326="x",AND(MAX(BJ326:BL326)=BJ326,BJ326&lt;&gt;"")),Data!$BI$2,"")</f>
        <v/>
      </c>
      <c r="BO326" s="197" t="str">
        <f>IF(AND($J326="x",AND(MAX(BJ326:BL326)=BK326,BK326&lt;&gt;"")),Data!$BJ$2,"")</f>
        <v/>
      </c>
      <c r="BP326" s="197" t="str">
        <f>IF(AND($K326="x",AND(MAX(BJ326:BL326)=BL326,BL326&lt;&gt;"")),Data!$BK$2,"")</f>
        <v/>
      </c>
      <c r="BQ326" s="197"/>
      <c r="BR326" s="328"/>
      <c r="BS326" s="453"/>
      <c r="BT326" s="454"/>
      <c r="BU326" s="441" t="str">
        <f t="shared" si="467"/>
        <v/>
      </c>
      <c r="BV326" s="328"/>
      <c r="BW326" s="197" t="str">
        <f>IF(AND($I326="x",AND(MAX(BS326:BU326)=BS326,BS326&lt;&gt;"")),Data!$BI$2,"")</f>
        <v/>
      </c>
      <c r="BX326" s="197" t="str">
        <f>IF(AND($J326="x",AND(MAX(BS326:BU326)=BT326,BT326&lt;&gt;"")),Data!$BJ$2,"")</f>
        <v/>
      </c>
      <c r="BY326" s="197" t="str">
        <f>IF(AND($K326="x",AND(MAX(BS326:BU326)=BU326,BU326&lt;&gt;"")),Data!$BK$2,"")</f>
        <v/>
      </c>
      <c r="BZ326" s="197"/>
      <c r="CA326" s="328"/>
      <c r="CB326" s="460" t="str">
        <f t="shared" si="468"/>
        <v/>
      </c>
      <c r="CC326" s="461" t="str">
        <f t="shared" si="469"/>
        <v/>
      </c>
      <c r="CD326" s="462" t="str">
        <f t="shared" si="470"/>
        <v/>
      </c>
      <c r="CE326" s="328"/>
      <c r="CF326" s="197" t="str">
        <f>IF(AND($I326="x",AND(MAX(CB326:CD326)=CB326,CB326&lt;&gt;"")),Data!$BI$2,"")</f>
        <v/>
      </c>
      <c r="CG326" s="197" t="str">
        <f>IF(AND($J326="x",AND(MAX(CB326:CD326)=CC326,CC326&lt;&gt;"")),Data!$BJ$2,"")</f>
        <v/>
      </c>
      <c r="CH326" s="197" t="str">
        <f>IF(AND($K326="x",AND(MAX(CB326:CD326)=CD326,CD326&lt;&gt;"")),Data!$BK$2,"")</f>
        <v/>
      </c>
      <c r="CI326" s="197"/>
      <c r="CJ326" s="197"/>
      <c r="CK326" s="453"/>
      <c r="CL326" s="454"/>
      <c r="CM326" s="441" t="str">
        <f t="shared" si="471"/>
        <v/>
      </c>
      <c r="CN326" s="328"/>
      <c r="CO326" s="197" t="str">
        <f>IF(AND($I326="x",AND(MAX(CK326:CM326)=CK326,CK326&lt;&gt;"")),Data!$BI$2,"")</f>
        <v/>
      </c>
      <c r="CP326" s="197" t="str">
        <f>IF(AND($J326="x",AND(MAX(CK326:CM326)=CL326,CL326&lt;&gt;"")),Data!$BJ$2,"")</f>
        <v/>
      </c>
      <c r="CQ326" s="197" t="str">
        <f>IF(AND($K326="x",AND(MAX(CK326:CM326)=CM326,CM326&lt;&gt;"")),Data!$BK$2,"")</f>
        <v/>
      </c>
      <c r="CR326" s="197"/>
      <c r="CS326" s="197"/>
      <c r="CT326" s="328"/>
      <c r="CU326" s="259"/>
      <c r="CV326" s="209"/>
      <c r="CW326" s="227"/>
    </row>
    <row r="327" spans="1:101" x14ac:dyDescent="0.2">
      <c r="A327" s="227"/>
      <c r="B327" s="227"/>
      <c r="C327" s="168"/>
      <c r="D327" s="232"/>
      <c r="E327" s="136" t="s">
        <v>233</v>
      </c>
      <c r="F327" s="426"/>
      <c r="G327" s="432"/>
      <c r="H327" s="433"/>
      <c r="I327" s="349" t="str">
        <f t="shared" si="458"/>
        <v/>
      </c>
      <c r="J327" s="350" t="str">
        <f t="shared" si="459"/>
        <v/>
      </c>
      <c r="K327" s="351" t="str">
        <f t="shared" si="460"/>
        <v/>
      </c>
      <c r="L327" s="258"/>
      <c r="M327" s="332"/>
      <c r="N327" s="336"/>
      <c r="O327" s="200"/>
      <c r="P327" s="200"/>
      <c r="Q327" s="445"/>
      <c r="R327" s="446"/>
      <c r="S327" s="447" t="str">
        <f t="shared" si="461"/>
        <v/>
      </c>
      <c r="T327" s="328"/>
      <c r="U327" s="197" t="str">
        <f>IF(AND($I327="x",AND(MAX(Q327:S327)=Q327,Q327&gt;=0)),Data!$BI$2,"")</f>
        <v/>
      </c>
      <c r="V327" s="197" t="str">
        <f>IF(AND($J327="x",AND(MAX(Q327:S327)=R327,R327&gt;=0)),Data!$BJ$2,"")</f>
        <v/>
      </c>
      <c r="W327" s="197" t="str">
        <f>IF(AND($K327="x",AND(MAX(Q327:S327)=S327,S327&gt;=0)),Data!$BK$2,"")</f>
        <v/>
      </c>
      <c r="X327" s="197"/>
      <c r="Y327" s="328"/>
      <c r="Z327" s="455"/>
      <c r="AA327" s="456"/>
      <c r="AB327" s="447" t="str">
        <f t="shared" si="462"/>
        <v/>
      </c>
      <c r="AC327" s="328"/>
      <c r="AD327" s="197" t="str">
        <f>IF(AND($I327="x",AND(MAX(Z327:AB327)=Z327,Z327&lt;&gt;"")),Data!$BI$2,"")</f>
        <v/>
      </c>
      <c r="AE327" s="197" t="str">
        <f>IF(AND($J327="x",AND(MAX(Z327:AB327)=AA327,AA327&lt;&gt;"")),Data!$BJ$2,"")</f>
        <v/>
      </c>
      <c r="AF327" s="197" t="str">
        <f>IF(AND($K327="x",AND(MAX(Z327:AB327)=AB327,AB327&lt;&gt;"")),Data!$BK$2,"")</f>
        <v/>
      </c>
      <c r="AG327" s="197"/>
      <c r="AH327" s="328"/>
      <c r="AI327" s="455"/>
      <c r="AJ327" s="456"/>
      <c r="AK327" s="447" t="str">
        <f t="shared" si="463"/>
        <v/>
      </c>
      <c r="AL327" s="328"/>
      <c r="AM327" s="197" t="str">
        <f>IF(AND($I327="x",AND(MAX(AI327:AK327)=AI327,AI327&lt;&gt;"")),Data!$BI$2,"")</f>
        <v/>
      </c>
      <c r="AN327" s="197" t="str">
        <f>IF(AND($J327="x",AND(MAX(AI327:AK327)=AJ327,AJ327&lt;&gt;"")),Data!$BJ$2,"")</f>
        <v/>
      </c>
      <c r="AO327" s="197" t="str">
        <f>IF(AND($K327="x",AND(MAX(AI327:AK327)=AK327,AK327&lt;&gt;"")),Data!$BK$2,"")</f>
        <v/>
      </c>
      <c r="AP327" s="197"/>
      <c r="AQ327" s="328"/>
      <c r="AR327" s="455"/>
      <c r="AS327" s="456"/>
      <c r="AT327" s="447" t="str">
        <f t="shared" si="464"/>
        <v/>
      </c>
      <c r="AU327" s="328"/>
      <c r="AV327" s="197" t="str">
        <f>IF(AND($I327="x",AND(MAX(AR327:AT327)=AR327,AR327&lt;&gt;"")),Data!$BI$2,"")</f>
        <v/>
      </c>
      <c r="AW327" s="197" t="str">
        <f>IF(AND($J327="x",AND(MAX(AR327:AT327)=AS327,AS327&lt;&gt;"")),Data!$BJ$2,"")</f>
        <v/>
      </c>
      <c r="AX327" s="197" t="str">
        <f>IF(AND($K327="x",AND(MAX(AR327:AT327)=AT327,AT327&lt;&gt;"")),Data!$BK$2,"")</f>
        <v/>
      </c>
      <c r="AY327" s="197"/>
      <c r="AZ327" s="328"/>
      <c r="BA327" s="455"/>
      <c r="BB327" s="456"/>
      <c r="BC327" s="447" t="str">
        <f t="shared" si="465"/>
        <v/>
      </c>
      <c r="BD327" s="328"/>
      <c r="BE327" s="197" t="str">
        <f>IF(AND($I327="x",AND(MAX(BA327:BC327)=BA327,BA327&lt;&gt;"")),Data!$BI$2,"")</f>
        <v/>
      </c>
      <c r="BF327" s="197" t="str">
        <f>IF(AND($J327="x",AND(MAX(BA327:BC327)=BB327,BB327&lt;&gt;"")),Data!$BJ$2,"")</f>
        <v/>
      </c>
      <c r="BG327" s="197" t="str">
        <f>IF(AND($K327="x",AND(MAX(BA327:BC327)=BC327,BC327&lt;&gt;"")),Data!$BK$2,"")</f>
        <v/>
      </c>
      <c r="BH327" s="197"/>
      <c r="BI327" s="328"/>
      <c r="BJ327" s="455"/>
      <c r="BK327" s="456"/>
      <c r="BL327" s="447" t="str">
        <f t="shared" si="466"/>
        <v/>
      </c>
      <c r="BM327" s="328"/>
      <c r="BN327" s="197" t="str">
        <f>IF(AND($I327="x",AND(MAX(BJ327:BL327)=BJ327,BJ327&lt;&gt;"")),Data!$BI$2,"")</f>
        <v/>
      </c>
      <c r="BO327" s="197" t="str">
        <f>IF(AND($J327="x",AND(MAX(BJ327:BL327)=BK327,BK327&lt;&gt;"")),Data!$BJ$2,"")</f>
        <v/>
      </c>
      <c r="BP327" s="197" t="str">
        <f>IF(AND($K327="x",AND(MAX(BJ327:BL327)=BL327,BL327&lt;&gt;"")),Data!$BK$2,"")</f>
        <v/>
      </c>
      <c r="BQ327" s="197"/>
      <c r="BR327" s="328"/>
      <c r="BS327" s="455"/>
      <c r="BT327" s="456"/>
      <c r="BU327" s="447" t="str">
        <f t="shared" si="467"/>
        <v/>
      </c>
      <c r="BV327" s="328"/>
      <c r="BW327" s="197" t="str">
        <f>IF(AND($I327="x",AND(MAX(BS327:BU327)=BS327,BS327&lt;&gt;"")),Data!$BI$2,"")</f>
        <v/>
      </c>
      <c r="BX327" s="197" t="str">
        <f>IF(AND($J327="x",AND(MAX(BS327:BU327)=BT327,BT327&lt;&gt;"")),Data!$BJ$2,"")</f>
        <v/>
      </c>
      <c r="BY327" s="197" t="str">
        <f>IF(AND($K327="x",AND(MAX(BS327:BU327)=BU327,BU327&lt;&gt;"")),Data!$BK$2,"")</f>
        <v/>
      </c>
      <c r="BZ327" s="197"/>
      <c r="CA327" s="328"/>
      <c r="CB327" s="463" t="str">
        <f t="shared" si="468"/>
        <v/>
      </c>
      <c r="CC327" s="464" t="str">
        <f t="shared" si="469"/>
        <v/>
      </c>
      <c r="CD327" s="465" t="str">
        <f t="shared" si="470"/>
        <v/>
      </c>
      <c r="CE327" s="328"/>
      <c r="CF327" s="197" t="str">
        <f>IF(AND($I327="x",AND(MAX(CB327:CD327)=CB327,CB327&lt;&gt;"")),Data!$BI$2,"")</f>
        <v/>
      </c>
      <c r="CG327" s="197" t="str">
        <f>IF(AND($J327="x",AND(MAX(CB327:CD327)=CC327,CC327&lt;&gt;"")),Data!$BJ$2,"")</f>
        <v/>
      </c>
      <c r="CH327" s="197" t="str">
        <f>IF(AND($K327="x",AND(MAX(CB327:CD327)=CD327,CD327&lt;&gt;"")),Data!$BK$2,"")</f>
        <v/>
      </c>
      <c r="CI327" s="197"/>
      <c r="CJ327" s="197"/>
      <c r="CK327" s="455"/>
      <c r="CL327" s="456"/>
      <c r="CM327" s="447" t="str">
        <f t="shared" si="471"/>
        <v/>
      </c>
      <c r="CN327" s="328"/>
      <c r="CO327" s="197" t="str">
        <f>IF(AND($I327="x",AND(MAX(CK327:CM327)=CK327,CK327&lt;&gt;"")),Data!$BI$2,"")</f>
        <v/>
      </c>
      <c r="CP327" s="197" t="str">
        <f>IF(AND($J327="x",AND(MAX(CK327:CM327)=CL327,CL327&lt;&gt;"")),Data!$BJ$2,"")</f>
        <v/>
      </c>
      <c r="CQ327" s="197" t="str">
        <f>IF(AND($K327="x",AND(MAX(CK327:CM327)=CM327,CM327&lt;&gt;"")),Data!$BK$2,"")</f>
        <v/>
      </c>
      <c r="CR327" s="197"/>
      <c r="CS327" s="197"/>
      <c r="CT327" s="328"/>
      <c r="CU327" s="259"/>
      <c r="CV327" s="209"/>
      <c r="CW327" s="227"/>
    </row>
    <row r="328" spans="1:101" x14ac:dyDescent="0.2">
      <c r="A328" s="227"/>
      <c r="B328" s="227"/>
      <c r="C328" s="168"/>
      <c r="D328" s="233"/>
      <c r="E328" s="199"/>
      <c r="F328" s="352" t="str">
        <f>IF(SUM(F316:F327)=0,"",SUM(F316:F327))</f>
        <v/>
      </c>
      <c r="G328" s="327" t="s">
        <v>51</v>
      </c>
      <c r="H328" s="353" t="str">
        <f>IF(SUM(H316:H327)=0,"",SUM(H316:H327))</f>
        <v/>
      </c>
      <c r="I328" s="354" t="str">
        <f>IF(COUNTIF(I316:I327,"=x")=0,"",COUNTIF(I316:I327,"=x"))</f>
        <v/>
      </c>
      <c r="J328" s="355" t="str">
        <f>IF(COUNTIF(J316:J327,"=x")=0,"",COUNTIF(J316:J327,"=x"))</f>
        <v/>
      </c>
      <c r="K328" s="356" t="str">
        <f>IF(COUNTIF(K316:K327,"=x")=0,"",COUNTIF(K316:K327,"=x"))</f>
        <v/>
      </c>
      <c r="L328" s="258"/>
      <c r="M328" s="332"/>
      <c r="N328" s="336"/>
      <c r="O328" s="200"/>
      <c r="P328" s="326"/>
      <c r="Q328" s="422">
        <f>SUM(U316:U327)</f>
        <v>0</v>
      </c>
      <c r="R328" s="422">
        <f t="shared" ref="R328:S328" si="472">SUM(V316:V327)</f>
        <v>0</v>
      </c>
      <c r="S328" s="422">
        <f t="shared" si="472"/>
        <v>0</v>
      </c>
      <c r="T328" s="325"/>
      <c r="U328" s="197">
        <f>SUM(U316:U327)</f>
        <v>0</v>
      </c>
      <c r="V328" s="197">
        <f t="shared" ref="V328:W328" si="473">SUM(V316:V327)</f>
        <v>0</v>
      </c>
      <c r="W328" s="197">
        <f t="shared" si="473"/>
        <v>0</v>
      </c>
      <c r="X328" s="197"/>
      <c r="Y328" s="324"/>
      <c r="Z328" s="422">
        <f>SUM(AD316:AD327)</f>
        <v>0</v>
      </c>
      <c r="AA328" s="422">
        <f t="shared" ref="AA328:AB328" si="474">SUM(AE316:AE327)</f>
        <v>0</v>
      </c>
      <c r="AB328" s="422">
        <f t="shared" si="474"/>
        <v>0</v>
      </c>
      <c r="AC328" s="325"/>
      <c r="AD328" s="197">
        <f>SUM(AD316:AD327)</f>
        <v>0</v>
      </c>
      <c r="AE328" s="197">
        <f t="shared" ref="AE328:AF328" si="475">SUM(AE316:AE327)</f>
        <v>0</v>
      </c>
      <c r="AF328" s="197">
        <f t="shared" si="475"/>
        <v>0</v>
      </c>
      <c r="AG328" s="197"/>
      <c r="AH328" s="324"/>
      <c r="AI328" s="422">
        <f>SUM(AM316:AM327)</f>
        <v>0</v>
      </c>
      <c r="AJ328" s="422">
        <f t="shared" ref="AJ328:AK328" si="476">SUM(AN316:AN327)</f>
        <v>0</v>
      </c>
      <c r="AK328" s="422">
        <f t="shared" si="476"/>
        <v>0</v>
      </c>
      <c r="AL328" s="325"/>
      <c r="AM328" s="197">
        <f>SUM(AM316:AM327)</f>
        <v>0</v>
      </c>
      <c r="AN328" s="197">
        <f t="shared" ref="AN328:AO328" si="477">SUM(AN316:AN327)</f>
        <v>0</v>
      </c>
      <c r="AO328" s="197">
        <f t="shared" si="477"/>
        <v>0</v>
      </c>
      <c r="AP328" s="197"/>
      <c r="AQ328" s="324"/>
      <c r="AR328" s="422">
        <f>SUM(AV316:AV327)</f>
        <v>0</v>
      </c>
      <c r="AS328" s="422">
        <f t="shared" ref="AS328:AT328" si="478">SUM(AW316:AW327)</f>
        <v>0</v>
      </c>
      <c r="AT328" s="422">
        <f t="shared" si="478"/>
        <v>0</v>
      </c>
      <c r="AU328" s="325"/>
      <c r="AV328" s="197">
        <f>SUM(AV316:AV327)</f>
        <v>0</v>
      </c>
      <c r="AW328" s="197">
        <f t="shared" ref="AW328:AX328" si="479">SUM(AW316:AW327)</f>
        <v>0</v>
      </c>
      <c r="AX328" s="197">
        <f t="shared" si="479"/>
        <v>0</v>
      </c>
      <c r="AY328" s="197"/>
      <c r="AZ328" s="324"/>
      <c r="BA328" s="422">
        <f>SUM(BE316:BE327)</f>
        <v>0</v>
      </c>
      <c r="BB328" s="422">
        <f t="shared" ref="BB328:BC328" si="480">SUM(BF316:BF327)</f>
        <v>0</v>
      </c>
      <c r="BC328" s="422">
        <f t="shared" si="480"/>
        <v>0</v>
      </c>
      <c r="BD328" s="325"/>
      <c r="BE328" s="197">
        <f>SUM(BE316:BE327)</f>
        <v>0</v>
      </c>
      <c r="BF328" s="197">
        <f t="shared" ref="BF328:BG328" si="481">SUM(BF316:BF327)</f>
        <v>0</v>
      </c>
      <c r="BG328" s="197">
        <f t="shared" si="481"/>
        <v>0</v>
      </c>
      <c r="BH328" s="197"/>
      <c r="BI328" s="324"/>
      <c r="BJ328" s="422">
        <f>SUM(BN316:BN327)</f>
        <v>0</v>
      </c>
      <c r="BK328" s="422">
        <f t="shared" ref="BK328" si="482">SUM(BO316:BO327)</f>
        <v>0</v>
      </c>
      <c r="BL328" s="422">
        <f t="shared" ref="BL328" si="483">SUM(BP316:BP327)</f>
        <v>0</v>
      </c>
      <c r="BM328" s="325"/>
      <c r="BN328" s="197">
        <f>SUM(BN316:BN327)</f>
        <v>0</v>
      </c>
      <c r="BO328" s="197">
        <f t="shared" ref="BO328:BP328" si="484">SUM(BO316:BO327)</f>
        <v>0</v>
      </c>
      <c r="BP328" s="197">
        <f t="shared" si="484"/>
        <v>0</v>
      </c>
      <c r="BQ328" s="197"/>
      <c r="BR328" s="324"/>
      <c r="BS328" s="422">
        <f>SUM(BW316:BW327)</f>
        <v>0</v>
      </c>
      <c r="BT328" s="422">
        <f t="shared" ref="BT328:BU328" si="485">SUM(BX316:BX327)</f>
        <v>0</v>
      </c>
      <c r="BU328" s="422">
        <f t="shared" si="485"/>
        <v>0</v>
      </c>
      <c r="BV328" s="325"/>
      <c r="BW328" s="197">
        <f>SUM(BW316:BW327)</f>
        <v>0</v>
      </c>
      <c r="BX328" s="197">
        <f t="shared" ref="BX328:BY328" si="486">SUM(BX316:BX327)</f>
        <v>0</v>
      </c>
      <c r="BY328" s="197">
        <f t="shared" si="486"/>
        <v>0</v>
      </c>
      <c r="BZ328" s="197"/>
      <c r="CA328" s="326"/>
      <c r="CB328" s="422">
        <f>SUM(CF316:CF327)</f>
        <v>0</v>
      </c>
      <c r="CC328" s="422">
        <f t="shared" ref="CC328:CD328" si="487">SUM(CG316:CG327)</f>
        <v>0</v>
      </c>
      <c r="CD328" s="422">
        <f t="shared" si="487"/>
        <v>0</v>
      </c>
      <c r="CE328" s="325"/>
      <c r="CF328" s="197">
        <f>SUM(CF316:CF327)</f>
        <v>0</v>
      </c>
      <c r="CG328" s="197">
        <f t="shared" ref="CG328:CH328" si="488">SUM(CG316:CG327)</f>
        <v>0</v>
      </c>
      <c r="CH328" s="197">
        <f t="shared" si="488"/>
        <v>0</v>
      </c>
      <c r="CI328" s="197"/>
      <c r="CJ328" s="197"/>
      <c r="CK328" s="422">
        <f>SUM(CO316:CO327)</f>
        <v>0</v>
      </c>
      <c r="CL328" s="422">
        <f t="shared" ref="CL328:CM328" si="489">SUM(CP316:CP327)</f>
        <v>0</v>
      </c>
      <c r="CM328" s="422">
        <f t="shared" si="489"/>
        <v>0</v>
      </c>
      <c r="CN328" s="325"/>
      <c r="CO328" s="197">
        <f>SUM(CO316:CO327)</f>
        <v>0</v>
      </c>
      <c r="CP328" s="197">
        <f t="shared" ref="CP328:CQ328" si="490">SUM(CP316:CP327)</f>
        <v>0</v>
      </c>
      <c r="CQ328" s="197">
        <f t="shared" si="490"/>
        <v>0</v>
      </c>
      <c r="CR328" s="197"/>
      <c r="CS328" s="197"/>
      <c r="CT328" s="197"/>
      <c r="CU328" s="259"/>
      <c r="CV328" s="209"/>
      <c r="CW328" s="228"/>
    </row>
    <row r="329" spans="1:101" x14ac:dyDescent="0.2">
      <c r="A329" s="227"/>
      <c r="B329" s="227"/>
      <c r="C329" s="168"/>
      <c r="D329" s="249"/>
      <c r="E329" s="242"/>
      <c r="F329" s="243"/>
      <c r="G329" s="242"/>
      <c r="H329" s="242"/>
      <c r="I329" s="242"/>
      <c r="J329" s="242"/>
      <c r="K329" s="242"/>
      <c r="L329" s="252"/>
      <c r="M329" s="260"/>
      <c r="N329" s="337"/>
      <c r="O329" s="333"/>
      <c r="P329" s="244"/>
      <c r="Q329" s="245"/>
      <c r="R329" s="245"/>
      <c r="S329" s="245"/>
      <c r="T329" s="246"/>
      <c r="U329" s="247"/>
      <c r="V329" s="247"/>
      <c r="W329" s="247"/>
      <c r="X329" s="247"/>
      <c r="Y329" s="244"/>
      <c r="Z329" s="245"/>
      <c r="AA329" s="245"/>
      <c r="AB329" s="245"/>
      <c r="AC329" s="246"/>
      <c r="AD329" s="247"/>
      <c r="AE329" s="247"/>
      <c r="AF329" s="247"/>
      <c r="AG329" s="247"/>
      <c r="AH329" s="244"/>
      <c r="AI329" s="245"/>
      <c r="AJ329" s="245"/>
      <c r="AK329" s="245"/>
      <c r="AL329" s="246"/>
      <c r="AM329" s="247"/>
      <c r="AN329" s="247"/>
      <c r="AO329" s="247"/>
      <c r="AP329" s="247"/>
      <c r="AQ329" s="244"/>
      <c r="AR329" s="245"/>
      <c r="AS329" s="245"/>
      <c r="AT329" s="245"/>
      <c r="AU329" s="246"/>
      <c r="AV329" s="247"/>
      <c r="AW329" s="247"/>
      <c r="AX329" s="247"/>
      <c r="AY329" s="247"/>
      <c r="AZ329" s="244"/>
      <c r="BA329" s="245"/>
      <c r="BB329" s="245"/>
      <c r="BC329" s="245"/>
      <c r="BD329" s="246"/>
      <c r="BE329" s="247"/>
      <c r="BF329" s="247"/>
      <c r="BG329" s="247"/>
      <c r="BH329" s="247"/>
      <c r="BI329" s="244"/>
      <c r="BJ329" s="244"/>
      <c r="BK329" s="244"/>
      <c r="BL329" s="244"/>
      <c r="BM329" s="244"/>
      <c r="BN329" s="247"/>
      <c r="BO329" s="247"/>
      <c r="BP329" s="247"/>
      <c r="BQ329" s="247"/>
      <c r="BR329" s="244"/>
      <c r="BS329" s="244"/>
      <c r="BT329" s="244"/>
      <c r="BU329" s="244"/>
      <c r="BV329" s="244"/>
      <c r="BW329" s="247"/>
      <c r="BX329" s="247"/>
      <c r="BY329" s="247"/>
      <c r="BZ329" s="247"/>
      <c r="CA329" s="244"/>
      <c r="CB329" s="244"/>
      <c r="CC329" s="244"/>
      <c r="CD329" s="244"/>
      <c r="CE329" s="244"/>
      <c r="CF329" s="247"/>
      <c r="CG329" s="247"/>
      <c r="CH329" s="247"/>
      <c r="CI329" s="247"/>
      <c r="CJ329" s="248"/>
      <c r="CK329" s="248"/>
      <c r="CL329" s="248"/>
      <c r="CM329" s="248"/>
      <c r="CN329" s="248"/>
      <c r="CO329" s="247"/>
      <c r="CP329" s="247"/>
      <c r="CQ329" s="247"/>
      <c r="CR329" s="247"/>
      <c r="CS329" s="248"/>
      <c r="CT329" s="242"/>
      <c r="CU329" s="253"/>
      <c r="CV329" s="209"/>
      <c r="CW329" s="228"/>
    </row>
    <row r="330" spans="1:101" x14ac:dyDescent="0.2">
      <c r="A330" s="219"/>
      <c r="B330" s="219"/>
      <c r="C330" s="175"/>
      <c r="D330" s="176"/>
      <c r="E330" s="210"/>
      <c r="F330" s="211"/>
      <c r="G330" s="210"/>
      <c r="H330" s="210"/>
      <c r="I330" s="210"/>
      <c r="J330" s="210"/>
      <c r="K330" s="210"/>
      <c r="L330" s="212"/>
      <c r="M330" s="213"/>
      <c r="N330" s="213"/>
      <c r="O330" s="213"/>
      <c r="P330" s="213"/>
      <c r="Q330" s="210"/>
      <c r="R330" s="210"/>
      <c r="S330" s="210"/>
      <c r="T330" s="214"/>
      <c r="U330" s="215"/>
      <c r="V330" s="215"/>
      <c r="W330" s="215"/>
      <c r="X330" s="215"/>
      <c r="Y330" s="213"/>
      <c r="Z330" s="210"/>
      <c r="AA330" s="210"/>
      <c r="AB330" s="210"/>
      <c r="AC330" s="214"/>
      <c r="AD330" s="215"/>
      <c r="AE330" s="215"/>
      <c r="AF330" s="215"/>
      <c r="AG330" s="215"/>
      <c r="AH330" s="213"/>
      <c r="AI330" s="210"/>
      <c r="AJ330" s="210"/>
      <c r="AK330" s="210"/>
      <c r="AL330" s="214"/>
      <c r="AM330" s="215"/>
      <c r="AN330" s="215"/>
      <c r="AO330" s="215"/>
      <c r="AP330" s="215"/>
      <c r="AQ330" s="213"/>
      <c r="AR330" s="210"/>
      <c r="AS330" s="210"/>
      <c r="AT330" s="210"/>
      <c r="AU330" s="214"/>
      <c r="AV330" s="215"/>
      <c r="AW330" s="215"/>
      <c r="AX330" s="215"/>
      <c r="AY330" s="215"/>
      <c r="AZ330" s="213"/>
      <c r="BA330" s="210"/>
      <c r="BB330" s="210"/>
      <c r="BC330" s="210"/>
      <c r="BD330" s="214"/>
      <c r="BE330" s="215"/>
      <c r="BF330" s="215"/>
      <c r="BG330" s="215"/>
      <c r="BH330" s="215"/>
      <c r="BI330" s="213"/>
      <c r="BJ330" s="210"/>
      <c r="BK330" s="210"/>
      <c r="BL330" s="210"/>
      <c r="BM330" s="214"/>
      <c r="BN330" s="215"/>
      <c r="BO330" s="215"/>
      <c r="BP330" s="215"/>
      <c r="BQ330" s="215"/>
      <c r="BR330" s="177"/>
      <c r="BS330" s="210"/>
      <c r="BT330" s="210"/>
      <c r="BU330" s="210"/>
      <c r="BV330" s="213"/>
      <c r="BW330" s="215"/>
      <c r="BX330" s="215"/>
      <c r="BY330" s="215"/>
      <c r="BZ330" s="215"/>
      <c r="CA330" s="210"/>
      <c r="CB330" s="216"/>
      <c r="CC330" s="216"/>
      <c r="CD330" s="216"/>
      <c r="CE330" s="216"/>
      <c r="CF330" s="215"/>
      <c r="CG330" s="215"/>
      <c r="CH330" s="215"/>
      <c r="CI330" s="215"/>
      <c r="CJ330" s="210"/>
      <c r="CK330" s="210"/>
      <c r="CL330" s="210"/>
      <c r="CM330" s="210"/>
      <c r="CN330" s="210"/>
      <c r="CO330" s="215"/>
      <c r="CP330" s="215"/>
      <c r="CQ330" s="215"/>
      <c r="CR330" s="215"/>
      <c r="CS330" s="210"/>
      <c r="CT330" s="210"/>
      <c r="CU330" s="210"/>
      <c r="CV330" s="217"/>
      <c r="CW330" s="218"/>
    </row>
    <row r="331" spans="1:101" ht="14.25" thickTop="1" thickBot="1" x14ac:dyDescent="0.25">
      <c r="A331" s="218"/>
      <c r="B331" s="218"/>
      <c r="C331" s="218"/>
      <c r="D331" s="218"/>
      <c r="E331" s="218" t="s">
        <v>234</v>
      </c>
      <c r="F331" s="218"/>
      <c r="G331" s="218"/>
      <c r="H331" s="218"/>
      <c r="I331" s="218"/>
      <c r="J331" s="218"/>
      <c r="K331" s="218"/>
      <c r="L331" s="218"/>
      <c r="M331" s="218"/>
      <c r="N331" s="218"/>
      <c r="O331" s="218"/>
      <c r="P331" s="218"/>
      <c r="Q331" s="218"/>
      <c r="R331" s="218"/>
      <c r="S331" s="218"/>
      <c r="T331" s="218"/>
      <c r="U331" s="218"/>
      <c r="V331" s="218"/>
      <c r="W331" s="218"/>
      <c r="X331" s="218"/>
      <c r="Y331" s="218"/>
      <c r="Z331" s="218"/>
      <c r="AA331" s="218"/>
      <c r="AB331" s="218"/>
      <c r="AC331" s="218"/>
      <c r="AD331" s="218"/>
      <c r="AE331" s="218"/>
      <c r="AF331" s="218"/>
      <c r="AG331" s="218"/>
      <c r="AH331" s="218"/>
      <c r="AI331" s="218"/>
      <c r="AJ331" s="218"/>
      <c r="AK331" s="218"/>
      <c r="AL331" s="218"/>
      <c r="AM331" s="218"/>
      <c r="AN331" s="218"/>
      <c r="AO331" s="218"/>
      <c r="AP331" s="218"/>
      <c r="AQ331" s="218"/>
      <c r="AR331" s="218"/>
      <c r="AS331" s="218"/>
      <c r="AT331" s="218"/>
      <c r="AU331" s="218"/>
      <c r="AV331" s="218"/>
      <c r="AW331" s="218"/>
      <c r="AX331" s="218"/>
      <c r="AY331" s="218"/>
      <c r="AZ331" s="218"/>
      <c r="BA331" s="218"/>
      <c r="BB331" s="218"/>
      <c r="BC331" s="218"/>
      <c r="BD331" s="218"/>
      <c r="BE331" s="218"/>
      <c r="BF331" s="218"/>
      <c r="BG331" s="218"/>
      <c r="BH331" s="218"/>
      <c r="BI331" s="218"/>
      <c r="BJ331" s="218"/>
      <c r="BK331" s="218"/>
      <c r="BL331" s="218"/>
      <c r="BM331" s="218"/>
      <c r="BN331" s="218"/>
      <c r="BO331" s="218"/>
      <c r="BP331" s="218"/>
      <c r="BQ331" s="218"/>
      <c r="BR331" s="218"/>
      <c r="BS331" s="218"/>
      <c r="BT331" s="218"/>
      <c r="BU331" s="218"/>
      <c r="BV331" s="218"/>
      <c r="BW331" s="218"/>
      <c r="BX331" s="218"/>
      <c r="BY331" s="218"/>
      <c r="BZ331" s="218"/>
      <c r="CA331" s="218"/>
      <c r="CB331" s="392"/>
      <c r="CC331" s="392"/>
      <c r="CD331" s="392"/>
      <c r="CE331" s="392"/>
      <c r="CF331" s="218"/>
      <c r="CG331" s="218"/>
      <c r="CH331" s="218"/>
      <c r="CI331" s="218"/>
      <c r="CJ331" s="218"/>
      <c r="CK331" s="218"/>
      <c r="CL331" s="218"/>
      <c r="CM331" s="218"/>
      <c r="CN331" s="218"/>
      <c r="CO331" s="218"/>
      <c r="CP331" s="218"/>
      <c r="CQ331" s="218"/>
      <c r="CR331" s="218"/>
      <c r="CS331" s="218"/>
      <c r="CT331" s="218"/>
      <c r="CU331" s="218"/>
      <c r="CV331" s="218"/>
      <c r="CW331" s="218"/>
    </row>
    <row r="332" spans="1:101" ht="21" thickTop="1" x14ac:dyDescent="0.3">
      <c r="A332" s="219"/>
      <c r="B332" s="219"/>
      <c r="C332" s="157"/>
      <c r="D332" s="158"/>
      <c r="E332" s="731" t="s">
        <v>44</v>
      </c>
      <c r="F332" s="229"/>
      <c r="G332" s="229"/>
      <c r="H332" s="229"/>
      <c r="I332" s="877" t="e" vm="1">
        <v>#VALUE!</v>
      </c>
      <c r="J332" s="877"/>
      <c r="K332" s="877"/>
      <c r="L332" s="877"/>
      <c r="M332" s="159"/>
      <c r="N332" s="159"/>
      <c r="O332" s="159"/>
      <c r="P332" s="160"/>
      <c r="Q332" s="159"/>
      <c r="R332" s="159"/>
      <c r="S332" s="159"/>
      <c r="T332" s="161"/>
      <c r="U332" s="162"/>
      <c r="V332" s="162"/>
      <c r="W332" s="162"/>
      <c r="X332" s="162"/>
      <c r="Y332" s="160"/>
      <c r="Z332" s="159"/>
      <c r="AA332" s="159"/>
      <c r="AB332" s="159"/>
      <c r="AC332" s="161"/>
      <c r="AD332" s="162"/>
      <c r="AE332" s="162"/>
      <c r="AF332" s="162"/>
      <c r="AG332" s="162"/>
      <c r="AH332" s="160"/>
      <c r="AI332" s="159"/>
      <c r="AJ332" s="201"/>
      <c r="AK332" s="201"/>
      <c r="AL332" s="164"/>
      <c r="AM332" s="162"/>
      <c r="AN332" s="162"/>
      <c r="AO332" s="162"/>
      <c r="AP332" s="162"/>
      <c r="AQ332" s="202"/>
      <c r="AR332" s="203"/>
      <c r="AS332" s="165"/>
      <c r="AT332" s="166"/>
      <c r="AU332" s="164"/>
      <c r="AV332" s="162"/>
      <c r="AW332" s="162"/>
      <c r="AX332" s="162"/>
      <c r="AY332" s="162"/>
      <c r="AZ332" s="202"/>
      <c r="BA332" s="203"/>
      <c r="BB332" s="166"/>
      <c r="BC332" s="201"/>
      <c r="BD332" s="204"/>
      <c r="BE332" s="162"/>
      <c r="BF332" s="162"/>
      <c r="BG332" s="162"/>
      <c r="BH332" s="162"/>
      <c r="BI332" s="205"/>
      <c r="BJ332" s="201"/>
      <c r="BK332" s="201"/>
      <c r="BL332" s="201"/>
      <c r="BM332" s="204"/>
      <c r="BN332" s="162"/>
      <c r="BO332" s="162"/>
      <c r="BP332" s="162"/>
      <c r="BQ332" s="162"/>
      <c r="BR332" s="167"/>
      <c r="BS332" s="201"/>
      <c r="BT332" s="201"/>
      <c r="BU332" s="201"/>
      <c r="BV332" s="205"/>
      <c r="BW332" s="162"/>
      <c r="BX332" s="162"/>
      <c r="BY332" s="162"/>
      <c r="BZ332" s="162"/>
      <c r="CA332" s="201"/>
      <c r="CB332" s="393"/>
      <c r="CC332" s="393"/>
      <c r="CD332" s="393"/>
      <c r="CE332" s="393"/>
      <c r="CF332" s="162"/>
      <c r="CG332" s="162"/>
      <c r="CH332" s="162"/>
      <c r="CI332" s="162"/>
      <c r="CJ332" s="163"/>
      <c r="CK332" s="163"/>
      <c r="CL332" s="163"/>
      <c r="CM332" s="163"/>
      <c r="CN332" s="163"/>
      <c r="CO332" s="162"/>
      <c r="CP332" s="162"/>
      <c r="CQ332" s="162"/>
      <c r="CR332" s="162"/>
      <c r="CS332" s="163"/>
      <c r="CT332" s="358"/>
      <c r="CU332" s="201"/>
      <c r="CV332" s="206"/>
      <c r="CW332" s="218"/>
    </row>
    <row r="333" spans="1:101" ht="15.75" thickBot="1" x14ac:dyDescent="0.25">
      <c r="A333" s="219"/>
      <c r="B333" s="219"/>
      <c r="C333" s="168"/>
      <c r="D333" s="785"/>
      <c r="E333" s="869" t="s">
        <v>45</v>
      </c>
      <c r="F333" s="363"/>
      <c r="G333" s="363"/>
      <c r="H333" s="363"/>
      <c r="I333" s="878"/>
      <c r="J333" s="878"/>
      <c r="K333" s="878"/>
      <c r="L333" s="878"/>
      <c r="M333" s="363"/>
      <c r="N333" s="363"/>
      <c r="O333" s="363"/>
      <c r="P333" s="363"/>
      <c r="Q333" s="363"/>
      <c r="R333" s="363"/>
      <c r="S333" s="363"/>
      <c r="T333" s="363"/>
      <c r="U333" s="363"/>
      <c r="V333" s="363"/>
      <c r="W333" s="363"/>
      <c r="X333" s="363"/>
      <c r="Y333" s="363"/>
      <c r="Z333" s="363"/>
      <c r="AA333" s="363"/>
      <c r="AB333" s="363"/>
      <c r="AC333" s="363"/>
      <c r="AD333" s="363"/>
      <c r="AE333" s="363"/>
      <c r="AF333" s="363"/>
      <c r="AG333" s="363"/>
      <c r="AH333" s="363"/>
      <c r="AI333" s="363"/>
      <c r="AJ333" s="363"/>
      <c r="AK333" s="363"/>
      <c r="AL333" s="363"/>
      <c r="AM333" s="363"/>
      <c r="AN333" s="363"/>
      <c r="AO333" s="363"/>
      <c r="AP333" s="363"/>
      <c r="AQ333" s="363"/>
      <c r="AR333" s="363"/>
      <c r="AS333" s="363"/>
      <c r="AT333" s="363"/>
      <c r="AU333" s="363"/>
      <c r="AV333" s="363"/>
      <c r="AW333" s="363"/>
      <c r="AX333" s="363"/>
      <c r="AY333" s="363"/>
      <c r="AZ333" s="363"/>
      <c r="BA333" s="363"/>
      <c r="BB333" s="363"/>
      <c r="BC333" s="363"/>
      <c r="BD333" s="363"/>
      <c r="BE333" s="363"/>
      <c r="BF333" s="363"/>
      <c r="BG333" s="363"/>
      <c r="BH333" s="363"/>
      <c r="BI333" s="363"/>
      <c r="BJ333" s="363"/>
      <c r="BK333" s="363"/>
      <c r="BL333" s="363"/>
      <c r="BM333" s="363"/>
      <c r="BN333" s="363"/>
      <c r="BO333" s="363"/>
      <c r="BP333" s="363"/>
      <c r="BQ333" s="363"/>
      <c r="BR333" s="363"/>
      <c r="BS333" s="363"/>
      <c r="BT333" s="363"/>
      <c r="BU333" s="363"/>
      <c r="BV333" s="363"/>
      <c r="BW333" s="363"/>
      <c r="BX333" s="363"/>
      <c r="BY333" s="363"/>
      <c r="BZ333" s="363"/>
      <c r="CA333" s="363"/>
      <c r="CB333" s="394"/>
      <c r="CC333" s="394"/>
      <c r="CD333" s="394"/>
      <c r="CE333" s="394"/>
      <c r="CF333" s="363"/>
      <c r="CG333" s="363"/>
      <c r="CH333" s="363"/>
      <c r="CI333" s="363"/>
      <c r="CJ333" s="363"/>
      <c r="CK333" s="363"/>
      <c r="CL333" s="363"/>
      <c r="CM333" s="363"/>
      <c r="CN333" s="323"/>
      <c r="CO333" s="363"/>
      <c r="CP333" s="363"/>
      <c r="CQ333" s="363"/>
      <c r="CR333" s="363"/>
      <c r="CS333" s="323"/>
      <c r="CT333" s="155"/>
      <c r="CU333" s="269"/>
      <c r="CV333" s="209"/>
      <c r="CW333" s="218"/>
    </row>
    <row r="334" spans="1:101" ht="18.75" thickTop="1" x14ac:dyDescent="0.2">
      <c r="A334" s="219"/>
      <c r="B334" s="219"/>
      <c r="C334" s="174"/>
      <c r="D334" s="778"/>
      <c r="E334" s="777"/>
      <c r="F334" s="235"/>
      <c r="G334" s="234"/>
      <c r="H334" s="234"/>
      <c r="I334" s="875">
        <f>WEEKNUM(E335)</f>
        <v>48</v>
      </c>
      <c r="J334" s="875"/>
      <c r="K334" s="875"/>
      <c r="L334" s="250"/>
      <c r="M334" s="261"/>
      <c r="N334" s="205"/>
      <c r="O334" s="236"/>
      <c r="P334" s="236"/>
      <c r="Q334" s="675" t="str">
        <f>IF($F338="","",SUM(Q350:S350)-S336)</f>
        <v/>
      </c>
      <c r="R334" s="675"/>
      <c r="S334" s="675"/>
      <c r="T334" s="237"/>
      <c r="U334" s="238"/>
      <c r="V334" s="238"/>
      <c r="W334" s="238"/>
      <c r="X334" s="238"/>
      <c r="Y334" s="236"/>
      <c r="Z334" s="675" t="str">
        <f>IF($F338="","",SUM(Z350:AB350)-AB336)</f>
        <v/>
      </c>
      <c r="AA334" s="675"/>
      <c r="AB334" s="675"/>
      <c r="AC334" s="237"/>
      <c r="AD334" s="238"/>
      <c r="AE334" s="238"/>
      <c r="AF334" s="238"/>
      <c r="AG334" s="238"/>
      <c r="AH334" s="236"/>
      <c r="AI334" s="675" t="str">
        <f>IF($F338="","",SUM(AI350:AK350)-AK336)</f>
        <v/>
      </c>
      <c r="AJ334" s="675"/>
      <c r="AK334" s="675"/>
      <c r="AL334" s="237"/>
      <c r="AM334" s="238"/>
      <c r="AN334" s="238"/>
      <c r="AO334" s="238"/>
      <c r="AP334" s="238"/>
      <c r="AQ334" s="236"/>
      <c r="AR334" s="675" t="str">
        <f>IF($F338="","",SUM(AR350:AT350)-AT336)</f>
        <v/>
      </c>
      <c r="AS334" s="675"/>
      <c r="AT334" s="675"/>
      <c r="AU334" s="239"/>
      <c r="AV334" s="238"/>
      <c r="AW334" s="238"/>
      <c r="AX334" s="238"/>
      <c r="AY334" s="238"/>
      <c r="AZ334" s="240"/>
      <c r="BA334" s="675" t="str">
        <f>IF($F338="","",SUM(BA350:BC350)-BC336)</f>
        <v/>
      </c>
      <c r="BB334" s="675"/>
      <c r="BC334" s="675"/>
      <c r="BD334" s="239"/>
      <c r="BE334" s="238"/>
      <c r="BF334" s="238"/>
      <c r="BG334" s="238"/>
      <c r="BH334" s="238"/>
      <c r="BI334" s="240"/>
      <c r="BJ334" s="675" t="str">
        <f>IF($F338="","",SUM(BJ350:BL350)-BL336)</f>
        <v/>
      </c>
      <c r="BK334" s="675"/>
      <c r="BL334" s="675"/>
      <c r="BM334" s="239"/>
      <c r="BN334" s="238"/>
      <c r="BO334" s="238"/>
      <c r="BP334" s="238"/>
      <c r="BQ334" s="238"/>
      <c r="BR334" s="241"/>
      <c r="BS334" s="675" t="str">
        <f>IF($F338="","",SUM(BS350:BU350)-BU336)</f>
        <v/>
      </c>
      <c r="BT334" s="675"/>
      <c r="BU334" s="675"/>
      <c r="BV334" s="240"/>
      <c r="BW334" s="238"/>
      <c r="BX334" s="238"/>
      <c r="BY334" s="238"/>
      <c r="BZ334" s="238"/>
      <c r="CA334" s="241"/>
      <c r="CB334" s="675" t="str">
        <f>IF($F338="","",SUM(CB350:CD350)-CD336)</f>
        <v/>
      </c>
      <c r="CC334" s="675"/>
      <c r="CD334" s="675"/>
      <c r="CE334" s="240"/>
      <c r="CF334" s="238"/>
      <c r="CG334" s="238"/>
      <c r="CH334" s="238"/>
      <c r="CI334" s="238"/>
      <c r="CJ334" s="234"/>
      <c r="CK334" s="675" t="str">
        <f>IF($F338="","",SUM(CK350:CM350))</f>
        <v/>
      </c>
      <c r="CL334" s="675"/>
      <c r="CM334" s="675"/>
      <c r="CN334" s="240"/>
      <c r="CO334" s="238"/>
      <c r="CP334" s="238"/>
      <c r="CQ334" s="238"/>
      <c r="CR334" s="238"/>
      <c r="CS334" s="234"/>
      <c r="CT334" s="234"/>
      <c r="CU334" s="251"/>
      <c r="CV334" s="209"/>
      <c r="CW334" s="218"/>
    </row>
    <row r="335" spans="1:101" x14ac:dyDescent="0.2">
      <c r="A335" s="219"/>
      <c r="B335" s="219"/>
      <c r="C335" s="174"/>
      <c r="D335" s="779"/>
      <c r="E335" s="543">
        <f>E313+7</f>
        <v>46354</v>
      </c>
      <c r="F335" s="178"/>
      <c r="G335" s="179"/>
      <c r="H335" s="179"/>
      <c r="I335" s="876"/>
      <c r="J335" s="876"/>
      <c r="K335" s="876"/>
      <c r="L335" s="254"/>
      <c r="M335" s="329"/>
      <c r="N335" s="208"/>
      <c r="O335" s="180"/>
      <c r="P335" s="180"/>
      <c r="Q335" s="584" t="str">
        <f>IF(Q334="","",Q334/Data!$X$1)</f>
        <v/>
      </c>
      <c r="R335" s="584"/>
      <c r="S335" s="585" t="str">
        <f>IF(SUM(X338:X349)=0,"",SUM(X338:X349))</f>
        <v/>
      </c>
      <c r="T335" s="181"/>
      <c r="U335" s="182"/>
      <c r="V335" s="182"/>
      <c r="W335" s="182"/>
      <c r="X335" s="182"/>
      <c r="Y335" s="180"/>
      <c r="Z335" s="584" t="str">
        <f>IF(Z334="","",Z334/Data!$X$1)</f>
        <v/>
      </c>
      <c r="AA335" s="584"/>
      <c r="AB335" s="585" t="str">
        <f>IF(SUM(AG338:AG349)=0,"",SUM(AG338:AG349))</f>
        <v/>
      </c>
      <c r="AC335" s="181"/>
      <c r="AD335" s="182"/>
      <c r="AE335" s="182"/>
      <c r="AF335" s="182"/>
      <c r="AG335" s="182"/>
      <c r="AH335" s="180"/>
      <c r="AI335" s="584" t="str">
        <f>IF(AI334="","",AI334/Data!$X$1)</f>
        <v/>
      </c>
      <c r="AJ335" s="584"/>
      <c r="AK335" s="585" t="str">
        <f>IF(SUM(AP338:AP349)=0,"",SUM(AP338:AP349))</f>
        <v/>
      </c>
      <c r="AL335" s="181"/>
      <c r="AM335" s="182"/>
      <c r="AN335" s="182"/>
      <c r="AO335" s="182"/>
      <c r="AP335" s="182"/>
      <c r="AQ335" s="180"/>
      <c r="AR335" s="584" t="str">
        <f>IF(AR334="","",AR334/Data!$X$1)</f>
        <v/>
      </c>
      <c r="AS335" s="584"/>
      <c r="AT335" s="585" t="str">
        <f>IF(SUM(AY338:AY349)=0,"",SUM(AY338:AY349))</f>
        <v/>
      </c>
      <c r="AU335" s="183"/>
      <c r="AV335" s="182"/>
      <c r="AW335" s="182"/>
      <c r="AX335" s="182"/>
      <c r="AY335" s="182"/>
      <c r="AZ335" s="184"/>
      <c r="BA335" s="584" t="str">
        <f>IF(BA334="","",BA334/Data!$X$1)</f>
        <v/>
      </c>
      <c r="BB335" s="584"/>
      <c r="BC335" s="585" t="str">
        <f>IF(SUM(BH338:BH349)=0,"",SUM(BH338:BH349))</f>
        <v/>
      </c>
      <c r="BD335" s="183"/>
      <c r="BE335" s="182"/>
      <c r="BF335" s="182"/>
      <c r="BG335" s="182"/>
      <c r="BH335" s="182"/>
      <c r="BI335" s="184"/>
      <c r="BJ335" s="584" t="str">
        <f>IF(BJ334="","",BJ334/Data!$X$1)</f>
        <v/>
      </c>
      <c r="BK335" s="584"/>
      <c r="BL335" s="585" t="str">
        <f>IF(SUM(BQ338:BQ349)=0,"",SUM(BQ338:BQ349))</f>
        <v/>
      </c>
      <c r="BM335" s="183"/>
      <c r="BN335" s="182"/>
      <c r="BO335" s="182"/>
      <c r="BP335" s="182"/>
      <c r="BQ335" s="182"/>
      <c r="BR335" s="185"/>
      <c r="BS335" s="584" t="str">
        <f>IF(BS334="","",BS334/Data!$X$1)</f>
        <v/>
      </c>
      <c r="BT335" s="584"/>
      <c r="BU335" s="585" t="str">
        <f>IF(SUM(BZ338:BZ349)=0,"",SUM(BZ338:BZ349))</f>
        <v/>
      </c>
      <c r="BV335" s="184"/>
      <c r="BW335" s="182"/>
      <c r="BX335" s="182"/>
      <c r="BY335" s="182"/>
      <c r="BZ335" s="182"/>
      <c r="CA335" s="185"/>
      <c r="CB335" s="584" t="str">
        <f>IF(CB334="","",CB334/Data!$X$1)</f>
        <v/>
      </c>
      <c r="CC335" s="584"/>
      <c r="CD335" s="585" t="str">
        <f>IF(SUM(CI338:CI349)=0,"",SUM(CI338:CI349))</f>
        <v/>
      </c>
      <c r="CE335" s="184"/>
      <c r="CF335" s="182"/>
      <c r="CG335" s="182"/>
      <c r="CH335" s="182"/>
      <c r="CI335" s="182"/>
      <c r="CJ335" s="182"/>
      <c r="CK335" s="584" t="str">
        <f>IF(CK334="","",CK334/Data!$X$1)</f>
        <v/>
      </c>
      <c r="CL335" s="584"/>
      <c r="CM335" s="585" t="str">
        <f>IF(SUM(CR338:CR349)=0,"",SUM(CR338:CR349))</f>
        <v/>
      </c>
      <c r="CN335" s="184"/>
      <c r="CO335" s="182"/>
      <c r="CP335" s="182"/>
      <c r="CQ335" s="182"/>
      <c r="CR335" s="182"/>
      <c r="CS335" s="182"/>
      <c r="CT335" s="182"/>
      <c r="CU335" s="255"/>
      <c r="CV335" s="209"/>
      <c r="CW335" s="218"/>
    </row>
    <row r="336" spans="1:101" ht="13.5" thickBot="1" x14ac:dyDescent="0.25">
      <c r="A336" s="219"/>
      <c r="B336" s="219"/>
      <c r="C336" s="174"/>
      <c r="D336" s="230"/>
      <c r="E336" s="359"/>
      <c r="F336" s="186"/>
      <c r="G336" s="187"/>
      <c r="H336" s="187"/>
      <c r="I336" s="673"/>
      <c r="J336" s="674"/>
      <c r="K336" s="674"/>
      <c r="L336" s="256"/>
      <c r="M336" s="330"/>
      <c r="N336" s="334"/>
      <c r="O336" s="187"/>
      <c r="P336" s="187"/>
      <c r="Q336" s="342" t="str">
        <f>Data!$E$11</f>
        <v>AHH</v>
      </c>
      <c r="R336" s="343" t="str">
        <f>IF($F349="","",RANK(Q334,$Q334:$CL334))</f>
        <v/>
      </c>
      <c r="S336" s="466"/>
      <c r="T336" s="181"/>
      <c r="U336" s="182"/>
      <c r="V336" s="182"/>
      <c r="W336" s="182"/>
      <c r="X336" s="197">
        <f>COUNTIF(U338:W349,"&gt;0")</f>
        <v>0</v>
      </c>
      <c r="Y336" s="180"/>
      <c r="Z336" s="342" t="str">
        <f>Data!$E$12</f>
        <v>RB</v>
      </c>
      <c r="AA336" s="343" t="str">
        <f>IF($F349="","",RANK(Z334,$Q334:$CL334))</f>
        <v/>
      </c>
      <c r="AB336" s="466"/>
      <c r="AC336" s="181"/>
      <c r="AD336" s="182"/>
      <c r="AE336" s="182"/>
      <c r="AF336" s="182"/>
      <c r="AG336" s="197">
        <f>COUNTIF(AD338:AF349,"&gt;0")</f>
        <v>0</v>
      </c>
      <c r="AH336" s="180"/>
      <c r="AI336" s="342" t="str">
        <f>Data!$E$13</f>
        <v>EB</v>
      </c>
      <c r="AJ336" s="343" t="str">
        <f>IF($F349="","",RANK(AI334,$Q334:$CL334))</f>
        <v/>
      </c>
      <c r="AK336" s="466"/>
      <c r="AL336" s="181"/>
      <c r="AM336" s="182"/>
      <c r="AN336" s="182"/>
      <c r="AO336" s="182"/>
      <c r="AP336" s="197">
        <f>COUNTIF(AM338:AO349,"&gt;0")</f>
        <v>0</v>
      </c>
      <c r="AQ336" s="180"/>
      <c r="AR336" s="305" t="str">
        <f>Data!$E$14</f>
        <v>KAF</v>
      </c>
      <c r="AS336" s="343" t="str">
        <f>IF($F349="","",RANK(AR334,$Q334:$CL334))</f>
        <v/>
      </c>
      <c r="AT336" s="466"/>
      <c r="AU336" s="181"/>
      <c r="AV336" s="182"/>
      <c r="AW336" s="182"/>
      <c r="AX336" s="182"/>
      <c r="AY336" s="197">
        <f>COUNTIF(AV338:AX349,"&gt;0")</f>
        <v>0</v>
      </c>
      <c r="AZ336" s="180"/>
      <c r="BA336" s="305" t="str">
        <f>Data!$E$15</f>
        <v>ØG</v>
      </c>
      <c r="BB336" s="343" t="str">
        <f>IF($F349="","",RANK(BA334,$Q334:$CL334))</f>
        <v/>
      </c>
      <c r="BC336" s="466"/>
      <c r="BD336" s="181"/>
      <c r="BE336" s="182"/>
      <c r="BF336" s="182"/>
      <c r="BG336" s="182"/>
      <c r="BH336" s="197">
        <f>COUNTIF(BE338:BG349,"&gt;0")</f>
        <v>0</v>
      </c>
      <c r="BI336" s="180"/>
      <c r="BJ336" s="305" t="str">
        <f>Data!$E$16</f>
        <v>JH</v>
      </c>
      <c r="BK336" s="343" t="str">
        <f>IF($F349="","",RANK(BJ334,$Q334:$CL334))</f>
        <v/>
      </c>
      <c r="BL336" s="466"/>
      <c r="BM336" s="181"/>
      <c r="BN336" s="182"/>
      <c r="BO336" s="182"/>
      <c r="BP336" s="182"/>
      <c r="BQ336" s="197">
        <f>COUNTIF(BN338:BP349,"&gt;0")</f>
        <v>0</v>
      </c>
      <c r="BR336" s="188"/>
      <c r="BS336" s="305" t="str">
        <f>Data!$E$17</f>
        <v>TOH</v>
      </c>
      <c r="BT336" s="343" t="str">
        <f>IF($F349="","",RANK(BS334,$Q334:$CL334))</f>
        <v/>
      </c>
      <c r="BU336" s="466"/>
      <c r="BV336" s="180"/>
      <c r="BW336" s="182"/>
      <c r="BX336" s="182"/>
      <c r="BY336" s="182"/>
      <c r="BZ336" s="197">
        <f>COUNTIF(BW338:BY349,"&gt;0")</f>
        <v>0</v>
      </c>
      <c r="CA336" s="188"/>
      <c r="CB336" s="305" t="s">
        <v>26</v>
      </c>
      <c r="CC336" s="343" t="str">
        <f>IF($F349="","",RANK(CB334,$Q334:$CM334))</f>
        <v/>
      </c>
      <c r="CD336" s="467"/>
      <c r="CE336" s="180"/>
      <c r="CF336" s="182"/>
      <c r="CG336" s="182"/>
      <c r="CH336" s="182"/>
      <c r="CI336" s="197">
        <f>COUNTIF(CF338:CH349,"&gt;0")</f>
        <v>0</v>
      </c>
      <c r="CJ336" s="182"/>
      <c r="CK336" s="305" t="s">
        <v>27</v>
      </c>
      <c r="CL336" s="343" t="str">
        <f>IF($F349="","",RANK(CK334,$Q334:$CM334))</f>
        <v/>
      </c>
      <c r="CM336" s="669"/>
      <c r="CN336" s="180"/>
      <c r="CO336" s="182"/>
      <c r="CP336" s="182"/>
      <c r="CQ336" s="182"/>
      <c r="CR336" s="197">
        <f>COUNTIF(CO338:CQ349,"&gt;0")</f>
        <v>0</v>
      </c>
      <c r="CS336" s="182"/>
      <c r="CT336" s="182"/>
      <c r="CU336" s="255"/>
      <c r="CV336" s="209"/>
      <c r="CW336" s="218"/>
    </row>
    <row r="337" spans="1:101" ht="13.5" thickBot="1" x14ac:dyDescent="0.25">
      <c r="A337" s="227"/>
      <c r="B337" s="227"/>
      <c r="C337" s="168"/>
      <c r="D337" s="231"/>
      <c r="E337" s="189"/>
      <c r="F337" s="190"/>
      <c r="G337" s="191"/>
      <c r="H337" s="191"/>
      <c r="I337" s="192" t="s">
        <v>47</v>
      </c>
      <c r="J337" s="193" t="s">
        <v>48</v>
      </c>
      <c r="K337" s="194" t="s">
        <v>49</v>
      </c>
      <c r="L337" s="257"/>
      <c r="M337" s="331"/>
      <c r="N337" s="335"/>
      <c r="O337" s="195"/>
      <c r="P337" s="195"/>
      <c r="Q337" s="192" t="s">
        <v>47</v>
      </c>
      <c r="R337" s="193" t="s">
        <v>48</v>
      </c>
      <c r="S337" s="194" t="s">
        <v>49</v>
      </c>
      <c r="T337" s="196"/>
      <c r="U337" s="197"/>
      <c r="V337" s="197"/>
      <c r="W337" s="197"/>
      <c r="X337" s="197"/>
      <c r="Y337" s="195"/>
      <c r="Z337" s="192" t="s">
        <v>47</v>
      </c>
      <c r="AA337" s="193" t="s">
        <v>48</v>
      </c>
      <c r="AB337" s="194" t="s">
        <v>49</v>
      </c>
      <c r="AC337" s="196"/>
      <c r="AD337" s="197"/>
      <c r="AE337" s="197"/>
      <c r="AF337" s="197"/>
      <c r="AG337" s="197"/>
      <c r="AH337" s="195"/>
      <c r="AI337" s="192" t="s">
        <v>47</v>
      </c>
      <c r="AJ337" s="193" t="s">
        <v>48</v>
      </c>
      <c r="AK337" s="194" t="s">
        <v>49</v>
      </c>
      <c r="AL337" s="196"/>
      <c r="AM337" s="197"/>
      <c r="AN337" s="197"/>
      <c r="AO337" s="197"/>
      <c r="AP337" s="197"/>
      <c r="AQ337" s="195"/>
      <c r="AR337" s="192" t="s">
        <v>47</v>
      </c>
      <c r="AS337" s="193" t="s">
        <v>48</v>
      </c>
      <c r="AT337" s="194" t="s">
        <v>49</v>
      </c>
      <c r="AU337" s="196"/>
      <c r="AV337" s="197"/>
      <c r="AW337" s="197"/>
      <c r="AX337" s="197"/>
      <c r="AY337" s="197"/>
      <c r="AZ337" s="195"/>
      <c r="BA337" s="192" t="s">
        <v>47</v>
      </c>
      <c r="BB337" s="193" t="s">
        <v>48</v>
      </c>
      <c r="BC337" s="194" t="s">
        <v>49</v>
      </c>
      <c r="BD337" s="196"/>
      <c r="BE337" s="197"/>
      <c r="BF337" s="197"/>
      <c r="BG337" s="197"/>
      <c r="BH337" s="197"/>
      <c r="BI337" s="195"/>
      <c r="BJ337" s="192" t="s">
        <v>47</v>
      </c>
      <c r="BK337" s="193" t="s">
        <v>48</v>
      </c>
      <c r="BL337" s="194" t="s">
        <v>49</v>
      </c>
      <c r="BM337" s="196"/>
      <c r="BN337" s="197"/>
      <c r="BO337" s="197"/>
      <c r="BP337" s="197"/>
      <c r="BQ337" s="197"/>
      <c r="BR337" s="195"/>
      <c r="BS337" s="192" t="s">
        <v>47</v>
      </c>
      <c r="BT337" s="193" t="s">
        <v>48</v>
      </c>
      <c r="BU337" s="194" t="s">
        <v>49</v>
      </c>
      <c r="BV337" s="196"/>
      <c r="BW337" s="197"/>
      <c r="BX337" s="197"/>
      <c r="BY337" s="197"/>
      <c r="BZ337" s="197"/>
      <c r="CA337" s="195"/>
      <c r="CB337" s="192" t="s">
        <v>47</v>
      </c>
      <c r="CC337" s="193" t="s">
        <v>48</v>
      </c>
      <c r="CD337" s="194" t="s">
        <v>49</v>
      </c>
      <c r="CE337" s="196"/>
      <c r="CF337" s="197"/>
      <c r="CG337" s="197"/>
      <c r="CH337" s="197"/>
      <c r="CI337" s="197"/>
      <c r="CJ337" s="197"/>
      <c r="CK337" s="192" t="s">
        <v>47</v>
      </c>
      <c r="CL337" s="193" t="s">
        <v>48</v>
      </c>
      <c r="CM337" s="194" t="s">
        <v>49</v>
      </c>
      <c r="CN337" s="196"/>
      <c r="CO337" s="197"/>
      <c r="CP337" s="197"/>
      <c r="CQ337" s="197"/>
      <c r="CR337" s="197"/>
      <c r="CS337" s="197"/>
      <c r="CT337" s="198"/>
      <c r="CU337" s="255"/>
      <c r="CV337" s="209"/>
      <c r="CW337" s="228"/>
    </row>
    <row r="338" spans="1:101" x14ac:dyDescent="0.2">
      <c r="A338" s="227"/>
      <c r="B338" s="227"/>
      <c r="C338" s="168"/>
      <c r="D338" s="232"/>
      <c r="E338" s="134" t="s">
        <v>235</v>
      </c>
      <c r="F338" s="424"/>
      <c r="G338" s="428"/>
      <c r="H338" s="429"/>
      <c r="I338" s="138" t="str">
        <f t="shared" ref="I338:I349" si="491">IF($F338&gt;$H338,"x","")</f>
        <v/>
      </c>
      <c r="J338" s="344" t="str">
        <f t="shared" ref="J338:J349" si="492">IF(F338&lt;&gt;"",IF(H338&lt;&gt;"",IF(F338=H338,"x",""),""),"")</f>
        <v/>
      </c>
      <c r="K338" s="345" t="str">
        <f t="shared" ref="K338:K349" si="493">IF($F338&lt;$H338,"x","")</f>
        <v/>
      </c>
      <c r="L338" s="258"/>
      <c r="M338" s="332"/>
      <c r="N338" s="336"/>
      <c r="O338" s="200"/>
      <c r="P338" s="200"/>
      <c r="Q338" s="436"/>
      <c r="R338" s="437"/>
      <c r="S338" s="438" t="str">
        <f t="shared" ref="S338:S349" si="494">IF(Q338="","",100-SUM(Q338:R338))</f>
        <v/>
      </c>
      <c r="T338" s="328"/>
      <c r="U338" s="197" t="str">
        <f>IF(AND($I338="x",AND(MAX(Q338:S338)=Q338,Q338&gt;=0)),Data!$BI$2,"")</f>
        <v/>
      </c>
      <c r="V338" s="197" t="str">
        <f>IF(AND($J338="x",AND(MAX(Q338:S338)=R338,R338&gt;=0)),Data!$BJ$2,"")</f>
        <v/>
      </c>
      <c r="W338" s="197" t="str">
        <f>IF(AND($K338="x",AND(MAX(Q338:S338)=S338,S338&gt;=0)),Data!$BK$2,"")</f>
        <v/>
      </c>
      <c r="X338" s="197"/>
      <c r="Y338" s="328"/>
      <c r="Z338" s="451"/>
      <c r="AA338" s="452"/>
      <c r="AB338" s="438" t="str">
        <f t="shared" ref="AB338:AB349" si="495">IF(Z338="","",100-SUM(Z338:AA338))</f>
        <v/>
      </c>
      <c r="AC338" s="328"/>
      <c r="AD338" s="197" t="str">
        <f>IF(AND($I338="x",AND(MAX(Z338:AB338)=Z338,Z338&lt;&gt;"")),Data!$BI$2,"")</f>
        <v/>
      </c>
      <c r="AE338" s="197" t="str">
        <f>IF(AND($J338="x",AND(MAX(Z338:AB338)=AA338,AA338&lt;&gt;"")),Data!$BJ$2,"")</f>
        <v/>
      </c>
      <c r="AF338" s="197" t="str">
        <f>IF(AND($K338="x",AND(MAX(Z338:AB338)=AB338,AB338&lt;&gt;"")),Data!$BK$2,"")</f>
        <v/>
      </c>
      <c r="AG338" s="197"/>
      <c r="AH338" s="328"/>
      <c r="AI338" s="451"/>
      <c r="AJ338" s="452"/>
      <c r="AK338" s="438" t="str">
        <f t="shared" ref="AK338:AK349" si="496">IF(AI338="","",100-SUM(AI338:AJ338))</f>
        <v/>
      </c>
      <c r="AL338" s="328"/>
      <c r="AM338" s="197" t="str">
        <f>IF(AND($I338="x",AND(MAX(AI338:AK338)=AI338,AI338&lt;&gt;"")),Data!$BI$2,"")</f>
        <v/>
      </c>
      <c r="AN338" s="197" t="str">
        <f>IF(AND($J338="x",AND(MAX(AI338:AK338)=AJ338,AJ338&lt;&gt;"")),Data!$BJ$2,"")</f>
        <v/>
      </c>
      <c r="AO338" s="197" t="str">
        <f>IF(AND($K338="x",AND(MAX(AI338:AK338)=AK338,AK338&lt;&gt;"")),Data!$BK$2,"")</f>
        <v/>
      </c>
      <c r="AP338" s="197"/>
      <c r="AQ338" s="328"/>
      <c r="AR338" s="451"/>
      <c r="AS338" s="452"/>
      <c r="AT338" s="438" t="str">
        <f t="shared" ref="AT338:AT349" si="497">IF(AR338="","",100-SUM(AR338:AS338))</f>
        <v/>
      </c>
      <c r="AU338" s="328"/>
      <c r="AV338" s="197" t="str">
        <f>IF(AND($I338="x",AND(MAX(AR338:AT338)=AR338,AR338&lt;&gt;"")),Data!$BI$2,"")</f>
        <v/>
      </c>
      <c r="AW338" s="197" t="str">
        <f>IF(AND($J338="x",AND(MAX(AR338:AT338)=AS338,AS338&lt;&gt;"")),Data!$BJ$2,"")</f>
        <v/>
      </c>
      <c r="AX338" s="197" t="str">
        <f>IF(AND($K338="x",AND(MAX(AR338:AT338)=AT338,AT338&lt;&gt;"")),Data!$BK$2,"")</f>
        <v/>
      </c>
      <c r="AY338" s="197"/>
      <c r="AZ338" s="328"/>
      <c r="BA338" s="451"/>
      <c r="BB338" s="452"/>
      <c r="BC338" s="438" t="str">
        <f t="shared" ref="BC338:BC349" si="498">IF(BA338="","",100-SUM(BA338:BB338))</f>
        <v/>
      </c>
      <c r="BD338" s="328"/>
      <c r="BE338" s="197" t="str">
        <f>IF(AND($I338="x",AND(MAX(BA338:BC338)=BA338,BA338&lt;&gt;"")),Data!$BI$2,"")</f>
        <v/>
      </c>
      <c r="BF338" s="197" t="str">
        <f>IF(AND($J338="x",AND(MAX(BA338:BC338)=BB338,BB338&lt;&gt;"")),Data!$BJ$2,"")</f>
        <v/>
      </c>
      <c r="BG338" s="197" t="str">
        <f>IF(AND($K338="x",AND(MAX(BA338:BC338)=BC338,BC338&lt;&gt;"")),Data!$BK$2,"")</f>
        <v/>
      </c>
      <c r="BH338" s="197"/>
      <c r="BI338" s="328"/>
      <c r="BJ338" s="451"/>
      <c r="BK338" s="452"/>
      <c r="BL338" s="438" t="str">
        <f t="shared" ref="BL338:BL349" si="499">IF(BJ338="","",100-SUM(BJ338:BK338))</f>
        <v/>
      </c>
      <c r="BM338" s="328"/>
      <c r="BN338" s="197" t="str">
        <f>IF(AND($I338="x",AND(MAX(BJ338:BL338)=BJ338,BJ338&lt;&gt;"")),Data!$BI$2,"")</f>
        <v/>
      </c>
      <c r="BO338" s="197" t="str">
        <f>IF(AND($J338="x",AND(MAX(BJ338:BL338)=BK338,BK338&lt;&gt;"")),Data!$BJ$2,"")</f>
        <v/>
      </c>
      <c r="BP338" s="197" t="str">
        <f>IF(AND($K338="x",AND(MAX(BJ338:BL338)=BL338,BL338&lt;&gt;"")),Data!$BK$2,"")</f>
        <v/>
      </c>
      <c r="BQ338" s="197"/>
      <c r="BR338" s="328"/>
      <c r="BS338" s="451"/>
      <c r="BT338" s="452"/>
      <c r="BU338" s="438" t="str">
        <f t="shared" ref="BU338:BU349" si="500">IF(BS338="","",100-SUM(BS338:BT338))</f>
        <v/>
      </c>
      <c r="BV338" s="328"/>
      <c r="BW338" s="197" t="str">
        <f>IF(AND($I338="x",AND(MAX(BS338:BU338)=BS338,BS338&lt;&gt;"")),Data!$BI$2,"")</f>
        <v/>
      </c>
      <c r="BX338" s="197" t="str">
        <f>IF(AND($J338="x",AND(MAX(BS338:BU338)=BT338,BT338&lt;&gt;"")),Data!$BJ$2,"")</f>
        <v/>
      </c>
      <c r="BY338" s="197" t="str">
        <f>IF(AND($K338="x",AND(MAX(BS338:BU338)=BU338,BU338&lt;&gt;"")),Data!$BK$2,"")</f>
        <v/>
      </c>
      <c r="BZ338" s="197"/>
      <c r="CA338" s="328"/>
      <c r="CB338" s="457" t="str">
        <f t="shared" ref="CB338:CB349" si="501">IFERROR(ROUNDUP((SUM(Q338,Z338,AI338,AR338,BA338,BJ338,BS338)/SUM($Q338:$S338,$Z338:$AB338,$AI338:$AK338,$AR338:$AT338,$BA338:$BC338,$BJ338:$BL338,$BS338:$BU338))*100,-1),"")</f>
        <v/>
      </c>
      <c r="CC338" s="458" t="str">
        <f t="shared" ref="CC338:CC349" si="502">IFERROR(ROUNDDOWN((SUM(R338,AA338,AJ338,AS338,BB338,BK338,BT338)/SUM($Q338:$S338,$Z338:$AB338,$AI338:$AK338,$AR338:$AT338,$BA338:$BC338,$BJ338:$BL338,$BS338:$BU338))*100,-1),"")</f>
        <v/>
      </c>
      <c r="CD338" s="459" t="str">
        <f t="shared" ref="CD338:CD349" si="503">IF(CB338="","",100-SUM(CB338:CC338))</f>
        <v/>
      </c>
      <c r="CE338" s="328"/>
      <c r="CF338" s="197" t="str">
        <f>IF(AND($I338="x",AND(MAX(CB338:CD338)=CB338,CB338&lt;&gt;"")),Data!$BI$2,"")</f>
        <v/>
      </c>
      <c r="CG338" s="197" t="str">
        <f>IF(AND($J338="x",AND(MAX(CB338:CD338)=CC338,CC338&lt;&gt;"")),Data!$BJ$2,"")</f>
        <v/>
      </c>
      <c r="CH338" s="197" t="str">
        <f>IF(AND($K338="x",AND(MAX(CB338:CD338)=CD338,CD338&lt;&gt;"")),Data!$BK$2,"")</f>
        <v/>
      </c>
      <c r="CI338" s="197"/>
      <c r="CJ338" s="197"/>
      <c r="CK338" s="451"/>
      <c r="CL338" s="452"/>
      <c r="CM338" s="438" t="str">
        <f t="shared" ref="CM338:CM349" si="504">IF(CK338="","",100-SUM(CK338:CL338))</f>
        <v/>
      </c>
      <c r="CN338" s="328"/>
      <c r="CO338" s="197" t="str">
        <f>IF(AND($I338="x",AND(MAX(CK338:CM338)=CK338,CK338&lt;&gt;"")),Data!$BI$2,"")</f>
        <v/>
      </c>
      <c r="CP338" s="197" t="str">
        <f>IF(AND($J338="x",AND(MAX(CK338:CM338)=CL338,CL338&lt;&gt;"")),Data!$BJ$2,"")</f>
        <v/>
      </c>
      <c r="CQ338" s="197" t="str">
        <f>IF(AND($K338="x",AND(MAX(CK338:CM338)=CM338,CM338&lt;&gt;"")),Data!$BK$2,"")</f>
        <v/>
      </c>
      <c r="CR338" s="197"/>
      <c r="CS338" s="197"/>
      <c r="CT338" s="328"/>
      <c r="CU338" s="255"/>
      <c r="CV338" s="209"/>
      <c r="CW338" s="227"/>
    </row>
    <row r="339" spans="1:101" x14ac:dyDescent="0.2">
      <c r="A339" s="227"/>
      <c r="B339" s="227"/>
      <c r="C339" s="168"/>
      <c r="D339" s="232"/>
      <c r="E339" s="135" t="s">
        <v>236</v>
      </c>
      <c r="F339" s="425"/>
      <c r="G339" s="430"/>
      <c r="H339" s="431"/>
      <c r="I339" s="346" t="str">
        <f t="shared" si="491"/>
        <v/>
      </c>
      <c r="J339" s="347" t="str">
        <f t="shared" si="492"/>
        <v/>
      </c>
      <c r="K339" s="348" t="str">
        <f t="shared" si="493"/>
        <v/>
      </c>
      <c r="L339" s="258"/>
      <c r="M339" s="332"/>
      <c r="N339" s="336"/>
      <c r="O339" s="200"/>
      <c r="P339" s="200"/>
      <c r="Q339" s="439"/>
      <c r="R339" s="440"/>
      <c r="S339" s="441" t="str">
        <f t="shared" si="494"/>
        <v/>
      </c>
      <c r="T339" s="328"/>
      <c r="U339" s="197" t="str">
        <f>IF(AND($I339="x",AND(MAX(Q339:S339)=Q339,Q339&gt;=0)),Data!$BI$2,"")</f>
        <v/>
      </c>
      <c r="V339" s="197" t="str">
        <f>IF(AND($J339="x",AND(MAX(Q339:S339)=R339,R339&gt;=0)),Data!$BJ$2,"")</f>
        <v/>
      </c>
      <c r="W339" s="197" t="str">
        <f>IF(AND($K339="x",AND(MAX(Q339:S339)=S339,S339&gt;=0)),Data!$BK$2,"")</f>
        <v/>
      </c>
      <c r="X339" s="197"/>
      <c r="Y339" s="328"/>
      <c r="Z339" s="453"/>
      <c r="AA339" s="454"/>
      <c r="AB339" s="441" t="str">
        <f t="shared" si="495"/>
        <v/>
      </c>
      <c r="AC339" s="328"/>
      <c r="AD339" s="197" t="str">
        <f>IF(AND($I339="x",AND(MAX(Z339:AB339)=Z339,Z339&lt;&gt;"")),Data!$BI$2,"")</f>
        <v/>
      </c>
      <c r="AE339" s="197" t="str">
        <f>IF(AND($J339="x",AND(MAX(Z339:AB339)=AA339,AA339&lt;&gt;"")),Data!$BJ$2,"")</f>
        <v/>
      </c>
      <c r="AF339" s="197" t="str">
        <f>IF(AND($K339="x",AND(MAX(Z339:AB339)=AB339,AB339&lt;&gt;"")),Data!$BK$2,"")</f>
        <v/>
      </c>
      <c r="AG339" s="197"/>
      <c r="AH339" s="328"/>
      <c r="AI339" s="453"/>
      <c r="AJ339" s="454"/>
      <c r="AK339" s="441" t="str">
        <f t="shared" si="496"/>
        <v/>
      </c>
      <c r="AL339" s="328"/>
      <c r="AM339" s="197" t="str">
        <f>IF(AND($I339="x",AND(MAX(AI339:AK339)=AI339,AI339&lt;&gt;"")),Data!$BI$2,"")</f>
        <v/>
      </c>
      <c r="AN339" s="197" t="str">
        <f>IF(AND($J339="x",AND(MAX(AI339:AK339)=AJ339,AJ339&lt;&gt;"")),Data!$BJ$2,"")</f>
        <v/>
      </c>
      <c r="AO339" s="197" t="str">
        <f>IF(AND($K339="x",AND(MAX(AI339:AK339)=AK339,AK339&lt;&gt;"")),Data!$BK$2,"")</f>
        <v/>
      </c>
      <c r="AP339" s="197"/>
      <c r="AQ339" s="328"/>
      <c r="AR339" s="453"/>
      <c r="AS339" s="454"/>
      <c r="AT339" s="441" t="str">
        <f t="shared" si="497"/>
        <v/>
      </c>
      <c r="AU339" s="328"/>
      <c r="AV339" s="197" t="str">
        <f>IF(AND($I339="x",AND(MAX(AR339:AT339)=AR339,AR339&lt;&gt;"")),Data!$BI$2,"")</f>
        <v/>
      </c>
      <c r="AW339" s="197" t="str">
        <f>IF(AND($J339="x",AND(MAX(AR339:AT339)=AS339,AS339&lt;&gt;"")),Data!$BJ$2,"")</f>
        <v/>
      </c>
      <c r="AX339" s="197" t="str">
        <f>IF(AND($K339="x",AND(MAX(AR339:AT339)=AT339,AT339&lt;&gt;"")),Data!$BK$2,"")</f>
        <v/>
      </c>
      <c r="AY339" s="197"/>
      <c r="AZ339" s="328"/>
      <c r="BA339" s="453"/>
      <c r="BB339" s="454"/>
      <c r="BC339" s="441" t="str">
        <f t="shared" si="498"/>
        <v/>
      </c>
      <c r="BD339" s="328"/>
      <c r="BE339" s="197" t="str">
        <f>IF(AND($I339="x",AND(MAX(BA339:BC339)=BA339,BA339&lt;&gt;"")),Data!$BI$2,"")</f>
        <v/>
      </c>
      <c r="BF339" s="197" t="str">
        <f>IF(AND($J339="x",AND(MAX(BA339:BC339)=BB339,BB339&lt;&gt;"")),Data!$BJ$2,"")</f>
        <v/>
      </c>
      <c r="BG339" s="197" t="str">
        <f>IF(AND($K339="x",AND(MAX(BA339:BC339)=BC339,BC339&lt;&gt;"")),Data!$BK$2,"")</f>
        <v/>
      </c>
      <c r="BH339" s="197"/>
      <c r="BI339" s="328"/>
      <c r="BJ339" s="453"/>
      <c r="BK339" s="454"/>
      <c r="BL339" s="441" t="str">
        <f t="shared" si="499"/>
        <v/>
      </c>
      <c r="BM339" s="328"/>
      <c r="BN339" s="197" t="str">
        <f>IF(AND($I339="x",AND(MAX(BJ339:BL339)=BJ339,BJ339&lt;&gt;"")),Data!$BI$2,"")</f>
        <v/>
      </c>
      <c r="BO339" s="197" t="str">
        <f>IF(AND($J339="x",AND(MAX(BJ339:BL339)=BK339,BK339&lt;&gt;"")),Data!$BJ$2,"")</f>
        <v/>
      </c>
      <c r="BP339" s="197" t="str">
        <f>IF(AND($K339="x",AND(MAX(BJ339:BL339)=BL339,BL339&lt;&gt;"")),Data!$BK$2,"")</f>
        <v/>
      </c>
      <c r="BQ339" s="197"/>
      <c r="BR339" s="328"/>
      <c r="BS339" s="453"/>
      <c r="BT339" s="454"/>
      <c r="BU339" s="441" t="str">
        <f t="shared" si="500"/>
        <v/>
      </c>
      <c r="BV339" s="328"/>
      <c r="BW339" s="197" t="str">
        <f>IF(AND($I339="x",AND(MAX(BS339:BU339)=BS339,BS339&lt;&gt;"")),Data!$BI$2,"")</f>
        <v/>
      </c>
      <c r="BX339" s="197" t="str">
        <f>IF(AND($J339="x",AND(MAX(BS339:BU339)=BT339,BT339&lt;&gt;"")),Data!$BJ$2,"")</f>
        <v/>
      </c>
      <c r="BY339" s="197" t="str">
        <f>IF(AND($K339="x",AND(MAX(BS339:BU339)=BU339,BU339&lt;&gt;"")),Data!$BK$2,"")</f>
        <v/>
      </c>
      <c r="BZ339" s="197"/>
      <c r="CA339" s="328"/>
      <c r="CB339" s="460" t="str">
        <f t="shared" si="501"/>
        <v/>
      </c>
      <c r="CC339" s="461" t="str">
        <f t="shared" si="502"/>
        <v/>
      </c>
      <c r="CD339" s="462" t="str">
        <f t="shared" si="503"/>
        <v/>
      </c>
      <c r="CE339" s="328"/>
      <c r="CF339" s="197" t="str">
        <f>IF(AND($I339="x",AND(MAX(CB339:CD339)=CB339,CB339&lt;&gt;"")),Data!$BI$2,"")</f>
        <v/>
      </c>
      <c r="CG339" s="197" t="str">
        <f>IF(AND($J339="x",AND(MAX(CB339:CD339)=CC339,CC339&lt;&gt;"")),Data!$BJ$2,"")</f>
        <v/>
      </c>
      <c r="CH339" s="197" t="str">
        <f>IF(AND($K339="x",AND(MAX(CB339:CD339)=CD339,CD339&lt;&gt;"")),Data!$BK$2,"")</f>
        <v/>
      </c>
      <c r="CI339" s="197"/>
      <c r="CJ339" s="197"/>
      <c r="CK339" s="453"/>
      <c r="CL339" s="454"/>
      <c r="CM339" s="441" t="str">
        <f t="shared" si="504"/>
        <v/>
      </c>
      <c r="CN339" s="328"/>
      <c r="CO339" s="197" t="str">
        <f>IF(AND($I339="x",AND(MAX(CK339:CM339)=CK339,CK339&lt;&gt;"")),Data!$BI$2,"")</f>
        <v/>
      </c>
      <c r="CP339" s="197" t="str">
        <f>IF(AND($J339="x",AND(MAX(CK339:CM339)=CL339,CL339&lt;&gt;"")),Data!$BJ$2,"")</f>
        <v/>
      </c>
      <c r="CQ339" s="197" t="str">
        <f>IF(AND($K339="x",AND(MAX(CK339:CM339)=CM339,CM339&lt;&gt;"")),Data!$BK$2,"")</f>
        <v/>
      </c>
      <c r="CR339" s="197"/>
      <c r="CS339" s="197"/>
      <c r="CT339" s="328"/>
      <c r="CU339" s="255"/>
      <c r="CV339" s="209"/>
      <c r="CW339" s="227"/>
    </row>
    <row r="340" spans="1:101" x14ac:dyDescent="0.2">
      <c r="A340" s="227"/>
      <c r="B340" s="227"/>
      <c r="C340" s="168"/>
      <c r="D340" s="232"/>
      <c r="E340" s="136" t="s">
        <v>237</v>
      </c>
      <c r="F340" s="426"/>
      <c r="G340" s="432"/>
      <c r="H340" s="433"/>
      <c r="I340" s="349" t="str">
        <f t="shared" si="491"/>
        <v/>
      </c>
      <c r="J340" s="350" t="str">
        <f t="shared" si="492"/>
        <v/>
      </c>
      <c r="K340" s="351" t="str">
        <f t="shared" si="493"/>
        <v/>
      </c>
      <c r="L340" s="258"/>
      <c r="M340" s="332"/>
      <c r="N340" s="336"/>
      <c r="O340" s="200"/>
      <c r="P340" s="200"/>
      <c r="Q340" s="442"/>
      <c r="R340" s="443"/>
      <c r="S340" s="444" t="str">
        <f t="shared" si="494"/>
        <v/>
      </c>
      <c r="T340" s="328"/>
      <c r="U340" s="197" t="str">
        <f>IF(AND($I340="x",AND(MAX(Q340:S340)=Q340,Q340&gt;=0)),Data!$BI$2,"")</f>
        <v/>
      </c>
      <c r="V340" s="197" t="str">
        <f>IF(AND($J340="x",AND(MAX(Q340:S340)=R340,R340&gt;=0)),Data!$BJ$2,"")</f>
        <v/>
      </c>
      <c r="W340" s="197" t="str">
        <f>IF(AND($K340="x",AND(MAX(Q340:S340)=S340,S340&gt;=0)),Data!$BK$2,"")</f>
        <v/>
      </c>
      <c r="X340" s="197"/>
      <c r="Y340" s="328"/>
      <c r="Z340" s="455"/>
      <c r="AA340" s="456"/>
      <c r="AB340" s="444" t="str">
        <f t="shared" si="495"/>
        <v/>
      </c>
      <c r="AC340" s="328"/>
      <c r="AD340" s="197" t="str">
        <f>IF(AND($I340="x",AND(MAX(Z340:AB340)=Z340,Z340&lt;&gt;"")),Data!$BI$2,"")</f>
        <v/>
      </c>
      <c r="AE340" s="197" t="str">
        <f>IF(AND($J340="x",AND(MAX(Z340:AB340)=AA340,AA340&lt;&gt;"")),Data!$BJ$2,"")</f>
        <v/>
      </c>
      <c r="AF340" s="197" t="str">
        <f>IF(AND($K340="x",AND(MAX(Z340:AB340)=AB340,AB340&lt;&gt;"")),Data!$BK$2,"")</f>
        <v/>
      </c>
      <c r="AG340" s="197"/>
      <c r="AH340" s="328"/>
      <c r="AI340" s="455"/>
      <c r="AJ340" s="456"/>
      <c r="AK340" s="444" t="str">
        <f t="shared" si="496"/>
        <v/>
      </c>
      <c r="AL340" s="328"/>
      <c r="AM340" s="197" t="str">
        <f>IF(AND($I340="x",AND(MAX(AI340:AK340)=AI340,AI340&lt;&gt;"")),Data!$BI$2,"")</f>
        <v/>
      </c>
      <c r="AN340" s="197" t="str">
        <f>IF(AND($J340="x",AND(MAX(AI340:AK340)=AJ340,AJ340&lt;&gt;"")),Data!$BJ$2,"")</f>
        <v/>
      </c>
      <c r="AO340" s="197" t="str">
        <f>IF(AND($K340="x",AND(MAX(AI340:AK340)=AK340,AK340&lt;&gt;"")),Data!$BK$2,"")</f>
        <v/>
      </c>
      <c r="AP340" s="197"/>
      <c r="AQ340" s="328"/>
      <c r="AR340" s="455"/>
      <c r="AS340" s="456"/>
      <c r="AT340" s="444" t="str">
        <f t="shared" si="497"/>
        <v/>
      </c>
      <c r="AU340" s="328"/>
      <c r="AV340" s="197" t="str">
        <f>IF(AND($I340="x",AND(MAX(AR340:AT340)=AR340,AR340&lt;&gt;"")),Data!$BI$2,"")</f>
        <v/>
      </c>
      <c r="AW340" s="197" t="str">
        <f>IF(AND($J340="x",AND(MAX(AR340:AT340)=AS340,AS340&lt;&gt;"")),Data!$BJ$2,"")</f>
        <v/>
      </c>
      <c r="AX340" s="197" t="str">
        <f>IF(AND($K340="x",AND(MAX(AR340:AT340)=AT340,AT340&lt;&gt;"")),Data!$BK$2,"")</f>
        <v/>
      </c>
      <c r="AY340" s="197"/>
      <c r="AZ340" s="328"/>
      <c r="BA340" s="455"/>
      <c r="BB340" s="456"/>
      <c r="BC340" s="444" t="str">
        <f t="shared" si="498"/>
        <v/>
      </c>
      <c r="BD340" s="328"/>
      <c r="BE340" s="197" t="str">
        <f>IF(AND($I340="x",AND(MAX(BA340:BC340)=BA340,BA340&lt;&gt;"")),Data!$BI$2,"")</f>
        <v/>
      </c>
      <c r="BF340" s="197" t="str">
        <f>IF(AND($J340="x",AND(MAX(BA340:BC340)=BB340,BB340&lt;&gt;"")),Data!$BJ$2,"")</f>
        <v/>
      </c>
      <c r="BG340" s="197" t="str">
        <f>IF(AND($K340="x",AND(MAX(BA340:BC340)=BC340,BC340&lt;&gt;"")),Data!$BK$2,"")</f>
        <v/>
      </c>
      <c r="BH340" s="197"/>
      <c r="BI340" s="328"/>
      <c r="BJ340" s="455"/>
      <c r="BK340" s="456"/>
      <c r="BL340" s="444" t="str">
        <f t="shared" si="499"/>
        <v/>
      </c>
      <c r="BM340" s="328"/>
      <c r="BN340" s="197" t="str">
        <f>IF(AND($I340="x",AND(MAX(BJ340:BL340)=BJ340,BJ340&lt;&gt;"")),Data!$BI$2,"")</f>
        <v/>
      </c>
      <c r="BO340" s="197" t="str">
        <f>IF(AND($J340="x",AND(MAX(BJ340:BL340)=BK340,BK340&lt;&gt;"")),Data!$BJ$2,"")</f>
        <v/>
      </c>
      <c r="BP340" s="197" t="str">
        <f>IF(AND($K340="x",AND(MAX(BJ340:BL340)=BL340,BL340&lt;&gt;"")),Data!$BK$2,"")</f>
        <v/>
      </c>
      <c r="BQ340" s="197"/>
      <c r="BR340" s="328"/>
      <c r="BS340" s="455"/>
      <c r="BT340" s="456"/>
      <c r="BU340" s="444" t="str">
        <f t="shared" si="500"/>
        <v/>
      </c>
      <c r="BV340" s="328"/>
      <c r="BW340" s="197" t="str">
        <f>IF(AND($I340="x",AND(MAX(BS340:BU340)=BS340,BS340&lt;&gt;"")),Data!$BI$2,"")</f>
        <v/>
      </c>
      <c r="BX340" s="197" t="str">
        <f>IF(AND($J340="x",AND(MAX(BS340:BU340)=BT340,BT340&lt;&gt;"")),Data!$BJ$2,"")</f>
        <v/>
      </c>
      <c r="BY340" s="197" t="str">
        <f>IF(AND($K340="x",AND(MAX(BS340:BU340)=BU340,BU340&lt;&gt;"")),Data!$BK$2,"")</f>
        <v/>
      </c>
      <c r="BZ340" s="197"/>
      <c r="CA340" s="328"/>
      <c r="CB340" s="463" t="str">
        <f t="shared" si="501"/>
        <v/>
      </c>
      <c r="CC340" s="464" t="str">
        <f t="shared" si="502"/>
        <v/>
      </c>
      <c r="CD340" s="465" t="str">
        <f t="shared" si="503"/>
        <v/>
      </c>
      <c r="CE340" s="328"/>
      <c r="CF340" s="197" t="str">
        <f>IF(AND($I340="x",AND(MAX(CB340:CD340)=CB340,CB340&lt;&gt;"")),Data!$BI$2,"")</f>
        <v/>
      </c>
      <c r="CG340" s="197" t="str">
        <f>IF(AND($J340="x",AND(MAX(CB340:CD340)=CC340,CC340&lt;&gt;"")),Data!$BJ$2,"")</f>
        <v/>
      </c>
      <c r="CH340" s="197" t="str">
        <f>IF(AND($K340="x",AND(MAX(CB340:CD340)=CD340,CD340&lt;&gt;"")),Data!$BK$2,"")</f>
        <v/>
      </c>
      <c r="CI340" s="197"/>
      <c r="CJ340" s="197"/>
      <c r="CK340" s="455"/>
      <c r="CL340" s="456"/>
      <c r="CM340" s="444" t="str">
        <f t="shared" si="504"/>
        <v/>
      </c>
      <c r="CN340" s="328"/>
      <c r="CO340" s="197" t="str">
        <f>IF(AND($I340="x",AND(MAX(CK340:CM340)=CK340,CK340&lt;&gt;"")),Data!$BI$2,"")</f>
        <v/>
      </c>
      <c r="CP340" s="197" t="str">
        <f>IF(AND($J340="x",AND(MAX(CK340:CM340)=CL340,CL340&lt;&gt;"")),Data!$BJ$2,"")</f>
        <v/>
      </c>
      <c r="CQ340" s="197" t="str">
        <f>IF(AND($K340="x",AND(MAX(CK340:CM340)=CM340,CM340&lt;&gt;"")),Data!$BK$2,"")</f>
        <v/>
      </c>
      <c r="CR340" s="197"/>
      <c r="CS340" s="197"/>
      <c r="CT340" s="328"/>
      <c r="CU340" s="255"/>
      <c r="CV340" s="209"/>
      <c r="CW340" s="227"/>
    </row>
    <row r="341" spans="1:101" x14ac:dyDescent="0.2">
      <c r="A341" s="227"/>
      <c r="B341" s="227"/>
      <c r="C341" s="168"/>
      <c r="D341" s="232"/>
      <c r="E341" s="134" t="s">
        <v>238</v>
      </c>
      <c r="F341" s="424"/>
      <c r="G341" s="428"/>
      <c r="H341" s="429"/>
      <c r="I341" s="138" t="str">
        <f t="shared" si="491"/>
        <v/>
      </c>
      <c r="J341" s="344" t="str">
        <f t="shared" si="492"/>
        <v/>
      </c>
      <c r="K341" s="345" t="str">
        <f t="shared" si="493"/>
        <v/>
      </c>
      <c r="L341" s="258"/>
      <c r="M341" s="332"/>
      <c r="N341" s="336"/>
      <c r="O341" s="200"/>
      <c r="P341" s="200"/>
      <c r="Q341" s="436"/>
      <c r="R341" s="437"/>
      <c r="S341" s="438" t="str">
        <f t="shared" si="494"/>
        <v/>
      </c>
      <c r="T341" s="328"/>
      <c r="U341" s="197" t="str">
        <f>IF(AND($I341="x",AND(MAX(Q341:S341)=Q341,Q341&gt;=0)),Data!$BI$2,"")</f>
        <v/>
      </c>
      <c r="V341" s="197" t="str">
        <f>IF(AND($J341="x",AND(MAX(Q341:S341)=R341,R341&gt;=0)),Data!$BJ$2,"")</f>
        <v/>
      </c>
      <c r="W341" s="197" t="str">
        <f>IF(AND($K341="x",AND(MAX(Q341:S341)=S341,S341&gt;=0)),Data!$BK$2,"")</f>
        <v/>
      </c>
      <c r="X341" s="197"/>
      <c r="Y341" s="328"/>
      <c r="Z341" s="451"/>
      <c r="AA341" s="452"/>
      <c r="AB341" s="438" t="str">
        <f t="shared" si="495"/>
        <v/>
      </c>
      <c r="AC341" s="328"/>
      <c r="AD341" s="197" t="str">
        <f>IF(AND($I341="x",AND(MAX(Z341:AB341)=Z341,Z341&lt;&gt;"")),Data!$BI$2,"")</f>
        <v/>
      </c>
      <c r="AE341" s="197" t="str">
        <f>IF(AND($J341="x",AND(MAX(Z341:AB341)=AA341,AA341&lt;&gt;"")),Data!$BJ$2,"")</f>
        <v/>
      </c>
      <c r="AF341" s="197" t="str">
        <f>IF(AND($K341="x",AND(MAX(Z341:AB341)=AB341,AB341&lt;&gt;"")),Data!$BK$2,"")</f>
        <v/>
      </c>
      <c r="AG341" s="197"/>
      <c r="AH341" s="328"/>
      <c r="AI341" s="451"/>
      <c r="AJ341" s="452"/>
      <c r="AK341" s="438" t="str">
        <f t="shared" si="496"/>
        <v/>
      </c>
      <c r="AL341" s="328"/>
      <c r="AM341" s="197" t="str">
        <f>IF(AND($I341="x",AND(MAX(AI341:AK341)=AI341,AI341&lt;&gt;"")),Data!$BI$2,"")</f>
        <v/>
      </c>
      <c r="AN341" s="197" t="str">
        <f>IF(AND($J341="x",AND(MAX(AI341:AK341)=AJ341,AJ341&lt;&gt;"")),Data!$BJ$2,"")</f>
        <v/>
      </c>
      <c r="AO341" s="197" t="str">
        <f>IF(AND($K341="x",AND(MAX(AI341:AK341)=AK341,AK341&lt;&gt;"")),Data!$BK$2,"")</f>
        <v/>
      </c>
      <c r="AP341" s="197"/>
      <c r="AQ341" s="328"/>
      <c r="AR341" s="451"/>
      <c r="AS341" s="452"/>
      <c r="AT341" s="438" t="str">
        <f t="shared" si="497"/>
        <v/>
      </c>
      <c r="AU341" s="328"/>
      <c r="AV341" s="197" t="str">
        <f>IF(AND($I341="x",AND(MAX(AR341:AT341)=AR341,AR341&lt;&gt;"")),Data!$BI$2,"")</f>
        <v/>
      </c>
      <c r="AW341" s="197" t="str">
        <f>IF(AND($J341="x",AND(MAX(AR341:AT341)=AS341,AS341&lt;&gt;"")),Data!$BJ$2,"")</f>
        <v/>
      </c>
      <c r="AX341" s="197" t="str">
        <f>IF(AND($K341="x",AND(MAX(AR341:AT341)=AT341,AT341&lt;&gt;"")),Data!$BK$2,"")</f>
        <v/>
      </c>
      <c r="AY341" s="197"/>
      <c r="AZ341" s="328"/>
      <c r="BA341" s="451"/>
      <c r="BB341" s="452"/>
      <c r="BC341" s="438" t="str">
        <f t="shared" si="498"/>
        <v/>
      </c>
      <c r="BD341" s="328"/>
      <c r="BE341" s="197" t="str">
        <f>IF(AND($I341="x",AND(MAX(BA341:BC341)=BA341,BA341&lt;&gt;"")),Data!$BI$2,"")</f>
        <v/>
      </c>
      <c r="BF341" s="197" t="str">
        <f>IF(AND($J341="x",AND(MAX(BA341:BC341)=BB341,BB341&lt;&gt;"")),Data!$BJ$2,"")</f>
        <v/>
      </c>
      <c r="BG341" s="197" t="str">
        <f>IF(AND($K341="x",AND(MAX(BA341:BC341)=BC341,BC341&lt;&gt;"")),Data!$BK$2,"")</f>
        <v/>
      </c>
      <c r="BH341" s="197"/>
      <c r="BI341" s="328"/>
      <c r="BJ341" s="451"/>
      <c r="BK341" s="452"/>
      <c r="BL341" s="438" t="str">
        <f t="shared" si="499"/>
        <v/>
      </c>
      <c r="BM341" s="328"/>
      <c r="BN341" s="197" t="str">
        <f>IF(AND($I341="x",AND(MAX(BJ341:BL341)=BJ341,BJ341&lt;&gt;"")),Data!$BI$2,"")</f>
        <v/>
      </c>
      <c r="BO341" s="197" t="str">
        <f>IF(AND($J341="x",AND(MAX(BJ341:BL341)=BK341,BK341&lt;&gt;"")),Data!$BJ$2,"")</f>
        <v/>
      </c>
      <c r="BP341" s="197" t="str">
        <f>IF(AND($K341="x",AND(MAX(BJ341:BL341)=BL341,BL341&lt;&gt;"")),Data!$BK$2,"")</f>
        <v/>
      </c>
      <c r="BQ341" s="197"/>
      <c r="BR341" s="328"/>
      <c r="BS341" s="451"/>
      <c r="BT341" s="452"/>
      <c r="BU341" s="438" t="str">
        <f t="shared" si="500"/>
        <v/>
      </c>
      <c r="BV341" s="328"/>
      <c r="BW341" s="197" t="str">
        <f>IF(AND($I341="x",AND(MAX(BS341:BU341)=BS341,BS341&lt;&gt;"")),Data!$BI$2,"")</f>
        <v/>
      </c>
      <c r="BX341" s="197" t="str">
        <f>IF(AND($J341="x",AND(MAX(BS341:BU341)=BT341,BT341&lt;&gt;"")),Data!$BJ$2,"")</f>
        <v/>
      </c>
      <c r="BY341" s="197" t="str">
        <f>IF(AND($K341="x",AND(MAX(BS341:BU341)=BU341,BU341&lt;&gt;"")),Data!$BK$2,"")</f>
        <v/>
      </c>
      <c r="BZ341" s="197"/>
      <c r="CA341" s="328"/>
      <c r="CB341" s="457" t="str">
        <f t="shared" si="501"/>
        <v/>
      </c>
      <c r="CC341" s="458" t="str">
        <f t="shared" si="502"/>
        <v/>
      </c>
      <c r="CD341" s="459" t="str">
        <f t="shared" si="503"/>
        <v/>
      </c>
      <c r="CE341" s="328"/>
      <c r="CF341" s="197" t="str">
        <f>IF(AND($I341="x",AND(MAX(CB341:CD341)=CB341,CB341&lt;&gt;"")),Data!$BI$2,"")</f>
        <v/>
      </c>
      <c r="CG341" s="197" t="str">
        <f>IF(AND($J341="x",AND(MAX(CB341:CD341)=CC341,CC341&lt;&gt;"")),Data!$BJ$2,"")</f>
        <v/>
      </c>
      <c r="CH341" s="197" t="str">
        <f>IF(AND($K341="x",AND(MAX(CB341:CD341)=CD341,CD341&lt;&gt;"")),Data!$BK$2,"")</f>
        <v/>
      </c>
      <c r="CI341" s="197"/>
      <c r="CJ341" s="197"/>
      <c r="CK341" s="451"/>
      <c r="CL341" s="452"/>
      <c r="CM341" s="438" t="str">
        <f t="shared" si="504"/>
        <v/>
      </c>
      <c r="CN341" s="328"/>
      <c r="CO341" s="197" t="str">
        <f>IF(AND($I341="x",AND(MAX(CK341:CM341)=CK341,CK341&lt;&gt;"")),Data!$BI$2,"")</f>
        <v/>
      </c>
      <c r="CP341" s="197" t="str">
        <f>IF(AND($J341="x",AND(MAX(CK341:CM341)=CL341,CL341&lt;&gt;"")),Data!$BJ$2,"")</f>
        <v/>
      </c>
      <c r="CQ341" s="197" t="str">
        <f>IF(AND($K341="x",AND(MAX(CK341:CM341)=CM341,CM341&lt;&gt;"")),Data!$BK$2,"")</f>
        <v/>
      </c>
      <c r="CR341" s="197"/>
      <c r="CS341" s="197"/>
      <c r="CT341" s="328"/>
      <c r="CU341" s="255"/>
      <c r="CV341" s="209"/>
      <c r="CW341" s="227"/>
    </row>
    <row r="342" spans="1:101" x14ac:dyDescent="0.2">
      <c r="A342" s="227"/>
      <c r="B342" s="227"/>
      <c r="C342" s="168"/>
      <c r="D342" s="232"/>
      <c r="E342" s="135" t="s">
        <v>239</v>
      </c>
      <c r="F342" s="425"/>
      <c r="G342" s="430"/>
      <c r="H342" s="431"/>
      <c r="I342" s="346" t="str">
        <f t="shared" si="491"/>
        <v/>
      </c>
      <c r="J342" s="347" t="str">
        <f t="shared" si="492"/>
        <v/>
      </c>
      <c r="K342" s="348" t="str">
        <f t="shared" si="493"/>
        <v/>
      </c>
      <c r="L342" s="258"/>
      <c r="M342" s="332"/>
      <c r="N342" s="336"/>
      <c r="O342" s="200"/>
      <c r="P342" s="200"/>
      <c r="Q342" s="439"/>
      <c r="R342" s="440"/>
      <c r="S342" s="441" t="str">
        <f t="shared" si="494"/>
        <v/>
      </c>
      <c r="T342" s="328"/>
      <c r="U342" s="197" t="str">
        <f>IF(AND($I342="x",AND(MAX(Q342:S342)=Q342,Q342&gt;=0)),Data!$BI$2,"")</f>
        <v/>
      </c>
      <c r="V342" s="197" t="str">
        <f>IF(AND($J342="x",AND(MAX(Q342:S342)=R342,R342&gt;=0)),Data!$BJ$2,"")</f>
        <v/>
      </c>
      <c r="W342" s="197" t="str">
        <f>IF(AND($K342="x",AND(MAX(Q342:S342)=S342,S342&gt;=0)),Data!$BK$2,"")</f>
        <v/>
      </c>
      <c r="X342" s="197"/>
      <c r="Y342" s="328"/>
      <c r="Z342" s="453"/>
      <c r="AA342" s="454"/>
      <c r="AB342" s="441" t="str">
        <f t="shared" si="495"/>
        <v/>
      </c>
      <c r="AC342" s="328"/>
      <c r="AD342" s="197" t="str">
        <f>IF(AND($I342="x",AND(MAX(Z342:AB342)=Z342,Z342&lt;&gt;"")),Data!$BI$2,"")</f>
        <v/>
      </c>
      <c r="AE342" s="197" t="str">
        <f>IF(AND($J342="x",AND(MAX(Z342:AB342)=AA342,AA342&lt;&gt;"")),Data!$BJ$2,"")</f>
        <v/>
      </c>
      <c r="AF342" s="197" t="str">
        <f>IF(AND($K342="x",AND(MAX(Z342:AB342)=AB342,AB342&lt;&gt;"")),Data!$BK$2,"")</f>
        <v/>
      </c>
      <c r="AG342" s="197"/>
      <c r="AH342" s="328"/>
      <c r="AI342" s="453"/>
      <c r="AJ342" s="454"/>
      <c r="AK342" s="441" t="str">
        <f t="shared" si="496"/>
        <v/>
      </c>
      <c r="AL342" s="328"/>
      <c r="AM342" s="197" t="str">
        <f>IF(AND($I342="x",AND(MAX(AI342:AK342)=AI342,AI342&lt;&gt;"")),Data!$BI$2,"")</f>
        <v/>
      </c>
      <c r="AN342" s="197" t="str">
        <f>IF(AND($J342="x",AND(MAX(AI342:AK342)=AJ342,AJ342&lt;&gt;"")),Data!$BJ$2,"")</f>
        <v/>
      </c>
      <c r="AO342" s="197" t="str">
        <f>IF(AND($K342="x",AND(MAX(AI342:AK342)=AK342,AK342&lt;&gt;"")),Data!$BK$2,"")</f>
        <v/>
      </c>
      <c r="AP342" s="197"/>
      <c r="AQ342" s="328"/>
      <c r="AR342" s="453"/>
      <c r="AS342" s="454"/>
      <c r="AT342" s="441" t="str">
        <f t="shared" si="497"/>
        <v/>
      </c>
      <c r="AU342" s="328"/>
      <c r="AV342" s="197" t="str">
        <f>IF(AND($I342="x",AND(MAX(AR342:AT342)=AR342,AR342&lt;&gt;"")),Data!$BI$2,"")</f>
        <v/>
      </c>
      <c r="AW342" s="197" t="str">
        <f>IF(AND($J342="x",AND(MAX(AR342:AT342)=AS342,AS342&lt;&gt;"")),Data!$BJ$2,"")</f>
        <v/>
      </c>
      <c r="AX342" s="197" t="str">
        <f>IF(AND($K342="x",AND(MAX(AR342:AT342)=AT342,AT342&lt;&gt;"")),Data!$BK$2,"")</f>
        <v/>
      </c>
      <c r="AY342" s="197"/>
      <c r="AZ342" s="328"/>
      <c r="BA342" s="453"/>
      <c r="BB342" s="454"/>
      <c r="BC342" s="441" t="str">
        <f t="shared" si="498"/>
        <v/>
      </c>
      <c r="BD342" s="328"/>
      <c r="BE342" s="197" t="str">
        <f>IF(AND($I342="x",AND(MAX(BA342:BC342)=BA342,BA342&lt;&gt;"")),Data!$BI$2,"")</f>
        <v/>
      </c>
      <c r="BF342" s="197" t="str">
        <f>IF(AND($J342="x",AND(MAX(BA342:BC342)=BB342,BB342&lt;&gt;"")),Data!$BJ$2,"")</f>
        <v/>
      </c>
      <c r="BG342" s="197" t="str">
        <f>IF(AND($K342="x",AND(MAX(BA342:BC342)=BC342,BC342&lt;&gt;"")),Data!$BK$2,"")</f>
        <v/>
      </c>
      <c r="BH342" s="197"/>
      <c r="BI342" s="328"/>
      <c r="BJ342" s="453"/>
      <c r="BK342" s="454"/>
      <c r="BL342" s="441" t="str">
        <f t="shared" si="499"/>
        <v/>
      </c>
      <c r="BM342" s="328"/>
      <c r="BN342" s="197" t="str">
        <f>IF(AND($I342="x",AND(MAX(BJ342:BL342)=BJ342,BJ342&lt;&gt;"")),Data!$BI$2,"")</f>
        <v/>
      </c>
      <c r="BO342" s="197" t="str">
        <f>IF(AND($J342="x",AND(MAX(BJ342:BL342)=BK342,BK342&lt;&gt;"")),Data!$BJ$2,"")</f>
        <v/>
      </c>
      <c r="BP342" s="197" t="str">
        <f>IF(AND($K342="x",AND(MAX(BJ342:BL342)=BL342,BL342&lt;&gt;"")),Data!$BK$2,"")</f>
        <v/>
      </c>
      <c r="BQ342" s="197"/>
      <c r="BR342" s="328"/>
      <c r="BS342" s="453"/>
      <c r="BT342" s="454"/>
      <c r="BU342" s="441" t="str">
        <f t="shared" si="500"/>
        <v/>
      </c>
      <c r="BV342" s="328"/>
      <c r="BW342" s="197" t="str">
        <f>IF(AND($I342="x",AND(MAX(BS342:BU342)=BS342,BS342&lt;&gt;"")),Data!$BI$2,"")</f>
        <v/>
      </c>
      <c r="BX342" s="197" t="str">
        <f>IF(AND($J342="x",AND(MAX(BS342:BU342)=BT342,BT342&lt;&gt;"")),Data!$BJ$2,"")</f>
        <v/>
      </c>
      <c r="BY342" s="197" t="str">
        <f>IF(AND($K342="x",AND(MAX(BS342:BU342)=BU342,BU342&lt;&gt;"")),Data!$BK$2,"")</f>
        <v/>
      </c>
      <c r="BZ342" s="197"/>
      <c r="CA342" s="328"/>
      <c r="CB342" s="460" t="str">
        <f t="shared" si="501"/>
        <v/>
      </c>
      <c r="CC342" s="461" t="str">
        <f t="shared" si="502"/>
        <v/>
      </c>
      <c r="CD342" s="462" t="str">
        <f t="shared" si="503"/>
        <v/>
      </c>
      <c r="CE342" s="328"/>
      <c r="CF342" s="197" t="str">
        <f>IF(AND($I342="x",AND(MAX(CB342:CD342)=CB342,CB342&lt;&gt;"")),Data!$BI$2,"")</f>
        <v/>
      </c>
      <c r="CG342" s="197" t="str">
        <f>IF(AND($J342="x",AND(MAX(CB342:CD342)=CC342,CC342&lt;&gt;"")),Data!$BJ$2,"")</f>
        <v/>
      </c>
      <c r="CH342" s="197" t="str">
        <f>IF(AND($K342="x",AND(MAX(CB342:CD342)=CD342,CD342&lt;&gt;"")),Data!$BK$2,"")</f>
        <v/>
      </c>
      <c r="CI342" s="197"/>
      <c r="CJ342" s="197"/>
      <c r="CK342" s="453"/>
      <c r="CL342" s="454"/>
      <c r="CM342" s="441" t="str">
        <f t="shared" si="504"/>
        <v/>
      </c>
      <c r="CN342" s="328"/>
      <c r="CO342" s="197" t="str">
        <f>IF(AND($I342="x",AND(MAX(CK342:CM342)=CK342,CK342&lt;&gt;"")),Data!$BI$2,"")</f>
        <v/>
      </c>
      <c r="CP342" s="197" t="str">
        <f>IF(AND($J342="x",AND(MAX(CK342:CM342)=CL342,CL342&lt;&gt;"")),Data!$BJ$2,"")</f>
        <v/>
      </c>
      <c r="CQ342" s="197" t="str">
        <f>IF(AND($K342="x",AND(MAX(CK342:CM342)=CM342,CM342&lt;&gt;"")),Data!$BK$2,"")</f>
        <v/>
      </c>
      <c r="CR342" s="197"/>
      <c r="CS342" s="197"/>
      <c r="CT342" s="328"/>
      <c r="CU342" s="255"/>
      <c r="CV342" s="209"/>
      <c r="CW342" s="227"/>
    </row>
    <row r="343" spans="1:101" x14ac:dyDescent="0.2">
      <c r="A343" s="227"/>
      <c r="B343" s="227"/>
      <c r="C343" s="168"/>
      <c r="D343" s="232"/>
      <c r="E343" s="136" t="s">
        <v>240</v>
      </c>
      <c r="F343" s="426"/>
      <c r="G343" s="432"/>
      <c r="H343" s="433"/>
      <c r="I343" s="349" t="str">
        <f t="shared" si="491"/>
        <v/>
      </c>
      <c r="J343" s="350" t="str">
        <f t="shared" si="492"/>
        <v/>
      </c>
      <c r="K343" s="351" t="str">
        <f t="shared" si="493"/>
        <v/>
      </c>
      <c r="L343" s="258"/>
      <c r="M343" s="332"/>
      <c r="N343" s="336"/>
      <c r="O343" s="200"/>
      <c r="P343" s="200"/>
      <c r="Q343" s="445"/>
      <c r="R343" s="446"/>
      <c r="S343" s="447" t="str">
        <f t="shared" si="494"/>
        <v/>
      </c>
      <c r="T343" s="328"/>
      <c r="U343" s="197" t="str">
        <f>IF(AND($I343="x",AND(MAX(Q343:S343)=Q343,Q343&gt;=0)),Data!$BI$2,"")</f>
        <v/>
      </c>
      <c r="V343" s="197" t="str">
        <f>IF(AND($J343="x",AND(MAX(Q343:S343)=R343,R343&gt;=0)),Data!$BJ$2,"")</f>
        <v/>
      </c>
      <c r="W343" s="197" t="str">
        <f>IF(AND($K343="x",AND(MAX(Q343:S343)=S343,S343&gt;=0)),Data!$BK$2,"")</f>
        <v/>
      </c>
      <c r="X343" s="197"/>
      <c r="Y343" s="328"/>
      <c r="Z343" s="455"/>
      <c r="AA343" s="456"/>
      <c r="AB343" s="447" t="str">
        <f t="shared" si="495"/>
        <v/>
      </c>
      <c r="AC343" s="328"/>
      <c r="AD343" s="197" t="str">
        <f>IF(AND($I343="x",AND(MAX(Z343:AB343)=Z343,Z343&lt;&gt;"")),Data!$BI$2,"")</f>
        <v/>
      </c>
      <c r="AE343" s="197" t="str">
        <f>IF(AND($J343="x",AND(MAX(Z343:AB343)=AA343,AA343&lt;&gt;"")),Data!$BJ$2,"")</f>
        <v/>
      </c>
      <c r="AF343" s="197" t="str">
        <f>IF(AND($K343="x",AND(MAX(Z343:AB343)=AB343,AB343&lt;&gt;"")),Data!$BK$2,"")</f>
        <v/>
      </c>
      <c r="AG343" s="197"/>
      <c r="AH343" s="328"/>
      <c r="AI343" s="455"/>
      <c r="AJ343" s="456"/>
      <c r="AK343" s="447" t="str">
        <f t="shared" si="496"/>
        <v/>
      </c>
      <c r="AL343" s="328"/>
      <c r="AM343" s="197" t="str">
        <f>IF(AND($I343="x",AND(MAX(AI343:AK343)=AI343,AI343&lt;&gt;"")),Data!$BI$2,"")</f>
        <v/>
      </c>
      <c r="AN343" s="197" t="str">
        <f>IF(AND($J343="x",AND(MAX(AI343:AK343)=AJ343,AJ343&lt;&gt;"")),Data!$BJ$2,"")</f>
        <v/>
      </c>
      <c r="AO343" s="197" t="str">
        <f>IF(AND($K343="x",AND(MAX(AI343:AK343)=AK343,AK343&lt;&gt;"")),Data!$BK$2,"")</f>
        <v/>
      </c>
      <c r="AP343" s="197"/>
      <c r="AQ343" s="328"/>
      <c r="AR343" s="455"/>
      <c r="AS343" s="456"/>
      <c r="AT343" s="447" t="str">
        <f t="shared" si="497"/>
        <v/>
      </c>
      <c r="AU343" s="328"/>
      <c r="AV343" s="197" t="str">
        <f>IF(AND($I343="x",AND(MAX(AR343:AT343)=AR343,AR343&lt;&gt;"")),Data!$BI$2,"")</f>
        <v/>
      </c>
      <c r="AW343" s="197" t="str">
        <f>IF(AND($J343="x",AND(MAX(AR343:AT343)=AS343,AS343&lt;&gt;"")),Data!$BJ$2,"")</f>
        <v/>
      </c>
      <c r="AX343" s="197" t="str">
        <f>IF(AND($K343="x",AND(MAX(AR343:AT343)=AT343,AT343&lt;&gt;"")),Data!$BK$2,"")</f>
        <v/>
      </c>
      <c r="AY343" s="197"/>
      <c r="AZ343" s="328"/>
      <c r="BA343" s="455"/>
      <c r="BB343" s="456"/>
      <c r="BC343" s="447" t="str">
        <f t="shared" si="498"/>
        <v/>
      </c>
      <c r="BD343" s="328"/>
      <c r="BE343" s="197" t="str">
        <f>IF(AND($I343="x",AND(MAX(BA343:BC343)=BA343,BA343&lt;&gt;"")),Data!$BI$2,"")</f>
        <v/>
      </c>
      <c r="BF343" s="197" t="str">
        <f>IF(AND($J343="x",AND(MAX(BA343:BC343)=BB343,BB343&lt;&gt;"")),Data!$BJ$2,"")</f>
        <v/>
      </c>
      <c r="BG343" s="197" t="str">
        <f>IF(AND($K343="x",AND(MAX(BA343:BC343)=BC343,BC343&lt;&gt;"")),Data!$BK$2,"")</f>
        <v/>
      </c>
      <c r="BH343" s="197"/>
      <c r="BI343" s="328"/>
      <c r="BJ343" s="455"/>
      <c r="BK343" s="456"/>
      <c r="BL343" s="447" t="str">
        <f t="shared" si="499"/>
        <v/>
      </c>
      <c r="BM343" s="328"/>
      <c r="BN343" s="197" t="str">
        <f>IF(AND($I343="x",AND(MAX(BJ343:BL343)=BJ343,BJ343&lt;&gt;"")),Data!$BI$2,"")</f>
        <v/>
      </c>
      <c r="BO343" s="197" t="str">
        <f>IF(AND($J343="x",AND(MAX(BJ343:BL343)=BK343,BK343&lt;&gt;"")),Data!$BJ$2,"")</f>
        <v/>
      </c>
      <c r="BP343" s="197" t="str">
        <f>IF(AND($K343="x",AND(MAX(BJ343:BL343)=BL343,BL343&lt;&gt;"")),Data!$BK$2,"")</f>
        <v/>
      </c>
      <c r="BQ343" s="197"/>
      <c r="BR343" s="328"/>
      <c r="BS343" s="455"/>
      <c r="BT343" s="456"/>
      <c r="BU343" s="447" t="str">
        <f t="shared" si="500"/>
        <v/>
      </c>
      <c r="BV343" s="328"/>
      <c r="BW343" s="197" t="str">
        <f>IF(AND($I343="x",AND(MAX(BS343:BU343)=BS343,BS343&lt;&gt;"")),Data!$BI$2,"")</f>
        <v/>
      </c>
      <c r="BX343" s="197" t="str">
        <f>IF(AND($J343="x",AND(MAX(BS343:BU343)=BT343,BT343&lt;&gt;"")),Data!$BJ$2,"")</f>
        <v/>
      </c>
      <c r="BY343" s="197" t="str">
        <f>IF(AND($K343="x",AND(MAX(BS343:BU343)=BU343,BU343&lt;&gt;"")),Data!$BK$2,"")</f>
        <v/>
      </c>
      <c r="BZ343" s="197"/>
      <c r="CA343" s="328"/>
      <c r="CB343" s="463" t="str">
        <f t="shared" si="501"/>
        <v/>
      </c>
      <c r="CC343" s="464" t="str">
        <f t="shared" si="502"/>
        <v/>
      </c>
      <c r="CD343" s="465" t="str">
        <f t="shared" si="503"/>
        <v/>
      </c>
      <c r="CE343" s="328"/>
      <c r="CF343" s="197" t="str">
        <f>IF(AND($I343="x",AND(MAX(CB343:CD343)=CB343,CB343&lt;&gt;"")),Data!$BI$2,"")</f>
        <v/>
      </c>
      <c r="CG343" s="197" t="str">
        <f>IF(AND($J343="x",AND(MAX(CB343:CD343)=CC343,CC343&lt;&gt;"")),Data!$BJ$2,"")</f>
        <v/>
      </c>
      <c r="CH343" s="197" t="str">
        <f>IF(AND($K343="x",AND(MAX(CB343:CD343)=CD343,CD343&lt;&gt;"")),Data!$BK$2,"")</f>
        <v/>
      </c>
      <c r="CI343" s="197"/>
      <c r="CJ343" s="197"/>
      <c r="CK343" s="455"/>
      <c r="CL343" s="456"/>
      <c r="CM343" s="447" t="str">
        <f t="shared" si="504"/>
        <v/>
      </c>
      <c r="CN343" s="328"/>
      <c r="CO343" s="197" t="str">
        <f>IF(AND($I343="x",AND(MAX(CK343:CM343)=CK343,CK343&lt;&gt;"")),Data!$BI$2,"")</f>
        <v/>
      </c>
      <c r="CP343" s="197" t="str">
        <f>IF(AND($J343="x",AND(MAX(CK343:CM343)=CL343,CL343&lt;&gt;"")),Data!$BJ$2,"")</f>
        <v/>
      </c>
      <c r="CQ343" s="197" t="str">
        <f>IF(AND($K343="x",AND(MAX(CK343:CM343)=CM343,CM343&lt;&gt;"")),Data!$BK$2,"")</f>
        <v/>
      </c>
      <c r="CR343" s="197"/>
      <c r="CS343" s="197"/>
      <c r="CT343" s="328"/>
      <c r="CU343" s="255"/>
      <c r="CV343" s="209"/>
      <c r="CW343" s="227"/>
    </row>
    <row r="344" spans="1:101" x14ac:dyDescent="0.2">
      <c r="A344" s="227"/>
      <c r="B344" s="227"/>
      <c r="C344" s="168"/>
      <c r="D344" s="232"/>
      <c r="E344" s="134" t="s">
        <v>241</v>
      </c>
      <c r="F344" s="424"/>
      <c r="G344" s="428"/>
      <c r="H344" s="429"/>
      <c r="I344" s="138" t="str">
        <f t="shared" si="491"/>
        <v/>
      </c>
      <c r="J344" s="344" t="str">
        <f t="shared" si="492"/>
        <v/>
      </c>
      <c r="K344" s="345" t="str">
        <f t="shared" si="493"/>
        <v/>
      </c>
      <c r="L344" s="258"/>
      <c r="M344" s="332"/>
      <c r="N344" s="336"/>
      <c r="O344" s="200"/>
      <c r="P344" s="200"/>
      <c r="Q344" s="436"/>
      <c r="R344" s="437"/>
      <c r="S344" s="438" t="str">
        <f t="shared" si="494"/>
        <v/>
      </c>
      <c r="T344" s="328"/>
      <c r="U344" s="197" t="str">
        <f>IF(AND($I344="x",AND(MAX(Q344:S344)=Q344,Q344&gt;=0)),Data!$BI$2,"")</f>
        <v/>
      </c>
      <c r="V344" s="197" t="str">
        <f>IF(AND($J344="x",AND(MAX(Q344:S344)=R344,R344&gt;=0)),Data!$BJ$2,"")</f>
        <v/>
      </c>
      <c r="W344" s="197" t="str">
        <f>IF(AND($K344="x",AND(MAX(Q344:S344)=S344,S344&gt;=0)),Data!$BK$2,"")</f>
        <v/>
      </c>
      <c r="X344" s="197"/>
      <c r="Y344" s="328"/>
      <c r="Z344" s="451"/>
      <c r="AA344" s="452"/>
      <c r="AB344" s="438" t="str">
        <f t="shared" si="495"/>
        <v/>
      </c>
      <c r="AC344" s="328"/>
      <c r="AD344" s="197" t="str">
        <f>IF(AND($I344="x",AND(MAX(Z344:AB344)=Z344,Z344&lt;&gt;"")),Data!$BI$2,"")</f>
        <v/>
      </c>
      <c r="AE344" s="197" t="str">
        <f>IF(AND($J344="x",AND(MAX(Z344:AB344)=AA344,AA344&lt;&gt;"")),Data!$BJ$2,"")</f>
        <v/>
      </c>
      <c r="AF344" s="197" t="str">
        <f>IF(AND($K344="x",AND(MAX(Z344:AB344)=AB344,AB344&lt;&gt;"")),Data!$BK$2,"")</f>
        <v/>
      </c>
      <c r="AG344" s="197"/>
      <c r="AH344" s="328"/>
      <c r="AI344" s="451"/>
      <c r="AJ344" s="452"/>
      <c r="AK344" s="438" t="str">
        <f t="shared" si="496"/>
        <v/>
      </c>
      <c r="AL344" s="328"/>
      <c r="AM344" s="197" t="str">
        <f>IF(AND($I344="x",AND(MAX(AI344:AK344)=AI344,AI344&lt;&gt;"")),Data!$BI$2,"")</f>
        <v/>
      </c>
      <c r="AN344" s="197" t="str">
        <f>IF(AND($J344="x",AND(MAX(AI344:AK344)=AJ344,AJ344&lt;&gt;"")),Data!$BJ$2,"")</f>
        <v/>
      </c>
      <c r="AO344" s="197" t="str">
        <f>IF(AND($K344="x",AND(MAX(AI344:AK344)=AK344,AK344&lt;&gt;"")),Data!$BK$2,"")</f>
        <v/>
      </c>
      <c r="AP344" s="197"/>
      <c r="AQ344" s="328"/>
      <c r="AR344" s="451"/>
      <c r="AS344" s="452"/>
      <c r="AT344" s="438" t="str">
        <f t="shared" si="497"/>
        <v/>
      </c>
      <c r="AU344" s="328"/>
      <c r="AV344" s="197" t="str">
        <f>IF(AND($I344="x",AND(MAX(AR344:AT344)=AR344,AR344&lt;&gt;"")),Data!$BI$2,"")</f>
        <v/>
      </c>
      <c r="AW344" s="197" t="str">
        <f>IF(AND($J344="x",AND(MAX(AR344:AT344)=AS344,AS344&lt;&gt;"")),Data!$BJ$2,"")</f>
        <v/>
      </c>
      <c r="AX344" s="197" t="str">
        <f>IF(AND($K344="x",AND(MAX(AR344:AT344)=AT344,AT344&lt;&gt;"")),Data!$BK$2,"")</f>
        <v/>
      </c>
      <c r="AY344" s="197"/>
      <c r="AZ344" s="328"/>
      <c r="BA344" s="451"/>
      <c r="BB344" s="452"/>
      <c r="BC344" s="438" t="str">
        <f t="shared" si="498"/>
        <v/>
      </c>
      <c r="BD344" s="328"/>
      <c r="BE344" s="197" t="str">
        <f>IF(AND($I344="x",AND(MAX(BA344:BC344)=BA344,BA344&lt;&gt;"")),Data!$BI$2,"")</f>
        <v/>
      </c>
      <c r="BF344" s="197" t="str">
        <f>IF(AND($J344="x",AND(MAX(BA344:BC344)=BB344,BB344&lt;&gt;"")),Data!$BJ$2,"")</f>
        <v/>
      </c>
      <c r="BG344" s="197" t="str">
        <f>IF(AND($K344="x",AND(MAX(BA344:BC344)=BC344,BC344&lt;&gt;"")),Data!$BK$2,"")</f>
        <v/>
      </c>
      <c r="BH344" s="197"/>
      <c r="BI344" s="328"/>
      <c r="BJ344" s="451"/>
      <c r="BK344" s="452"/>
      <c r="BL344" s="438" t="str">
        <f t="shared" si="499"/>
        <v/>
      </c>
      <c r="BM344" s="328"/>
      <c r="BN344" s="197" t="str">
        <f>IF(AND($I344="x",AND(MAX(BJ344:BL344)=BJ344,BJ344&lt;&gt;"")),Data!$BI$2,"")</f>
        <v/>
      </c>
      <c r="BO344" s="197" t="str">
        <f>IF(AND($J344="x",AND(MAX(BJ344:BL344)=BK344,BK344&lt;&gt;"")),Data!$BJ$2,"")</f>
        <v/>
      </c>
      <c r="BP344" s="197" t="str">
        <f>IF(AND($K344="x",AND(MAX(BJ344:BL344)=BL344,BL344&lt;&gt;"")),Data!$BK$2,"")</f>
        <v/>
      </c>
      <c r="BQ344" s="197"/>
      <c r="BR344" s="328"/>
      <c r="BS344" s="451"/>
      <c r="BT344" s="452"/>
      <c r="BU344" s="438" t="str">
        <f t="shared" si="500"/>
        <v/>
      </c>
      <c r="BV344" s="328"/>
      <c r="BW344" s="197" t="str">
        <f>IF(AND($I344="x",AND(MAX(BS344:BU344)=BS344,BS344&lt;&gt;"")),Data!$BI$2,"")</f>
        <v/>
      </c>
      <c r="BX344" s="197" t="str">
        <f>IF(AND($J344="x",AND(MAX(BS344:BU344)=BT344,BT344&lt;&gt;"")),Data!$BJ$2,"")</f>
        <v/>
      </c>
      <c r="BY344" s="197" t="str">
        <f>IF(AND($K344="x",AND(MAX(BS344:BU344)=BU344,BU344&lt;&gt;"")),Data!$BK$2,"")</f>
        <v/>
      </c>
      <c r="BZ344" s="197"/>
      <c r="CA344" s="328"/>
      <c r="CB344" s="457" t="str">
        <f t="shared" si="501"/>
        <v/>
      </c>
      <c r="CC344" s="458" t="str">
        <f t="shared" si="502"/>
        <v/>
      </c>
      <c r="CD344" s="459" t="str">
        <f t="shared" si="503"/>
        <v/>
      </c>
      <c r="CE344" s="328"/>
      <c r="CF344" s="197" t="str">
        <f>IF(AND($I344="x",AND(MAX(CB344:CD344)=CB344,CB344&lt;&gt;"")),Data!$BI$2,"")</f>
        <v/>
      </c>
      <c r="CG344" s="197" t="str">
        <f>IF(AND($J344="x",AND(MAX(CB344:CD344)=CC344,CC344&lt;&gt;"")),Data!$BJ$2,"")</f>
        <v/>
      </c>
      <c r="CH344" s="197" t="str">
        <f>IF(AND($K344="x",AND(MAX(CB344:CD344)=CD344,CD344&lt;&gt;"")),Data!$BK$2,"")</f>
        <v/>
      </c>
      <c r="CI344" s="197"/>
      <c r="CJ344" s="197"/>
      <c r="CK344" s="451"/>
      <c r="CL344" s="452"/>
      <c r="CM344" s="438" t="str">
        <f t="shared" si="504"/>
        <v/>
      </c>
      <c r="CN344" s="328"/>
      <c r="CO344" s="197" t="str">
        <f>IF(AND($I344="x",AND(MAX(CK344:CM344)=CK344,CK344&lt;&gt;"")),Data!$BI$2,"")</f>
        <v/>
      </c>
      <c r="CP344" s="197" t="str">
        <f>IF(AND($J344="x",AND(MAX(CK344:CM344)=CL344,CL344&lt;&gt;"")),Data!$BJ$2,"")</f>
        <v/>
      </c>
      <c r="CQ344" s="197" t="str">
        <f>IF(AND($K344="x",AND(MAX(CK344:CM344)=CM344,CM344&lt;&gt;"")),Data!$BK$2,"")</f>
        <v/>
      </c>
      <c r="CR344" s="197"/>
      <c r="CS344" s="197"/>
      <c r="CT344" s="328"/>
      <c r="CU344" s="259"/>
      <c r="CV344" s="209"/>
      <c r="CW344" s="227"/>
    </row>
    <row r="345" spans="1:101" x14ac:dyDescent="0.2">
      <c r="A345" s="227"/>
      <c r="B345" s="227"/>
      <c r="C345" s="168"/>
      <c r="D345" s="232"/>
      <c r="E345" s="135" t="s">
        <v>242</v>
      </c>
      <c r="F345" s="425"/>
      <c r="G345" s="430"/>
      <c r="H345" s="431"/>
      <c r="I345" s="346" t="str">
        <f t="shared" si="491"/>
        <v/>
      </c>
      <c r="J345" s="347" t="str">
        <f t="shared" si="492"/>
        <v/>
      </c>
      <c r="K345" s="348" t="str">
        <f t="shared" si="493"/>
        <v/>
      </c>
      <c r="L345" s="258"/>
      <c r="M345" s="332"/>
      <c r="N345" s="336"/>
      <c r="O345" s="200"/>
      <c r="P345" s="200"/>
      <c r="Q345" s="439"/>
      <c r="R345" s="440"/>
      <c r="S345" s="441" t="str">
        <f t="shared" si="494"/>
        <v/>
      </c>
      <c r="T345" s="328"/>
      <c r="U345" s="197" t="str">
        <f>IF(AND($I345="x",AND(MAX(Q345:S345)=Q345,Q345&gt;=0)),Data!$BI$2,"")</f>
        <v/>
      </c>
      <c r="V345" s="197" t="str">
        <f>IF(AND($J345="x",AND(MAX(Q345:S345)=R345,R345&gt;=0)),Data!$BJ$2,"")</f>
        <v/>
      </c>
      <c r="W345" s="197" t="str">
        <f>IF(AND($K345="x",AND(MAX(Q345:S345)=S345,S345&gt;=0)),Data!$BK$2,"")</f>
        <v/>
      </c>
      <c r="X345" s="197"/>
      <c r="Y345" s="328"/>
      <c r="Z345" s="453"/>
      <c r="AA345" s="454"/>
      <c r="AB345" s="441" t="str">
        <f t="shared" si="495"/>
        <v/>
      </c>
      <c r="AC345" s="328"/>
      <c r="AD345" s="197" t="str">
        <f>IF(AND($I345="x",AND(MAX(Z345:AB345)=Z345,Z345&lt;&gt;"")),Data!$BI$2,"")</f>
        <v/>
      </c>
      <c r="AE345" s="197" t="str">
        <f>IF(AND($J345="x",AND(MAX(Z345:AB345)=AA345,AA345&lt;&gt;"")),Data!$BJ$2,"")</f>
        <v/>
      </c>
      <c r="AF345" s="197" t="str">
        <f>IF(AND($K345="x",AND(MAX(Z345:AB345)=AB345,AB345&lt;&gt;"")),Data!$BK$2,"")</f>
        <v/>
      </c>
      <c r="AG345" s="197"/>
      <c r="AH345" s="328"/>
      <c r="AI345" s="453"/>
      <c r="AJ345" s="454"/>
      <c r="AK345" s="441" t="str">
        <f t="shared" si="496"/>
        <v/>
      </c>
      <c r="AL345" s="328"/>
      <c r="AM345" s="197" t="str">
        <f>IF(AND($I345="x",AND(MAX(AI345:AK345)=AI345,AI345&lt;&gt;"")),Data!$BI$2,"")</f>
        <v/>
      </c>
      <c r="AN345" s="197" t="str">
        <f>IF(AND($J345="x",AND(MAX(AI345:AK345)=AJ345,AJ345&lt;&gt;"")),Data!$BJ$2,"")</f>
        <v/>
      </c>
      <c r="AO345" s="197" t="str">
        <f>IF(AND($K345="x",AND(MAX(AI345:AK345)=AK345,AK345&lt;&gt;"")),Data!$BK$2,"")</f>
        <v/>
      </c>
      <c r="AP345" s="197"/>
      <c r="AQ345" s="328"/>
      <c r="AR345" s="453"/>
      <c r="AS345" s="454"/>
      <c r="AT345" s="441" t="str">
        <f t="shared" si="497"/>
        <v/>
      </c>
      <c r="AU345" s="328"/>
      <c r="AV345" s="197" t="str">
        <f>IF(AND($I345="x",AND(MAX(AR345:AT345)=AR345,AR345&lt;&gt;"")),Data!$BI$2,"")</f>
        <v/>
      </c>
      <c r="AW345" s="197" t="str">
        <f>IF(AND($J345="x",AND(MAX(AR345:AT345)=AS345,AS345&lt;&gt;"")),Data!$BJ$2,"")</f>
        <v/>
      </c>
      <c r="AX345" s="197" t="str">
        <f>IF(AND($K345="x",AND(MAX(AR345:AT345)=AT345,AT345&lt;&gt;"")),Data!$BK$2,"")</f>
        <v/>
      </c>
      <c r="AY345" s="197"/>
      <c r="AZ345" s="328"/>
      <c r="BA345" s="453"/>
      <c r="BB345" s="454"/>
      <c r="BC345" s="441" t="str">
        <f t="shared" si="498"/>
        <v/>
      </c>
      <c r="BD345" s="328"/>
      <c r="BE345" s="197" t="str">
        <f>IF(AND($I345="x",AND(MAX(BA345:BC345)=BA345,BA345&lt;&gt;"")),Data!$BI$2,"")</f>
        <v/>
      </c>
      <c r="BF345" s="197" t="str">
        <f>IF(AND($J345="x",AND(MAX(BA345:BC345)=BB345,BB345&lt;&gt;"")),Data!$BJ$2,"")</f>
        <v/>
      </c>
      <c r="BG345" s="197" t="str">
        <f>IF(AND($K345="x",AND(MAX(BA345:BC345)=BC345,BC345&lt;&gt;"")),Data!$BK$2,"")</f>
        <v/>
      </c>
      <c r="BH345" s="197"/>
      <c r="BI345" s="328"/>
      <c r="BJ345" s="453"/>
      <c r="BK345" s="454"/>
      <c r="BL345" s="441" t="str">
        <f t="shared" si="499"/>
        <v/>
      </c>
      <c r="BM345" s="328"/>
      <c r="BN345" s="197" t="str">
        <f>IF(AND($I345="x",AND(MAX(BJ345:BL345)=BJ345,BJ345&lt;&gt;"")),Data!$BI$2,"")</f>
        <v/>
      </c>
      <c r="BO345" s="197" t="str">
        <f>IF(AND($J345="x",AND(MAX(BJ345:BL345)=BK345,BK345&lt;&gt;"")),Data!$BJ$2,"")</f>
        <v/>
      </c>
      <c r="BP345" s="197" t="str">
        <f>IF(AND($K345="x",AND(MAX(BJ345:BL345)=BL345,BL345&lt;&gt;"")),Data!$BK$2,"")</f>
        <v/>
      </c>
      <c r="BQ345" s="197"/>
      <c r="BR345" s="328"/>
      <c r="BS345" s="453"/>
      <c r="BT345" s="454"/>
      <c r="BU345" s="441" t="str">
        <f t="shared" si="500"/>
        <v/>
      </c>
      <c r="BV345" s="328"/>
      <c r="BW345" s="197" t="str">
        <f>IF(AND($I345="x",AND(MAX(BS345:BU345)=BS345,BS345&lt;&gt;"")),Data!$BI$2,"")</f>
        <v/>
      </c>
      <c r="BX345" s="197" t="str">
        <f>IF(AND($J345="x",AND(MAX(BS345:BU345)=BT345,BT345&lt;&gt;"")),Data!$BJ$2,"")</f>
        <v/>
      </c>
      <c r="BY345" s="197" t="str">
        <f>IF(AND($K345="x",AND(MAX(BS345:BU345)=BU345,BU345&lt;&gt;"")),Data!$BK$2,"")</f>
        <v/>
      </c>
      <c r="BZ345" s="197"/>
      <c r="CA345" s="328"/>
      <c r="CB345" s="460" t="str">
        <f t="shared" si="501"/>
        <v/>
      </c>
      <c r="CC345" s="461" t="str">
        <f t="shared" si="502"/>
        <v/>
      </c>
      <c r="CD345" s="462" t="str">
        <f t="shared" si="503"/>
        <v/>
      </c>
      <c r="CE345" s="328"/>
      <c r="CF345" s="197" t="str">
        <f>IF(AND($I345="x",AND(MAX(CB345:CD345)=CB345,CB345&lt;&gt;"")),Data!$BI$2,"")</f>
        <v/>
      </c>
      <c r="CG345" s="197" t="str">
        <f>IF(AND($J345="x",AND(MAX(CB345:CD345)=CC345,CC345&lt;&gt;"")),Data!$BJ$2,"")</f>
        <v/>
      </c>
      <c r="CH345" s="197" t="str">
        <f>IF(AND($K345="x",AND(MAX(CB345:CD345)=CD345,CD345&lt;&gt;"")),Data!$BK$2,"")</f>
        <v/>
      </c>
      <c r="CI345" s="197"/>
      <c r="CJ345" s="197"/>
      <c r="CK345" s="453"/>
      <c r="CL345" s="454"/>
      <c r="CM345" s="441" t="str">
        <f t="shared" si="504"/>
        <v/>
      </c>
      <c r="CN345" s="328"/>
      <c r="CO345" s="197" t="str">
        <f>IF(AND($I345="x",AND(MAX(CK345:CM345)=CK345,CK345&lt;&gt;"")),Data!$BI$2,"")</f>
        <v/>
      </c>
      <c r="CP345" s="197" t="str">
        <f>IF(AND($J345="x",AND(MAX(CK345:CM345)=CL345,CL345&lt;&gt;"")),Data!$BJ$2,"")</f>
        <v/>
      </c>
      <c r="CQ345" s="197" t="str">
        <f>IF(AND($K345="x",AND(MAX(CK345:CM345)=CM345,CM345&lt;&gt;"")),Data!$BK$2,"")</f>
        <v/>
      </c>
      <c r="CR345" s="197"/>
      <c r="CS345" s="197"/>
      <c r="CT345" s="328"/>
      <c r="CU345" s="259"/>
      <c r="CV345" s="209"/>
      <c r="CW345" s="227"/>
    </row>
    <row r="346" spans="1:101" x14ac:dyDescent="0.2">
      <c r="A346" s="227"/>
      <c r="B346" s="227"/>
      <c r="C346" s="168"/>
      <c r="D346" s="232"/>
      <c r="E346" s="136" t="s">
        <v>243</v>
      </c>
      <c r="F346" s="426"/>
      <c r="G346" s="432"/>
      <c r="H346" s="433"/>
      <c r="I346" s="349" t="str">
        <f t="shared" si="491"/>
        <v/>
      </c>
      <c r="J346" s="350" t="str">
        <f t="shared" si="492"/>
        <v/>
      </c>
      <c r="K346" s="351" t="str">
        <f t="shared" si="493"/>
        <v/>
      </c>
      <c r="L346" s="258"/>
      <c r="M346" s="332"/>
      <c r="N346" s="336"/>
      <c r="O346" s="200"/>
      <c r="P346" s="200"/>
      <c r="Q346" s="445"/>
      <c r="R346" s="446"/>
      <c r="S346" s="447" t="str">
        <f t="shared" si="494"/>
        <v/>
      </c>
      <c r="T346" s="328"/>
      <c r="U346" s="197" t="str">
        <f>IF(AND($I346="x",AND(MAX(Q346:S346)=Q346,Q346&gt;=0)),Data!$BI$2,"")</f>
        <v/>
      </c>
      <c r="V346" s="197" t="str">
        <f>IF(AND($J346="x",AND(MAX(Q346:S346)=R346,R346&gt;=0)),Data!$BJ$2,"")</f>
        <v/>
      </c>
      <c r="W346" s="197" t="str">
        <f>IF(AND($K346="x",AND(MAX(Q346:S346)=S346,S346&gt;=0)),Data!$BK$2,"")</f>
        <v/>
      </c>
      <c r="X346" s="197"/>
      <c r="Y346" s="328"/>
      <c r="Z346" s="455"/>
      <c r="AA346" s="456"/>
      <c r="AB346" s="447" t="str">
        <f t="shared" si="495"/>
        <v/>
      </c>
      <c r="AC346" s="328"/>
      <c r="AD346" s="197" t="str">
        <f>IF(AND($I346="x",AND(MAX(Z346:AB346)=Z346,Z346&lt;&gt;"")),Data!$BI$2,"")</f>
        <v/>
      </c>
      <c r="AE346" s="197" t="str">
        <f>IF(AND($J346="x",AND(MAX(Z346:AB346)=AA346,AA346&lt;&gt;"")),Data!$BJ$2,"")</f>
        <v/>
      </c>
      <c r="AF346" s="197" t="str">
        <f>IF(AND($K346="x",AND(MAX(Z346:AB346)=AB346,AB346&lt;&gt;"")),Data!$BK$2,"")</f>
        <v/>
      </c>
      <c r="AG346" s="197"/>
      <c r="AH346" s="328"/>
      <c r="AI346" s="455"/>
      <c r="AJ346" s="456"/>
      <c r="AK346" s="447" t="str">
        <f t="shared" si="496"/>
        <v/>
      </c>
      <c r="AL346" s="328"/>
      <c r="AM346" s="197" t="str">
        <f>IF(AND($I346="x",AND(MAX(AI346:AK346)=AI346,AI346&lt;&gt;"")),Data!$BI$2,"")</f>
        <v/>
      </c>
      <c r="AN346" s="197" t="str">
        <f>IF(AND($J346="x",AND(MAX(AI346:AK346)=AJ346,AJ346&lt;&gt;"")),Data!$BJ$2,"")</f>
        <v/>
      </c>
      <c r="AO346" s="197" t="str">
        <f>IF(AND($K346="x",AND(MAX(AI346:AK346)=AK346,AK346&lt;&gt;"")),Data!$BK$2,"")</f>
        <v/>
      </c>
      <c r="AP346" s="197"/>
      <c r="AQ346" s="328"/>
      <c r="AR346" s="455"/>
      <c r="AS346" s="456"/>
      <c r="AT346" s="447" t="str">
        <f t="shared" si="497"/>
        <v/>
      </c>
      <c r="AU346" s="328"/>
      <c r="AV346" s="197" t="str">
        <f>IF(AND($I346="x",AND(MAX(AR346:AT346)=AR346,AR346&lt;&gt;"")),Data!$BI$2,"")</f>
        <v/>
      </c>
      <c r="AW346" s="197" t="str">
        <f>IF(AND($J346="x",AND(MAX(AR346:AT346)=AS346,AS346&lt;&gt;"")),Data!$BJ$2,"")</f>
        <v/>
      </c>
      <c r="AX346" s="197" t="str">
        <f>IF(AND($K346="x",AND(MAX(AR346:AT346)=AT346,AT346&lt;&gt;"")),Data!$BK$2,"")</f>
        <v/>
      </c>
      <c r="AY346" s="197"/>
      <c r="AZ346" s="328"/>
      <c r="BA346" s="455"/>
      <c r="BB346" s="456"/>
      <c r="BC346" s="447" t="str">
        <f t="shared" si="498"/>
        <v/>
      </c>
      <c r="BD346" s="328"/>
      <c r="BE346" s="197" t="str">
        <f>IF(AND($I346="x",AND(MAX(BA346:BC346)=BA346,BA346&lt;&gt;"")),Data!$BI$2,"")</f>
        <v/>
      </c>
      <c r="BF346" s="197" t="str">
        <f>IF(AND($J346="x",AND(MAX(BA346:BC346)=BB346,BB346&lt;&gt;"")),Data!$BJ$2,"")</f>
        <v/>
      </c>
      <c r="BG346" s="197" t="str">
        <f>IF(AND($K346="x",AND(MAX(BA346:BC346)=BC346,BC346&lt;&gt;"")),Data!$BK$2,"")</f>
        <v/>
      </c>
      <c r="BH346" s="197"/>
      <c r="BI346" s="328"/>
      <c r="BJ346" s="455"/>
      <c r="BK346" s="456"/>
      <c r="BL346" s="447" t="str">
        <f t="shared" si="499"/>
        <v/>
      </c>
      <c r="BM346" s="328"/>
      <c r="BN346" s="197" t="str">
        <f>IF(AND($I346="x",AND(MAX(BJ346:BL346)=BJ346,BJ346&lt;&gt;"")),Data!$BI$2,"")</f>
        <v/>
      </c>
      <c r="BO346" s="197" t="str">
        <f>IF(AND($J346="x",AND(MAX(BJ346:BL346)=BK346,BK346&lt;&gt;"")),Data!$BJ$2,"")</f>
        <v/>
      </c>
      <c r="BP346" s="197" t="str">
        <f>IF(AND($K346="x",AND(MAX(BJ346:BL346)=BL346,BL346&lt;&gt;"")),Data!$BK$2,"")</f>
        <v/>
      </c>
      <c r="BQ346" s="197"/>
      <c r="BR346" s="328"/>
      <c r="BS346" s="455"/>
      <c r="BT346" s="456"/>
      <c r="BU346" s="447" t="str">
        <f t="shared" si="500"/>
        <v/>
      </c>
      <c r="BV346" s="328"/>
      <c r="BW346" s="197" t="str">
        <f>IF(AND($I346="x",AND(MAX(BS346:BU346)=BS346,BS346&lt;&gt;"")),Data!$BI$2,"")</f>
        <v/>
      </c>
      <c r="BX346" s="197" t="str">
        <f>IF(AND($J346="x",AND(MAX(BS346:BU346)=BT346,BT346&lt;&gt;"")),Data!$BJ$2,"")</f>
        <v/>
      </c>
      <c r="BY346" s="197" t="str">
        <f>IF(AND($K346="x",AND(MAX(BS346:BU346)=BU346,BU346&lt;&gt;"")),Data!$BK$2,"")</f>
        <v/>
      </c>
      <c r="BZ346" s="197"/>
      <c r="CA346" s="328"/>
      <c r="CB346" s="463" t="str">
        <f t="shared" si="501"/>
        <v/>
      </c>
      <c r="CC346" s="464" t="str">
        <f t="shared" si="502"/>
        <v/>
      </c>
      <c r="CD346" s="465" t="str">
        <f t="shared" si="503"/>
        <v/>
      </c>
      <c r="CE346" s="328"/>
      <c r="CF346" s="197" t="str">
        <f>IF(AND($I346="x",AND(MAX(CB346:CD346)=CB346,CB346&lt;&gt;"")),Data!$BI$2,"")</f>
        <v/>
      </c>
      <c r="CG346" s="197" t="str">
        <f>IF(AND($J346="x",AND(MAX(CB346:CD346)=CC346,CC346&lt;&gt;"")),Data!$BJ$2,"")</f>
        <v/>
      </c>
      <c r="CH346" s="197" t="str">
        <f>IF(AND($K346="x",AND(MAX(CB346:CD346)=CD346,CD346&lt;&gt;"")),Data!$BK$2,"")</f>
        <v/>
      </c>
      <c r="CI346" s="197"/>
      <c r="CJ346" s="197"/>
      <c r="CK346" s="455"/>
      <c r="CL346" s="456"/>
      <c r="CM346" s="447" t="str">
        <f t="shared" si="504"/>
        <v/>
      </c>
      <c r="CN346" s="328"/>
      <c r="CO346" s="197" t="str">
        <f>IF(AND($I346="x",AND(MAX(CK346:CM346)=CK346,CK346&lt;&gt;"")),Data!$BI$2,"")</f>
        <v/>
      </c>
      <c r="CP346" s="197" t="str">
        <f>IF(AND($J346="x",AND(MAX(CK346:CM346)=CL346,CL346&lt;&gt;"")),Data!$BJ$2,"")</f>
        <v/>
      </c>
      <c r="CQ346" s="197" t="str">
        <f>IF(AND($K346="x",AND(MAX(CK346:CM346)=CM346,CM346&lt;&gt;"")),Data!$BK$2,"")</f>
        <v/>
      </c>
      <c r="CR346" s="197"/>
      <c r="CS346" s="197"/>
      <c r="CT346" s="328"/>
      <c r="CU346" s="259"/>
      <c r="CV346" s="209"/>
      <c r="CW346" s="227"/>
    </row>
    <row r="347" spans="1:101" x14ac:dyDescent="0.2">
      <c r="A347" s="227"/>
      <c r="B347" s="227"/>
      <c r="C347" s="168"/>
      <c r="D347" s="232"/>
      <c r="E347" s="137" t="s">
        <v>244</v>
      </c>
      <c r="F347" s="427"/>
      <c r="G347" s="434"/>
      <c r="H347" s="435"/>
      <c r="I347" s="138" t="str">
        <f t="shared" si="491"/>
        <v/>
      </c>
      <c r="J347" s="344" t="str">
        <f t="shared" si="492"/>
        <v/>
      </c>
      <c r="K347" s="345" t="str">
        <f t="shared" si="493"/>
        <v/>
      </c>
      <c r="L347" s="258"/>
      <c r="M347" s="332"/>
      <c r="N347" s="336"/>
      <c r="O347" s="200"/>
      <c r="P347" s="200"/>
      <c r="Q347" s="448"/>
      <c r="R347" s="449"/>
      <c r="S347" s="450" t="str">
        <f t="shared" si="494"/>
        <v/>
      </c>
      <c r="T347" s="328"/>
      <c r="U347" s="197" t="str">
        <f>IF(AND($I347="x",AND(MAX(Q347:S347)=Q347,Q347&gt;=0)),Data!$BI$2,"")</f>
        <v/>
      </c>
      <c r="V347" s="197" t="str">
        <f>IF(AND($J347="x",AND(MAX(Q347:S347)=R347,R347&gt;=0)),Data!$BJ$2,"")</f>
        <v/>
      </c>
      <c r="W347" s="197" t="str">
        <f>IF(AND($K347="x",AND(MAX(Q347:S347)=S347,S347&gt;=0)),Data!$BK$2,"")</f>
        <v/>
      </c>
      <c r="X347" s="197"/>
      <c r="Y347" s="328"/>
      <c r="Z347" s="451"/>
      <c r="AA347" s="452"/>
      <c r="AB347" s="450" t="str">
        <f t="shared" si="495"/>
        <v/>
      </c>
      <c r="AC347" s="328"/>
      <c r="AD347" s="197" t="str">
        <f>IF(AND($I347="x",AND(MAX(Z347:AB347)=Z347,Z347&lt;&gt;"")),Data!$BI$2,"")</f>
        <v/>
      </c>
      <c r="AE347" s="197" t="str">
        <f>IF(AND($J347="x",AND(MAX(Z347:AB347)=AA347,AA347&lt;&gt;"")),Data!$BJ$2,"")</f>
        <v/>
      </c>
      <c r="AF347" s="197" t="str">
        <f>IF(AND($K347="x",AND(MAX(Z347:AB347)=AB347,AB347&lt;&gt;"")),Data!$BK$2,"")</f>
        <v/>
      </c>
      <c r="AG347" s="197"/>
      <c r="AH347" s="328"/>
      <c r="AI347" s="451"/>
      <c r="AJ347" s="452"/>
      <c r="AK347" s="450" t="str">
        <f t="shared" si="496"/>
        <v/>
      </c>
      <c r="AL347" s="328"/>
      <c r="AM347" s="197" t="str">
        <f>IF(AND($I347="x",AND(MAX(AI347:AK347)=AI347,AI347&lt;&gt;"")),Data!$BI$2,"")</f>
        <v/>
      </c>
      <c r="AN347" s="197" t="str">
        <f>IF(AND($J347="x",AND(MAX(AI347:AK347)=AJ347,AJ347&lt;&gt;"")),Data!$BJ$2,"")</f>
        <v/>
      </c>
      <c r="AO347" s="197" t="str">
        <f>IF(AND($K347="x",AND(MAX(AI347:AK347)=AK347,AK347&lt;&gt;"")),Data!$BK$2,"")</f>
        <v/>
      </c>
      <c r="AP347" s="197"/>
      <c r="AQ347" s="328"/>
      <c r="AR347" s="451"/>
      <c r="AS347" s="452"/>
      <c r="AT347" s="450" t="str">
        <f t="shared" si="497"/>
        <v/>
      </c>
      <c r="AU347" s="328"/>
      <c r="AV347" s="197" t="str">
        <f>IF(AND($I347="x",AND(MAX(AR347:AT347)=AR347,AR347&lt;&gt;"")),Data!$BI$2,"")</f>
        <v/>
      </c>
      <c r="AW347" s="197" t="str">
        <f>IF(AND($J347="x",AND(MAX(AR347:AT347)=AS347,AS347&lt;&gt;"")),Data!$BJ$2,"")</f>
        <v/>
      </c>
      <c r="AX347" s="197" t="str">
        <f>IF(AND($K347="x",AND(MAX(AR347:AT347)=AT347,AT347&lt;&gt;"")),Data!$BK$2,"")</f>
        <v/>
      </c>
      <c r="AY347" s="197"/>
      <c r="AZ347" s="328"/>
      <c r="BA347" s="451"/>
      <c r="BB347" s="452"/>
      <c r="BC347" s="450" t="str">
        <f t="shared" si="498"/>
        <v/>
      </c>
      <c r="BD347" s="328"/>
      <c r="BE347" s="197" t="str">
        <f>IF(AND($I347="x",AND(MAX(BA347:BC347)=BA347,BA347&lt;&gt;"")),Data!$BI$2,"")</f>
        <v/>
      </c>
      <c r="BF347" s="197" t="str">
        <f>IF(AND($J347="x",AND(MAX(BA347:BC347)=BB347,BB347&lt;&gt;"")),Data!$BJ$2,"")</f>
        <v/>
      </c>
      <c r="BG347" s="197" t="str">
        <f>IF(AND($K347="x",AND(MAX(BA347:BC347)=BC347,BC347&lt;&gt;"")),Data!$BK$2,"")</f>
        <v/>
      </c>
      <c r="BH347" s="197"/>
      <c r="BI347" s="328"/>
      <c r="BJ347" s="451"/>
      <c r="BK347" s="452"/>
      <c r="BL347" s="450" t="str">
        <f t="shared" si="499"/>
        <v/>
      </c>
      <c r="BM347" s="328"/>
      <c r="BN347" s="197" t="str">
        <f>IF(AND($I347="x",AND(MAX(BJ347:BL347)=BJ347,BJ347&lt;&gt;"")),Data!$BI$2,"")</f>
        <v/>
      </c>
      <c r="BO347" s="197" t="str">
        <f>IF(AND($J347="x",AND(MAX(BJ347:BL347)=BK347,BK347&lt;&gt;"")),Data!$BJ$2,"")</f>
        <v/>
      </c>
      <c r="BP347" s="197" t="str">
        <f>IF(AND($K347="x",AND(MAX(BJ347:BL347)=BL347,BL347&lt;&gt;"")),Data!$BK$2,"")</f>
        <v/>
      </c>
      <c r="BQ347" s="197"/>
      <c r="BR347" s="328"/>
      <c r="BS347" s="451"/>
      <c r="BT347" s="452"/>
      <c r="BU347" s="450" t="str">
        <f t="shared" si="500"/>
        <v/>
      </c>
      <c r="BV347" s="328"/>
      <c r="BW347" s="197" t="str">
        <f>IF(AND($I347="x",AND(MAX(BS347:BU347)=BS347,BS347&lt;&gt;"")),Data!$BI$2,"")</f>
        <v/>
      </c>
      <c r="BX347" s="197" t="str">
        <f>IF(AND($J347="x",AND(MAX(BS347:BU347)=BT347,BT347&lt;&gt;"")),Data!$BJ$2,"")</f>
        <v/>
      </c>
      <c r="BY347" s="197" t="str">
        <f>IF(AND($K347="x",AND(MAX(BS347:BU347)=BU347,BU347&lt;&gt;"")),Data!$BK$2,"")</f>
        <v/>
      </c>
      <c r="BZ347" s="197"/>
      <c r="CA347" s="328"/>
      <c r="CB347" s="457" t="str">
        <f t="shared" si="501"/>
        <v/>
      </c>
      <c r="CC347" s="458" t="str">
        <f t="shared" si="502"/>
        <v/>
      </c>
      <c r="CD347" s="459" t="str">
        <f t="shared" si="503"/>
        <v/>
      </c>
      <c r="CE347" s="328"/>
      <c r="CF347" s="197" t="str">
        <f>IF(AND($I347="x",AND(MAX(CB347:CD347)=CB347,CB347&lt;&gt;"")),Data!$BI$2,"")</f>
        <v/>
      </c>
      <c r="CG347" s="197" t="str">
        <f>IF(AND($J347="x",AND(MAX(CB347:CD347)=CC347,CC347&lt;&gt;"")),Data!$BJ$2,"")</f>
        <v/>
      </c>
      <c r="CH347" s="197" t="str">
        <f>IF(AND($K347="x",AND(MAX(CB347:CD347)=CD347,CD347&lt;&gt;"")),Data!$BK$2,"")</f>
        <v/>
      </c>
      <c r="CI347" s="197"/>
      <c r="CJ347" s="197"/>
      <c r="CK347" s="451"/>
      <c r="CL347" s="452"/>
      <c r="CM347" s="450" t="str">
        <f t="shared" si="504"/>
        <v/>
      </c>
      <c r="CN347" s="328"/>
      <c r="CO347" s="197" t="str">
        <f>IF(AND($I347="x",AND(MAX(CK347:CM347)=CK347,CK347&lt;&gt;"")),Data!$BI$2,"")</f>
        <v/>
      </c>
      <c r="CP347" s="197" t="str">
        <f>IF(AND($J347="x",AND(MAX(CK347:CM347)=CL347,CL347&lt;&gt;"")),Data!$BJ$2,"")</f>
        <v/>
      </c>
      <c r="CQ347" s="197" t="str">
        <f>IF(AND($K347="x",AND(MAX(CK347:CM347)=CM347,CM347&lt;&gt;"")),Data!$BK$2,"")</f>
        <v/>
      </c>
      <c r="CR347" s="197"/>
      <c r="CS347" s="197"/>
      <c r="CT347" s="328"/>
      <c r="CU347" s="259"/>
      <c r="CV347" s="209"/>
      <c r="CW347" s="227"/>
    </row>
    <row r="348" spans="1:101" x14ac:dyDescent="0.2">
      <c r="A348" s="227"/>
      <c r="B348" s="227"/>
      <c r="C348" s="168"/>
      <c r="D348" s="232"/>
      <c r="E348" s="135" t="s">
        <v>245</v>
      </c>
      <c r="F348" s="425"/>
      <c r="G348" s="430"/>
      <c r="H348" s="431"/>
      <c r="I348" s="346" t="str">
        <f t="shared" si="491"/>
        <v/>
      </c>
      <c r="J348" s="347" t="str">
        <f t="shared" si="492"/>
        <v/>
      </c>
      <c r="K348" s="348" t="str">
        <f t="shared" si="493"/>
        <v/>
      </c>
      <c r="L348" s="258"/>
      <c r="M348" s="332"/>
      <c r="N348" s="336"/>
      <c r="O348" s="200"/>
      <c r="P348" s="200"/>
      <c r="Q348" s="439"/>
      <c r="R348" s="440"/>
      <c r="S348" s="441" t="str">
        <f t="shared" si="494"/>
        <v/>
      </c>
      <c r="T348" s="328"/>
      <c r="U348" s="197" t="str">
        <f>IF(AND($I348="x",AND(MAX(Q348:S348)=Q348,Q348&gt;=0)),Data!$BI$2,"")</f>
        <v/>
      </c>
      <c r="V348" s="197" t="str">
        <f>IF(AND($J348="x",AND(MAX(Q348:S348)=R348,R348&gt;=0)),Data!$BJ$2,"")</f>
        <v/>
      </c>
      <c r="W348" s="197" t="str">
        <f>IF(AND($K348="x",AND(MAX(Q348:S348)=S348,S348&gt;=0)),Data!$BK$2,"")</f>
        <v/>
      </c>
      <c r="X348" s="197"/>
      <c r="Y348" s="328"/>
      <c r="Z348" s="453"/>
      <c r="AA348" s="454"/>
      <c r="AB348" s="441" t="str">
        <f t="shared" si="495"/>
        <v/>
      </c>
      <c r="AC348" s="328"/>
      <c r="AD348" s="197" t="str">
        <f>IF(AND($I348="x",AND(MAX(Z348:AB348)=Z348,Z348&lt;&gt;"")),Data!$BI$2,"")</f>
        <v/>
      </c>
      <c r="AE348" s="197" t="str">
        <f>IF(AND($J348="x",AND(MAX(Z348:AB348)=AA348,AA348&lt;&gt;"")),Data!$BJ$2,"")</f>
        <v/>
      </c>
      <c r="AF348" s="197" t="str">
        <f>IF(AND($K348="x",AND(MAX(Z348:AB348)=AB348,AB348&lt;&gt;"")),Data!$BK$2,"")</f>
        <v/>
      </c>
      <c r="AG348" s="197"/>
      <c r="AH348" s="328"/>
      <c r="AI348" s="453"/>
      <c r="AJ348" s="454"/>
      <c r="AK348" s="441" t="str">
        <f t="shared" si="496"/>
        <v/>
      </c>
      <c r="AL348" s="328"/>
      <c r="AM348" s="197" t="str">
        <f>IF(AND($I348="x",AND(MAX(AI348:AK348)=AI348,AI348&lt;&gt;"")),Data!$BI$2,"")</f>
        <v/>
      </c>
      <c r="AN348" s="197" t="str">
        <f>IF(AND($J348="x",AND(MAX(AI348:AK348)=AJ348,AJ348&lt;&gt;"")),Data!$BJ$2,"")</f>
        <v/>
      </c>
      <c r="AO348" s="197" t="str">
        <f>IF(AND($K348="x",AND(MAX(AI348:AK348)=AK348,AK348&lt;&gt;"")),Data!$BK$2,"")</f>
        <v/>
      </c>
      <c r="AP348" s="197"/>
      <c r="AQ348" s="328"/>
      <c r="AR348" s="453"/>
      <c r="AS348" s="454"/>
      <c r="AT348" s="441" t="str">
        <f t="shared" si="497"/>
        <v/>
      </c>
      <c r="AU348" s="328"/>
      <c r="AV348" s="197" t="str">
        <f>IF(AND($I348="x",AND(MAX(AR348:AT348)=AR348,AR348&lt;&gt;"")),Data!$BI$2,"")</f>
        <v/>
      </c>
      <c r="AW348" s="197" t="str">
        <f>IF(AND($J348="x",AND(MAX(AR348:AT348)=AS348,AS348&lt;&gt;"")),Data!$BJ$2,"")</f>
        <v/>
      </c>
      <c r="AX348" s="197" t="str">
        <f>IF(AND($K348="x",AND(MAX(AR348:AT348)=AT348,AT348&lt;&gt;"")),Data!$BK$2,"")</f>
        <v/>
      </c>
      <c r="AY348" s="197"/>
      <c r="AZ348" s="328"/>
      <c r="BA348" s="453"/>
      <c r="BB348" s="454"/>
      <c r="BC348" s="441" t="str">
        <f t="shared" si="498"/>
        <v/>
      </c>
      <c r="BD348" s="328"/>
      <c r="BE348" s="197" t="str">
        <f>IF(AND($I348="x",AND(MAX(BA348:BC348)=BA348,BA348&lt;&gt;"")),Data!$BI$2,"")</f>
        <v/>
      </c>
      <c r="BF348" s="197" t="str">
        <f>IF(AND($J348="x",AND(MAX(BA348:BC348)=BB348,BB348&lt;&gt;"")),Data!$BJ$2,"")</f>
        <v/>
      </c>
      <c r="BG348" s="197" t="str">
        <f>IF(AND($K348="x",AND(MAX(BA348:BC348)=BC348,BC348&lt;&gt;"")),Data!$BK$2,"")</f>
        <v/>
      </c>
      <c r="BH348" s="197"/>
      <c r="BI348" s="328"/>
      <c r="BJ348" s="453"/>
      <c r="BK348" s="454"/>
      <c r="BL348" s="441" t="str">
        <f t="shared" si="499"/>
        <v/>
      </c>
      <c r="BM348" s="328"/>
      <c r="BN348" s="197" t="str">
        <f>IF(AND($I348="x",AND(MAX(BJ348:BL348)=BJ348,BJ348&lt;&gt;"")),Data!$BI$2,"")</f>
        <v/>
      </c>
      <c r="BO348" s="197" t="str">
        <f>IF(AND($J348="x",AND(MAX(BJ348:BL348)=BK348,BK348&lt;&gt;"")),Data!$BJ$2,"")</f>
        <v/>
      </c>
      <c r="BP348" s="197" t="str">
        <f>IF(AND($K348="x",AND(MAX(BJ348:BL348)=BL348,BL348&lt;&gt;"")),Data!$BK$2,"")</f>
        <v/>
      </c>
      <c r="BQ348" s="197"/>
      <c r="BR348" s="328"/>
      <c r="BS348" s="453"/>
      <c r="BT348" s="454"/>
      <c r="BU348" s="441" t="str">
        <f t="shared" si="500"/>
        <v/>
      </c>
      <c r="BV348" s="328"/>
      <c r="BW348" s="197" t="str">
        <f>IF(AND($I348="x",AND(MAX(BS348:BU348)=BS348,BS348&lt;&gt;"")),Data!$BI$2,"")</f>
        <v/>
      </c>
      <c r="BX348" s="197" t="str">
        <f>IF(AND($J348="x",AND(MAX(BS348:BU348)=BT348,BT348&lt;&gt;"")),Data!$BJ$2,"")</f>
        <v/>
      </c>
      <c r="BY348" s="197" t="str">
        <f>IF(AND($K348="x",AND(MAX(BS348:BU348)=BU348,BU348&lt;&gt;"")),Data!$BK$2,"")</f>
        <v/>
      </c>
      <c r="BZ348" s="197"/>
      <c r="CA348" s="328"/>
      <c r="CB348" s="460" t="str">
        <f t="shared" si="501"/>
        <v/>
      </c>
      <c r="CC348" s="461" t="str">
        <f t="shared" si="502"/>
        <v/>
      </c>
      <c r="CD348" s="462" t="str">
        <f t="shared" si="503"/>
        <v/>
      </c>
      <c r="CE348" s="328"/>
      <c r="CF348" s="197" t="str">
        <f>IF(AND($I348="x",AND(MAX(CB348:CD348)=CB348,CB348&lt;&gt;"")),Data!$BI$2,"")</f>
        <v/>
      </c>
      <c r="CG348" s="197" t="str">
        <f>IF(AND($J348="x",AND(MAX(CB348:CD348)=CC348,CC348&lt;&gt;"")),Data!$BJ$2,"")</f>
        <v/>
      </c>
      <c r="CH348" s="197" t="str">
        <f>IF(AND($K348="x",AND(MAX(CB348:CD348)=CD348,CD348&lt;&gt;"")),Data!$BK$2,"")</f>
        <v/>
      </c>
      <c r="CI348" s="197"/>
      <c r="CJ348" s="197"/>
      <c r="CK348" s="453"/>
      <c r="CL348" s="454"/>
      <c r="CM348" s="441" t="str">
        <f t="shared" si="504"/>
        <v/>
      </c>
      <c r="CN348" s="328"/>
      <c r="CO348" s="197" t="str">
        <f>IF(AND($I348="x",AND(MAX(CK348:CM348)=CK348,CK348&lt;&gt;"")),Data!$BI$2,"")</f>
        <v/>
      </c>
      <c r="CP348" s="197" t="str">
        <f>IF(AND($J348="x",AND(MAX(CK348:CM348)=CL348,CL348&lt;&gt;"")),Data!$BJ$2,"")</f>
        <v/>
      </c>
      <c r="CQ348" s="197" t="str">
        <f>IF(AND($K348="x",AND(MAX(CK348:CM348)=CM348,CM348&lt;&gt;"")),Data!$BK$2,"")</f>
        <v/>
      </c>
      <c r="CR348" s="197"/>
      <c r="CS348" s="197"/>
      <c r="CT348" s="328"/>
      <c r="CU348" s="259"/>
      <c r="CV348" s="209"/>
      <c r="CW348" s="227"/>
    </row>
    <row r="349" spans="1:101" x14ac:dyDescent="0.2">
      <c r="A349" s="227"/>
      <c r="B349" s="227"/>
      <c r="C349" s="168"/>
      <c r="D349" s="232"/>
      <c r="E349" s="136" t="s">
        <v>246</v>
      </c>
      <c r="F349" s="426"/>
      <c r="G349" s="432"/>
      <c r="H349" s="433"/>
      <c r="I349" s="349" t="str">
        <f t="shared" si="491"/>
        <v/>
      </c>
      <c r="J349" s="350" t="str">
        <f t="shared" si="492"/>
        <v/>
      </c>
      <c r="K349" s="351" t="str">
        <f t="shared" si="493"/>
        <v/>
      </c>
      <c r="L349" s="258"/>
      <c r="M349" s="332"/>
      <c r="N349" s="336"/>
      <c r="O349" s="200"/>
      <c r="P349" s="200"/>
      <c r="Q349" s="445"/>
      <c r="R349" s="446"/>
      <c r="S349" s="447" t="str">
        <f t="shared" si="494"/>
        <v/>
      </c>
      <c r="T349" s="328"/>
      <c r="U349" s="197" t="str">
        <f>IF(AND($I349="x",AND(MAX(Q349:S349)=Q349,Q349&gt;=0)),Data!$BI$2,"")</f>
        <v/>
      </c>
      <c r="V349" s="197" t="str">
        <f>IF(AND($J349="x",AND(MAX(Q349:S349)=R349,R349&gt;=0)),Data!$BJ$2,"")</f>
        <v/>
      </c>
      <c r="W349" s="197" t="str">
        <f>IF(AND($K349="x",AND(MAX(Q349:S349)=S349,S349&gt;=0)),Data!$BK$2,"")</f>
        <v/>
      </c>
      <c r="X349" s="197"/>
      <c r="Y349" s="328"/>
      <c r="Z349" s="455"/>
      <c r="AA349" s="456"/>
      <c r="AB349" s="447" t="str">
        <f t="shared" si="495"/>
        <v/>
      </c>
      <c r="AC349" s="328"/>
      <c r="AD349" s="197" t="str">
        <f>IF(AND($I349="x",AND(MAX(Z349:AB349)=Z349,Z349&lt;&gt;"")),Data!$BI$2,"")</f>
        <v/>
      </c>
      <c r="AE349" s="197" t="str">
        <f>IF(AND($J349="x",AND(MAX(Z349:AB349)=AA349,AA349&lt;&gt;"")),Data!$BJ$2,"")</f>
        <v/>
      </c>
      <c r="AF349" s="197" t="str">
        <f>IF(AND($K349="x",AND(MAX(Z349:AB349)=AB349,AB349&lt;&gt;"")),Data!$BK$2,"")</f>
        <v/>
      </c>
      <c r="AG349" s="197"/>
      <c r="AH349" s="328"/>
      <c r="AI349" s="455"/>
      <c r="AJ349" s="456"/>
      <c r="AK349" s="447" t="str">
        <f t="shared" si="496"/>
        <v/>
      </c>
      <c r="AL349" s="328"/>
      <c r="AM349" s="197" t="str">
        <f>IF(AND($I349="x",AND(MAX(AI349:AK349)=AI349,AI349&lt;&gt;"")),Data!$BI$2,"")</f>
        <v/>
      </c>
      <c r="AN349" s="197" t="str">
        <f>IF(AND($J349="x",AND(MAX(AI349:AK349)=AJ349,AJ349&lt;&gt;"")),Data!$BJ$2,"")</f>
        <v/>
      </c>
      <c r="AO349" s="197" t="str">
        <f>IF(AND($K349="x",AND(MAX(AI349:AK349)=AK349,AK349&lt;&gt;"")),Data!$BK$2,"")</f>
        <v/>
      </c>
      <c r="AP349" s="197"/>
      <c r="AQ349" s="328"/>
      <c r="AR349" s="455"/>
      <c r="AS349" s="456"/>
      <c r="AT349" s="447" t="str">
        <f t="shared" si="497"/>
        <v/>
      </c>
      <c r="AU349" s="328"/>
      <c r="AV349" s="197" t="str">
        <f>IF(AND($I349="x",AND(MAX(AR349:AT349)=AR349,AR349&lt;&gt;"")),Data!$BI$2,"")</f>
        <v/>
      </c>
      <c r="AW349" s="197" t="str">
        <f>IF(AND($J349="x",AND(MAX(AR349:AT349)=AS349,AS349&lt;&gt;"")),Data!$BJ$2,"")</f>
        <v/>
      </c>
      <c r="AX349" s="197" t="str">
        <f>IF(AND($K349="x",AND(MAX(AR349:AT349)=AT349,AT349&lt;&gt;"")),Data!$BK$2,"")</f>
        <v/>
      </c>
      <c r="AY349" s="197"/>
      <c r="AZ349" s="328"/>
      <c r="BA349" s="455"/>
      <c r="BB349" s="456"/>
      <c r="BC349" s="447" t="str">
        <f t="shared" si="498"/>
        <v/>
      </c>
      <c r="BD349" s="328"/>
      <c r="BE349" s="197" t="str">
        <f>IF(AND($I349="x",AND(MAX(BA349:BC349)=BA349,BA349&lt;&gt;"")),Data!$BI$2,"")</f>
        <v/>
      </c>
      <c r="BF349" s="197" t="str">
        <f>IF(AND($J349="x",AND(MAX(BA349:BC349)=BB349,BB349&lt;&gt;"")),Data!$BJ$2,"")</f>
        <v/>
      </c>
      <c r="BG349" s="197" t="str">
        <f>IF(AND($K349="x",AND(MAX(BA349:BC349)=BC349,BC349&lt;&gt;"")),Data!$BK$2,"")</f>
        <v/>
      </c>
      <c r="BH349" s="197"/>
      <c r="BI349" s="328"/>
      <c r="BJ349" s="455"/>
      <c r="BK349" s="456"/>
      <c r="BL349" s="447" t="str">
        <f t="shared" si="499"/>
        <v/>
      </c>
      <c r="BM349" s="328"/>
      <c r="BN349" s="197" t="str">
        <f>IF(AND($I349="x",AND(MAX(BJ349:BL349)=BJ349,BJ349&lt;&gt;"")),Data!$BI$2,"")</f>
        <v/>
      </c>
      <c r="BO349" s="197" t="str">
        <f>IF(AND($J349="x",AND(MAX(BJ349:BL349)=BK349,BK349&lt;&gt;"")),Data!$BJ$2,"")</f>
        <v/>
      </c>
      <c r="BP349" s="197" t="str">
        <f>IF(AND($K349="x",AND(MAX(BJ349:BL349)=BL349,BL349&lt;&gt;"")),Data!$BK$2,"")</f>
        <v/>
      </c>
      <c r="BQ349" s="197"/>
      <c r="BR349" s="328"/>
      <c r="BS349" s="455"/>
      <c r="BT349" s="456"/>
      <c r="BU349" s="447" t="str">
        <f t="shared" si="500"/>
        <v/>
      </c>
      <c r="BV349" s="328"/>
      <c r="BW349" s="197" t="str">
        <f>IF(AND($I349="x",AND(MAX(BS349:BU349)=BS349,BS349&lt;&gt;"")),Data!$BI$2,"")</f>
        <v/>
      </c>
      <c r="BX349" s="197" t="str">
        <f>IF(AND($J349="x",AND(MAX(BS349:BU349)=BT349,BT349&lt;&gt;"")),Data!$BJ$2,"")</f>
        <v/>
      </c>
      <c r="BY349" s="197" t="str">
        <f>IF(AND($K349="x",AND(MAX(BS349:BU349)=BU349,BU349&lt;&gt;"")),Data!$BK$2,"")</f>
        <v/>
      </c>
      <c r="BZ349" s="197"/>
      <c r="CA349" s="328"/>
      <c r="CB349" s="463" t="str">
        <f t="shared" si="501"/>
        <v/>
      </c>
      <c r="CC349" s="464" t="str">
        <f t="shared" si="502"/>
        <v/>
      </c>
      <c r="CD349" s="465" t="str">
        <f t="shared" si="503"/>
        <v/>
      </c>
      <c r="CE349" s="328"/>
      <c r="CF349" s="197" t="str">
        <f>IF(AND($I349="x",AND(MAX(CB349:CD349)=CB349,CB349&lt;&gt;"")),Data!$BI$2,"")</f>
        <v/>
      </c>
      <c r="CG349" s="197" t="str">
        <f>IF(AND($J349="x",AND(MAX(CB349:CD349)=CC349,CC349&lt;&gt;"")),Data!$BJ$2,"")</f>
        <v/>
      </c>
      <c r="CH349" s="197" t="str">
        <f>IF(AND($K349="x",AND(MAX(CB349:CD349)=CD349,CD349&lt;&gt;"")),Data!$BK$2,"")</f>
        <v/>
      </c>
      <c r="CI349" s="197"/>
      <c r="CJ349" s="197"/>
      <c r="CK349" s="455"/>
      <c r="CL349" s="456"/>
      <c r="CM349" s="447" t="str">
        <f t="shared" si="504"/>
        <v/>
      </c>
      <c r="CN349" s="328"/>
      <c r="CO349" s="197" t="str">
        <f>IF(AND($I349="x",AND(MAX(CK349:CM349)=CK349,CK349&lt;&gt;"")),Data!$BI$2,"")</f>
        <v/>
      </c>
      <c r="CP349" s="197" t="str">
        <f>IF(AND($J349="x",AND(MAX(CK349:CM349)=CL349,CL349&lt;&gt;"")),Data!$BJ$2,"")</f>
        <v/>
      </c>
      <c r="CQ349" s="197" t="str">
        <f>IF(AND($K349="x",AND(MAX(CK349:CM349)=CM349,CM349&lt;&gt;"")),Data!$BK$2,"")</f>
        <v/>
      </c>
      <c r="CR349" s="197"/>
      <c r="CS349" s="197"/>
      <c r="CT349" s="328"/>
      <c r="CU349" s="259"/>
      <c r="CV349" s="209"/>
      <c r="CW349" s="227"/>
    </row>
    <row r="350" spans="1:101" x14ac:dyDescent="0.2">
      <c r="A350" s="227"/>
      <c r="B350" s="227"/>
      <c r="C350" s="168"/>
      <c r="D350" s="233"/>
      <c r="E350" s="199"/>
      <c r="F350" s="352" t="str">
        <f>IF(SUM(F338:F349)=0,"",SUM(F338:F349))</f>
        <v/>
      </c>
      <c r="G350" s="327" t="s">
        <v>51</v>
      </c>
      <c r="H350" s="353" t="str">
        <f>IF(SUM(H338:H349)=0,"",SUM(H338:H349))</f>
        <v/>
      </c>
      <c r="I350" s="354" t="str">
        <f>IF(COUNTIF(I338:I349,"=x")=0,"",COUNTIF(I338:I349,"=x"))</f>
        <v/>
      </c>
      <c r="J350" s="355" t="str">
        <f>IF(COUNTIF(J338:J349,"=x")=0,"",COUNTIF(J338:J349,"=x"))</f>
        <v/>
      </c>
      <c r="K350" s="356" t="str">
        <f>IF(COUNTIF(K338:K349,"=x")=0,"",COUNTIF(K338:K349,"=x"))</f>
        <v/>
      </c>
      <c r="L350" s="258"/>
      <c r="M350" s="332"/>
      <c r="N350" s="336"/>
      <c r="O350" s="200"/>
      <c r="P350" s="326"/>
      <c r="Q350" s="422">
        <f>SUM(U338:U349)</f>
        <v>0</v>
      </c>
      <c r="R350" s="422">
        <f t="shared" ref="R350:S350" si="505">SUM(V338:V349)</f>
        <v>0</v>
      </c>
      <c r="S350" s="422">
        <f t="shared" si="505"/>
        <v>0</v>
      </c>
      <c r="T350" s="325"/>
      <c r="U350" s="197">
        <f>SUM(U338:U349)</f>
        <v>0</v>
      </c>
      <c r="V350" s="197">
        <f t="shared" ref="V350:W350" si="506">SUM(V338:V349)</f>
        <v>0</v>
      </c>
      <c r="W350" s="197">
        <f t="shared" si="506"/>
        <v>0</v>
      </c>
      <c r="X350" s="197"/>
      <c r="Y350" s="324"/>
      <c r="Z350" s="422">
        <f>SUM(AD338:AD349)</f>
        <v>0</v>
      </c>
      <c r="AA350" s="422">
        <f t="shared" ref="AA350:AB350" si="507">SUM(AE338:AE349)</f>
        <v>0</v>
      </c>
      <c r="AB350" s="422">
        <f t="shared" si="507"/>
        <v>0</v>
      </c>
      <c r="AC350" s="325"/>
      <c r="AD350" s="197">
        <f>SUM(AD338:AD349)</f>
        <v>0</v>
      </c>
      <c r="AE350" s="197">
        <f t="shared" ref="AE350:AF350" si="508">SUM(AE338:AE349)</f>
        <v>0</v>
      </c>
      <c r="AF350" s="197">
        <f t="shared" si="508"/>
        <v>0</v>
      </c>
      <c r="AG350" s="197"/>
      <c r="AH350" s="324"/>
      <c r="AI350" s="422">
        <f>SUM(AM338:AM349)</f>
        <v>0</v>
      </c>
      <c r="AJ350" s="422">
        <f t="shared" ref="AJ350:AK350" si="509">SUM(AN338:AN349)</f>
        <v>0</v>
      </c>
      <c r="AK350" s="422">
        <f t="shared" si="509"/>
        <v>0</v>
      </c>
      <c r="AL350" s="325"/>
      <c r="AM350" s="197">
        <f>SUM(AM338:AM349)</f>
        <v>0</v>
      </c>
      <c r="AN350" s="197">
        <f t="shared" ref="AN350:AO350" si="510">SUM(AN338:AN349)</f>
        <v>0</v>
      </c>
      <c r="AO350" s="197">
        <f t="shared" si="510"/>
        <v>0</v>
      </c>
      <c r="AP350" s="197"/>
      <c r="AQ350" s="324"/>
      <c r="AR350" s="422">
        <f>SUM(AV338:AV349)</f>
        <v>0</v>
      </c>
      <c r="AS350" s="422">
        <f t="shared" ref="AS350:AT350" si="511">SUM(AW338:AW349)</f>
        <v>0</v>
      </c>
      <c r="AT350" s="422">
        <f t="shared" si="511"/>
        <v>0</v>
      </c>
      <c r="AU350" s="325"/>
      <c r="AV350" s="197">
        <f>SUM(AV338:AV349)</f>
        <v>0</v>
      </c>
      <c r="AW350" s="197">
        <f t="shared" ref="AW350:AX350" si="512">SUM(AW338:AW349)</f>
        <v>0</v>
      </c>
      <c r="AX350" s="197">
        <f t="shared" si="512"/>
        <v>0</v>
      </c>
      <c r="AY350" s="197"/>
      <c r="AZ350" s="324"/>
      <c r="BA350" s="422">
        <f>SUM(BE338:BE349)</f>
        <v>0</v>
      </c>
      <c r="BB350" s="422">
        <f t="shared" ref="BB350:BC350" si="513">SUM(BF338:BF349)</f>
        <v>0</v>
      </c>
      <c r="BC350" s="422">
        <f t="shared" si="513"/>
        <v>0</v>
      </c>
      <c r="BD350" s="325"/>
      <c r="BE350" s="197">
        <f>SUM(BE338:BE349)</f>
        <v>0</v>
      </c>
      <c r="BF350" s="197">
        <f t="shared" ref="BF350:BG350" si="514">SUM(BF338:BF349)</f>
        <v>0</v>
      </c>
      <c r="BG350" s="197">
        <f t="shared" si="514"/>
        <v>0</v>
      </c>
      <c r="BH350" s="197"/>
      <c r="BI350" s="324"/>
      <c r="BJ350" s="422">
        <f>SUM(BN338:BN349)</f>
        <v>0</v>
      </c>
      <c r="BK350" s="422">
        <f t="shared" ref="BK350" si="515">SUM(BO338:BO349)</f>
        <v>0</v>
      </c>
      <c r="BL350" s="422">
        <f t="shared" ref="BL350" si="516">SUM(BP338:BP349)</f>
        <v>0</v>
      </c>
      <c r="BM350" s="325"/>
      <c r="BN350" s="197">
        <f>SUM(BN338:BN349)</f>
        <v>0</v>
      </c>
      <c r="BO350" s="197">
        <f t="shared" ref="BO350:BP350" si="517">SUM(BO338:BO349)</f>
        <v>0</v>
      </c>
      <c r="BP350" s="197">
        <f t="shared" si="517"/>
        <v>0</v>
      </c>
      <c r="BQ350" s="197"/>
      <c r="BR350" s="324"/>
      <c r="BS350" s="422">
        <f>SUM(BW338:BW349)</f>
        <v>0</v>
      </c>
      <c r="BT350" s="422">
        <f t="shared" ref="BT350:BU350" si="518">SUM(BX338:BX349)</f>
        <v>0</v>
      </c>
      <c r="BU350" s="422">
        <f t="shared" si="518"/>
        <v>0</v>
      </c>
      <c r="BV350" s="325"/>
      <c r="BW350" s="197">
        <f>SUM(BW338:BW349)</f>
        <v>0</v>
      </c>
      <c r="BX350" s="197">
        <f t="shared" ref="BX350:BY350" si="519">SUM(BX338:BX349)</f>
        <v>0</v>
      </c>
      <c r="BY350" s="197">
        <f t="shared" si="519"/>
        <v>0</v>
      </c>
      <c r="BZ350" s="197"/>
      <c r="CA350" s="326"/>
      <c r="CB350" s="422">
        <f>SUM(CF338:CF349)</f>
        <v>0</v>
      </c>
      <c r="CC350" s="422">
        <f t="shared" ref="CC350:CD350" si="520">SUM(CG338:CG349)</f>
        <v>0</v>
      </c>
      <c r="CD350" s="422">
        <f t="shared" si="520"/>
        <v>0</v>
      </c>
      <c r="CE350" s="325"/>
      <c r="CF350" s="197">
        <f>SUM(CF338:CF349)</f>
        <v>0</v>
      </c>
      <c r="CG350" s="197">
        <f t="shared" ref="CG350:CH350" si="521">SUM(CG338:CG349)</f>
        <v>0</v>
      </c>
      <c r="CH350" s="197">
        <f t="shared" si="521"/>
        <v>0</v>
      </c>
      <c r="CI350" s="197"/>
      <c r="CJ350" s="197"/>
      <c r="CK350" s="422">
        <f>SUM(CO338:CO349)</f>
        <v>0</v>
      </c>
      <c r="CL350" s="422">
        <f t="shared" ref="CL350:CM350" si="522">SUM(CP338:CP349)</f>
        <v>0</v>
      </c>
      <c r="CM350" s="422">
        <f t="shared" si="522"/>
        <v>0</v>
      </c>
      <c r="CN350" s="325"/>
      <c r="CO350" s="197">
        <f>SUM(CO338:CO349)</f>
        <v>0</v>
      </c>
      <c r="CP350" s="197">
        <f t="shared" ref="CP350:CQ350" si="523">SUM(CP338:CP349)</f>
        <v>0</v>
      </c>
      <c r="CQ350" s="197">
        <f t="shared" si="523"/>
        <v>0</v>
      </c>
      <c r="CR350" s="197"/>
      <c r="CS350" s="197"/>
      <c r="CT350" s="197"/>
      <c r="CU350" s="259"/>
      <c r="CV350" s="209"/>
      <c r="CW350" s="228"/>
    </row>
    <row r="351" spans="1:101" x14ac:dyDescent="0.2">
      <c r="A351" s="227"/>
      <c r="B351" s="227"/>
      <c r="C351" s="168"/>
      <c r="D351" s="249"/>
      <c r="E351" s="242"/>
      <c r="F351" s="243"/>
      <c r="G351" s="242"/>
      <c r="H351" s="242"/>
      <c r="I351" s="242"/>
      <c r="J351" s="242"/>
      <c r="K351" s="242"/>
      <c r="L351" s="252"/>
      <c r="M351" s="260"/>
      <c r="N351" s="337"/>
      <c r="O351" s="333"/>
      <c r="P351" s="244"/>
      <c r="Q351" s="245"/>
      <c r="R351" s="245"/>
      <c r="S351" s="245"/>
      <c r="T351" s="246"/>
      <c r="U351" s="247"/>
      <c r="V351" s="247"/>
      <c r="W351" s="247"/>
      <c r="X351" s="247"/>
      <c r="Y351" s="244"/>
      <c r="Z351" s="245"/>
      <c r="AA351" s="245"/>
      <c r="AB351" s="245"/>
      <c r="AC351" s="246"/>
      <c r="AD351" s="247"/>
      <c r="AE351" s="247"/>
      <c r="AF351" s="247"/>
      <c r="AG351" s="247"/>
      <c r="AH351" s="244"/>
      <c r="AI351" s="245"/>
      <c r="AJ351" s="245"/>
      <c r="AK351" s="245"/>
      <c r="AL351" s="246"/>
      <c r="AM351" s="247"/>
      <c r="AN351" s="247"/>
      <c r="AO351" s="247"/>
      <c r="AP351" s="247"/>
      <c r="AQ351" s="244"/>
      <c r="AR351" s="245"/>
      <c r="AS351" s="245"/>
      <c r="AT351" s="245"/>
      <c r="AU351" s="246"/>
      <c r="AV351" s="247"/>
      <c r="AW351" s="247"/>
      <c r="AX351" s="247"/>
      <c r="AY351" s="247"/>
      <c r="AZ351" s="244"/>
      <c r="BA351" s="245"/>
      <c r="BB351" s="245"/>
      <c r="BC351" s="245"/>
      <c r="BD351" s="246"/>
      <c r="BE351" s="247"/>
      <c r="BF351" s="247"/>
      <c r="BG351" s="247"/>
      <c r="BH351" s="247"/>
      <c r="BI351" s="244"/>
      <c r="BJ351" s="244"/>
      <c r="BK351" s="244"/>
      <c r="BL351" s="244"/>
      <c r="BM351" s="244"/>
      <c r="BN351" s="247"/>
      <c r="BO351" s="247"/>
      <c r="BP351" s="247"/>
      <c r="BQ351" s="247"/>
      <c r="BR351" s="244"/>
      <c r="BS351" s="244"/>
      <c r="BT351" s="244"/>
      <c r="BU351" s="244"/>
      <c r="BV351" s="244"/>
      <c r="BW351" s="247"/>
      <c r="BX351" s="247"/>
      <c r="BY351" s="247"/>
      <c r="BZ351" s="247"/>
      <c r="CA351" s="244"/>
      <c r="CB351" s="244"/>
      <c r="CC351" s="244"/>
      <c r="CD351" s="244"/>
      <c r="CE351" s="244"/>
      <c r="CF351" s="247"/>
      <c r="CG351" s="247"/>
      <c r="CH351" s="247"/>
      <c r="CI351" s="247"/>
      <c r="CJ351" s="248"/>
      <c r="CK351" s="248"/>
      <c r="CL351" s="248"/>
      <c r="CM351" s="248"/>
      <c r="CN351" s="248"/>
      <c r="CO351" s="247"/>
      <c r="CP351" s="247"/>
      <c r="CQ351" s="247"/>
      <c r="CR351" s="247"/>
      <c r="CS351" s="248"/>
      <c r="CT351" s="242"/>
      <c r="CU351" s="253"/>
      <c r="CV351" s="209"/>
      <c r="CW351" s="228"/>
    </row>
    <row r="352" spans="1:101" x14ac:dyDescent="0.2">
      <c r="A352" s="219"/>
      <c r="B352" s="219"/>
      <c r="C352" s="175"/>
      <c r="D352" s="176"/>
      <c r="E352" s="210"/>
      <c r="F352" s="211"/>
      <c r="G352" s="210"/>
      <c r="H352" s="210"/>
      <c r="I352" s="210"/>
      <c r="J352" s="210"/>
      <c r="K352" s="210"/>
      <c r="L352" s="212"/>
      <c r="M352" s="213"/>
      <c r="N352" s="213"/>
      <c r="O352" s="213"/>
      <c r="P352" s="213"/>
      <c r="Q352" s="210"/>
      <c r="R352" s="210"/>
      <c r="S352" s="210"/>
      <c r="T352" s="214"/>
      <c r="U352" s="215"/>
      <c r="V352" s="215"/>
      <c r="W352" s="215"/>
      <c r="X352" s="215"/>
      <c r="Y352" s="213"/>
      <c r="Z352" s="210"/>
      <c r="AA352" s="210"/>
      <c r="AB352" s="210"/>
      <c r="AC352" s="214"/>
      <c r="AD352" s="215"/>
      <c r="AE352" s="215"/>
      <c r="AF352" s="215"/>
      <c r="AG352" s="215"/>
      <c r="AH352" s="213"/>
      <c r="AI352" s="210"/>
      <c r="AJ352" s="210"/>
      <c r="AK352" s="210"/>
      <c r="AL352" s="214"/>
      <c r="AM352" s="215"/>
      <c r="AN352" s="215"/>
      <c r="AO352" s="215"/>
      <c r="AP352" s="215"/>
      <c r="AQ352" s="213"/>
      <c r="AR352" s="210"/>
      <c r="AS352" s="210"/>
      <c r="AT352" s="210"/>
      <c r="AU352" s="214"/>
      <c r="AV352" s="215"/>
      <c r="AW352" s="215"/>
      <c r="AX352" s="215"/>
      <c r="AY352" s="215"/>
      <c r="AZ352" s="213"/>
      <c r="BA352" s="210"/>
      <c r="BB352" s="210"/>
      <c r="BC352" s="210"/>
      <c r="BD352" s="214"/>
      <c r="BE352" s="215"/>
      <c r="BF352" s="215"/>
      <c r="BG352" s="215"/>
      <c r="BH352" s="215"/>
      <c r="BI352" s="213"/>
      <c r="BJ352" s="210"/>
      <c r="BK352" s="210"/>
      <c r="BL352" s="210"/>
      <c r="BM352" s="214"/>
      <c r="BN352" s="215"/>
      <c r="BO352" s="215"/>
      <c r="BP352" s="215"/>
      <c r="BQ352" s="215"/>
      <c r="BR352" s="177"/>
      <c r="BS352" s="210"/>
      <c r="BT352" s="210"/>
      <c r="BU352" s="210"/>
      <c r="BV352" s="213"/>
      <c r="BW352" s="215"/>
      <c r="BX352" s="215"/>
      <c r="BY352" s="215"/>
      <c r="BZ352" s="215"/>
      <c r="CA352" s="210"/>
      <c r="CB352" s="216"/>
      <c r="CC352" s="216"/>
      <c r="CD352" s="216"/>
      <c r="CE352" s="216"/>
      <c r="CF352" s="215"/>
      <c r="CG352" s="215"/>
      <c r="CH352" s="215"/>
      <c r="CI352" s="215"/>
      <c r="CJ352" s="210"/>
      <c r="CK352" s="210"/>
      <c r="CL352" s="210"/>
      <c r="CM352" s="210"/>
      <c r="CN352" s="210"/>
      <c r="CO352" s="215"/>
      <c r="CP352" s="215"/>
      <c r="CQ352" s="215"/>
      <c r="CR352" s="215"/>
      <c r="CS352" s="210"/>
      <c r="CT352" s="210"/>
      <c r="CU352" s="210"/>
      <c r="CV352" s="217"/>
      <c r="CW352" s="218"/>
    </row>
    <row r="353" spans="1:101" ht="14.25" thickTop="1" thickBot="1" x14ac:dyDescent="0.25">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c r="AA353" s="218"/>
      <c r="AB353" s="218"/>
      <c r="AC353" s="218"/>
      <c r="AD353" s="218"/>
      <c r="AE353" s="218"/>
      <c r="AF353" s="218"/>
      <c r="AG353" s="218"/>
      <c r="AH353" s="218"/>
      <c r="AI353" s="218"/>
      <c r="AJ353" s="218"/>
      <c r="AK353" s="218"/>
      <c r="AL353" s="218"/>
      <c r="AM353" s="218"/>
      <c r="AN353" s="218"/>
      <c r="AO353" s="218"/>
      <c r="AP353" s="218"/>
      <c r="AQ353" s="218"/>
      <c r="AR353" s="218"/>
      <c r="AS353" s="218"/>
      <c r="AT353" s="218"/>
      <c r="AU353" s="218"/>
      <c r="AV353" s="218"/>
      <c r="AW353" s="218"/>
      <c r="AX353" s="218"/>
      <c r="AY353" s="218"/>
      <c r="AZ353" s="218"/>
      <c r="BA353" s="218"/>
      <c r="BB353" s="218"/>
      <c r="BC353" s="218"/>
      <c r="BD353" s="218"/>
      <c r="BE353" s="218"/>
      <c r="BF353" s="218"/>
      <c r="BG353" s="218"/>
      <c r="BH353" s="218"/>
      <c r="BI353" s="218"/>
      <c r="BJ353" s="218"/>
      <c r="BK353" s="218"/>
      <c r="BL353" s="218"/>
      <c r="BM353" s="218"/>
      <c r="BN353" s="218"/>
      <c r="BO353" s="218"/>
      <c r="BP353" s="218"/>
      <c r="BQ353" s="218"/>
      <c r="BR353" s="218"/>
      <c r="BS353" s="218"/>
      <c r="BT353" s="218"/>
      <c r="BU353" s="218"/>
      <c r="BV353" s="218"/>
      <c r="BW353" s="218"/>
      <c r="BX353" s="218"/>
      <c r="BY353" s="218"/>
      <c r="BZ353" s="218"/>
      <c r="CA353" s="218"/>
      <c r="CB353" s="392"/>
      <c r="CC353" s="392"/>
      <c r="CD353" s="392"/>
      <c r="CE353" s="392"/>
      <c r="CF353" s="218"/>
      <c r="CG353" s="218"/>
      <c r="CH353" s="218"/>
      <c r="CI353" s="218"/>
      <c r="CJ353" s="218"/>
      <c r="CK353" s="218"/>
      <c r="CL353" s="218"/>
      <c r="CM353" s="218"/>
      <c r="CN353" s="218"/>
      <c r="CO353" s="218"/>
      <c r="CP353" s="218"/>
      <c r="CQ353" s="218"/>
      <c r="CR353" s="218"/>
      <c r="CS353" s="218"/>
      <c r="CT353" s="218"/>
      <c r="CU353" s="218"/>
      <c r="CV353" s="218"/>
      <c r="CW353" s="218"/>
    </row>
    <row r="354" spans="1:101" ht="21" thickTop="1" x14ac:dyDescent="0.3">
      <c r="A354" s="219"/>
      <c r="B354" s="219"/>
      <c r="C354" s="157"/>
      <c r="D354" s="158"/>
      <c r="E354" s="731" t="s">
        <v>44</v>
      </c>
      <c r="F354" s="229"/>
      <c r="G354" s="229"/>
      <c r="H354" s="229"/>
      <c r="I354" s="877" t="e" vm="1">
        <v>#VALUE!</v>
      </c>
      <c r="J354" s="877"/>
      <c r="K354" s="877"/>
      <c r="L354" s="877"/>
      <c r="M354" s="159"/>
      <c r="N354" s="159"/>
      <c r="O354" s="159"/>
      <c r="P354" s="160"/>
      <c r="Q354" s="159"/>
      <c r="R354" s="159"/>
      <c r="S354" s="159"/>
      <c r="T354" s="161"/>
      <c r="U354" s="162"/>
      <c r="V354" s="162"/>
      <c r="W354" s="162"/>
      <c r="X354" s="162"/>
      <c r="Y354" s="160"/>
      <c r="Z354" s="159"/>
      <c r="AA354" s="159"/>
      <c r="AB354" s="159"/>
      <c r="AC354" s="161"/>
      <c r="AD354" s="162"/>
      <c r="AE354" s="162"/>
      <c r="AF354" s="162"/>
      <c r="AG354" s="162"/>
      <c r="AH354" s="160"/>
      <c r="AI354" s="159"/>
      <c r="AJ354" s="201"/>
      <c r="AK354" s="201"/>
      <c r="AL354" s="164"/>
      <c r="AM354" s="162"/>
      <c r="AN354" s="162"/>
      <c r="AO354" s="162"/>
      <c r="AP354" s="162"/>
      <c r="AQ354" s="202"/>
      <c r="AR354" s="203"/>
      <c r="AS354" s="165"/>
      <c r="AT354" s="166"/>
      <c r="AU354" s="164"/>
      <c r="AV354" s="162"/>
      <c r="AW354" s="162"/>
      <c r="AX354" s="162"/>
      <c r="AY354" s="162"/>
      <c r="AZ354" s="202"/>
      <c r="BA354" s="203"/>
      <c r="BB354" s="166"/>
      <c r="BC354" s="201"/>
      <c r="BD354" s="204"/>
      <c r="BE354" s="162"/>
      <c r="BF354" s="162"/>
      <c r="BG354" s="162"/>
      <c r="BH354" s="162"/>
      <c r="BI354" s="205"/>
      <c r="BJ354" s="201"/>
      <c r="BK354" s="201"/>
      <c r="BL354" s="201"/>
      <c r="BM354" s="204"/>
      <c r="BN354" s="162"/>
      <c r="BO354" s="162"/>
      <c r="BP354" s="162"/>
      <c r="BQ354" s="162"/>
      <c r="BR354" s="167"/>
      <c r="BS354" s="201"/>
      <c r="BT354" s="201"/>
      <c r="BU354" s="201"/>
      <c r="BV354" s="205"/>
      <c r="BW354" s="162"/>
      <c r="BX354" s="162"/>
      <c r="BY354" s="162"/>
      <c r="BZ354" s="162"/>
      <c r="CA354" s="201"/>
      <c r="CB354" s="393"/>
      <c r="CC354" s="393"/>
      <c r="CD354" s="393"/>
      <c r="CE354" s="393"/>
      <c r="CF354" s="162"/>
      <c r="CG354" s="162"/>
      <c r="CH354" s="162"/>
      <c r="CI354" s="162"/>
      <c r="CJ354" s="163"/>
      <c r="CK354" s="163"/>
      <c r="CL354" s="163"/>
      <c r="CM354" s="163"/>
      <c r="CN354" s="163"/>
      <c r="CO354" s="162"/>
      <c r="CP354" s="162"/>
      <c r="CQ354" s="162"/>
      <c r="CR354" s="162"/>
      <c r="CS354" s="163"/>
      <c r="CT354" s="358"/>
      <c r="CU354" s="201"/>
      <c r="CV354" s="206"/>
      <c r="CW354" s="218"/>
    </row>
    <row r="355" spans="1:101" ht="15.75" thickBot="1" x14ac:dyDescent="0.25">
      <c r="A355" s="219"/>
      <c r="B355" s="219"/>
      <c r="C355" s="168"/>
      <c r="D355" s="785"/>
      <c r="E355" s="869" t="s">
        <v>45</v>
      </c>
      <c r="F355" s="363"/>
      <c r="G355" s="363"/>
      <c r="H355" s="363"/>
      <c r="I355" s="878"/>
      <c r="J355" s="878"/>
      <c r="K355" s="878"/>
      <c r="L355" s="878"/>
      <c r="M355" s="363"/>
      <c r="N355" s="363"/>
      <c r="O355" s="363"/>
      <c r="P355" s="363"/>
      <c r="Q355" s="363"/>
      <c r="R355" s="363"/>
      <c r="S355" s="363"/>
      <c r="T355" s="363"/>
      <c r="U355" s="363"/>
      <c r="V355" s="363"/>
      <c r="W355" s="363"/>
      <c r="X355" s="363"/>
      <c r="Y355" s="363"/>
      <c r="Z355" s="363"/>
      <c r="AA355" s="363"/>
      <c r="AB355" s="363"/>
      <c r="AC355" s="363"/>
      <c r="AD355" s="363"/>
      <c r="AE355" s="363"/>
      <c r="AF355" s="363"/>
      <c r="AG355" s="363"/>
      <c r="AH355" s="363"/>
      <c r="AI355" s="363"/>
      <c r="AJ355" s="363"/>
      <c r="AK355" s="363"/>
      <c r="AL355" s="363"/>
      <c r="AM355" s="363"/>
      <c r="AN355" s="363"/>
      <c r="AO355" s="363"/>
      <c r="AP355" s="363"/>
      <c r="AQ355" s="363"/>
      <c r="AR355" s="363"/>
      <c r="AS355" s="363"/>
      <c r="AT355" s="363"/>
      <c r="AU355" s="363"/>
      <c r="AV355" s="363"/>
      <c r="AW355" s="363"/>
      <c r="AX355" s="363"/>
      <c r="AY355" s="363"/>
      <c r="AZ355" s="363"/>
      <c r="BA355" s="363"/>
      <c r="BB355" s="363"/>
      <c r="BC355" s="363"/>
      <c r="BD355" s="363"/>
      <c r="BE355" s="363"/>
      <c r="BF355" s="363"/>
      <c r="BG355" s="363"/>
      <c r="BH355" s="363"/>
      <c r="BI355" s="363"/>
      <c r="BJ355" s="363"/>
      <c r="BK355" s="363"/>
      <c r="BL355" s="363"/>
      <c r="BM355" s="363"/>
      <c r="BN355" s="363"/>
      <c r="BO355" s="363"/>
      <c r="BP355" s="363"/>
      <c r="BQ355" s="363"/>
      <c r="BR355" s="363"/>
      <c r="BS355" s="363"/>
      <c r="BT355" s="363"/>
      <c r="BU355" s="363"/>
      <c r="BV355" s="363"/>
      <c r="BW355" s="363"/>
      <c r="BX355" s="363"/>
      <c r="BY355" s="363"/>
      <c r="BZ355" s="363"/>
      <c r="CA355" s="363"/>
      <c r="CB355" s="394"/>
      <c r="CC355" s="394"/>
      <c r="CD355" s="394"/>
      <c r="CE355" s="394"/>
      <c r="CF355" s="363"/>
      <c r="CG355" s="363"/>
      <c r="CH355" s="363"/>
      <c r="CI355" s="363"/>
      <c r="CJ355" s="363"/>
      <c r="CK355" s="363"/>
      <c r="CL355" s="363"/>
      <c r="CM355" s="363"/>
      <c r="CN355" s="323"/>
      <c r="CO355" s="363"/>
      <c r="CP355" s="363"/>
      <c r="CQ355" s="363"/>
      <c r="CR355" s="363"/>
      <c r="CS355" s="323"/>
      <c r="CT355" s="155"/>
      <c r="CU355" s="269"/>
      <c r="CV355" s="209"/>
      <c r="CW355" s="218"/>
    </row>
    <row r="356" spans="1:101" ht="18.75" thickTop="1" x14ac:dyDescent="0.2">
      <c r="A356" s="219"/>
      <c r="B356" s="219"/>
      <c r="C356" s="174"/>
      <c r="D356" s="778"/>
      <c r="E356" s="777"/>
      <c r="F356" s="235"/>
      <c r="G356" s="234"/>
      <c r="H356" s="234"/>
      <c r="I356" s="875">
        <f>WEEKNUM(E357)</f>
        <v>49</v>
      </c>
      <c r="J356" s="875"/>
      <c r="K356" s="875"/>
      <c r="L356" s="250"/>
      <c r="M356" s="261"/>
      <c r="N356" s="205"/>
      <c r="O356" s="236"/>
      <c r="P356" s="236"/>
      <c r="Q356" s="675" t="str">
        <f>IF($F360="","",SUM(Q372:S372)-S358)</f>
        <v/>
      </c>
      <c r="R356" s="675"/>
      <c r="S356" s="675"/>
      <c r="T356" s="237"/>
      <c r="U356" s="238"/>
      <c r="V356" s="238"/>
      <c r="W356" s="238"/>
      <c r="X356" s="238"/>
      <c r="Y356" s="236"/>
      <c r="Z356" s="675" t="str">
        <f>IF($F360="","",SUM(Z372:AB372)-AB358)</f>
        <v/>
      </c>
      <c r="AA356" s="675"/>
      <c r="AB356" s="675"/>
      <c r="AC356" s="237"/>
      <c r="AD356" s="238"/>
      <c r="AE356" s="238"/>
      <c r="AF356" s="238"/>
      <c r="AG356" s="238"/>
      <c r="AH356" s="236"/>
      <c r="AI356" s="675" t="str">
        <f>IF($F360="","",SUM(AI372:AK372)-AK358)</f>
        <v/>
      </c>
      <c r="AJ356" s="675"/>
      <c r="AK356" s="675"/>
      <c r="AL356" s="237"/>
      <c r="AM356" s="238"/>
      <c r="AN356" s="238"/>
      <c r="AO356" s="238"/>
      <c r="AP356" s="238"/>
      <c r="AQ356" s="236"/>
      <c r="AR356" s="675" t="str">
        <f>IF($F360="","",SUM(AR372:AT372)-AT358)</f>
        <v/>
      </c>
      <c r="AS356" s="675"/>
      <c r="AT356" s="675"/>
      <c r="AU356" s="239"/>
      <c r="AV356" s="238"/>
      <c r="AW356" s="238"/>
      <c r="AX356" s="238"/>
      <c r="AY356" s="238"/>
      <c r="AZ356" s="240"/>
      <c r="BA356" s="675" t="str">
        <f>IF($F360="","",SUM(BA372:BC372)-BC358)</f>
        <v/>
      </c>
      <c r="BB356" s="675"/>
      <c r="BC356" s="675"/>
      <c r="BD356" s="239"/>
      <c r="BE356" s="238"/>
      <c r="BF356" s="238"/>
      <c r="BG356" s="238"/>
      <c r="BH356" s="238"/>
      <c r="BI356" s="240"/>
      <c r="BJ356" s="675" t="str">
        <f>IF($F360="","",SUM(BJ372:BL372)-BL358)</f>
        <v/>
      </c>
      <c r="BK356" s="675"/>
      <c r="BL356" s="675"/>
      <c r="BM356" s="239"/>
      <c r="BN356" s="238"/>
      <c r="BO356" s="238"/>
      <c r="BP356" s="238"/>
      <c r="BQ356" s="238"/>
      <c r="BR356" s="241"/>
      <c r="BS356" s="675" t="str">
        <f>IF($F360="","",SUM(BS372:BU372)-BU358)</f>
        <v/>
      </c>
      <c r="BT356" s="675"/>
      <c r="BU356" s="675"/>
      <c r="BV356" s="240"/>
      <c r="BW356" s="238"/>
      <c r="BX356" s="238"/>
      <c r="BY356" s="238"/>
      <c r="BZ356" s="238"/>
      <c r="CA356" s="241"/>
      <c r="CB356" s="675" t="str">
        <f>IF($F360="","",SUM(CB372:CD372)-CD358)</f>
        <v/>
      </c>
      <c r="CC356" s="675"/>
      <c r="CD356" s="675"/>
      <c r="CE356" s="240"/>
      <c r="CF356" s="238"/>
      <c r="CG356" s="238"/>
      <c r="CH356" s="238"/>
      <c r="CI356" s="238"/>
      <c r="CJ356" s="234"/>
      <c r="CK356" s="675" t="str">
        <f>IF($F360="","",SUM(CK372:CM372))</f>
        <v/>
      </c>
      <c r="CL356" s="675"/>
      <c r="CM356" s="675"/>
      <c r="CN356" s="240"/>
      <c r="CO356" s="238"/>
      <c r="CP356" s="238"/>
      <c r="CQ356" s="238"/>
      <c r="CR356" s="238"/>
      <c r="CS356" s="234"/>
      <c r="CT356" s="234"/>
      <c r="CU356" s="251"/>
      <c r="CV356" s="209"/>
      <c r="CW356" s="218"/>
    </row>
    <row r="357" spans="1:101" ht="15.75" customHeight="1" x14ac:dyDescent="0.2">
      <c r="A357" s="219"/>
      <c r="B357" s="219"/>
      <c r="C357" s="174"/>
      <c r="D357" s="779"/>
      <c r="E357" s="543">
        <f>E335+7</f>
        <v>46361</v>
      </c>
      <c r="F357" s="178"/>
      <c r="G357" s="179"/>
      <c r="H357" s="179"/>
      <c r="I357" s="876"/>
      <c r="J357" s="876"/>
      <c r="K357" s="876"/>
      <c r="L357" s="254"/>
      <c r="M357" s="329"/>
      <c r="N357" s="208"/>
      <c r="O357" s="180"/>
      <c r="P357" s="180"/>
      <c r="Q357" s="584" t="str">
        <f>IF(Q356="","",Q356/Data!$X$1)</f>
        <v/>
      </c>
      <c r="R357" s="584"/>
      <c r="S357" s="585" t="str">
        <f>IF(SUM(X360:X371)=0,"",SUM(X360:X371))</f>
        <v/>
      </c>
      <c r="T357" s="181"/>
      <c r="U357" s="182"/>
      <c r="V357" s="182"/>
      <c r="W357" s="182"/>
      <c r="X357" s="182"/>
      <c r="Y357" s="180"/>
      <c r="Z357" s="584" t="str">
        <f>IF(Z356="","",Z356/Data!$X$1)</f>
        <v/>
      </c>
      <c r="AA357" s="584"/>
      <c r="AB357" s="585" t="str">
        <f>IF(SUM(AG360:AG371)=0,"",SUM(AG360:AG371))</f>
        <v/>
      </c>
      <c r="AC357" s="181"/>
      <c r="AD357" s="182"/>
      <c r="AE357" s="182"/>
      <c r="AF357" s="182"/>
      <c r="AG357" s="182"/>
      <c r="AH357" s="180"/>
      <c r="AI357" s="584" t="str">
        <f>IF(AI356="","",AI356/Data!$X$1)</f>
        <v/>
      </c>
      <c r="AJ357" s="584"/>
      <c r="AK357" s="585" t="str">
        <f>IF(SUM(AP360:AP371)=0,"",SUM(AP360:AP371))</f>
        <v/>
      </c>
      <c r="AL357" s="181"/>
      <c r="AM357" s="182"/>
      <c r="AN357" s="182"/>
      <c r="AO357" s="182"/>
      <c r="AP357" s="182"/>
      <c r="AQ357" s="180"/>
      <c r="AR357" s="584" t="str">
        <f>IF(AR356="","",AR356/Data!$X$1)</f>
        <v/>
      </c>
      <c r="AS357" s="584"/>
      <c r="AT357" s="585" t="str">
        <f>IF(SUM(AY360:AY371)=0,"",SUM(AY360:AY371))</f>
        <v/>
      </c>
      <c r="AU357" s="183"/>
      <c r="AV357" s="182"/>
      <c r="AW357" s="182"/>
      <c r="AX357" s="182"/>
      <c r="AY357" s="182"/>
      <c r="AZ357" s="184"/>
      <c r="BA357" s="584" t="str">
        <f>IF(BA356="","",BA356/Data!$X$1)</f>
        <v/>
      </c>
      <c r="BB357" s="584"/>
      <c r="BC357" s="585" t="str">
        <f>IF(SUM(BH360:BH371)=0,"",SUM(BH360:BH371))</f>
        <v/>
      </c>
      <c r="BD357" s="183"/>
      <c r="BE357" s="182"/>
      <c r="BF357" s="182"/>
      <c r="BG357" s="182"/>
      <c r="BH357" s="182"/>
      <c r="BI357" s="184"/>
      <c r="BJ357" s="584" t="str">
        <f>IF(BJ356="","",BJ356/Data!$X$1)</f>
        <v/>
      </c>
      <c r="BK357" s="584"/>
      <c r="BL357" s="585" t="str">
        <f>IF(SUM(BQ360:BQ371)=0,"",SUM(BQ360:BQ371))</f>
        <v/>
      </c>
      <c r="BM357" s="183"/>
      <c r="BN357" s="182"/>
      <c r="BO357" s="182"/>
      <c r="BP357" s="182"/>
      <c r="BQ357" s="182"/>
      <c r="BR357" s="185"/>
      <c r="BS357" s="584" t="str">
        <f>IF(BS356="","",BS356/Data!$X$1)</f>
        <v/>
      </c>
      <c r="BT357" s="584"/>
      <c r="BU357" s="585" t="str">
        <f>IF(SUM(BZ360:BZ371)=0,"",SUM(BZ360:BZ371))</f>
        <v/>
      </c>
      <c r="BV357" s="184"/>
      <c r="BW357" s="182"/>
      <c r="BX357" s="182"/>
      <c r="BY357" s="182"/>
      <c r="BZ357" s="182"/>
      <c r="CA357" s="185"/>
      <c r="CB357" s="584" t="str">
        <f>IF(CB356="","",CB356/Data!$X$1)</f>
        <v/>
      </c>
      <c r="CC357" s="584"/>
      <c r="CD357" s="585" t="str">
        <f>IF(SUM(CI360:CI371)=0,"",SUM(CI360:CI371))</f>
        <v/>
      </c>
      <c r="CE357" s="184"/>
      <c r="CF357" s="182"/>
      <c r="CG357" s="182"/>
      <c r="CH357" s="182"/>
      <c r="CI357" s="182"/>
      <c r="CJ357" s="182"/>
      <c r="CK357" s="584" t="str">
        <f>IF(CK356="","",CK356/Data!$X$1)</f>
        <v/>
      </c>
      <c r="CL357" s="584"/>
      <c r="CM357" s="585" t="str">
        <f>IF(SUM(CR360:CR371)=0,"",SUM(CR360:CR371))</f>
        <v/>
      </c>
      <c r="CN357" s="184"/>
      <c r="CO357" s="182"/>
      <c r="CP357" s="182"/>
      <c r="CQ357" s="182"/>
      <c r="CR357" s="182"/>
      <c r="CS357" s="182"/>
      <c r="CT357" s="182"/>
      <c r="CU357" s="255"/>
      <c r="CV357" s="209"/>
      <c r="CW357" s="218"/>
    </row>
    <row r="358" spans="1:101" ht="14.25" customHeight="1" thickBot="1" x14ac:dyDescent="0.25">
      <c r="A358" s="219"/>
      <c r="B358" s="219"/>
      <c r="C358" s="174"/>
      <c r="D358" s="230"/>
      <c r="E358" s="359"/>
      <c r="F358" s="186"/>
      <c r="G358" s="187"/>
      <c r="H358" s="187"/>
      <c r="I358" s="673"/>
      <c r="J358" s="674"/>
      <c r="K358" s="674"/>
      <c r="L358" s="256"/>
      <c r="M358" s="330"/>
      <c r="N358" s="334"/>
      <c r="O358" s="187"/>
      <c r="P358" s="187"/>
      <c r="Q358" s="342" t="str">
        <f>Data!$E$11</f>
        <v>AHH</v>
      </c>
      <c r="R358" s="343" t="str">
        <f>IF($F371="","",RANK(Q356,$Q356:$CL356))</f>
        <v/>
      </c>
      <c r="S358" s="466"/>
      <c r="T358" s="181"/>
      <c r="U358" s="182"/>
      <c r="V358" s="182"/>
      <c r="W358" s="182"/>
      <c r="X358" s="182"/>
      <c r="Y358" s="180"/>
      <c r="Z358" s="342" t="str">
        <f>Data!$E$12</f>
        <v>RB</v>
      </c>
      <c r="AA358" s="343" t="str">
        <f>IF($F371="","",RANK(Z356,$Q356:$CL356))</f>
        <v/>
      </c>
      <c r="AB358" s="466"/>
      <c r="AC358" s="181"/>
      <c r="AD358" s="182"/>
      <c r="AE358" s="182"/>
      <c r="AF358" s="182"/>
      <c r="AG358" s="182"/>
      <c r="AH358" s="180"/>
      <c r="AI358" s="342" t="str">
        <f>Data!$E$13</f>
        <v>EB</v>
      </c>
      <c r="AJ358" s="343" t="str">
        <f>IF($F371="","",RANK(AI356,$Q356:$CL356))</f>
        <v/>
      </c>
      <c r="AK358" s="466"/>
      <c r="AL358" s="181"/>
      <c r="AM358" s="182"/>
      <c r="AN358" s="182"/>
      <c r="AO358" s="182"/>
      <c r="AP358" s="182"/>
      <c r="AQ358" s="180"/>
      <c r="AR358" s="305" t="str">
        <f>Data!$E$14</f>
        <v>KAF</v>
      </c>
      <c r="AS358" s="343" t="str">
        <f>IF($F371="","",RANK(AR356,$Q356:$CL356))</f>
        <v/>
      </c>
      <c r="AT358" s="466"/>
      <c r="AU358" s="181"/>
      <c r="AV358" s="182"/>
      <c r="AW358" s="182"/>
      <c r="AX358" s="182"/>
      <c r="AY358" s="182"/>
      <c r="AZ358" s="180"/>
      <c r="BA358" s="305" t="str">
        <f>Data!$E$15</f>
        <v>ØG</v>
      </c>
      <c r="BB358" s="343" t="str">
        <f>IF($F371="","",RANK(BA356,$Q356:$CL356))</f>
        <v/>
      </c>
      <c r="BC358" s="466"/>
      <c r="BD358" s="181"/>
      <c r="BE358" s="182"/>
      <c r="BF358" s="182"/>
      <c r="BG358" s="182"/>
      <c r="BH358" s="182"/>
      <c r="BI358" s="180"/>
      <c r="BJ358" s="305" t="str">
        <f>Data!$E$16</f>
        <v>JH</v>
      </c>
      <c r="BK358" s="343" t="str">
        <f>IF($F371="","",RANK(BJ356,$Q356:$CL356))</f>
        <v/>
      </c>
      <c r="BL358" s="466"/>
      <c r="BM358" s="181"/>
      <c r="BN358" s="182"/>
      <c r="BO358" s="182"/>
      <c r="BP358" s="182"/>
      <c r="BQ358" s="182"/>
      <c r="BR358" s="188"/>
      <c r="BS358" s="305" t="str">
        <f>Data!$E$17</f>
        <v>TOH</v>
      </c>
      <c r="BT358" s="343" t="str">
        <f>IF($F371="","",RANK(BS356,$Q356:$CL356))</f>
        <v/>
      </c>
      <c r="BU358" s="466"/>
      <c r="BV358" s="180"/>
      <c r="BW358" s="182"/>
      <c r="BX358" s="182"/>
      <c r="BY358" s="182"/>
      <c r="BZ358" s="182"/>
      <c r="CA358" s="188"/>
      <c r="CB358" s="305" t="s">
        <v>26</v>
      </c>
      <c r="CC358" s="343" t="str">
        <f>IF($F371="","",RANK(CB356,$Q356:$CM356))</f>
        <v/>
      </c>
      <c r="CD358" s="467"/>
      <c r="CE358" s="180"/>
      <c r="CF358" s="182"/>
      <c r="CG358" s="182"/>
      <c r="CH358" s="182"/>
      <c r="CI358" s="182"/>
      <c r="CJ358" s="182"/>
      <c r="CK358" s="305" t="s">
        <v>27</v>
      </c>
      <c r="CL358" s="343" t="str">
        <f>IF($F371="","",RANK(CK356,$Q356:$CM356))</f>
        <v/>
      </c>
      <c r="CM358" s="669"/>
      <c r="CN358" s="180"/>
      <c r="CO358" s="182"/>
      <c r="CP358" s="182"/>
      <c r="CQ358" s="182"/>
      <c r="CR358" s="182"/>
      <c r="CS358" s="182"/>
      <c r="CT358" s="182"/>
      <c r="CU358" s="255"/>
      <c r="CV358" s="209"/>
      <c r="CW358" s="218"/>
    </row>
    <row r="359" spans="1:101" ht="13.5" customHeight="1" thickBot="1" x14ac:dyDescent="0.25">
      <c r="A359" s="227"/>
      <c r="B359" s="227"/>
      <c r="C359" s="168"/>
      <c r="D359" s="793" t="s">
        <v>247</v>
      </c>
      <c r="E359" s="189"/>
      <c r="F359" s="190"/>
      <c r="G359" s="191"/>
      <c r="H359" s="191"/>
      <c r="I359" s="192" t="s">
        <v>47</v>
      </c>
      <c r="J359" s="193" t="s">
        <v>48</v>
      </c>
      <c r="K359" s="194" t="s">
        <v>49</v>
      </c>
      <c r="L359" s="257"/>
      <c r="M359" s="331"/>
      <c r="N359" s="335"/>
      <c r="O359" s="195"/>
      <c r="P359" s="195"/>
      <c r="Q359" s="192" t="s">
        <v>47</v>
      </c>
      <c r="R359" s="193" t="s">
        <v>48</v>
      </c>
      <c r="S359" s="194" t="s">
        <v>49</v>
      </c>
      <c r="T359" s="196"/>
      <c r="U359" s="197"/>
      <c r="V359" s="197"/>
      <c r="W359" s="197"/>
      <c r="X359" s="197">
        <f>COUNTIF(U361:W372,"&gt;0")</f>
        <v>0</v>
      </c>
      <c r="Y359" s="195"/>
      <c r="Z359" s="192" t="s">
        <v>47</v>
      </c>
      <c r="AA359" s="193" t="s">
        <v>48</v>
      </c>
      <c r="AB359" s="194" t="s">
        <v>49</v>
      </c>
      <c r="AC359" s="196"/>
      <c r="AD359" s="197"/>
      <c r="AE359" s="197"/>
      <c r="AF359" s="197"/>
      <c r="AG359" s="197">
        <f>COUNTIF(AD361:AF372,"&gt;0")</f>
        <v>0</v>
      </c>
      <c r="AH359" s="195"/>
      <c r="AI359" s="192" t="s">
        <v>47</v>
      </c>
      <c r="AJ359" s="193" t="s">
        <v>48</v>
      </c>
      <c r="AK359" s="194" t="s">
        <v>49</v>
      </c>
      <c r="AL359" s="196"/>
      <c r="AM359" s="197"/>
      <c r="AN359" s="197"/>
      <c r="AO359" s="197"/>
      <c r="AP359" s="197">
        <f>COUNTIF(AM361:AO372,"&gt;0")</f>
        <v>0</v>
      </c>
      <c r="AQ359" s="195"/>
      <c r="AR359" s="192" t="s">
        <v>47</v>
      </c>
      <c r="AS359" s="193" t="s">
        <v>48</v>
      </c>
      <c r="AT359" s="194" t="s">
        <v>49</v>
      </c>
      <c r="AU359" s="196"/>
      <c r="AV359" s="197"/>
      <c r="AW359" s="197"/>
      <c r="AX359" s="197"/>
      <c r="AY359" s="197">
        <f>COUNTIF(AV361:AX372,"&gt;0")</f>
        <v>0</v>
      </c>
      <c r="AZ359" s="195"/>
      <c r="BA359" s="192" t="s">
        <v>47</v>
      </c>
      <c r="BB359" s="193" t="s">
        <v>48</v>
      </c>
      <c r="BC359" s="194" t="s">
        <v>49</v>
      </c>
      <c r="BD359" s="196"/>
      <c r="BE359" s="197"/>
      <c r="BF359" s="197"/>
      <c r="BG359" s="197"/>
      <c r="BH359" s="197">
        <f>COUNTIF(BE361:BG372,"&gt;0")</f>
        <v>0</v>
      </c>
      <c r="BI359" s="195"/>
      <c r="BJ359" s="192" t="s">
        <v>47</v>
      </c>
      <c r="BK359" s="193" t="s">
        <v>48</v>
      </c>
      <c r="BL359" s="194" t="s">
        <v>49</v>
      </c>
      <c r="BM359" s="196"/>
      <c r="BN359" s="197"/>
      <c r="BO359" s="197"/>
      <c r="BP359" s="197"/>
      <c r="BQ359" s="197">
        <f>COUNTIF(BN361:BP372,"&gt;0")</f>
        <v>0</v>
      </c>
      <c r="BR359" s="195"/>
      <c r="BS359" s="192" t="s">
        <v>47</v>
      </c>
      <c r="BT359" s="193" t="s">
        <v>48</v>
      </c>
      <c r="BU359" s="194" t="s">
        <v>49</v>
      </c>
      <c r="BV359" s="196"/>
      <c r="BW359" s="197"/>
      <c r="BX359" s="197"/>
      <c r="BY359" s="197"/>
      <c r="BZ359" s="197">
        <f>COUNTIF(BW361:BY372,"&gt;0")</f>
        <v>0</v>
      </c>
      <c r="CA359" s="195"/>
      <c r="CB359" s="192" t="s">
        <v>47</v>
      </c>
      <c r="CC359" s="193" t="s">
        <v>48</v>
      </c>
      <c r="CD359" s="194" t="s">
        <v>49</v>
      </c>
      <c r="CE359" s="196"/>
      <c r="CF359" s="197"/>
      <c r="CG359" s="197"/>
      <c r="CH359" s="197"/>
      <c r="CI359" s="197">
        <f>COUNTIF(CF361:CH372,"&gt;0")</f>
        <v>0</v>
      </c>
      <c r="CJ359" s="197"/>
      <c r="CK359" s="192" t="s">
        <v>47</v>
      </c>
      <c r="CL359" s="193" t="s">
        <v>48</v>
      </c>
      <c r="CM359" s="194" t="s">
        <v>49</v>
      </c>
      <c r="CN359" s="196"/>
      <c r="CO359" s="197"/>
      <c r="CP359" s="197"/>
      <c r="CQ359" s="197"/>
      <c r="CR359" s="197">
        <f>COUNTIF(CO361:CQ372,"&gt;0")</f>
        <v>0</v>
      </c>
      <c r="CS359" s="197"/>
      <c r="CT359" s="198"/>
      <c r="CU359" s="255"/>
      <c r="CV359" s="209"/>
      <c r="CW359" s="228"/>
    </row>
    <row r="360" spans="1:101" x14ac:dyDescent="0.2">
      <c r="A360" s="227"/>
      <c r="B360" s="227"/>
      <c r="C360" s="168"/>
      <c r="D360" s="232"/>
      <c r="E360" s="134" t="s">
        <v>248</v>
      </c>
      <c r="F360" s="424"/>
      <c r="G360" s="428"/>
      <c r="H360" s="429"/>
      <c r="I360" s="138"/>
      <c r="J360" s="344" t="str">
        <f t="shared" ref="J360:J371" si="524">IF(F360&lt;&gt;"",IF(H360&lt;&gt;"",IF(F360=H360,"x",""),""),"")</f>
        <v/>
      </c>
      <c r="K360" s="345" t="str">
        <f t="shared" ref="K360:K371" si="525">IF($F360&lt;$H360,"x","")</f>
        <v/>
      </c>
      <c r="L360" s="258"/>
      <c r="M360" s="332"/>
      <c r="N360" s="336"/>
      <c r="O360" s="200"/>
      <c r="P360" s="200"/>
      <c r="Q360" s="436"/>
      <c r="R360" s="437"/>
      <c r="S360" s="438" t="str">
        <f t="shared" ref="S360:S371" si="526">IF(Q360="","",100-SUM(Q360:R360))</f>
        <v/>
      </c>
      <c r="T360" s="328"/>
      <c r="U360" s="197" t="str">
        <f>IF(AND($I360="x",AND(MAX(Q360:S360)=Q360,Q360&gt;=0)),Data!$BI$2,"")</f>
        <v/>
      </c>
      <c r="V360" s="197" t="str">
        <f>IF(AND($J360="x",AND(MAX(Q360:S360)=R360,R360&gt;=0)),Data!$BJ$2,"")</f>
        <v/>
      </c>
      <c r="W360" s="197" t="str">
        <f>IF(AND($K360="x",AND(MAX(Q360:S360)=S360,S360&gt;=0)),Data!$BK$2,"")</f>
        <v/>
      </c>
      <c r="X360" s="197"/>
      <c r="Y360" s="328"/>
      <c r="Z360" s="451"/>
      <c r="AA360" s="452"/>
      <c r="AB360" s="438" t="str">
        <f t="shared" ref="AB360:AB371" si="527">IF(Z360="","",100-SUM(Z360:AA360))</f>
        <v/>
      </c>
      <c r="AC360" s="328"/>
      <c r="AD360" s="197" t="str">
        <f>IF(AND($I360="x",AND(MAX(Z360:AB360)=Z360,Z360&lt;&gt;"")),Data!$BI$2,"")</f>
        <v/>
      </c>
      <c r="AE360" s="197" t="str">
        <f>IF(AND($J360="x",AND(MAX(Z360:AB360)=AA360,AA360&lt;&gt;"")),Data!$BJ$2,"")</f>
        <v/>
      </c>
      <c r="AF360" s="197" t="str">
        <f>IF(AND($K360="x",AND(MAX(Z360:AB360)=AB360,AB360&lt;&gt;"")),Data!$BK$2,"")</f>
        <v/>
      </c>
      <c r="AG360" s="197"/>
      <c r="AH360" s="328"/>
      <c r="AI360" s="451"/>
      <c r="AJ360" s="452"/>
      <c r="AK360" s="438" t="str">
        <f t="shared" ref="AK360:AK371" si="528">IF(AI360="","",100-SUM(AI360:AJ360))</f>
        <v/>
      </c>
      <c r="AL360" s="328"/>
      <c r="AM360" s="197" t="str">
        <f>IF(AND($I360="x",AND(MAX(AI360:AK360)=AI360,AI360&lt;&gt;"")),Data!$BI$2,"")</f>
        <v/>
      </c>
      <c r="AN360" s="197" t="str">
        <f>IF(AND($J360="x",AND(MAX(AI360:AK360)=AJ360,AJ360&lt;&gt;"")),Data!$BJ$2,"")</f>
        <v/>
      </c>
      <c r="AO360" s="197" t="str">
        <f>IF(AND($K360="x",AND(MAX(AI360:AK360)=AK360,AK360&lt;&gt;"")),Data!$BK$2,"")</f>
        <v/>
      </c>
      <c r="AP360" s="197"/>
      <c r="AQ360" s="328"/>
      <c r="AR360" s="451"/>
      <c r="AS360" s="452"/>
      <c r="AT360" s="438" t="str">
        <f t="shared" ref="AT360:AT371" si="529">IF(AR360="","",100-SUM(AR360:AS360))</f>
        <v/>
      </c>
      <c r="AU360" s="328"/>
      <c r="AV360" s="197" t="str">
        <f>IF(AND($I360="x",AND(MAX(AR360:AT360)=AR360,AR360&lt;&gt;"")),Data!$BI$2,"")</f>
        <v/>
      </c>
      <c r="AW360" s="197" t="str">
        <f>IF(AND($J360="x",AND(MAX(AR360:AT360)=AS360,AS360&lt;&gt;"")),Data!$BJ$2,"")</f>
        <v/>
      </c>
      <c r="AX360" s="197" t="str">
        <f>IF(AND($K360="x",AND(MAX(AR360:AT360)=AT360,AT360&lt;&gt;"")),Data!$BK$2,"")</f>
        <v/>
      </c>
      <c r="AY360" s="197"/>
      <c r="AZ360" s="328"/>
      <c r="BA360" s="451"/>
      <c r="BB360" s="452"/>
      <c r="BC360" s="438" t="str">
        <f t="shared" ref="BC360:BC371" si="530">IF(BA360="","",100-SUM(BA360:BB360))</f>
        <v/>
      </c>
      <c r="BD360" s="328"/>
      <c r="BE360" s="197" t="str">
        <f>IF(AND($I360="x",AND(MAX(BA360:BC360)=BA360,BA360&lt;&gt;"")),Data!$BI$2,"")</f>
        <v/>
      </c>
      <c r="BF360" s="197" t="str">
        <f>IF(AND($J360="x",AND(MAX(BA360:BC360)=BB360,BB360&lt;&gt;"")),Data!$BJ$2,"")</f>
        <v/>
      </c>
      <c r="BG360" s="197" t="str">
        <f>IF(AND($K360="x",AND(MAX(BA360:BC360)=BC360,BC360&lt;&gt;"")),Data!$BK$2,"")</f>
        <v/>
      </c>
      <c r="BH360" s="197"/>
      <c r="BI360" s="328"/>
      <c r="BJ360" s="451"/>
      <c r="BK360" s="452"/>
      <c r="BL360" s="438" t="str">
        <f t="shared" ref="BL360:BL371" si="531">IF(BJ360="","",100-SUM(BJ360:BK360))</f>
        <v/>
      </c>
      <c r="BM360" s="328"/>
      <c r="BN360" s="197" t="str">
        <f>IF(AND($I360="x",AND(MAX(BJ360:BL360)=BJ360,BJ360&lt;&gt;"")),Data!$BI$2,"")</f>
        <v/>
      </c>
      <c r="BO360" s="197" t="str">
        <f>IF(AND($J360="x",AND(MAX(BJ360:BL360)=BK360,BK360&lt;&gt;"")),Data!$BJ$2,"")</f>
        <v/>
      </c>
      <c r="BP360" s="197" t="str">
        <f>IF(AND($K360="x",AND(MAX(BJ360:BL360)=BL360,BL360&lt;&gt;"")),Data!$BK$2,"")</f>
        <v/>
      </c>
      <c r="BQ360" s="197"/>
      <c r="BR360" s="328"/>
      <c r="BS360" s="451"/>
      <c r="BT360" s="452"/>
      <c r="BU360" s="438" t="str">
        <f t="shared" ref="BU360:BU371" si="532">IF(BS360="","",100-SUM(BS360:BT360))</f>
        <v/>
      </c>
      <c r="BV360" s="328"/>
      <c r="BW360" s="197" t="str">
        <f>IF(AND($I360="x",AND(MAX(BS360:BU360)=BS360,BS360&lt;&gt;"")),Data!$BI$2,"")</f>
        <v/>
      </c>
      <c r="BX360" s="197" t="str">
        <f>IF(AND($J360="x",AND(MAX(BS360:BU360)=BT360,BT360&lt;&gt;"")),Data!$BJ$2,"")</f>
        <v/>
      </c>
      <c r="BY360" s="197" t="str">
        <f>IF(AND($K360="x",AND(MAX(BS360:BU360)=BU360,BU360&lt;&gt;"")),Data!$BK$2,"")</f>
        <v/>
      </c>
      <c r="BZ360" s="197"/>
      <c r="CA360" s="328"/>
      <c r="CB360" s="457" t="str">
        <f t="shared" ref="CB360:CB371" si="533">IFERROR(ROUNDUP((SUM(Q360,Z360,AI360,AR360,BA360,BJ360,BS360)/SUM($Q360:$S360,$Z360:$AB360,$AI360:$AK360,$AR360:$AT360,$BA360:$BC360,$BJ360:$BL360,$BS360:$BU360))*100,-1),"")</f>
        <v/>
      </c>
      <c r="CC360" s="458" t="str">
        <f t="shared" ref="CC360:CC371" si="534">IFERROR(ROUNDDOWN((SUM(R360,AA360,AJ360,AS360,BB360,BK360,BT360)/SUM($Q360:$S360,$Z360:$AB360,$AI360:$AK360,$AR360:$AT360,$BA360:$BC360,$BJ360:$BL360,$BS360:$BU360))*100,-1),"")</f>
        <v/>
      </c>
      <c r="CD360" s="459" t="str">
        <f t="shared" ref="CD360:CD371" si="535">IF(CB360="","",100-SUM(CB360:CC360))</f>
        <v/>
      </c>
      <c r="CE360" s="328"/>
      <c r="CF360" s="197" t="str">
        <f>IF(AND($I360="x",AND(MAX(CB360:CD360)=CB360,CB360&lt;&gt;"")),Data!$BI$2,"")</f>
        <v/>
      </c>
      <c r="CG360" s="197" t="str">
        <f>IF(AND($J360="x",AND(MAX(CB360:CD360)=CC360,CC360&lt;&gt;"")),Data!$BJ$2,"")</f>
        <v/>
      </c>
      <c r="CH360" s="197" t="str">
        <f>IF(AND($K360="x",AND(MAX(CB360:CD360)=CD360,CD360&lt;&gt;"")),Data!$BK$2,"")</f>
        <v/>
      </c>
      <c r="CI360" s="197"/>
      <c r="CJ360" s="197"/>
      <c r="CK360" s="448"/>
      <c r="CL360" s="449"/>
      <c r="CM360" s="438" t="str">
        <f t="shared" ref="CM360:CM371" si="536">IF(CK360="","",100-SUM(CK360:CL360))</f>
        <v/>
      </c>
      <c r="CN360" s="328"/>
      <c r="CO360" s="197" t="str">
        <f>IF(AND($I360="x",AND(MAX(CK360:CM360)=CK360,CK360&lt;&gt;"")),Data!$BI$2,"")</f>
        <v/>
      </c>
      <c r="CP360" s="197" t="str">
        <f>IF(AND($J360="x",AND(MAX(CK360:CM360)=CL360,CL360&lt;&gt;"")),Data!$BJ$2,"")</f>
        <v/>
      </c>
      <c r="CQ360" s="197" t="str">
        <f>IF(AND($K360="x",AND(MAX(CK360:CM360)=CM360,CM360&lt;&gt;"")),Data!$BK$2,"")</f>
        <v/>
      </c>
      <c r="CR360" s="197"/>
      <c r="CS360" s="197"/>
      <c r="CT360" s="328"/>
      <c r="CU360" s="255"/>
      <c r="CV360" s="209"/>
      <c r="CW360" s="227"/>
    </row>
    <row r="361" spans="1:101" x14ac:dyDescent="0.2">
      <c r="A361" s="227"/>
      <c r="B361" s="227"/>
      <c r="C361" s="168"/>
      <c r="D361" s="232"/>
      <c r="E361" s="135" t="s">
        <v>249</v>
      </c>
      <c r="F361" s="425"/>
      <c r="G361" s="430"/>
      <c r="H361" s="431"/>
      <c r="I361" s="346" t="str">
        <f t="shared" ref="I361:I371" si="537">IF($F361&gt;$H361,"x","")</f>
        <v/>
      </c>
      <c r="J361" s="347" t="str">
        <f t="shared" si="524"/>
        <v/>
      </c>
      <c r="K361" s="348" t="str">
        <f t="shared" si="525"/>
        <v/>
      </c>
      <c r="L361" s="258"/>
      <c r="M361" s="332"/>
      <c r="N361" s="336"/>
      <c r="O361" s="200"/>
      <c r="P361" s="200"/>
      <c r="Q361" s="439"/>
      <c r="R361" s="440"/>
      <c r="S361" s="441" t="str">
        <f t="shared" si="526"/>
        <v/>
      </c>
      <c r="T361" s="328"/>
      <c r="U361" s="197" t="str">
        <f>IF(AND($I361="x",AND(MAX(Q361:S361)=Q361,Q361&gt;=0)),Data!$BI$2,"")</f>
        <v/>
      </c>
      <c r="V361" s="197" t="str">
        <f>IF(AND($J361="x",AND(MAX(Q361:S361)=R361,R361&gt;=0)),Data!$BJ$2,"")</f>
        <v/>
      </c>
      <c r="W361" s="197" t="str">
        <f>IF(AND($K361="x",AND(MAX(Q361:S361)=S361,S361&gt;=0)),Data!$BK$2,"")</f>
        <v/>
      </c>
      <c r="X361" s="197"/>
      <c r="Y361" s="328"/>
      <c r="Z361" s="453"/>
      <c r="AA361" s="454"/>
      <c r="AB361" s="441" t="str">
        <f t="shared" si="527"/>
        <v/>
      </c>
      <c r="AC361" s="328"/>
      <c r="AD361" s="197" t="str">
        <f>IF(AND($I361="x",AND(MAX(Z361:AB361)=Z361,Z361&lt;&gt;"")),Data!$BI$2,"")</f>
        <v/>
      </c>
      <c r="AE361" s="197" t="str">
        <f>IF(AND($J361="x",AND(MAX(Z361:AB361)=AA361,AA361&lt;&gt;"")),Data!$BJ$2,"")</f>
        <v/>
      </c>
      <c r="AF361" s="197" t="str">
        <f>IF(AND($K361="x",AND(MAX(Z361:AB361)=AB361,AB361&lt;&gt;"")),Data!$BK$2,"")</f>
        <v/>
      </c>
      <c r="AG361" s="197"/>
      <c r="AH361" s="328"/>
      <c r="AI361" s="453"/>
      <c r="AJ361" s="454"/>
      <c r="AK361" s="441" t="str">
        <f t="shared" si="528"/>
        <v/>
      </c>
      <c r="AL361" s="328"/>
      <c r="AM361" s="197" t="str">
        <f>IF(AND($I361="x",AND(MAX(AI361:AK361)=AI361,AI361&lt;&gt;"")),Data!$BI$2,"")</f>
        <v/>
      </c>
      <c r="AN361" s="197" t="str">
        <f>IF(AND($J361="x",AND(MAX(AI361:AK361)=AJ361,AJ361&lt;&gt;"")),Data!$BJ$2,"")</f>
        <v/>
      </c>
      <c r="AO361" s="197" t="str">
        <f>IF(AND($K361="x",AND(MAX(AI361:AK361)=AK361,AK361&lt;&gt;"")),Data!$BK$2,"")</f>
        <v/>
      </c>
      <c r="AP361" s="197"/>
      <c r="AQ361" s="328"/>
      <c r="AR361" s="453"/>
      <c r="AS361" s="454"/>
      <c r="AT361" s="441" t="str">
        <f t="shared" si="529"/>
        <v/>
      </c>
      <c r="AU361" s="328"/>
      <c r="AV361" s="197" t="str">
        <f>IF(AND($I361="x",AND(MAX(AR361:AT361)=AR361,AR361&lt;&gt;"")),Data!$BI$2,"")</f>
        <v/>
      </c>
      <c r="AW361" s="197" t="str">
        <f>IF(AND($J361="x",AND(MAX(AR361:AT361)=AS361,AS361&lt;&gt;"")),Data!$BJ$2,"")</f>
        <v/>
      </c>
      <c r="AX361" s="197" t="str">
        <f>IF(AND($K361="x",AND(MAX(AR361:AT361)=AT361,AT361&lt;&gt;"")),Data!$BK$2,"")</f>
        <v/>
      </c>
      <c r="AY361" s="197"/>
      <c r="AZ361" s="328"/>
      <c r="BA361" s="453"/>
      <c r="BB361" s="454"/>
      <c r="BC361" s="441" t="str">
        <f t="shared" si="530"/>
        <v/>
      </c>
      <c r="BD361" s="328"/>
      <c r="BE361" s="197" t="str">
        <f>IF(AND($I361="x",AND(MAX(BA361:BC361)=BA361,BA361&lt;&gt;"")),Data!$BI$2,"")</f>
        <v/>
      </c>
      <c r="BF361" s="197" t="str">
        <f>IF(AND($J361="x",AND(MAX(BA361:BC361)=BB361,BB361&lt;&gt;"")),Data!$BJ$2,"")</f>
        <v/>
      </c>
      <c r="BG361" s="197" t="str">
        <f>IF(AND($K361="x",AND(MAX(BA361:BC361)=BC361,BC361&lt;&gt;"")),Data!$BK$2,"")</f>
        <v/>
      </c>
      <c r="BH361" s="197"/>
      <c r="BI361" s="328"/>
      <c r="BJ361" s="453"/>
      <c r="BK361" s="454"/>
      <c r="BL361" s="441" t="str">
        <f t="shared" si="531"/>
        <v/>
      </c>
      <c r="BM361" s="328"/>
      <c r="BN361" s="197" t="str">
        <f>IF(AND($I361="x",AND(MAX(BJ361:BL361)=BJ361,BJ361&lt;&gt;"")),Data!$BI$2,"")</f>
        <v/>
      </c>
      <c r="BO361" s="197" t="str">
        <f>IF(AND($J361="x",AND(MAX(BJ361:BL361)=BK361,BK361&lt;&gt;"")),Data!$BJ$2,"")</f>
        <v/>
      </c>
      <c r="BP361" s="197" t="str">
        <f>IF(AND($K361="x",AND(MAX(BJ361:BL361)=BL361,BL361&lt;&gt;"")),Data!$BK$2,"")</f>
        <v/>
      </c>
      <c r="BQ361" s="197"/>
      <c r="BR361" s="328"/>
      <c r="BS361" s="453"/>
      <c r="BT361" s="454"/>
      <c r="BU361" s="441" t="str">
        <f t="shared" si="532"/>
        <v/>
      </c>
      <c r="BV361" s="328"/>
      <c r="BW361" s="197" t="str">
        <f>IF(AND($I361="x",AND(MAX(BS361:BU361)=BS361,BS361&lt;&gt;"")),Data!$BI$2,"")</f>
        <v/>
      </c>
      <c r="BX361" s="197" t="str">
        <f>IF(AND($J361="x",AND(MAX(BS361:BU361)=BT361,BT361&lt;&gt;"")),Data!$BJ$2,"")</f>
        <v/>
      </c>
      <c r="BY361" s="197" t="str">
        <f>IF(AND($K361="x",AND(MAX(BS361:BU361)=BU361,BU361&lt;&gt;"")),Data!$BK$2,"")</f>
        <v/>
      </c>
      <c r="BZ361" s="197"/>
      <c r="CA361" s="328"/>
      <c r="CB361" s="460" t="str">
        <f t="shared" si="533"/>
        <v/>
      </c>
      <c r="CC361" s="461" t="str">
        <f t="shared" si="534"/>
        <v/>
      </c>
      <c r="CD361" s="462" t="str">
        <f t="shared" si="535"/>
        <v/>
      </c>
      <c r="CE361" s="328"/>
      <c r="CF361" s="197" t="str">
        <f>IF(AND($I361="x",AND(MAX(CB361:CD361)=CB361,CB361&lt;&gt;"")),Data!$BI$2,"")</f>
        <v/>
      </c>
      <c r="CG361" s="197" t="str">
        <f>IF(AND($J361="x",AND(MAX(CB361:CD361)=CC361,CC361&lt;&gt;"")),Data!$BJ$2,"")</f>
        <v/>
      </c>
      <c r="CH361" s="197" t="str">
        <f>IF(AND($K361="x",AND(MAX(CB361:CD361)=CD361,CD361&lt;&gt;"")),Data!$BK$2,"")</f>
        <v/>
      </c>
      <c r="CI361" s="197"/>
      <c r="CJ361" s="197"/>
      <c r="CK361" s="439"/>
      <c r="CL361" s="440"/>
      <c r="CM361" s="441" t="str">
        <f t="shared" si="536"/>
        <v/>
      </c>
      <c r="CN361" s="328"/>
      <c r="CO361" s="197" t="str">
        <f>IF(AND($I361="x",AND(MAX(CK361:CM361)=CK361,CK361&lt;&gt;"")),Data!$BI$2,"")</f>
        <v/>
      </c>
      <c r="CP361" s="197" t="str">
        <f>IF(AND($J361="x",AND(MAX(CK361:CM361)=CL361,CL361&lt;&gt;"")),Data!$BJ$2,"")</f>
        <v/>
      </c>
      <c r="CQ361" s="197" t="str">
        <f>IF(AND($K361="x",AND(MAX(CK361:CM361)=CM361,CM361&lt;&gt;"")),Data!$BK$2,"")</f>
        <v/>
      </c>
      <c r="CR361" s="197"/>
      <c r="CS361" s="197"/>
      <c r="CT361" s="328"/>
      <c r="CU361" s="255"/>
      <c r="CV361" s="209"/>
      <c r="CW361" s="227"/>
    </row>
    <row r="362" spans="1:101" x14ac:dyDescent="0.2">
      <c r="A362" s="227"/>
      <c r="B362" s="227"/>
      <c r="C362" s="168"/>
      <c r="D362" s="232"/>
      <c r="E362" s="136" t="s">
        <v>250</v>
      </c>
      <c r="F362" s="426"/>
      <c r="G362" s="432"/>
      <c r="H362" s="433"/>
      <c r="I362" s="349" t="str">
        <f t="shared" si="537"/>
        <v/>
      </c>
      <c r="J362" s="350" t="str">
        <f t="shared" si="524"/>
        <v/>
      </c>
      <c r="K362" s="351" t="str">
        <f t="shared" si="525"/>
        <v/>
      </c>
      <c r="L362" s="258"/>
      <c r="M362" s="332"/>
      <c r="N362" s="336"/>
      <c r="O362" s="200"/>
      <c r="P362" s="200"/>
      <c r="Q362" s="442"/>
      <c r="R362" s="443"/>
      <c r="S362" s="444" t="str">
        <f t="shared" si="526"/>
        <v/>
      </c>
      <c r="T362" s="328"/>
      <c r="U362" s="197" t="str">
        <f>IF(AND($I362="x",AND(MAX(Q362:S362)=Q362,Q362&gt;=0)),Data!$BI$2,"")</f>
        <v/>
      </c>
      <c r="V362" s="197" t="str">
        <f>IF(AND($J362="x",AND(MAX(Q362:S362)=R362,R362&gt;=0)),Data!$BJ$2,"")</f>
        <v/>
      </c>
      <c r="W362" s="197" t="str">
        <f>IF(AND($K362="x",AND(MAX(Q362:S362)=S362,S362&gt;=0)),Data!$BK$2,"")</f>
        <v/>
      </c>
      <c r="X362" s="197"/>
      <c r="Y362" s="328"/>
      <c r="Z362" s="455"/>
      <c r="AA362" s="456"/>
      <c r="AB362" s="444" t="str">
        <f t="shared" si="527"/>
        <v/>
      </c>
      <c r="AC362" s="328"/>
      <c r="AD362" s="197" t="str">
        <f>IF(AND($I362="x",AND(MAX(Z362:AB362)=Z362,Z362&lt;&gt;"")),Data!$BI$2,"")</f>
        <v/>
      </c>
      <c r="AE362" s="197" t="str">
        <f>IF(AND($J362="x",AND(MAX(Z362:AB362)=AA362,AA362&lt;&gt;"")),Data!$BJ$2,"")</f>
        <v/>
      </c>
      <c r="AF362" s="197" t="str">
        <f>IF(AND($K362="x",AND(MAX(Z362:AB362)=AB362,AB362&lt;&gt;"")),Data!$BK$2,"")</f>
        <v/>
      </c>
      <c r="AG362" s="197"/>
      <c r="AH362" s="328"/>
      <c r="AI362" s="455"/>
      <c r="AJ362" s="456"/>
      <c r="AK362" s="444" t="str">
        <f t="shared" si="528"/>
        <v/>
      </c>
      <c r="AL362" s="328"/>
      <c r="AM362" s="197" t="str">
        <f>IF(AND($I362="x",AND(MAX(AI362:AK362)=AI362,AI362&lt;&gt;"")),Data!$BI$2,"")</f>
        <v/>
      </c>
      <c r="AN362" s="197" t="str">
        <f>IF(AND($J362="x",AND(MAX(AI362:AK362)=AJ362,AJ362&lt;&gt;"")),Data!$BJ$2,"")</f>
        <v/>
      </c>
      <c r="AO362" s="197" t="str">
        <f>IF(AND($K362="x",AND(MAX(AI362:AK362)=AK362,AK362&lt;&gt;"")),Data!$BK$2,"")</f>
        <v/>
      </c>
      <c r="AP362" s="197"/>
      <c r="AQ362" s="328"/>
      <c r="AR362" s="455"/>
      <c r="AS362" s="456"/>
      <c r="AT362" s="444" t="str">
        <f t="shared" si="529"/>
        <v/>
      </c>
      <c r="AU362" s="328"/>
      <c r="AV362" s="197" t="str">
        <f>IF(AND($I362="x",AND(MAX(AR362:AT362)=AR362,AR362&lt;&gt;"")),Data!$BI$2,"")</f>
        <v/>
      </c>
      <c r="AW362" s="197" t="str">
        <f>IF(AND($J362="x",AND(MAX(AR362:AT362)=AS362,AS362&lt;&gt;"")),Data!$BJ$2,"")</f>
        <v/>
      </c>
      <c r="AX362" s="197" t="str">
        <f>IF(AND($K362="x",AND(MAX(AR362:AT362)=AT362,AT362&lt;&gt;"")),Data!$BK$2,"")</f>
        <v/>
      </c>
      <c r="AY362" s="197"/>
      <c r="AZ362" s="328"/>
      <c r="BA362" s="455"/>
      <c r="BB362" s="456"/>
      <c r="BC362" s="444" t="str">
        <f t="shared" si="530"/>
        <v/>
      </c>
      <c r="BD362" s="328"/>
      <c r="BE362" s="197" t="str">
        <f>IF(AND($I362="x",AND(MAX(BA362:BC362)=BA362,BA362&lt;&gt;"")),Data!$BI$2,"")</f>
        <v/>
      </c>
      <c r="BF362" s="197" t="str">
        <f>IF(AND($J362="x",AND(MAX(BA362:BC362)=BB362,BB362&lt;&gt;"")),Data!$BJ$2,"")</f>
        <v/>
      </c>
      <c r="BG362" s="197" t="str">
        <f>IF(AND($K362="x",AND(MAX(BA362:BC362)=BC362,BC362&lt;&gt;"")),Data!$BK$2,"")</f>
        <v/>
      </c>
      <c r="BH362" s="197"/>
      <c r="BI362" s="328"/>
      <c r="BJ362" s="455"/>
      <c r="BK362" s="456"/>
      <c r="BL362" s="444" t="str">
        <f t="shared" si="531"/>
        <v/>
      </c>
      <c r="BM362" s="328"/>
      <c r="BN362" s="197" t="str">
        <f>IF(AND($I362="x",AND(MAX(BJ362:BL362)=BJ362,BJ362&lt;&gt;"")),Data!$BI$2,"")</f>
        <v/>
      </c>
      <c r="BO362" s="197" t="str">
        <f>IF(AND($J362="x",AND(MAX(BJ362:BL362)=BK362,BK362&lt;&gt;"")),Data!$BJ$2,"")</f>
        <v/>
      </c>
      <c r="BP362" s="197" t="str">
        <f>IF(AND($K362="x",AND(MAX(BJ362:BL362)=BL362,BL362&lt;&gt;"")),Data!$BK$2,"")</f>
        <v/>
      </c>
      <c r="BQ362" s="197"/>
      <c r="BR362" s="328"/>
      <c r="BS362" s="455"/>
      <c r="BT362" s="456"/>
      <c r="BU362" s="444" t="str">
        <f t="shared" si="532"/>
        <v/>
      </c>
      <c r="BV362" s="328"/>
      <c r="BW362" s="197" t="str">
        <f>IF(AND($I362="x",AND(MAX(BS362:BU362)=BS362,BS362&lt;&gt;"")),Data!$BI$2,"")</f>
        <v/>
      </c>
      <c r="BX362" s="197" t="str">
        <f>IF(AND($J362="x",AND(MAX(BS362:BU362)=BT362,BT362&lt;&gt;"")),Data!$BJ$2,"")</f>
        <v/>
      </c>
      <c r="BY362" s="197" t="str">
        <f>IF(AND($K362="x",AND(MAX(BS362:BU362)=BU362,BU362&lt;&gt;"")),Data!$BK$2,"")</f>
        <v/>
      </c>
      <c r="BZ362" s="197"/>
      <c r="CA362" s="328"/>
      <c r="CB362" s="463" t="str">
        <f t="shared" si="533"/>
        <v/>
      </c>
      <c r="CC362" s="464" t="str">
        <f t="shared" si="534"/>
        <v/>
      </c>
      <c r="CD362" s="465" t="str">
        <f t="shared" si="535"/>
        <v/>
      </c>
      <c r="CE362" s="328"/>
      <c r="CF362" s="197" t="str">
        <f>IF(AND($I362="x",AND(MAX(CB362:CD362)=CB362,CB362&lt;&gt;"")),Data!$BI$2,"")</f>
        <v/>
      </c>
      <c r="CG362" s="197" t="str">
        <f>IF(AND($J362="x",AND(MAX(CB362:CD362)=CC362,CC362&lt;&gt;"")),Data!$BJ$2,"")</f>
        <v/>
      </c>
      <c r="CH362" s="197" t="str">
        <f>IF(AND($K362="x",AND(MAX(CB362:CD362)=CD362,CD362&lt;&gt;"")),Data!$BK$2,"")</f>
        <v/>
      </c>
      <c r="CI362" s="197"/>
      <c r="CJ362" s="197"/>
      <c r="CK362" s="442"/>
      <c r="CL362" s="443"/>
      <c r="CM362" s="444" t="str">
        <f t="shared" si="536"/>
        <v/>
      </c>
      <c r="CN362" s="328"/>
      <c r="CO362" s="197" t="str">
        <f>IF(AND($I362="x",AND(MAX(CK362:CM362)=CK362,CK362&lt;&gt;"")),Data!$BI$2,"")</f>
        <v/>
      </c>
      <c r="CP362" s="197" t="str">
        <f>IF(AND($J362="x",AND(MAX(CK362:CM362)=CL362,CL362&lt;&gt;"")),Data!$BJ$2,"")</f>
        <v/>
      </c>
      <c r="CQ362" s="197" t="str">
        <f>IF(AND($K362="x",AND(MAX(CK362:CM362)=CM362,CM362&lt;&gt;"")),Data!$BK$2,"")</f>
        <v/>
      </c>
      <c r="CR362" s="197"/>
      <c r="CS362" s="197"/>
      <c r="CT362" s="328"/>
      <c r="CU362" s="255"/>
      <c r="CV362" s="209"/>
      <c r="CW362" s="227"/>
    </row>
    <row r="363" spans="1:101" x14ac:dyDescent="0.2">
      <c r="A363" s="227"/>
      <c r="B363" s="227"/>
      <c r="C363" s="168"/>
      <c r="D363" s="232"/>
      <c r="E363" s="134" t="s">
        <v>251</v>
      </c>
      <c r="F363" s="424"/>
      <c r="G363" s="428"/>
      <c r="H363" s="429"/>
      <c r="I363" s="138" t="str">
        <f t="shared" si="537"/>
        <v/>
      </c>
      <c r="J363" s="344" t="str">
        <f t="shared" si="524"/>
        <v/>
      </c>
      <c r="K363" s="345" t="str">
        <f t="shared" si="525"/>
        <v/>
      </c>
      <c r="L363" s="258"/>
      <c r="M363" s="332"/>
      <c r="N363" s="336"/>
      <c r="O363" s="200"/>
      <c r="P363" s="200"/>
      <c r="Q363" s="436"/>
      <c r="R363" s="437"/>
      <c r="S363" s="438" t="str">
        <f t="shared" si="526"/>
        <v/>
      </c>
      <c r="T363" s="328"/>
      <c r="U363" s="197" t="str">
        <f>IF(AND($I363="x",AND(MAX(Q363:S363)=Q363,Q363&gt;=0)),Data!$BI$2,"")</f>
        <v/>
      </c>
      <c r="V363" s="197" t="str">
        <f>IF(AND($J363="x",AND(MAX(Q363:S363)=R363,R363&gt;=0)),Data!$BJ$2,"")</f>
        <v/>
      </c>
      <c r="W363" s="197" t="str">
        <f>IF(AND($K363="x",AND(MAX(Q363:S363)=S363,S363&gt;=0)),Data!$BK$2,"")</f>
        <v/>
      </c>
      <c r="X363" s="197"/>
      <c r="Y363" s="328"/>
      <c r="Z363" s="451"/>
      <c r="AA363" s="452"/>
      <c r="AB363" s="438" t="str">
        <f t="shared" si="527"/>
        <v/>
      </c>
      <c r="AC363" s="328"/>
      <c r="AD363" s="197" t="str">
        <f>IF(AND($I363="x",AND(MAX(Z363:AB363)=Z363,Z363&lt;&gt;"")),Data!$BI$2,"")</f>
        <v/>
      </c>
      <c r="AE363" s="197" t="str">
        <f>IF(AND($J363="x",AND(MAX(Z363:AB363)=AA363,AA363&lt;&gt;"")),Data!$BJ$2,"")</f>
        <v/>
      </c>
      <c r="AF363" s="197" t="str">
        <f>IF(AND($K363="x",AND(MAX(Z363:AB363)=AB363,AB363&lt;&gt;"")),Data!$BK$2,"")</f>
        <v/>
      </c>
      <c r="AG363" s="197"/>
      <c r="AH363" s="328"/>
      <c r="AI363" s="451"/>
      <c r="AJ363" s="452"/>
      <c r="AK363" s="438" t="str">
        <f t="shared" si="528"/>
        <v/>
      </c>
      <c r="AL363" s="328"/>
      <c r="AM363" s="197" t="str">
        <f>IF(AND($I363="x",AND(MAX(AI363:AK363)=AI363,AI363&lt;&gt;"")),Data!$BI$2,"")</f>
        <v/>
      </c>
      <c r="AN363" s="197" t="str">
        <f>IF(AND($J363="x",AND(MAX(AI363:AK363)=AJ363,AJ363&lt;&gt;"")),Data!$BJ$2,"")</f>
        <v/>
      </c>
      <c r="AO363" s="197" t="str">
        <f>IF(AND($K363="x",AND(MAX(AI363:AK363)=AK363,AK363&lt;&gt;"")),Data!$BK$2,"")</f>
        <v/>
      </c>
      <c r="AP363" s="197"/>
      <c r="AQ363" s="328"/>
      <c r="AR363" s="451"/>
      <c r="AS363" s="452"/>
      <c r="AT363" s="438" t="str">
        <f t="shared" si="529"/>
        <v/>
      </c>
      <c r="AU363" s="328"/>
      <c r="AV363" s="197" t="str">
        <f>IF(AND($I363="x",AND(MAX(AR363:AT363)=AR363,AR363&lt;&gt;"")),Data!$BI$2,"")</f>
        <v/>
      </c>
      <c r="AW363" s="197" t="str">
        <f>IF(AND($J363="x",AND(MAX(AR363:AT363)=AS363,AS363&lt;&gt;"")),Data!$BJ$2,"")</f>
        <v/>
      </c>
      <c r="AX363" s="197" t="str">
        <f>IF(AND($K363="x",AND(MAX(AR363:AT363)=AT363,AT363&lt;&gt;"")),Data!$BK$2,"")</f>
        <v/>
      </c>
      <c r="AY363" s="197"/>
      <c r="AZ363" s="328"/>
      <c r="BA363" s="451"/>
      <c r="BB363" s="452"/>
      <c r="BC363" s="438" t="str">
        <f t="shared" si="530"/>
        <v/>
      </c>
      <c r="BD363" s="328"/>
      <c r="BE363" s="197" t="str">
        <f>IF(AND($I363="x",AND(MAX(BA363:BC363)=BA363,BA363&lt;&gt;"")),Data!$BI$2,"")</f>
        <v/>
      </c>
      <c r="BF363" s="197" t="str">
        <f>IF(AND($J363="x",AND(MAX(BA363:BC363)=BB363,BB363&lt;&gt;"")),Data!$BJ$2,"")</f>
        <v/>
      </c>
      <c r="BG363" s="197" t="str">
        <f>IF(AND($K363="x",AND(MAX(BA363:BC363)=BC363,BC363&lt;&gt;"")),Data!$BK$2,"")</f>
        <v/>
      </c>
      <c r="BH363" s="197"/>
      <c r="BI363" s="328"/>
      <c r="BJ363" s="451"/>
      <c r="BK363" s="452"/>
      <c r="BL363" s="438" t="str">
        <f t="shared" si="531"/>
        <v/>
      </c>
      <c r="BM363" s="328"/>
      <c r="BN363" s="197" t="str">
        <f>IF(AND($I363="x",AND(MAX(BJ363:BL363)=BJ363,BJ363&lt;&gt;"")),Data!$BI$2,"")</f>
        <v/>
      </c>
      <c r="BO363" s="197" t="str">
        <f>IF(AND($J363="x",AND(MAX(BJ363:BL363)=BK363,BK363&lt;&gt;"")),Data!$BJ$2,"")</f>
        <v/>
      </c>
      <c r="BP363" s="197" t="str">
        <f>IF(AND($K363="x",AND(MAX(BJ363:BL363)=BL363,BL363&lt;&gt;"")),Data!$BK$2,"")</f>
        <v/>
      </c>
      <c r="BQ363" s="197"/>
      <c r="BR363" s="328"/>
      <c r="BS363" s="451"/>
      <c r="BT363" s="452"/>
      <c r="BU363" s="438" t="str">
        <f t="shared" si="532"/>
        <v/>
      </c>
      <c r="BV363" s="328"/>
      <c r="BW363" s="197" t="str">
        <f>IF(AND($I363="x",AND(MAX(BS363:BU363)=BS363,BS363&lt;&gt;"")),Data!$BI$2,"")</f>
        <v/>
      </c>
      <c r="BX363" s="197" t="str">
        <f>IF(AND($J363="x",AND(MAX(BS363:BU363)=BT363,BT363&lt;&gt;"")),Data!$BJ$2,"")</f>
        <v/>
      </c>
      <c r="BY363" s="197" t="str">
        <f>IF(AND($K363="x",AND(MAX(BS363:BU363)=BU363,BU363&lt;&gt;"")),Data!$BK$2,"")</f>
        <v/>
      </c>
      <c r="BZ363" s="197"/>
      <c r="CA363" s="328"/>
      <c r="CB363" s="457" t="str">
        <f t="shared" si="533"/>
        <v/>
      </c>
      <c r="CC363" s="458" t="str">
        <f t="shared" si="534"/>
        <v/>
      </c>
      <c r="CD363" s="459" t="str">
        <f t="shared" si="535"/>
        <v/>
      </c>
      <c r="CE363" s="328"/>
      <c r="CF363" s="197" t="str">
        <f>IF(AND($I363="x",AND(MAX(CB363:CD363)=CB363,CB363&lt;&gt;"")),Data!$BI$2,"")</f>
        <v/>
      </c>
      <c r="CG363" s="197" t="str">
        <f>IF(AND($J363="x",AND(MAX(CB363:CD363)=CC363,CC363&lt;&gt;"")),Data!$BJ$2,"")</f>
        <v/>
      </c>
      <c r="CH363" s="197" t="str">
        <f>IF(AND($K363="x",AND(MAX(CB363:CD363)=CD363,CD363&lt;&gt;"")),Data!$BK$2,"")</f>
        <v/>
      </c>
      <c r="CI363" s="197"/>
      <c r="CJ363" s="197"/>
      <c r="CK363" s="436"/>
      <c r="CL363" s="437"/>
      <c r="CM363" s="438" t="str">
        <f t="shared" si="536"/>
        <v/>
      </c>
      <c r="CN363" s="328"/>
      <c r="CO363" s="197" t="str">
        <f>IF(AND($I363="x",AND(MAX(CK363:CM363)=CK363,CK363&lt;&gt;"")),Data!$BI$2,"")</f>
        <v/>
      </c>
      <c r="CP363" s="197" t="str">
        <f>IF(AND($J363="x",AND(MAX(CK363:CM363)=CL363,CL363&lt;&gt;"")),Data!$BJ$2,"")</f>
        <v/>
      </c>
      <c r="CQ363" s="197" t="str">
        <f>IF(AND($K363="x",AND(MAX(CK363:CM363)=CM363,CM363&lt;&gt;"")),Data!$BK$2,"")</f>
        <v/>
      </c>
      <c r="CR363" s="197"/>
      <c r="CS363" s="197"/>
      <c r="CT363" s="328"/>
      <c r="CU363" s="255"/>
      <c r="CV363" s="209"/>
      <c r="CW363" s="227"/>
    </row>
    <row r="364" spans="1:101" x14ac:dyDescent="0.2">
      <c r="A364" s="227"/>
      <c r="B364" s="227"/>
      <c r="C364" s="168"/>
      <c r="D364" s="232"/>
      <c r="E364" s="135" t="s">
        <v>252</v>
      </c>
      <c r="F364" s="425"/>
      <c r="G364" s="430"/>
      <c r="H364" s="431"/>
      <c r="I364" s="346" t="str">
        <f t="shared" si="537"/>
        <v/>
      </c>
      <c r="J364" s="347" t="str">
        <f t="shared" si="524"/>
        <v/>
      </c>
      <c r="K364" s="348" t="str">
        <f t="shared" si="525"/>
        <v/>
      </c>
      <c r="L364" s="258"/>
      <c r="M364" s="332"/>
      <c r="N364" s="336"/>
      <c r="O364" s="200"/>
      <c r="P364" s="200"/>
      <c r="Q364" s="439"/>
      <c r="R364" s="440"/>
      <c r="S364" s="441" t="str">
        <f t="shared" si="526"/>
        <v/>
      </c>
      <c r="T364" s="328"/>
      <c r="U364" s="197" t="str">
        <f>IF(AND($I364="x",AND(MAX(Q364:S364)=Q364,Q364&gt;=0)),Data!$BI$2,"")</f>
        <v/>
      </c>
      <c r="V364" s="197" t="str">
        <f>IF(AND($J364="x",AND(MAX(Q364:S364)=R364,R364&gt;=0)),Data!$BJ$2,"")</f>
        <v/>
      </c>
      <c r="W364" s="197" t="str">
        <f>IF(AND($K364="x",AND(MAX(Q364:S364)=S364,S364&gt;=0)),Data!$BK$2,"")</f>
        <v/>
      </c>
      <c r="X364" s="197"/>
      <c r="Y364" s="328"/>
      <c r="Z364" s="453"/>
      <c r="AA364" s="454"/>
      <c r="AB364" s="441" t="str">
        <f t="shared" si="527"/>
        <v/>
      </c>
      <c r="AC364" s="328"/>
      <c r="AD364" s="197" t="str">
        <f>IF(AND($I364="x",AND(MAX(Z364:AB364)=Z364,Z364&lt;&gt;"")),Data!$BI$2,"")</f>
        <v/>
      </c>
      <c r="AE364" s="197" t="str">
        <f>IF(AND($J364="x",AND(MAX(Z364:AB364)=AA364,AA364&lt;&gt;"")),Data!$BJ$2,"")</f>
        <v/>
      </c>
      <c r="AF364" s="197" t="str">
        <f>IF(AND($K364="x",AND(MAX(Z364:AB364)=AB364,AB364&lt;&gt;"")),Data!$BK$2,"")</f>
        <v/>
      </c>
      <c r="AG364" s="197"/>
      <c r="AH364" s="328"/>
      <c r="AI364" s="453"/>
      <c r="AJ364" s="454"/>
      <c r="AK364" s="441" t="str">
        <f t="shared" si="528"/>
        <v/>
      </c>
      <c r="AL364" s="328"/>
      <c r="AM364" s="197" t="str">
        <f>IF(AND($I364="x",AND(MAX(AI364:AK364)=AI364,AI364&lt;&gt;"")),Data!$BI$2,"")</f>
        <v/>
      </c>
      <c r="AN364" s="197" t="str">
        <f>IF(AND($J364="x",AND(MAX(AI364:AK364)=AJ364,AJ364&lt;&gt;"")),Data!$BJ$2,"")</f>
        <v/>
      </c>
      <c r="AO364" s="197" t="str">
        <f>IF(AND($K364="x",AND(MAX(AI364:AK364)=AK364,AK364&lt;&gt;"")),Data!$BK$2,"")</f>
        <v/>
      </c>
      <c r="AP364" s="197"/>
      <c r="AQ364" s="328"/>
      <c r="AR364" s="453"/>
      <c r="AS364" s="454"/>
      <c r="AT364" s="441" t="str">
        <f t="shared" si="529"/>
        <v/>
      </c>
      <c r="AU364" s="328"/>
      <c r="AV364" s="197" t="str">
        <f>IF(AND($I364="x",AND(MAX(AR364:AT364)=AR364,AR364&lt;&gt;"")),Data!$BI$2,"")</f>
        <v/>
      </c>
      <c r="AW364" s="197" t="str">
        <f>IF(AND($J364="x",AND(MAX(AR364:AT364)=AS364,AS364&lt;&gt;"")),Data!$BJ$2,"")</f>
        <v/>
      </c>
      <c r="AX364" s="197" t="str">
        <f>IF(AND($K364="x",AND(MAX(AR364:AT364)=AT364,AT364&lt;&gt;"")),Data!$BK$2,"")</f>
        <v/>
      </c>
      <c r="AY364" s="197"/>
      <c r="AZ364" s="328"/>
      <c r="BA364" s="453"/>
      <c r="BB364" s="454"/>
      <c r="BC364" s="441" t="str">
        <f t="shared" si="530"/>
        <v/>
      </c>
      <c r="BD364" s="328"/>
      <c r="BE364" s="197" t="str">
        <f>IF(AND($I364="x",AND(MAX(BA364:BC364)=BA364,BA364&lt;&gt;"")),Data!$BI$2,"")</f>
        <v/>
      </c>
      <c r="BF364" s="197" t="str">
        <f>IF(AND($J364="x",AND(MAX(BA364:BC364)=BB364,BB364&lt;&gt;"")),Data!$BJ$2,"")</f>
        <v/>
      </c>
      <c r="BG364" s="197" t="str">
        <f>IF(AND($K364="x",AND(MAX(BA364:BC364)=BC364,BC364&lt;&gt;"")),Data!$BK$2,"")</f>
        <v/>
      </c>
      <c r="BH364" s="197"/>
      <c r="BI364" s="328"/>
      <c r="BJ364" s="453"/>
      <c r="BK364" s="454"/>
      <c r="BL364" s="441" t="str">
        <f t="shared" si="531"/>
        <v/>
      </c>
      <c r="BM364" s="328"/>
      <c r="BN364" s="197" t="str">
        <f>IF(AND($I364="x",AND(MAX(BJ364:BL364)=BJ364,BJ364&lt;&gt;"")),Data!$BI$2,"")</f>
        <v/>
      </c>
      <c r="BO364" s="197" t="str">
        <f>IF(AND($J364="x",AND(MAX(BJ364:BL364)=BK364,BK364&lt;&gt;"")),Data!$BJ$2,"")</f>
        <v/>
      </c>
      <c r="BP364" s="197" t="str">
        <f>IF(AND($K364="x",AND(MAX(BJ364:BL364)=BL364,BL364&lt;&gt;"")),Data!$BK$2,"")</f>
        <v/>
      </c>
      <c r="BQ364" s="197"/>
      <c r="BR364" s="328"/>
      <c r="BS364" s="453"/>
      <c r="BT364" s="454"/>
      <c r="BU364" s="441" t="str">
        <f t="shared" si="532"/>
        <v/>
      </c>
      <c r="BV364" s="328"/>
      <c r="BW364" s="197" t="str">
        <f>IF(AND($I364="x",AND(MAX(BS364:BU364)=BS364,BS364&lt;&gt;"")),Data!$BI$2,"")</f>
        <v/>
      </c>
      <c r="BX364" s="197" t="str">
        <f>IF(AND($J364="x",AND(MAX(BS364:BU364)=BT364,BT364&lt;&gt;"")),Data!$BJ$2,"")</f>
        <v/>
      </c>
      <c r="BY364" s="197" t="str">
        <f>IF(AND($K364="x",AND(MAX(BS364:BU364)=BU364,BU364&lt;&gt;"")),Data!$BK$2,"")</f>
        <v/>
      </c>
      <c r="BZ364" s="197"/>
      <c r="CA364" s="328"/>
      <c r="CB364" s="460" t="str">
        <f t="shared" si="533"/>
        <v/>
      </c>
      <c r="CC364" s="461" t="str">
        <f t="shared" si="534"/>
        <v/>
      </c>
      <c r="CD364" s="462" t="str">
        <f t="shared" si="535"/>
        <v/>
      </c>
      <c r="CE364" s="328"/>
      <c r="CF364" s="197" t="str">
        <f>IF(AND($I364="x",AND(MAX(CB364:CD364)=CB364,CB364&lt;&gt;"")),Data!$BI$2,"")</f>
        <v/>
      </c>
      <c r="CG364" s="197" t="str">
        <f>IF(AND($J364="x",AND(MAX(CB364:CD364)=CC364,CC364&lt;&gt;"")),Data!$BJ$2,"")</f>
        <v/>
      </c>
      <c r="CH364" s="197" t="str">
        <f>IF(AND($K364="x",AND(MAX(CB364:CD364)=CD364,CD364&lt;&gt;"")),Data!$BK$2,"")</f>
        <v/>
      </c>
      <c r="CI364" s="197"/>
      <c r="CJ364" s="197"/>
      <c r="CK364" s="439"/>
      <c r="CL364" s="440"/>
      <c r="CM364" s="441" t="str">
        <f t="shared" si="536"/>
        <v/>
      </c>
      <c r="CN364" s="328"/>
      <c r="CO364" s="197" t="str">
        <f>IF(AND($I364="x",AND(MAX(CK364:CM364)=CK364,CK364&lt;&gt;"")),Data!$BI$2,"")</f>
        <v/>
      </c>
      <c r="CP364" s="197" t="str">
        <f>IF(AND($J364="x",AND(MAX(CK364:CM364)=CL364,CL364&lt;&gt;"")),Data!$BJ$2,"")</f>
        <v/>
      </c>
      <c r="CQ364" s="197" t="str">
        <f>IF(AND($K364="x",AND(MAX(CK364:CM364)=CM364,CM364&lt;&gt;"")),Data!$BK$2,"")</f>
        <v/>
      </c>
      <c r="CR364" s="197"/>
      <c r="CS364" s="197"/>
      <c r="CT364" s="328"/>
      <c r="CU364" s="255"/>
      <c r="CV364" s="209"/>
      <c r="CW364" s="227"/>
    </row>
    <row r="365" spans="1:101" x14ac:dyDescent="0.2">
      <c r="A365" s="227"/>
      <c r="B365" s="227"/>
      <c r="C365" s="168"/>
      <c r="D365" s="232"/>
      <c r="E365" s="136" t="s">
        <v>253</v>
      </c>
      <c r="F365" s="426"/>
      <c r="G365" s="432"/>
      <c r="H365" s="433"/>
      <c r="I365" s="349" t="str">
        <f t="shared" si="537"/>
        <v/>
      </c>
      <c r="J365" s="350" t="str">
        <f t="shared" si="524"/>
        <v/>
      </c>
      <c r="K365" s="351" t="str">
        <f t="shared" si="525"/>
        <v/>
      </c>
      <c r="L365" s="258"/>
      <c r="M365" s="332"/>
      <c r="N365" s="336"/>
      <c r="O365" s="200"/>
      <c r="P365" s="200"/>
      <c r="Q365" s="445"/>
      <c r="R365" s="446"/>
      <c r="S365" s="447" t="str">
        <f t="shared" si="526"/>
        <v/>
      </c>
      <c r="T365" s="328"/>
      <c r="U365" s="197" t="str">
        <f>IF(AND($I365="x",AND(MAX(Q365:S365)=Q365,Q365&gt;=0)),Data!$BI$2,"")</f>
        <v/>
      </c>
      <c r="V365" s="197" t="str">
        <f>IF(AND($J365="x",AND(MAX(Q365:S365)=R365,R365&gt;=0)),Data!$BJ$2,"")</f>
        <v/>
      </c>
      <c r="W365" s="197" t="str">
        <f>IF(AND($K365="x",AND(MAX(Q365:S365)=S365,S365&gt;=0)),Data!$BK$2,"")</f>
        <v/>
      </c>
      <c r="X365" s="197"/>
      <c r="Y365" s="328"/>
      <c r="Z365" s="455"/>
      <c r="AA365" s="456"/>
      <c r="AB365" s="447" t="str">
        <f t="shared" si="527"/>
        <v/>
      </c>
      <c r="AC365" s="328"/>
      <c r="AD365" s="197" t="str">
        <f>IF(AND($I365="x",AND(MAX(Z365:AB365)=Z365,Z365&lt;&gt;"")),Data!$BI$2,"")</f>
        <v/>
      </c>
      <c r="AE365" s="197" t="str">
        <f>IF(AND($J365="x",AND(MAX(Z365:AB365)=AA365,AA365&lt;&gt;"")),Data!$BJ$2,"")</f>
        <v/>
      </c>
      <c r="AF365" s="197" t="str">
        <f>IF(AND($K365="x",AND(MAX(Z365:AB365)=AB365,AB365&lt;&gt;"")),Data!$BK$2,"")</f>
        <v/>
      </c>
      <c r="AG365" s="197"/>
      <c r="AH365" s="328"/>
      <c r="AI365" s="455"/>
      <c r="AJ365" s="456"/>
      <c r="AK365" s="447" t="str">
        <f t="shared" si="528"/>
        <v/>
      </c>
      <c r="AL365" s="328"/>
      <c r="AM365" s="197" t="str">
        <f>IF(AND($I365="x",AND(MAX(AI365:AK365)=AI365,AI365&lt;&gt;"")),Data!$BI$2,"")</f>
        <v/>
      </c>
      <c r="AN365" s="197" t="str">
        <f>IF(AND($J365="x",AND(MAX(AI365:AK365)=AJ365,AJ365&lt;&gt;"")),Data!$BJ$2,"")</f>
        <v/>
      </c>
      <c r="AO365" s="197" t="str">
        <f>IF(AND($K365="x",AND(MAX(AI365:AK365)=AK365,AK365&lt;&gt;"")),Data!$BK$2,"")</f>
        <v/>
      </c>
      <c r="AP365" s="197"/>
      <c r="AQ365" s="328"/>
      <c r="AR365" s="455"/>
      <c r="AS365" s="456"/>
      <c r="AT365" s="447" t="str">
        <f t="shared" si="529"/>
        <v/>
      </c>
      <c r="AU365" s="328"/>
      <c r="AV365" s="197" t="str">
        <f>IF(AND($I365="x",AND(MAX(AR365:AT365)=AR365,AR365&lt;&gt;"")),Data!$BI$2,"")</f>
        <v/>
      </c>
      <c r="AW365" s="197" t="str">
        <f>IF(AND($J365="x",AND(MAX(AR365:AT365)=AS365,AS365&lt;&gt;"")),Data!$BJ$2,"")</f>
        <v/>
      </c>
      <c r="AX365" s="197" t="str">
        <f>IF(AND($K365="x",AND(MAX(AR365:AT365)=AT365,AT365&lt;&gt;"")),Data!$BK$2,"")</f>
        <v/>
      </c>
      <c r="AY365" s="197"/>
      <c r="AZ365" s="328"/>
      <c r="BA365" s="455"/>
      <c r="BB365" s="456"/>
      <c r="BC365" s="447" t="str">
        <f t="shared" si="530"/>
        <v/>
      </c>
      <c r="BD365" s="328"/>
      <c r="BE365" s="197" t="str">
        <f>IF(AND($I365="x",AND(MAX(BA365:BC365)=BA365,BA365&lt;&gt;"")),Data!$BI$2,"")</f>
        <v/>
      </c>
      <c r="BF365" s="197" t="str">
        <f>IF(AND($J365="x",AND(MAX(BA365:BC365)=BB365,BB365&lt;&gt;"")),Data!$BJ$2,"")</f>
        <v/>
      </c>
      <c r="BG365" s="197" t="str">
        <f>IF(AND($K365="x",AND(MAX(BA365:BC365)=BC365,BC365&lt;&gt;"")),Data!$BK$2,"")</f>
        <v/>
      </c>
      <c r="BH365" s="197"/>
      <c r="BI365" s="328"/>
      <c r="BJ365" s="455"/>
      <c r="BK365" s="456"/>
      <c r="BL365" s="447" t="str">
        <f t="shared" si="531"/>
        <v/>
      </c>
      <c r="BM365" s="328"/>
      <c r="BN365" s="197" t="str">
        <f>IF(AND($I365="x",AND(MAX(BJ365:BL365)=BJ365,BJ365&lt;&gt;"")),Data!$BI$2,"")</f>
        <v/>
      </c>
      <c r="BO365" s="197" t="str">
        <f>IF(AND($J365="x",AND(MAX(BJ365:BL365)=BK365,BK365&lt;&gt;"")),Data!$BJ$2,"")</f>
        <v/>
      </c>
      <c r="BP365" s="197" t="str">
        <f>IF(AND($K365="x",AND(MAX(BJ365:BL365)=BL365,BL365&lt;&gt;"")),Data!$BK$2,"")</f>
        <v/>
      </c>
      <c r="BQ365" s="197"/>
      <c r="BR365" s="328"/>
      <c r="BS365" s="455"/>
      <c r="BT365" s="456"/>
      <c r="BU365" s="447" t="str">
        <f t="shared" si="532"/>
        <v/>
      </c>
      <c r="BV365" s="328"/>
      <c r="BW365" s="197" t="str">
        <f>IF(AND($I365="x",AND(MAX(BS365:BU365)=BS365,BS365&lt;&gt;"")),Data!$BI$2,"")</f>
        <v/>
      </c>
      <c r="BX365" s="197" t="str">
        <f>IF(AND($J365="x",AND(MAX(BS365:BU365)=BT365,BT365&lt;&gt;"")),Data!$BJ$2,"")</f>
        <v/>
      </c>
      <c r="BY365" s="197" t="str">
        <f>IF(AND($K365="x",AND(MAX(BS365:BU365)=BU365,BU365&lt;&gt;"")),Data!$BK$2,"")</f>
        <v/>
      </c>
      <c r="BZ365" s="197"/>
      <c r="CA365" s="328"/>
      <c r="CB365" s="463" t="str">
        <f t="shared" si="533"/>
        <v/>
      </c>
      <c r="CC365" s="464" t="str">
        <f t="shared" si="534"/>
        <v/>
      </c>
      <c r="CD365" s="465" t="str">
        <f t="shared" si="535"/>
        <v/>
      </c>
      <c r="CE365" s="328"/>
      <c r="CF365" s="197" t="str">
        <f>IF(AND($I365="x",AND(MAX(CB365:CD365)=CB365,CB365&lt;&gt;"")),Data!$BI$2,"")</f>
        <v/>
      </c>
      <c r="CG365" s="197" t="str">
        <f>IF(AND($J365="x",AND(MAX(CB365:CD365)=CC365,CC365&lt;&gt;"")),Data!$BJ$2,"")</f>
        <v/>
      </c>
      <c r="CH365" s="197" t="str">
        <f>IF(AND($K365="x",AND(MAX(CB365:CD365)=CD365,CD365&lt;&gt;"")),Data!$BK$2,"")</f>
        <v/>
      </c>
      <c r="CI365" s="197"/>
      <c r="CJ365" s="197"/>
      <c r="CK365" s="445"/>
      <c r="CL365" s="446"/>
      <c r="CM365" s="447" t="str">
        <f t="shared" si="536"/>
        <v/>
      </c>
      <c r="CN365" s="328"/>
      <c r="CO365" s="197" t="str">
        <f>IF(AND($I365="x",AND(MAX(CK365:CM365)=CK365,CK365&lt;&gt;"")),Data!$BI$2,"")</f>
        <v/>
      </c>
      <c r="CP365" s="197" t="str">
        <f>IF(AND($J365="x",AND(MAX(CK365:CM365)=CL365,CL365&lt;&gt;"")),Data!$BJ$2,"")</f>
        <v/>
      </c>
      <c r="CQ365" s="197" t="str">
        <f>IF(AND($K365="x",AND(MAX(CK365:CM365)=CM365,CM365&lt;&gt;"")),Data!$BK$2,"")</f>
        <v/>
      </c>
      <c r="CR365" s="197"/>
      <c r="CS365" s="197"/>
      <c r="CT365" s="328"/>
      <c r="CU365" s="255"/>
      <c r="CV365" s="209"/>
      <c r="CW365" s="227"/>
    </row>
    <row r="366" spans="1:101" x14ac:dyDescent="0.2">
      <c r="A366" s="227"/>
      <c r="B366" s="227"/>
      <c r="C366" s="168"/>
      <c r="D366" s="232"/>
      <c r="E366" s="134" t="s">
        <v>254</v>
      </c>
      <c r="F366" s="424"/>
      <c r="G366" s="428"/>
      <c r="H366" s="429"/>
      <c r="I366" s="138" t="str">
        <f t="shared" si="537"/>
        <v/>
      </c>
      <c r="J366" s="344" t="str">
        <f t="shared" si="524"/>
        <v/>
      </c>
      <c r="K366" s="345" t="str">
        <f t="shared" si="525"/>
        <v/>
      </c>
      <c r="L366" s="258"/>
      <c r="M366" s="332"/>
      <c r="N366" s="336"/>
      <c r="O366" s="200"/>
      <c r="P366" s="200"/>
      <c r="Q366" s="436"/>
      <c r="R366" s="437"/>
      <c r="S366" s="438" t="str">
        <f t="shared" si="526"/>
        <v/>
      </c>
      <c r="T366" s="328"/>
      <c r="U366" s="197" t="str">
        <f>IF(AND($I366="x",AND(MAX(Q366:S366)=Q366,Q366&gt;=0)),Data!$BI$2,"")</f>
        <v/>
      </c>
      <c r="V366" s="197" t="str">
        <f>IF(AND($J366="x",AND(MAX(Q366:S366)=R366,R366&gt;=0)),Data!$BJ$2,"")</f>
        <v/>
      </c>
      <c r="W366" s="197" t="str">
        <f>IF(AND($K366="x",AND(MAX(Q366:S366)=S366,S366&gt;=0)),Data!$BK$2,"")</f>
        <v/>
      </c>
      <c r="X366" s="197"/>
      <c r="Y366" s="328"/>
      <c r="Z366" s="451"/>
      <c r="AA366" s="452"/>
      <c r="AB366" s="438" t="str">
        <f t="shared" si="527"/>
        <v/>
      </c>
      <c r="AC366" s="328"/>
      <c r="AD366" s="197" t="str">
        <f>IF(AND($I366="x",AND(MAX(Z366:AB366)=Z366,Z366&lt;&gt;"")),Data!$BI$2,"")</f>
        <v/>
      </c>
      <c r="AE366" s="197" t="str">
        <f>IF(AND($J366="x",AND(MAX(Z366:AB366)=AA366,AA366&lt;&gt;"")),Data!$BJ$2,"")</f>
        <v/>
      </c>
      <c r="AF366" s="197" t="str">
        <f>IF(AND($K366="x",AND(MAX(Z366:AB366)=AB366,AB366&lt;&gt;"")),Data!$BK$2,"")</f>
        <v/>
      </c>
      <c r="AG366" s="197"/>
      <c r="AH366" s="328"/>
      <c r="AI366" s="451"/>
      <c r="AJ366" s="452"/>
      <c r="AK366" s="438" t="str">
        <f t="shared" si="528"/>
        <v/>
      </c>
      <c r="AL366" s="328"/>
      <c r="AM366" s="197" t="str">
        <f>IF(AND($I366="x",AND(MAX(AI366:AK366)=AI366,AI366&lt;&gt;"")),Data!$BI$2,"")</f>
        <v/>
      </c>
      <c r="AN366" s="197" t="str">
        <f>IF(AND($J366="x",AND(MAX(AI366:AK366)=AJ366,AJ366&lt;&gt;"")),Data!$BJ$2,"")</f>
        <v/>
      </c>
      <c r="AO366" s="197" t="str">
        <f>IF(AND($K366="x",AND(MAX(AI366:AK366)=AK366,AK366&lt;&gt;"")),Data!$BK$2,"")</f>
        <v/>
      </c>
      <c r="AP366" s="197"/>
      <c r="AQ366" s="328"/>
      <c r="AR366" s="451"/>
      <c r="AS366" s="452"/>
      <c r="AT366" s="438" t="str">
        <f t="shared" si="529"/>
        <v/>
      </c>
      <c r="AU366" s="328"/>
      <c r="AV366" s="197" t="str">
        <f>IF(AND($I366="x",AND(MAX(AR366:AT366)=AR366,AR366&lt;&gt;"")),Data!$BI$2,"")</f>
        <v/>
      </c>
      <c r="AW366" s="197" t="str">
        <f>IF(AND($J366="x",AND(MAX(AR366:AT366)=AS366,AS366&lt;&gt;"")),Data!$BJ$2,"")</f>
        <v/>
      </c>
      <c r="AX366" s="197" t="str">
        <f>IF(AND($K366="x",AND(MAX(AR366:AT366)=AT366,AT366&lt;&gt;"")),Data!$BK$2,"")</f>
        <v/>
      </c>
      <c r="AY366" s="197"/>
      <c r="AZ366" s="328"/>
      <c r="BA366" s="451"/>
      <c r="BB366" s="452"/>
      <c r="BC366" s="438" t="str">
        <f t="shared" si="530"/>
        <v/>
      </c>
      <c r="BD366" s="328"/>
      <c r="BE366" s="197" t="str">
        <f>IF(AND($I366="x",AND(MAX(BA366:BC366)=BA366,BA366&lt;&gt;"")),Data!$BI$2,"")</f>
        <v/>
      </c>
      <c r="BF366" s="197" t="str">
        <f>IF(AND($J366="x",AND(MAX(BA366:BC366)=BB366,BB366&lt;&gt;"")),Data!$BJ$2,"")</f>
        <v/>
      </c>
      <c r="BG366" s="197" t="str">
        <f>IF(AND($K366="x",AND(MAX(BA366:BC366)=BC366,BC366&lt;&gt;"")),Data!$BK$2,"")</f>
        <v/>
      </c>
      <c r="BH366" s="197"/>
      <c r="BI366" s="328"/>
      <c r="BJ366" s="451"/>
      <c r="BK366" s="452"/>
      <c r="BL366" s="438" t="str">
        <f t="shared" si="531"/>
        <v/>
      </c>
      <c r="BM366" s="328"/>
      <c r="BN366" s="197" t="str">
        <f>IF(AND($I366="x",AND(MAX(BJ366:BL366)=BJ366,BJ366&lt;&gt;"")),Data!$BI$2,"")</f>
        <v/>
      </c>
      <c r="BO366" s="197" t="str">
        <f>IF(AND($J366="x",AND(MAX(BJ366:BL366)=BK366,BK366&lt;&gt;"")),Data!$BJ$2,"")</f>
        <v/>
      </c>
      <c r="BP366" s="197" t="str">
        <f>IF(AND($K366="x",AND(MAX(BJ366:BL366)=BL366,BL366&lt;&gt;"")),Data!$BK$2,"")</f>
        <v/>
      </c>
      <c r="BQ366" s="197"/>
      <c r="BR366" s="328"/>
      <c r="BS366" s="451"/>
      <c r="BT366" s="452"/>
      <c r="BU366" s="438" t="str">
        <f t="shared" si="532"/>
        <v/>
      </c>
      <c r="BV366" s="328"/>
      <c r="BW366" s="197" t="str">
        <f>IF(AND($I366="x",AND(MAX(BS366:BU366)=BS366,BS366&lt;&gt;"")),Data!$BI$2,"")</f>
        <v/>
      </c>
      <c r="BX366" s="197" t="str">
        <f>IF(AND($J366="x",AND(MAX(BS366:BU366)=BT366,BT366&lt;&gt;"")),Data!$BJ$2,"")</f>
        <v/>
      </c>
      <c r="BY366" s="197" t="str">
        <f>IF(AND($K366="x",AND(MAX(BS366:BU366)=BU366,BU366&lt;&gt;"")),Data!$BK$2,"")</f>
        <v/>
      </c>
      <c r="BZ366" s="197"/>
      <c r="CA366" s="328"/>
      <c r="CB366" s="457" t="str">
        <f t="shared" si="533"/>
        <v/>
      </c>
      <c r="CC366" s="458" t="str">
        <f t="shared" si="534"/>
        <v/>
      </c>
      <c r="CD366" s="459" t="str">
        <f t="shared" si="535"/>
        <v/>
      </c>
      <c r="CE366" s="328"/>
      <c r="CF366" s="197" t="str">
        <f>IF(AND($I366="x",AND(MAX(CB366:CD366)=CB366,CB366&lt;&gt;"")),Data!$BI$2,"")</f>
        <v/>
      </c>
      <c r="CG366" s="197" t="str">
        <f>IF(AND($J366="x",AND(MAX(CB366:CD366)=CC366,CC366&lt;&gt;"")),Data!$BJ$2,"")</f>
        <v/>
      </c>
      <c r="CH366" s="197" t="str">
        <f>IF(AND($K366="x",AND(MAX(CB366:CD366)=CD366,CD366&lt;&gt;"")),Data!$BK$2,"")</f>
        <v/>
      </c>
      <c r="CI366" s="197"/>
      <c r="CJ366" s="197"/>
      <c r="CK366" s="436"/>
      <c r="CL366" s="437"/>
      <c r="CM366" s="438" t="str">
        <f t="shared" si="536"/>
        <v/>
      </c>
      <c r="CN366" s="328"/>
      <c r="CO366" s="197" t="str">
        <f>IF(AND($I366="x",AND(MAX(CK366:CM366)=CK366,CK366&lt;&gt;"")),Data!$BI$2,"")</f>
        <v/>
      </c>
      <c r="CP366" s="197" t="str">
        <f>IF(AND($J366="x",AND(MAX(CK366:CM366)=CL366,CL366&lt;&gt;"")),Data!$BJ$2,"")</f>
        <v/>
      </c>
      <c r="CQ366" s="197" t="str">
        <f>IF(AND($K366="x",AND(MAX(CK366:CM366)=CM366,CM366&lt;&gt;"")),Data!$BK$2,"")</f>
        <v/>
      </c>
      <c r="CR366" s="197"/>
      <c r="CS366" s="197"/>
      <c r="CT366" s="328"/>
      <c r="CU366" s="259"/>
      <c r="CV366" s="209"/>
      <c r="CW366" s="227"/>
    </row>
    <row r="367" spans="1:101" x14ac:dyDescent="0.2">
      <c r="A367" s="227"/>
      <c r="B367" s="227"/>
      <c r="C367" s="168"/>
      <c r="D367" s="232"/>
      <c r="E367" s="135" t="s">
        <v>255</v>
      </c>
      <c r="F367" s="425"/>
      <c r="G367" s="430"/>
      <c r="H367" s="431"/>
      <c r="I367" s="346" t="str">
        <f t="shared" si="537"/>
        <v/>
      </c>
      <c r="J367" s="347" t="str">
        <f t="shared" si="524"/>
        <v/>
      </c>
      <c r="K367" s="348" t="str">
        <f t="shared" si="525"/>
        <v/>
      </c>
      <c r="L367" s="258"/>
      <c r="M367" s="332"/>
      <c r="N367" s="336"/>
      <c r="O367" s="200"/>
      <c r="P367" s="200"/>
      <c r="Q367" s="439"/>
      <c r="R367" s="440"/>
      <c r="S367" s="441" t="str">
        <f t="shared" si="526"/>
        <v/>
      </c>
      <c r="T367" s="328"/>
      <c r="U367" s="197" t="str">
        <f>IF(AND($I367="x",AND(MAX(Q367:S367)=Q367,Q367&gt;=0)),Data!$BI$2,"")</f>
        <v/>
      </c>
      <c r="V367" s="197" t="str">
        <f>IF(AND($J367="x",AND(MAX(Q367:S367)=R367,R367&gt;=0)),Data!$BJ$2,"")</f>
        <v/>
      </c>
      <c r="W367" s="197" t="str">
        <f>IF(AND($K367="x",AND(MAX(Q367:S367)=S367,S367&gt;=0)),Data!$BK$2,"")</f>
        <v/>
      </c>
      <c r="X367" s="197"/>
      <c r="Y367" s="328"/>
      <c r="Z367" s="453"/>
      <c r="AA367" s="454"/>
      <c r="AB367" s="441" t="str">
        <f t="shared" si="527"/>
        <v/>
      </c>
      <c r="AC367" s="328"/>
      <c r="AD367" s="197" t="str">
        <f>IF(AND($I367="x",AND(MAX(Z367:AB367)=Z367,Z367&lt;&gt;"")),Data!$BI$2,"")</f>
        <v/>
      </c>
      <c r="AE367" s="197" t="str">
        <f>IF(AND($J367="x",AND(MAX(Z367:AB367)=AA367,AA367&lt;&gt;"")),Data!$BJ$2,"")</f>
        <v/>
      </c>
      <c r="AF367" s="197" t="str">
        <f>IF(AND($K367="x",AND(MAX(Z367:AB367)=AB367,AB367&lt;&gt;"")),Data!$BK$2,"")</f>
        <v/>
      </c>
      <c r="AG367" s="197"/>
      <c r="AH367" s="328"/>
      <c r="AI367" s="453"/>
      <c r="AJ367" s="454"/>
      <c r="AK367" s="441" t="str">
        <f t="shared" si="528"/>
        <v/>
      </c>
      <c r="AL367" s="328"/>
      <c r="AM367" s="197" t="str">
        <f>IF(AND($I367="x",AND(MAX(AI367:AK367)=AI367,AI367&lt;&gt;"")),Data!$BI$2,"")</f>
        <v/>
      </c>
      <c r="AN367" s="197" t="str">
        <f>IF(AND($J367="x",AND(MAX(AI367:AK367)=AJ367,AJ367&lt;&gt;"")),Data!$BJ$2,"")</f>
        <v/>
      </c>
      <c r="AO367" s="197" t="str">
        <f>IF(AND($K367="x",AND(MAX(AI367:AK367)=AK367,AK367&lt;&gt;"")),Data!$BK$2,"")</f>
        <v/>
      </c>
      <c r="AP367" s="197"/>
      <c r="AQ367" s="328"/>
      <c r="AR367" s="453"/>
      <c r="AS367" s="454"/>
      <c r="AT367" s="441" t="str">
        <f t="shared" si="529"/>
        <v/>
      </c>
      <c r="AU367" s="328"/>
      <c r="AV367" s="197" t="str">
        <f>IF(AND($I367="x",AND(MAX(AR367:AT367)=AR367,AR367&lt;&gt;"")),Data!$BI$2,"")</f>
        <v/>
      </c>
      <c r="AW367" s="197" t="str">
        <f>IF(AND($J367="x",AND(MAX(AR367:AT367)=AS367,AS367&lt;&gt;"")),Data!$BJ$2,"")</f>
        <v/>
      </c>
      <c r="AX367" s="197" t="str">
        <f>IF(AND($K367="x",AND(MAX(AR367:AT367)=AT367,AT367&lt;&gt;"")),Data!$BK$2,"")</f>
        <v/>
      </c>
      <c r="AY367" s="197"/>
      <c r="AZ367" s="328"/>
      <c r="BA367" s="453"/>
      <c r="BB367" s="454"/>
      <c r="BC367" s="441" t="str">
        <f t="shared" si="530"/>
        <v/>
      </c>
      <c r="BD367" s="328"/>
      <c r="BE367" s="197" t="str">
        <f>IF(AND($I367="x",AND(MAX(BA367:BC367)=BA367,BA367&lt;&gt;"")),Data!$BI$2,"")</f>
        <v/>
      </c>
      <c r="BF367" s="197" t="str">
        <f>IF(AND($J367="x",AND(MAX(BA367:BC367)=BB367,BB367&lt;&gt;"")),Data!$BJ$2,"")</f>
        <v/>
      </c>
      <c r="BG367" s="197" t="str">
        <f>IF(AND($K367="x",AND(MAX(BA367:BC367)=BC367,BC367&lt;&gt;"")),Data!$BK$2,"")</f>
        <v/>
      </c>
      <c r="BH367" s="197"/>
      <c r="BI367" s="328"/>
      <c r="BJ367" s="453"/>
      <c r="BK367" s="454"/>
      <c r="BL367" s="441" t="str">
        <f t="shared" si="531"/>
        <v/>
      </c>
      <c r="BM367" s="328"/>
      <c r="BN367" s="197" t="str">
        <f>IF(AND($I367="x",AND(MAX(BJ367:BL367)=BJ367,BJ367&lt;&gt;"")),Data!$BI$2,"")</f>
        <v/>
      </c>
      <c r="BO367" s="197" t="str">
        <f>IF(AND($J367="x",AND(MAX(BJ367:BL367)=BK367,BK367&lt;&gt;"")),Data!$BJ$2,"")</f>
        <v/>
      </c>
      <c r="BP367" s="197" t="str">
        <f>IF(AND($K367="x",AND(MAX(BJ367:BL367)=BL367,BL367&lt;&gt;"")),Data!$BK$2,"")</f>
        <v/>
      </c>
      <c r="BQ367" s="197"/>
      <c r="BR367" s="328"/>
      <c r="BS367" s="453"/>
      <c r="BT367" s="454"/>
      <c r="BU367" s="441" t="str">
        <f t="shared" si="532"/>
        <v/>
      </c>
      <c r="BV367" s="328"/>
      <c r="BW367" s="197" t="str">
        <f>IF(AND($I367="x",AND(MAX(BS367:BU367)=BS367,BS367&lt;&gt;"")),Data!$BI$2,"")</f>
        <v/>
      </c>
      <c r="BX367" s="197" t="str">
        <f>IF(AND($J367="x",AND(MAX(BS367:BU367)=BT367,BT367&lt;&gt;"")),Data!$BJ$2,"")</f>
        <v/>
      </c>
      <c r="BY367" s="197" t="str">
        <f>IF(AND($K367="x",AND(MAX(BS367:BU367)=BU367,BU367&lt;&gt;"")),Data!$BK$2,"")</f>
        <v/>
      </c>
      <c r="BZ367" s="197"/>
      <c r="CA367" s="328"/>
      <c r="CB367" s="460" t="str">
        <f t="shared" si="533"/>
        <v/>
      </c>
      <c r="CC367" s="461" t="str">
        <f t="shared" si="534"/>
        <v/>
      </c>
      <c r="CD367" s="462" t="str">
        <f t="shared" si="535"/>
        <v/>
      </c>
      <c r="CE367" s="328"/>
      <c r="CF367" s="197" t="str">
        <f>IF(AND($I367="x",AND(MAX(CB367:CD367)=CB367,CB367&lt;&gt;"")),Data!$BI$2,"")</f>
        <v/>
      </c>
      <c r="CG367" s="197" t="str">
        <f>IF(AND($J367="x",AND(MAX(CB367:CD367)=CC367,CC367&lt;&gt;"")),Data!$BJ$2,"")</f>
        <v/>
      </c>
      <c r="CH367" s="197" t="str">
        <f>IF(AND($K367="x",AND(MAX(CB367:CD367)=CD367,CD367&lt;&gt;"")),Data!$BK$2,"")</f>
        <v/>
      </c>
      <c r="CI367" s="197"/>
      <c r="CJ367" s="197"/>
      <c r="CK367" s="439"/>
      <c r="CL367" s="440"/>
      <c r="CM367" s="441" t="str">
        <f t="shared" si="536"/>
        <v/>
      </c>
      <c r="CN367" s="328"/>
      <c r="CO367" s="197" t="str">
        <f>IF(AND($I367="x",AND(MAX(CK367:CM367)=CK367,CK367&lt;&gt;"")),Data!$BI$2,"")</f>
        <v/>
      </c>
      <c r="CP367" s="197" t="str">
        <f>IF(AND($J367="x",AND(MAX(CK367:CM367)=CL367,CL367&lt;&gt;"")),Data!$BJ$2,"")</f>
        <v/>
      </c>
      <c r="CQ367" s="197" t="str">
        <f>IF(AND($K367="x",AND(MAX(CK367:CM367)=CM367,CM367&lt;&gt;"")),Data!$BK$2,"")</f>
        <v/>
      </c>
      <c r="CR367" s="197"/>
      <c r="CS367" s="197"/>
      <c r="CT367" s="328"/>
      <c r="CU367" s="259"/>
      <c r="CV367" s="209"/>
      <c r="CW367" s="227"/>
    </row>
    <row r="368" spans="1:101" x14ac:dyDescent="0.2">
      <c r="A368" s="227"/>
      <c r="B368" s="227"/>
      <c r="C368" s="168"/>
      <c r="D368" s="232"/>
      <c r="E368" s="136" t="s">
        <v>256</v>
      </c>
      <c r="F368" s="426"/>
      <c r="G368" s="432"/>
      <c r="H368" s="433"/>
      <c r="I368" s="349" t="str">
        <f t="shared" si="537"/>
        <v/>
      </c>
      <c r="J368" s="350" t="str">
        <f t="shared" si="524"/>
        <v/>
      </c>
      <c r="K368" s="351" t="str">
        <f t="shared" si="525"/>
        <v/>
      </c>
      <c r="L368" s="258"/>
      <c r="M368" s="332"/>
      <c r="N368" s="336"/>
      <c r="O368" s="200"/>
      <c r="P368" s="200"/>
      <c r="Q368" s="445"/>
      <c r="R368" s="446"/>
      <c r="S368" s="447" t="str">
        <f t="shared" si="526"/>
        <v/>
      </c>
      <c r="T368" s="328"/>
      <c r="U368" s="197" t="str">
        <f>IF(AND($I368="x",AND(MAX(Q368:S368)=Q368,Q368&gt;=0)),Data!$BI$2,"")</f>
        <v/>
      </c>
      <c r="V368" s="197" t="str">
        <f>IF(AND($J368="x",AND(MAX(Q368:S368)=R368,R368&gt;=0)),Data!$BJ$2,"")</f>
        <v/>
      </c>
      <c r="W368" s="197" t="str">
        <f>IF(AND($K368="x",AND(MAX(Q368:S368)=S368,S368&gt;=0)),Data!$BK$2,"")</f>
        <v/>
      </c>
      <c r="X368" s="197"/>
      <c r="Y368" s="328"/>
      <c r="Z368" s="455"/>
      <c r="AA368" s="456"/>
      <c r="AB368" s="447" t="str">
        <f t="shared" si="527"/>
        <v/>
      </c>
      <c r="AC368" s="328"/>
      <c r="AD368" s="197" t="str">
        <f>IF(AND($I368="x",AND(MAX(Z368:AB368)=Z368,Z368&lt;&gt;"")),Data!$BI$2,"")</f>
        <v/>
      </c>
      <c r="AE368" s="197" t="str">
        <f>IF(AND($J368="x",AND(MAX(Z368:AB368)=AA368,AA368&lt;&gt;"")),Data!$BJ$2,"")</f>
        <v/>
      </c>
      <c r="AF368" s="197" t="str">
        <f>IF(AND($K368="x",AND(MAX(Z368:AB368)=AB368,AB368&lt;&gt;"")),Data!$BK$2,"")</f>
        <v/>
      </c>
      <c r="AG368" s="197"/>
      <c r="AH368" s="328"/>
      <c r="AI368" s="455"/>
      <c r="AJ368" s="456"/>
      <c r="AK368" s="447" t="str">
        <f t="shared" si="528"/>
        <v/>
      </c>
      <c r="AL368" s="328"/>
      <c r="AM368" s="197" t="str">
        <f>IF(AND($I368="x",AND(MAX(AI368:AK368)=AI368,AI368&lt;&gt;"")),Data!$BI$2,"")</f>
        <v/>
      </c>
      <c r="AN368" s="197" t="str">
        <f>IF(AND($J368="x",AND(MAX(AI368:AK368)=AJ368,AJ368&lt;&gt;"")),Data!$BJ$2,"")</f>
        <v/>
      </c>
      <c r="AO368" s="197" t="str">
        <f>IF(AND($K368="x",AND(MAX(AI368:AK368)=AK368,AK368&lt;&gt;"")),Data!$BK$2,"")</f>
        <v/>
      </c>
      <c r="AP368" s="197"/>
      <c r="AQ368" s="328"/>
      <c r="AR368" s="455"/>
      <c r="AS368" s="456"/>
      <c r="AT368" s="447" t="str">
        <f t="shared" si="529"/>
        <v/>
      </c>
      <c r="AU368" s="328"/>
      <c r="AV368" s="197" t="str">
        <f>IF(AND($I368="x",AND(MAX(AR368:AT368)=AR368,AR368&lt;&gt;"")),Data!$BI$2,"")</f>
        <v/>
      </c>
      <c r="AW368" s="197" t="str">
        <f>IF(AND($J368="x",AND(MAX(AR368:AT368)=AS368,AS368&lt;&gt;"")),Data!$BJ$2,"")</f>
        <v/>
      </c>
      <c r="AX368" s="197" t="str">
        <f>IF(AND($K368="x",AND(MAX(AR368:AT368)=AT368,AT368&lt;&gt;"")),Data!$BK$2,"")</f>
        <v/>
      </c>
      <c r="AY368" s="197"/>
      <c r="AZ368" s="328"/>
      <c r="BA368" s="455"/>
      <c r="BB368" s="456"/>
      <c r="BC368" s="447" t="str">
        <f t="shared" si="530"/>
        <v/>
      </c>
      <c r="BD368" s="328"/>
      <c r="BE368" s="197" t="str">
        <f>IF(AND($I368="x",AND(MAX(BA368:BC368)=BA368,BA368&lt;&gt;"")),Data!$BI$2,"")</f>
        <v/>
      </c>
      <c r="BF368" s="197" t="str">
        <f>IF(AND($J368="x",AND(MAX(BA368:BC368)=BB368,BB368&lt;&gt;"")),Data!$BJ$2,"")</f>
        <v/>
      </c>
      <c r="BG368" s="197" t="str">
        <f>IF(AND($K368="x",AND(MAX(BA368:BC368)=BC368,BC368&lt;&gt;"")),Data!$BK$2,"")</f>
        <v/>
      </c>
      <c r="BH368" s="197"/>
      <c r="BI368" s="328"/>
      <c r="BJ368" s="455"/>
      <c r="BK368" s="456"/>
      <c r="BL368" s="447" t="str">
        <f t="shared" si="531"/>
        <v/>
      </c>
      <c r="BM368" s="328"/>
      <c r="BN368" s="197" t="str">
        <f>IF(AND($I368="x",AND(MAX(BJ368:BL368)=BJ368,BJ368&lt;&gt;"")),Data!$BI$2,"")</f>
        <v/>
      </c>
      <c r="BO368" s="197" t="str">
        <f>IF(AND($J368="x",AND(MAX(BJ368:BL368)=BK368,BK368&lt;&gt;"")),Data!$BJ$2,"")</f>
        <v/>
      </c>
      <c r="BP368" s="197" t="str">
        <f>IF(AND($K368="x",AND(MAX(BJ368:BL368)=BL368,BL368&lt;&gt;"")),Data!$BK$2,"")</f>
        <v/>
      </c>
      <c r="BQ368" s="197"/>
      <c r="BR368" s="328"/>
      <c r="BS368" s="455"/>
      <c r="BT368" s="456"/>
      <c r="BU368" s="447" t="str">
        <f t="shared" si="532"/>
        <v/>
      </c>
      <c r="BV368" s="328"/>
      <c r="BW368" s="197" t="str">
        <f>IF(AND($I368="x",AND(MAX(BS368:BU368)=BS368,BS368&lt;&gt;"")),Data!$BI$2,"")</f>
        <v/>
      </c>
      <c r="BX368" s="197" t="str">
        <f>IF(AND($J368="x",AND(MAX(BS368:BU368)=BT368,BT368&lt;&gt;"")),Data!$BJ$2,"")</f>
        <v/>
      </c>
      <c r="BY368" s="197" t="str">
        <f>IF(AND($K368="x",AND(MAX(BS368:BU368)=BU368,BU368&lt;&gt;"")),Data!$BK$2,"")</f>
        <v/>
      </c>
      <c r="BZ368" s="197"/>
      <c r="CA368" s="328"/>
      <c r="CB368" s="463" t="str">
        <f t="shared" si="533"/>
        <v/>
      </c>
      <c r="CC368" s="464" t="str">
        <f t="shared" si="534"/>
        <v/>
      </c>
      <c r="CD368" s="465" t="str">
        <f t="shared" si="535"/>
        <v/>
      </c>
      <c r="CE368" s="328"/>
      <c r="CF368" s="197" t="str">
        <f>IF(AND($I368="x",AND(MAX(CB368:CD368)=CB368,CB368&lt;&gt;"")),Data!$BI$2,"")</f>
        <v/>
      </c>
      <c r="CG368" s="197" t="str">
        <f>IF(AND($J368="x",AND(MAX(CB368:CD368)=CC368,CC368&lt;&gt;"")),Data!$BJ$2,"")</f>
        <v/>
      </c>
      <c r="CH368" s="197" t="str">
        <f>IF(AND($K368="x",AND(MAX(CB368:CD368)=CD368,CD368&lt;&gt;"")),Data!$BK$2,"")</f>
        <v/>
      </c>
      <c r="CI368" s="197"/>
      <c r="CJ368" s="197"/>
      <c r="CK368" s="445"/>
      <c r="CL368" s="446"/>
      <c r="CM368" s="447" t="str">
        <f t="shared" si="536"/>
        <v/>
      </c>
      <c r="CN368" s="328"/>
      <c r="CO368" s="197" t="str">
        <f>IF(AND($I368="x",AND(MAX(CK368:CM368)=CK368,CK368&lt;&gt;"")),Data!$BI$2,"")</f>
        <v/>
      </c>
      <c r="CP368" s="197" t="str">
        <f>IF(AND($J368="x",AND(MAX(CK368:CM368)=CL368,CL368&lt;&gt;"")),Data!$BJ$2,"")</f>
        <v/>
      </c>
      <c r="CQ368" s="197" t="str">
        <f>IF(AND($K368="x",AND(MAX(CK368:CM368)=CM368,CM368&lt;&gt;"")),Data!$BK$2,"")</f>
        <v/>
      </c>
      <c r="CR368" s="197"/>
      <c r="CS368" s="197"/>
      <c r="CT368" s="328"/>
      <c r="CU368" s="259"/>
      <c r="CV368" s="209"/>
      <c r="CW368" s="227"/>
    </row>
    <row r="369" spans="1:101" x14ac:dyDescent="0.2">
      <c r="A369" s="227"/>
      <c r="B369" s="227"/>
      <c r="C369" s="168"/>
      <c r="D369" s="232"/>
      <c r="E369" s="137" t="s">
        <v>257</v>
      </c>
      <c r="F369" s="427"/>
      <c r="G369" s="434"/>
      <c r="H369" s="435"/>
      <c r="I369" s="138" t="str">
        <f t="shared" si="537"/>
        <v/>
      </c>
      <c r="J369" s="344" t="str">
        <f t="shared" si="524"/>
        <v/>
      </c>
      <c r="K369" s="345" t="str">
        <f t="shared" si="525"/>
        <v/>
      </c>
      <c r="L369" s="258"/>
      <c r="M369" s="332"/>
      <c r="N369" s="336"/>
      <c r="O369" s="200"/>
      <c r="P369" s="200"/>
      <c r="Q369" s="448"/>
      <c r="R369" s="449"/>
      <c r="S369" s="450" t="str">
        <f t="shared" si="526"/>
        <v/>
      </c>
      <c r="T369" s="328"/>
      <c r="U369" s="197" t="str">
        <f>IF(AND($I369="x",AND(MAX(Q369:S369)=Q369,Q369&gt;=0)),Data!$BI$2,"")</f>
        <v/>
      </c>
      <c r="V369" s="197" t="str">
        <f>IF(AND($J369="x",AND(MAX(Q369:S369)=R369,R369&gt;=0)),Data!$BJ$2,"")</f>
        <v/>
      </c>
      <c r="W369" s="197" t="str">
        <f>IF(AND($K369="x",AND(MAX(Q369:S369)=S369,S369&gt;=0)),Data!$BK$2,"")</f>
        <v/>
      </c>
      <c r="X369" s="197"/>
      <c r="Y369" s="328"/>
      <c r="Z369" s="451"/>
      <c r="AA369" s="452"/>
      <c r="AB369" s="450" t="str">
        <f t="shared" si="527"/>
        <v/>
      </c>
      <c r="AC369" s="328"/>
      <c r="AD369" s="197" t="str">
        <f>IF(AND($I369="x",AND(MAX(Z369:AB369)=Z369,Z369&lt;&gt;"")),Data!$BI$2,"")</f>
        <v/>
      </c>
      <c r="AE369" s="197" t="str">
        <f>IF(AND($J369="x",AND(MAX(Z369:AB369)=AA369,AA369&lt;&gt;"")),Data!$BJ$2,"")</f>
        <v/>
      </c>
      <c r="AF369" s="197" t="str">
        <f>IF(AND($K369="x",AND(MAX(Z369:AB369)=AB369,AB369&lt;&gt;"")),Data!$BK$2,"")</f>
        <v/>
      </c>
      <c r="AG369" s="197"/>
      <c r="AH369" s="328"/>
      <c r="AI369" s="451"/>
      <c r="AJ369" s="452"/>
      <c r="AK369" s="450" t="str">
        <f t="shared" si="528"/>
        <v/>
      </c>
      <c r="AL369" s="328"/>
      <c r="AM369" s="197" t="str">
        <f>IF(AND($I369="x",AND(MAX(AI369:AK369)=AI369,AI369&lt;&gt;"")),Data!$BI$2,"")</f>
        <v/>
      </c>
      <c r="AN369" s="197" t="str">
        <f>IF(AND($J369="x",AND(MAX(AI369:AK369)=AJ369,AJ369&lt;&gt;"")),Data!$BJ$2,"")</f>
        <v/>
      </c>
      <c r="AO369" s="197" t="str">
        <f>IF(AND($K369="x",AND(MAX(AI369:AK369)=AK369,AK369&lt;&gt;"")),Data!$BK$2,"")</f>
        <v/>
      </c>
      <c r="AP369" s="197"/>
      <c r="AQ369" s="328"/>
      <c r="AR369" s="451"/>
      <c r="AS369" s="452"/>
      <c r="AT369" s="450" t="str">
        <f t="shared" si="529"/>
        <v/>
      </c>
      <c r="AU369" s="328"/>
      <c r="AV369" s="197" t="str">
        <f>IF(AND($I369="x",AND(MAX(AR369:AT369)=AR369,AR369&lt;&gt;"")),Data!$BI$2,"")</f>
        <v/>
      </c>
      <c r="AW369" s="197" t="str">
        <f>IF(AND($J369="x",AND(MAX(AR369:AT369)=AS369,AS369&lt;&gt;"")),Data!$BJ$2,"")</f>
        <v/>
      </c>
      <c r="AX369" s="197" t="str">
        <f>IF(AND($K369="x",AND(MAX(AR369:AT369)=AT369,AT369&lt;&gt;"")),Data!$BK$2,"")</f>
        <v/>
      </c>
      <c r="AY369" s="197"/>
      <c r="AZ369" s="328"/>
      <c r="BA369" s="451"/>
      <c r="BB369" s="452"/>
      <c r="BC369" s="450" t="str">
        <f t="shared" si="530"/>
        <v/>
      </c>
      <c r="BD369" s="328"/>
      <c r="BE369" s="197" t="str">
        <f>IF(AND($I369="x",AND(MAX(BA369:BC369)=BA369,BA369&lt;&gt;"")),Data!$BI$2,"")</f>
        <v/>
      </c>
      <c r="BF369" s="197" t="str">
        <f>IF(AND($J369="x",AND(MAX(BA369:BC369)=BB369,BB369&lt;&gt;"")),Data!$BJ$2,"")</f>
        <v/>
      </c>
      <c r="BG369" s="197" t="str">
        <f>IF(AND($K369="x",AND(MAX(BA369:BC369)=BC369,BC369&lt;&gt;"")),Data!$BK$2,"")</f>
        <v/>
      </c>
      <c r="BH369" s="197"/>
      <c r="BI369" s="328"/>
      <c r="BJ369" s="451"/>
      <c r="BK369" s="452"/>
      <c r="BL369" s="450" t="str">
        <f t="shared" si="531"/>
        <v/>
      </c>
      <c r="BM369" s="328"/>
      <c r="BN369" s="197" t="str">
        <f>IF(AND($I369="x",AND(MAX(BJ369:BL369)=BJ369,BJ369&lt;&gt;"")),Data!$BI$2,"")</f>
        <v/>
      </c>
      <c r="BO369" s="197" t="str">
        <f>IF(AND($J369="x",AND(MAX(BJ369:BL369)=BK369,BK369&lt;&gt;"")),Data!$BJ$2,"")</f>
        <v/>
      </c>
      <c r="BP369" s="197" t="str">
        <f>IF(AND($K369="x",AND(MAX(BJ369:BL369)=BL369,BL369&lt;&gt;"")),Data!$BK$2,"")</f>
        <v/>
      </c>
      <c r="BQ369" s="197"/>
      <c r="BR369" s="328"/>
      <c r="BS369" s="451"/>
      <c r="BT369" s="452"/>
      <c r="BU369" s="450" t="str">
        <f t="shared" si="532"/>
        <v/>
      </c>
      <c r="BV369" s="328"/>
      <c r="BW369" s="197" t="str">
        <f>IF(AND($I369="x",AND(MAX(BS369:BU369)=BS369,BS369&lt;&gt;"")),Data!$BI$2,"")</f>
        <v/>
      </c>
      <c r="BX369" s="197" t="str">
        <f>IF(AND($J369="x",AND(MAX(BS369:BU369)=BT369,BT369&lt;&gt;"")),Data!$BJ$2,"")</f>
        <v/>
      </c>
      <c r="BY369" s="197" t="str">
        <f>IF(AND($K369="x",AND(MAX(BS369:BU369)=BU369,BU369&lt;&gt;"")),Data!$BK$2,"")</f>
        <v/>
      </c>
      <c r="BZ369" s="197"/>
      <c r="CA369" s="328"/>
      <c r="CB369" s="457" t="str">
        <f t="shared" si="533"/>
        <v/>
      </c>
      <c r="CC369" s="458" t="str">
        <f t="shared" si="534"/>
        <v/>
      </c>
      <c r="CD369" s="459" t="str">
        <f t="shared" si="535"/>
        <v/>
      </c>
      <c r="CE369" s="328"/>
      <c r="CF369" s="197" t="str">
        <f>IF(AND($I369="x",AND(MAX(CB369:CD369)=CB369,CB369&lt;&gt;"")),Data!$BI$2,"")</f>
        <v/>
      </c>
      <c r="CG369" s="197" t="str">
        <f>IF(AND($J369="x",AND(MAX(CB369:CD369)=CC369,CC369&lt;&gt;"")),Data!$BJ$2,"")</f>
        <v/>
      </c>
      <c r="CH369" s="197" t="str">
        <f>IF(AND($K369="x",AND(MAX(CB369:CD369)=CD369,CD369&lt;&gt;"")),Data!$BK$2,"")</f>
        <v/>
      </c>
      <c r="CI369" s="197"/>
      <c r="CJ369" s="197"/>
      <c r="CK369" s="448"/>
      <c r="CL369" s="449"/>
      <c r="CM369" s="450" t="str">
        <f t="shared" si="536"/>
        <v/>
      </c>
      <c r="CN369" s="328"/>
      <c r="CO369" s="197" t="str">
        <f>IF(AND($I369="x",AND(MAX(CK369:CM369)=CK369,CK369&lt;&gt;"")),Data!$BI$2,"")</f>
        <v/>
      </c>
      <c r="CP369" s="197" t="str">
        <f>IF(AND($J369="x",AND(MAX(CK369:CM369)=CL369,CL369&lt;&gt;"")),Data!$BJ$2,"")</f>
        <v/>
      </c>
      <c r="CQ369" s="197" t="str">
        <f>IF(AND($K369="x",AND(MAX(CK369:CM369)=CM369,CM369&lt;&gt;"")),Data!$BK$2,"")</f>
        <v/>
      </c>
      <c r="CR369" s="197"/>
      <c r="CS369" s="197"/>
      <c r="CT369" s="328"/>
      <c r="CU369" s="259"/>
      <c r="CV369" s="209"/>
      <c r="CW369" s="227"/>
    </row>
    <row r="370" spans="1:101" x14ac:dyDescent="0.2">
      <c r="A370" s="227"/>
      <c r="B370" s="227"/>
      <c r="C370" s="168"/>
      <c r="D370" s="232"/>
      <c r="E370" s="135" t="s">
        <v>258</v>
      </c>
      <c r="F370" s="425"/>
      <c r="G370" s="430"/>
      <c r="H370" s="431"/>
      <c r="I370" s="346" t="str">
        <f t="shared" si="537"/>
        <v/>
      </c>
      <c r="J370" s="347" t="str">
        <f t="shared" si="524"/>
        <v/>
      </c>
      <c r="K370" s="348" t="str">
        <f t="shared" si="525"/>
        <v/>
      </c>
      <c r="L370" s="258"/>
      <c r="M370" s="332"/>
      <c r="N370" s="336"/>
      <c r="O370" s="200"/>
      <c r="P370" s="200"/>
      <c r="Q370" s="439"/>
      <c r="R370" s="440"/>
      <c r="S370" s="441" t="str">
        <f t="shared" si="526"/>
        <v/>
      </c>
      <c r="T370" s="328"/>
      <c r="U370" s="197" t="str">
        <f>IF(AND($I370="x",AND(MAX(Q370:S370)=Q370,Q370&gt;=0)),Data!$BI$2,"")</f>
        <v/>
      </c>
      <c r="V370" s="197" t="str">
        <f>IF(AND($J370="x",AND(MAX(Q370:S370)=R370,R370&gt;=0)),Data!$BJ$2,"")</f>
        <v/>
      </c>
      <c r="W370" s="197" t="str">
        <f>IF(AND($K370="x",AND(MAX(Q370:S370)=S370,S370&gt;=0)),Data!$BK$2,"")</f>
        <v/>
      </c>
      <c r="X370" s="197"/>
      <c r="Y370" s="328"/>
      <c r="Z370" s="453"/>
      <c r="AA370" s="454"/>
      <c r="AB370" s="441" t="str">
        <f t="shared" si="527"/>
        <v/>
      </c>
      <c r="AC370" s="328"/>
      <c r="AD370" s="197" t="str">
        <f>IF(AND($I370="x",AND(MAX(Z370:AB370)=Z370,Z370&lt;&gt;"")),Data!$BI$2,"")</f>
        <v/>
      </c>
      <c r="AE370" s="197" t="str">
        <f>IF(AND($J370="x",AND(MAX(Z370:AB370)=AA370,AA370&lt;&gt;"")),Data!$BJ$2,"")</f>
        <v/>
      </c>
      <c r="AF370" s="197" t="str">
        <f>IF(AND($K370="x",AND(MAX(Z370:AB370)=AB370,AB370&lt;&gt;"")),Data!$BK$2,"")</f>
        <v/>
      </c>
      <c r="AG370" s="197"/>
      <c r="AH370" s="328"/>
      <c r="AI370" s="453"/>
      <c r="AJ370" s="454"/>
      <c r="AK370" s="441" t="str">
        <f t="shared" si="528"/>
        <v/>
      </c>
      <c r="AL370" s="328"/>
      <c r="AM370" s="197" t="str">
        <f>IF(AND($I370="x",AND(MAX(AI370:AK370)=AI370,AI370&lt;&gt;"")),Data!$BI$2,"")</f>
        <v/>
      </c>
      <c r="AN370" s="197" t="str">
        <f>IF(AND($J370="x",AND(MAX(AI370:AK370)=AJ370,AJ370&lt;&gt;"")),Data!$BJ$2,"")</f>
        <v/>
      </c>
      <c r="AO370" s="197" t="str">
        <f>IF(AND($K370="x",AND(MAX(AI370:AK370)=AK370,AK370&lt;&gt;"")),Data!$BK$2,"")</f>
        <v/>
      </c>
      <c r="AP370" s="197"/>
      <c r="AQ370" s="328"/>
      <c r="AR370" s="453"/>
      <c r="AS370" s="454"/>
      <c r="AT370" s="441" t="str">
        <f t="shared" si="529"/>
        <v/>
      </c>
      <c r="AU370" s="328"/>
      <c r="AV370" s="197" t="str">
        <f>IF(AND($I370="x",AND(MAX(AR370:AT370)=AR370,AR370&lt;&gt;"")),Data!$BI$2,"")</f>
        <v/>
      </c>
      <c r="AW370" s="197" t="str">
        <f>IF(AND($J370="x",AND(MAX(AR370:AT370)=AS370,AS370&lt;&gt;"")),Data!$BJ$2,"")</f>
        <v/>
      </c>
      <c r="AX370" s="197" t="str">
        <f>IF(AND($K370="x",AND(MAX(AR370:AT370)=AT370,AT370&lt;&gt;"")),Data!$BK$2,"")</f>
        <v/>
      </c>
      <c r="AY370" s="197"/>
      <c r="AZ370" s="328"/>
      <c r="BA370" s="453"/>
      <c r="BB370" s="454"/>
      <c r="BC370" s="441" t="str">
        <f t="shared" si="530"/>
        <v/>
      </c>
      <c r="BD370" s="328"/>
      <c r="BE370" s="197" t="str">
        <f>IF(AND($I370="x",AND(MAX(BA370:BC370)=BA370,BA370&lt;&gt;"")),Data!$BI$2,"")</f>
        <v/>
      </c>
      <c r="BF370" s="197" t="str">
        <f>IF(AND($J370="x",AND(MAX(BA370:BC370)=BB370,BB370&lt;&gt;"")),Data!$BJ$2,"")</f>
        <v/>
      </c>
      <c r="BG370" s="197" t="str">
        <f>IF(AND($K370="x",AND(MAX(BA370:BC370)=BC370,BC370&lt;&gt;"")),Data!$BK$2,"")</f>
        <v/>
      </c>
      <c r="BH370" s="197"/>
      <c r="BI370" s="328"/>
      <c r="BJ370" s="453"/>
      <c r="BK370" s="454"/>
      <c r="BL370" s="441" t="str">
        <f t="shared" si="531"/>
        <v/>
      </c>
      <c r="BM370" s="328"/>
      <c r="BN370" s="197" t="str">
        <f>IF(AND($I370="x",AND(MAX(BJ370:BL370)=BJ370,BJ370&lt;&gt;"")),Data!$BI$2,"")</f>
        <v/>
      </c>
      <c r="BO370" s="197" t="str">
        <f>IF(AND($J370="x",AND(MAX(BJ370:BL370)=BK370,BK370&lt;&gt;"")),Data!$BJ$2,"")</f>
        <v/>
      </c>
      <c r="BP370" s="197" t="str">
        <f>IF(AND($K370="x",AND(MAX(BJ370:BL370)=BL370,BL370&lt;&gt;"")),Data!$BK$2,"")</f>
        <v/>
      </c>
      <c r="BQ370" s="197"/>
      <c r="BR370" s="328"/>
      <c r="BS370" s="453"/>
      <c r="BT370" s="454"/>
      <c r="BU370" s="441" t="str">
        <f t="shared" si="532"/>
        <v/>
      </c>
      <c r="BV370" s="328"/>
      <c r="BW370" s="197" t="str">
        <f>IF(AND($I370="x",AND(MAX(BS370:BU370)=BS370,BS370&lt;&gt;"")),Data!$BI$2,"")</f>
        <v/>
      </c>
      <c r="BX370" s="197" t="str">
        <f>IF(AND($J370="x",AND(MAX(BS370:BU370)=BT370,BT370&lt;&gt;"")),Data!$BJ$2,"")</f>
        <v/>
      </c>
      <c r="BY370" s="197" t="str">
        <f>IF(AND($K370="x",AND(MAX(BS370:BU370)=BU370,BU370&lt;&gt;"")),Data!$BK$2,"")</f>
        <v/>
      </c>
      <c r="BZ370" s="197"/>
      <c r="CA370" s="328"/>
      <c r="CB370" s="460" t="str">
        <f t="shared" si="533"/>
        <v/>
      </c>
      <c r="CC370" s="461" t="str">
        <f t="shared" si="534"/>
        <v/>
      </c>
      <c r="CD370" s="462" t="str">
        <f t="shared" si="535"/>
        <v/>
      </c>
      <c r="CE370" s="328"/>
      <c r="CF370" s="197" t="str">
        <f>IF(AND($I370="x",AND(MAX(CB370:CD370)=CB370,CB370&lt;&gt;"")),Data!$BI$2,"")</f>
        <v/>
      </c>
      <c r="CG370" s="197" t="str">
        <f>IF(AND($J370="x",AND(MAX(CB370:CD370)=CC370,CC370&lt;&gt;"")),Data!$BJ$2,"")</f>
        <v/>
      </c>
      <c r="CH370" s="197" t="str">
        <f>IF(AND($K370="x",AND(MAX(CB370:CD370)=CD370,CD370&lt;&gt;"")),Data!$BK$2,"")</f>
        <v/>
      </c>
      <c r="CI370" s="197"/>
      <c r="CJ370" s="197"/>
      <c r="CK370" s="439"/>
      <c r="CL370" s="440"/>
      <c r="CM370" s="441" t="str">
        <f t="shared" si="536"/>
        <v/>
      </c>
      <c r="CN370" s="328"/>
      <c r="CO370" s="197" t="str">
        <f>IF(AND($I370="x",AND(MAX(CK370:CM370)=CK370,CK370&lt;&gt;"")),Data!$BI$2,"")</f>
        <v/>
      </c>
      <c r="CP370" s="197" t="str">
        <f>IF(AND($J370="x",AND(MAX(CK370:CM370)=CL370,CL370&lt;&gt;"")),Data!$BJ$2,"")</f>
        <v/>
      </c>
      <c r="CQ370" s="197" t="str">
        <f>IF(AND($K370="x",AND(MAX(CK370:CM370)=CM370,CM370&lt;&gt;"")),Data!$BK$2,"")</f>
        <v/>
      </c>
      <c r="CR370" s="197"/>
      <c r="CS370" s="197"/>
      <c r="CT370" s="328"/>
      <c r="CU370" s="259"/>
      <c r="CV370" s="209"/>
      <c r="CW370" s="227"/>
    </row>
    <row r="371" spans="1:101" x14ac:dyDescent="0.2">
      <c r="A371" s="227"/>
      <c r="B371" s="227"/>
      <c r="C371" s="168"/>
      <c r="D371" s="232"/>
      <c r="E371" s="136" t="s">
        <v>259</v>
      </c>
      <c r="F371" s="426"/>
      <c r="G371" s="432"/>
      <c r="H371" s="433"/>
      <c r="I371" s="349" t="str">
        <f t="shared" si="537"/>
        <v/>
      </c>
      <c r="J371" s="350" t="str">
        <f t="shared" si="524"/>
        <v/>
      </c>
      <c r="K371" s="351" t="str">
        <f t="shared" si="525"/>
        <v/>
      </c>
      <c r="L371" s="258"/>
      <c r="M371" s="332"/>
      <c r="N371" s="336"/>
      <c r="O371" s="200"/>
      <c r="P371" s="200"/>
      <c r="Q371" s="445"/>
      <c r="R371" s="446"/>
      <c r="S371" s="447" t="str">
        <f t="shared" si="526"/>
        <v/>
      </c>
      <c r="T371" s="328"/>
      <c r="U371" s="197" t="str">
        <f>IF(AND($I371="x",AND(MAX(Q371:S371)=Q371,Q371&gt;=0)),Data!$BI$2,"")</f>
        <v/>
      </c>
      <c r="V371" s="197" t="str">
        <f>IF(AND($J371="x",AND(MAX(Q371:S371)=R371,R371&gt;=0)),Data!$BJ$2,"")</f>
        <v/>
      </c>
      <c r="W371" s="197" t="str">
        <f>IF(AND($K371="x",AND(MAX(Q371:S371)=S371,S371&gt;=0)),Data!$BK$2,"")</f>
        <v/>
      </c>
      <c r="X371" s="197"/>
      <c r="Y371" s="328"/>
      <c r="Z371" s="455"/>
      <c r="AA371" s="456"/>
      <c r="AB371" s="447" t="str">
        <f t="shared" si="527"/>
        <v/>
      </c>
      <c r="AC371" s="328"/>
      <c r="AD371" s="197" t="str">
        <f>IF(AND($I371="x",AND(MAX(Z371:AB371)=Z371,Z371&lt;&gt;"")),Data!$BI$2,"")</f>
        <v/>
      </c>
      <c r="AE371" s="197" t="str">
        <f>IF(AND($J371="x",AND(MAX(Z371:AB371)=AA371,AA371&lt;&gt;"")),Data!$BJ$2,"")</f>
        <v/>
      </c>
      <c r="AF371" s="197" t="str">
        <f>IF(AND($K371="x",AND(MAX(Z371:AB371)=AB371,AB371&lt;&gt;"")),Data!$BK$2,"")</f>
        <v/>
      </c>
      <c r="AG371" s="197"/>
      <c r="AH371" s="328"/>
      <c r="AI371" s="455"/>
      <c r="AJ371" s="456"/>
      <c r="AK371" s="447" t="str">
        <f t="shared" si="528"/>
        <v/>
      </c>
      <c r="AL371" s="328"/>
      <c r="AM371" s="197" t="str">
        <f>IF(AND($I371="x",AND(MAX(AI371:AK371)=AI371,AI371&lt;&gt;"")),Data!$BI$2,"")</f>
        <v/>
      </c>
      <c r="AN371" s="197" t="str">
        <f>IF(AND($J371="x",AND(MAX(AI371:AK371)=AJ371,AJ371&lt;&gt;"")),Data!$BJ$2,"")</f>
        <v/>
      </c>
      <c r="AO371" s="197" t="str">
        <f>IF(AND($K371="x",AND(MAX(AI371:AK371)=AK371,AK371&lt;&gt;"")),Data!$BK$2,"")</f>
        <v/>
      </c>
      <c r="AP371" s="197"/>
      <c r="AQ371" s="328"/>
      <c r="AR371" s="455"/>
      <c r="AS371" s="456"/>
      <c r="AT371" s="447" t="str">
        <f t="shared" si="529"/>
        <v/>
      </c>
      <c r="AU371" s="328"/>
      <c r="AV371" s="197" t="str">
        <f>IF(AND($I371="x",AND(MAX(AR371:AT371)=AR371,AR371&lt;&gt;"")),Data!$BI$2,"")</f>
        <v/>
      </c>
      <c r="AW371" s="197" t="str">
        <f>IF(AND($J371="x",AND(MAX(AR371:AT371)=AS371,AS371&lt;&gt;"")),Data!$BJ$2,"")</f>
        <v/>
      </c>
      <c r="AX371" s="197" t="str">
        <f>IF(AND($K371="x",AND(MAX(AR371:AT371)=AT371,AT371&lt;&gt;"")),Data!$BK$2,"")</f>
        <v/>
      </c>
      <c r="AY371" s="197"/>
      <c r="AZ371" s="328"/>
      <c r="BA371" s="455"/>
      <c r="BB371" s="456"/>
      <c r="BC371" s="447" t="str">
        <f t="shared" si="530"/>
        <v/>
      </c>
      <c r="BD371" s="328"/>
      <c r="BE371" s="197" t="str">
        <f>IF(AND($I371="x",AND(MAX(BA371:BC371)=BA371,BA371&lt;&gt;"")),Data!$BI$2,"")</f>
        <v/>
      </c>
      <c r="BF371" s="197" t="str">
        <f>IF(AND($J371="x",AND(MAX(BA371:BC371)=BB371,BB371&lt;&gt;"")),Data!$BJ$2,"")</f>
        <v/>
      </c>
      <c r="BG371" s="197" t="str">
        <f>IF(AND($K371="x",AND(MAX(BA371:BC371)=BC371,BC371&lt;&gt;"")),Data!$BK$2,"")</f>
        <v/>
      </c>
      <c r="BH371" s="197"/>
      <c r="BI371" s="328"/>
      <c r="BJ371" s="455"/>
      <c r="BK371" s="456"/>
      <c r="BL371" s="447" t="str">
        <f t="shared" si="531"/>
        <v/>
      </c>
      <c r="BM371" s="328"/>
      <c r="BN371" s="197" t="str">
        <f>IF(AND($I371="x",AND(MAX(BJ371:BL371)=BJ371,BJ371&lt;&gt;"")),Data!$BI$2,"")</f>
        <v/>
      </c>
      <c r="BO371" s="197" t="str">
        <f>IF(AND($J371="x",AND(MAX(BJ371:BL371)=BK371,BK371&lt;&gt;"")),Data!$BJ$2,"")</f>
        <v/>
      </c>
      <c r="BP371" s="197" t="str">
        <f>IF(AND($K371="x",AND(MAX(BJ371:BL371)=BL371,BL371&lt;&gt;"")),Data!$BK$2,"")</f>
        <v/>
      </c>
      <c r="BQ371" s="197"/>
      <c r="BR371" s="328"/>
      <c r="BS371" s="455"/>
      <c r="BT371" s="456"/>
      <c r="BU371" s="447" t="str">
        <f t="shared" si="532"/>
        <v/>
      </c>
      <c r="BV371" s="328"/>
      <c r="BW371" s="197" t="str">
        <f>IF(AND($I371="x",AND(MAX(BS371:BU371)=BS371,BS371&lt;&gt;"")),Data!$BI$2,"")</f>
        <v/>
      </c>
      <c r="BX371" s="197" t="str">
        <f>IF(AND($J371="x",AND(MAX(BS371:BU371)=BT371,BT371&lt;&gt;"")),Data!$BJ$2,"")</f>
        <v/>
      </c>
      <c r="BY371" s="197" t="str">
        <f>IF(AND($K371="x",AND(MAX(BS371:BU371)=BU371,BU371&lt;&gt;"")),Data!$BK$2,"")</f>
        <v/>
      </c>
      <c r="BZ371" s="197"/>
      <c r="CA371" s="328"/>
      <c r="CB371" s="463" t="str">
        <f t="shared" si="533"/>
        <v/>
      </c>
      <c r="CC371" s="464" t="str">
        <f t="shared" si="534"/>
        <v/>
      </c>
      <c r="CD371" s="465" t="str">
        <f t="shared" si="535"/>
        <v/>
      </c>
      <c r="CE371" s="328"/>
      <c r="CF371" s="197" t="str">
        <f>IF(AND($I371="x",AND(MAX(CB371:CD371)=CB371,CB371&lt;&gt;"")),Data!$BI$2,"")</f>
        <v/>
      </c>
      <c r="CG371" s="197" t="str">
        <f>IF(AND($J371="x",AND(MAX(CB371:CD371)=CC371,CC371&lt;&gt;"")),Data!$BJ$2,"")</f>
        <v/>
      </c>
      <c r="CH371" s="197" t="str">
        <f>IF(AND($K371="x",AND(MAX(CB371:CD371)=CD371,CD371&lt;&gt;"")),Data!$BK$2,"")</f>
        <v/>
      </c>
      <c r="CI371" s="197"/>
      <c r="CJ371" s="197"/>
      <c r="CK371" s="445"/>
      <c r="CL371" s="446"/>
      <c r="CM371" s="447" t="str">
        <f t="shared" si="536"/>
        <v/>
      </c>
      <c r="CN371" s="328"/>
      <c r="CO371" s="197" t="str">
        <f>IF(AND($I371="x",AND(MAX(CK371:CM371)=CK371,CK371&lt;&gt;"")),Data!$BI$2,"")</f>
        <v/>
      </c>
      <c r="CP371" s="197" t="str">
        <f>IF(AND($J371="x",AND(MAX(CK371:CM371)=CL371,CL371&lt;&gt;"")),Data!$BJ$2,"")</f>
        <v/>
      </c>
      <c r="CQ371" s="197" t="str">
        <f>IF(AND($K371="x",AND(MAX(CK371:CM371)=CM371,CM371&lt;&gt;"")),Data!$BK$2,"")</f>
        <v/>
      </c>
      <c r="CR371" s="197"/>
      <c r="CS371" s="197"/>
      <c r="CT371" s="328"/>
      <c r="CU371" s="259"/>
      <c r="CV371" s="209"/>
      <c r="CW371" s="227"/>
    </row>
    <row r="372" spans="1:101" x14ac:dyDescent="0.2">
      <c r="A372" s="227"/>
      <c r="B372" s="227"/>
      <c r="C372" s="168"/>
      <c r="D372" s="233"/>
      <c r="E372" s="199"/>
      <c r="F372" s="352" t="str">
        <f>IF(SUM(F360:F371)=0,"",SUM(F360:F371))</f>
        <v/>
      </c>
      <c r="G372" s="327" t="s">
        <v>51</v>
      </c>
      <c r="H372" s="353" t="str">
        <f>IF(SUM(H360:H371)=0,"",SUM(H360:H371))</f>
        <v/>
      </c>
      <c r="I372" s="354" t="str">
        <f>IF(COUNTIF(I360:I371,"=x")=0,"",COUNTIF(I360:I371,"=x"))</f>
        <v/>
      </c>
      <c r="J372" s="355" t="str">
        <f>IF(COUNTIF(J360:J371,"=x")=0,"",COUNTIF(J360:J371,"=x"))</f>
        <v/>
      </c>
      <c r="K372" s="356" t="str">
        <f>IF(COUNTIF(K360:K371,"=x")=0,"",COUNTIF(K360:K371,"=x"))</f>
        <v/>
      </c>
      <c r="L372" s="258"/>
      <c r="M372" s="332"/>
      <c r="N372" s="336"/>
      <c r="O372" s="200"/>
      <c r="P372" s="326"/>
      <c r="Q372" s="422">
        <f>SUM(U360:U371)</f>
        <v>0</v>
      </c>
      <c r="R372" s="422">
        <f t="shared" ref="R372:S372" si="538">SUM(V360:V371)</f>
        <v>0</v>
      </c>
      <c r="S372" s="422">
        <f t="shared" si="538"/>
        <v>0</v>
      </c>
      <c r="T372" s="325"/>
      <c r="U372" s="197">
        <f>SUM(U360:U371)</f>
        <v>0</v>
      </c>
      <c r="V372" s="197">
        <f t="shared" ref="V372:W372" si="539">SUM(V360:V371)</f>
        <v>0</v>
      </c>
      <c r="W372" s="197">
        <f t="shared" si="539"/>
        <v>0</v>
      </c>
      <c r="X372" s="197"/>
      <c r="Y372" s="324"/>
      <c r="Z372" s="422">
        <f>SUM(AD360:AD371)</f>
        <v>0</v>
      </c>
      <c r="AA372" s="422">
        <f t="shared" ref="AA372:AB372" si="540">SUM(AE360:AE371)</f>
        <v>0</v>
      </c>
      <c r="AB372" s="422">
        <f t="shared" si="540"/>
        <v>0</v>
      </c>
      <c r="AC372" s="325"/>
      <c r="AD372" s="197">
        <f>SUM(AD360:AD371)</f>
        <v>0</v>
      </c>
      <c r="AE372" s="197">
        <f t="shared" ref="AE372:AF372" si="541">SUM(AE360:AE371)</f>
        <v>0</v>
      </c>
      <c r="AF372" s="197">
        <f t="shared" si="541"/>
        <v>0</v>
      </c>
      <c r="AG372" s="197"/>
      <c r="AH372" s="324"/>
      <c r="AI372" s="422">
        <f>SUM(AM360:AM371)</f>
        <v>0</v>
      </c>
      <c r="AJ372" s="422">
        <f t="shared" ref="AJ372:AK372" si="542">SUM(AN360:AN371)</f>
        <v>0</v>
      </c>
      <c r="AK372" s="422">
        <f t="shared" si="542"/>
        <v>0</v>
      </c>
      <c r="AL372" s="325"/>
      <c r="AM372" s="197">
        <f>SUM(AM360:AM371)</f>
        <v>0</v>
      </c>
      <c r="AN372" s="197">
        <f t="shared" ref="AN372:AO372" si="543">SUM(AN360:AN371)</f>
        <v>0</v>
      </c>
      <c r="AO372" s="197">
        <f t="shared" si="543"/>
        <v>0</v>
      </c>
      <c r="AP372" s="197"/>
      <c r="AQ372" s="324"/>
      <c r="AR372" s="422">
        <f>SUM(AV360:AV371)</f>
        <v>0</v>
      </c>
      <c r="AS372" s="422">
        <f t="shared" ref="AS372:AT372" si="544">SUM(AW360:AW371)</f>
        <v>0</v>
      </c>
      <c r="AT372" s="422">
        <f t="shared" si="544"/>
        <v>0</v>
      </c>
      <c r="AU372" s="325"/>
      <c r="AV372" s="197">
        <f>SUM(AV360:AV371)</f>
        <v>0</v>
      </c>
      <c r="AW372" s="197">
        <f t="shared" ref="AW372:AX372" si="545">SUM(AW360:AW371)</f>
        <v>0</v>
      </c>
      <c r="AX372" s="197">
        <f t="shared" si="545"/>
        <v>0</v>
      </c>
      <c r="AY372" s="197"/>
      <c r="AZ372" s="324"/>
      <c r="BA372" s="422">
        <f>SUM(BE360:BE371)</f>
        <v>0</v>
      </c>
      <c r="BB372" s="422">
        <f t="shared" ref="BB372:BC372" si="546">SUM(BF360:BF371)</f>
        <v>0</v>
      </c>
      <c r="BC372" s="422">
        <f t="shared" si="546"/>
        <v>0</v>
      </c>
      <c r="BD372" s="325"/>
      <c r="BE372" s="197">
        <f>SUM(BE360:BE371)</f>
        <v>0</v>
      </c>
      <c r="BF372" s="197">
        <f t="shared" ref="BF372:BG372" si="547">SUM(BF360:BF371)</f>
        <v>0</v>
      </c>
      <c r="BG372" s="197">
        <f t="shared" si="547"/>
        <v>0</v>
      </c>
      <c r="BH372" s="197"/>
      <c r="BI372" s="324"/>
      <c r="BJ372" s="422">
        <f>SUM(BN360:BN371)</f>
        <v>0</v>
      </c>
      <c r="BK372" s="422">
        <f t="shared" ref="BK372" si="548">SUM(BO360:BO371)</f>
        <v>0</v>
      </c>
      <c r="BL372" s="422">
        <f t="shared" ref="BL372" si="549">SUM(BP360:BP371)</f>
        <v>0</v>
      </c>
      <c r="BM372" s="325"/>
      <c r="BN372" s="197">
        <f>SUM(BN360:BN371)</f>
        <v>0</v>
      </c>
      <c r="BO372" s="197">
        <f t="shared" ref="BO372:BP372" si="550">SUM(BO360:BO371)</f>
        <v>0</v>
      </c>
      <c r="BP372" s="197">
        <f t="shared" si="550"/>
        <v>0</v>
      </c>
      <c r="BQ372" s="197"/>
      <c r="BR372" s="324"/>
      <c r="BS372" s="422">
        <f>SUM(BW360:BW371)</f>
        <v>0</v>
      </c>
      <c r="BT372" s="422">
        <f t="shared" ref="BT372:BU372" si="551">SUM(BX360:BX371)</f>
        <v>0</v>
      </c>
      <c r="BU372" s="422">
        <f t="shared" si="551"/>
        <v>0</v>
      </c>
      <c r="BV372" s="325"/>
      <c r="BW372" s="197">
        <f>SUM(BW360:BW371)</f>
        <v>0</v>
      </c>
      <c r="BX372" s="197">
        <f t="shared" ref="BX372:BY372" si="552">SUM(BX360:BX371)</f>
        <v>0</v>
      </c>
      <c r="BY372" s="197">
        <f t="shared" si="552"/>
        <v>0</v>
      </c>
      <c r="BZ372" s="197"/>
      <c r="CA372" s="326"/>
      <c r="CB372" s="422">
        <f>SUM(CF360:CF371)</f>
        <v>0</v>
      </c>
      <c r="CC372" s="422">
        <f t="shared" ref="CC372:CD372" si="553">SUM(CG360:CG371)</f>
        <v>0</v>
      </c>
      <c r="CD372" s="422">
        <f t="shared" si="553"/>
        <v>0</v>
      </c>
      <c r="CE372" s="325"/>
      <c r="CF372" s="197">
        <f>SUM(CF360:CF371)</f>
        <v>0</v>
      </c>
      <c r="CG372" s="197">
        <f t="shared" ref="CG372:CH372" si="554">SUM(CG360:CG371)</f>
        <v>0</v>
      </c>
      <c r="CH372" s="197">
        <f t="shared" si="554"/>
        <v>0</v>
      </c>
      <c r="CI372" s="197"/>
      <c r="CJ372" s="197"/>
      <c r="CK372" s="422">
        <f>SUM(CO360:CO371)</f>
        <v>0</v>
      </c>
      <c r="CL372" s="422">
        <f t="shared" ref="CL372:CM372" si="555">SUM(CP360:CP371)</f>
        <v>0</v>
      </c>
      <c r="CM372" s="422">
        <f t="shared" si="555"/>
        <v>0</v>
      </c>
      <c r="CN372" s="325"/>
      <c r="CO372" s="197">
        <f>SUM(CO360:CO371)</f>
        <v>0</v>
      </c>
      <c r="CP372" s="197">
        <f t="shared" ref="CP372:CQ372" si="556">SUM(CP360:CP371)</f>
        <v>0</v>
      </c>
      <c r="CQ372" s="197">
        <f t="shared" si="556"/>
        <v>0</v>
      </c>
      <c r="CR372" s="197"/>
      <c r="CS372" s="197"/>
      <c r="CT372" s="197"/>
      <c r="CU372" s="259"/>
      <c r="CV372" s="209"/>
      <c r="CW372" s="228"/>
    </row>
    <row r="373" spans="1:101" x14ac:dyDescent="0.2">
      <c r="A373" s="227"/>
      <c r="B373" s="227"/>
      <c r="C373" s="168"/>
      <c r="D373" s="249"/>
      <c r="E373" s="242"/>
      <c r="F373" s="243"/>
      <c r="G373" s="242"/>
      <c r="H373" s="242"/>
      <c r="I373" s="242"/>
      <c r="J373" s="242"/>
      <c r="K373" s="242"/>
      <c r="L373" s="252"/>
      <c r="M373" s="260"/>
      <c r="N373" s="337"/>
      <c r="O373" s="333"/>
      <c r="P373" s="244"/>
      <c r="Q373" s="245"/>
      <c r="R373" s="245"/>
      <c r="S373" s="245"/>
      <c r="T373" s="246"/>
      <c r="U373" s="247"/>
      <c r="V373" s="247"/>
      <c r="W373" s="247"/>
      <c r="X373" s="197"/>
      <c r="Y373" s="244"/>
      <c r="Z373" s="245"/>
      <c r="AA373" s="245"/>
      <c r="AB373" s="245"/>
      <c r="AC373" s="246"/>
      <c r="AD373" s="247"/>
      <c r="AE373" s="247"/>
      <c r="AF373" s="247"/>
      <c r="AG373" s="197"/>
      <c r="AH373" s="244"/>
      <c r="AI373" s="245"/>
      <c r="AJ373" s="245"/>
      <c r="AK373" s="245"/>
      <c r="AL373" s="246"/>
      <c r="AM373" s="247"/>
      <c r="AN373" s="247"/>
      <c r="AO373" s="247"/>
      <c r="AP373" s="197"/>
      <c r="AQ373" s="244"/>
      <c r="AR373" s="245"/>
      <c r="AS373" s="245"/>
      <c r="AT373" s="245"/>
      <c r="AU373" s="246"/>
      <c r="AV373" s="247"/>
      <c r="AW373" s="247"/>
      <c r="AX373" s="247"/>
      <c r="AY373" s="197"/>
      <c r="AZ373" s="244"/>
      <c r="BA373" s="245"/>
      <c r="BB373" s="245"/>
      <c r="BC373" s="245"/>
      <c r="BD373" s="246"/>
      <c r="BE373" s="247"/>
      <c r="BF373" s="247"/>
      <c r="BG373" s="247"/>
      <c r="BH373" s="197"/>
      <c r="BI373" s="244"/>
      <c r="BJ373" s="244"/>
      <c r="BK373" s="244"/>
      <c r="BL373" s="244"/>
      <c r="BM373" s="244"/>
      <c r="BN373" s="247"/>
      <c r="BO373" s="247"/>
      <c r="BP373" s="247"/>
      <c r="BQ373" s="197"/>
      <c r="BR373" s="244"/>
      <c r="BS373" s="244"/>
      <c r="BT373" s="244"/>
      <c r="BU373" s="244"/>
      <c r="BV373" s="244"/>
      <c r="BW373" s="247"/>
      <c r="BX373" s="247"/>
      <c r="BY373" s="247"/>
      <c r="BZ373" s="197"/>
      <c r="CA373" s="244"/>
      <c r="CB373" s="244"/>
      <c r="CC373" s="244"/>
      <c r="CD373" s="244"/>
      <c r="CE373" s="244"/>
      <c r="CF373" s="247"/>
      <c r="CG373" s="247"/>
      <c r="CH373" s="247"/>
      <c r="CI373" s="197"/>
      <c r="CJ373" s="248"/>
      <c r="CK373" s="248"/>
      <c r="CL373" s="248"/>
      <c r="CM373" s="248"/>
      <c r="CN373" s="248"/>
      <c r="CO373" s="247"/>
      <c r="CP373" s="247"/>
      <c r="CQ373" s="247"/>
      <c r="CR373" s="197"/>
      <c r="CS373" s="248"/>
      <c r="CT373" s="242"/>
      <c r="CU373" s="253"/>
      <c r="CV373" s="209"/>
      <c r="CW373" s="228"/>
    </row>
    <row r="374" spans="1:101" x14ac:dyDescent="0.2">
      <c r="A374" s="219"/>
      <c r="B374" s="219"/>
      <c r="C374" s="175"/>
      <c r="D374" s="176"/>
      <c r="E374" s="210"/>
      <c r="F374" s="211"/>
      <c r="G374" s="210"/>
      <c r="H374" s="210"/>
      <c r="I374" s="210"/>
      <c r="J374" s="210"/>
      <c r="K374" s="210"/>
      <c r="L374" s="212"/>
      <c r="M374" s="213"/>
      <c r="N374" s="213"/>
      <c r="O374" s="213"/>
      <c r="P374" s="213"/>
      <c r="Q374" s="210"/>
      <c r="R374" s="210"/>
      <c r="S374" s="210"/>
      <c r="T374" s="214"/>
      <c r="U374" s="215"/>
      <c r="V374" s="215"/>
      <c r="W374" s="215"/>
      <c r="X374" s="215"/>
      <c r="Y374" s="213"/>
      <c r="Z374" s="210"/>
      <c r="AA374" s="210"/>
      <c r="AB374" s="210"/>
      <c r="AC374" s="214"/>
      <c r="AD374" s="215"/>
      <c r="AE374" s="215"/>
      <c r="AF374" s="215"/>
      <c r="AG374" s="215"/>
      <c r="AH374" s="213"/>
      <c r="AI374" s="210"/>
      <c r="AJ374" s="210"/>
      <c r="AK374" s="210"/>
      <c r="AL374" s="214"/>
      <c r="AM374" s="215"/>
      <c r="AN374" s="215"/>
      <c r="AO374" s="215"/>
      <c r="AP374" s="215"/>
      <c r="AQ374" s="213"/>
      <c r="AR374" s="210"/>
      <c r="AS374" s="210"/>
      <c r="AT374" s="210"/>
      <c r="AU374" s="214"/>
      <c r="AV374" s="215"/>
      <c r="AW374" s="215"/>
      <c r="AX374" s="215"/>
      <c r="AY374" s="215"/>
      <c r="AZ374" s="213"/>
      <c r="BA374" s="210"/>
      <c r="BB374" s="210"/>
      <c r="BC374" s="210"/>
      <c r="BD374" s="214"/>
      <c r="BE374" s="215"/>
      <c r="BF374" s="215"/>
      <c r="BG374" s="215"/>
      <c r="BH374" s="215"/>
      <c r="BI374" s="213"/>
      <c r="BJ374" s="210"/>
      <c r="BK374" s="210"/>
      <c r="BL374" s="210"/>
      <c r="BM374" s="214"/>
      <c r="BN374" s="215"/>
      <c r="BO374" s="215"/>
      <c r="BP374" s="215"/>
      <c r="BQ374" s="215"/>
      <c r="BR374" s="177"/>
      <c r="BS374" s="210"/>
      <c r="BT374" s="210"/>
      <c r="BU374" s="210"/>
      <c r="BV374" s="213"/>
      <c r="BW374" s="215"/>
      <c r="BX374" s="215"/>
      <c r="BY374" s="215"/>
      <c r="BZ374" s="215"/>
      <c r="CA374" s="210"/>
      <c r="CB374" s="216"/>
      <c r="CC374" s="216"/>
      <c r="CD374" s="216"/>
      <c r="CE374" s="216"/>
      <c r="CF374" s="215"/>
      <c r="CG374" s="215"/>
      <c r="CH374" s="215"/>
      <c r="CI374" s="215"/>
      <c r="CJ374" s="210"/>
      <c r="CK374" s="210"/>
      <c r="CL374" s="210"/>
      <c r="CM374" s="210"/>
      <c r="CN374" s="210"/>
      <c r="CO374" s="215"/>
      <c r="CP374" s="215"/>
      <c r="CQ374" s="215"/>
      <c r="CR374" s="215"/>
      <c r="CS374" s="210"/>
      <c r="CT374" s="210"/>
      <c r="CU374" s="210"/>
      <c r="CV374" s="217"/>
      <c r="CW374" s="218"/>
    </row>
    <row r="375" spans="1:101" ht="14.25" thickTop="1" thickBot="1" x14ac:dyDescent="0.25">
      <c r="A375" s="218"/>
      <c r="B375" s="218"/>
      <c r="C375" s="218"/>
      <c r="D375" s="218"/>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c r="AA375" s="218"/>
      <c r="AB375" s="218"/>
      <c r="AC375" s="218"/>
      <c r="AD375" s="218"/>
      <c r="AE375" s="218"/>
      <c r="AF375" s="218"/>
      <c r="AG375" s="218"/>
      <c r="AH375" s="218"/>
      <c r="AI375" s="218"/>
      <c r="AJ375" s="218"/>
      <c r="AK375" s="218"/>
      <c r="AL375" s="218"/>
      <c r="AM375" s="218"/>
      <c r="AN375" s="218"/>
      <c r="AO375" s="218"/>
      <c r="AP375" s="218"/>
      <c r="AQ375" s="218"/>
      <c r="AR375" s="218"/>
      <c r="AS375" s="218"/>
      <c r="AT375" s="218"/>
      <c r="AU375" s="218"/>
      <c r="AV375" s="218"/>
      <c r="AW375" s="218"/>
      <c r="AX375" s="218"/>
      <c r="AY375" s="218"/>
      <c r="AZ375" s="218"/>
      <c r="BA375" s="218"/>
      <c r="BB375" s="218"/>
      <c r="BC375" s="218"/>
      <c r="BD375" s="218"/>
      <c r="BE375" s="218"/>
      <c r="BF375" s="218"/>
      <c r="BG375" s="218"/>
      <c r="BH375" s="218"/>
      <c r="BI375" s="218"/>
      <c r="BJ375" s="218"/>
      <c r="BK375" s="218"/>
      <c r="BL375" s="218"/>
      <c r="BM375" s="218"/>
      <c r="BN375" s="218"/>
      <c r="BO375" s="218"/>
      <c r="BP375" s="218"/>
      <c r="BQ375" s="218"/>
      <c r="BR375" s="218"/>
      <c r="BS375" s="218"/>
      <c r="BT375" s="218"/>
      <c r="BU375" s="218"/>
      <c r="BV375" s="218"/>
      <c r="BW375" s="218"/>
      <c r="BX375" s="218"/>
      <c r="BY375" s="218"/>
      <c r="BZ375" s="218"/>
      <c r="CA375" s="218"/>
      <c r="CB375" s="392"/>
      <c r="CC375" s="392"/>
      <c r="CD375" s="392"/>
      <c r="CE375" s="392"/>
      <c r="CF375" s="218"/>
      <c r="CG375" s="218"/>
      <c r="CH375" s="218"/>
      <c r="CI375" s="218"/>
      <c r="CJ375" s="218"/>
      <c r="CK375" s="218"/>
      <c r="CL375" s="218"/>
      <c r="CM375" s="218"/>
      <c r="CN375" s="218"/>
      <c r="CO375" s="218"/>
      <c r="CP375" s="218"/>
      <c r="CQ375" s="218"/>
      <c r="CR375" s="218"/>
      <c r="CS375" s="218"/>
      <c r="CT375" s="218"/>
      <c r="CU375" s="218"/>
      <c r="CV375" s="218"/>
      <c r="CW375" s="218"/>
    </row>
    <row r="376" spans="1:101" ht="21" thickTop="1" x14ac:dyDescent="0.3">
      <c r="A376" s="219"/>
      <c r="B376" s="219"/>
      <c r="C376" s="157"/>
      <c r="D376" s="158"/>
      <c r="E376" s="731" t="s">
        <v>44</v>
      </c>
      <c r="F376" s="229"/>
      <c r="G376" s="229"/>
      <c r="H376" s="229"/>
      <c r="I376" s="877" t="e" vm="1">
        <v>#VALUE!</v>
      </c>
      <c r="J376" s="877"/>
      <c r="K376" s="877"/>
      <c r="L376" s="877"/>
      <c r="M376" s="159"/>
      <c r="N376" s="159"/>
      <c r="O376" s="159"/>
      <c r="P376" s="160"/>
      <c r="Q376" s="159"/>
      <c r="R376" s="159"/>
      <c r="S376" s="159"/>
      <c r="T376" s="161"/>
      <c r="U376" s="162"/>
      <c r="V376" s="162"/>
      <c r="W376" s="162"/>
      <c r="X376" s="162"/>
      <c r="Y376" s="160"/>
      <c r="Z376" s="159"/>
      <c r="AA376" s="159"/>
      <c r="AB376" s="159"/>
      <c r="AC376" s="161"/>
      <c r="AD376" s="162"/>
      <c r="AE376" s="162"/>
      <c r="AF376" s="162"/>
      <c r="AG376" s="162"/>
      <c r="AH376" s="160"/>
      <c r="AI376" s="159"/>
      <c r="AJ376" s="201"/>
      <c r="AK376" s="201"/>
      <c r="AL376" s="164"/>
      <c r="AM376" s="162"/>
      <c r="AN376" s="162"/>
      <c r="AO376" s="162"/>
      <c r="AP376" s="162"/>
      <c r="AQ376" s="202"/>
      <c r="AR376" s="203"/>
      <c r="AS376" s="165"/>
      <c r="AT376" s="166"/>
      <c r="AU376" s="164"/>
      <c r="AV376" s="162"/>
      <c r="AW376" s="162"/>
      <c r="AX376" s="162"/>
      <c r="AY376" s="162"/>
      <c r="AZ376" s="202"/>
      <c r="BA376" s="203"/>
      <c r="BB376" s="166"/>
      <c r="BC376" s="201"/>
      <c r="BD376" s="204"/>
      <c r="BE376" s="162"/>
      <c r="BF376" s="162"/>
      <c r="BG376" s="162"/>
      <c r="BH376" s="162"/>
      <c r="BI376" s="205"/>
      <c r="BJ376" s="201"/>
      <c r="BK376" s="201"/>
      <c r="BL376" s="201"/>
      <c r="BM376" s="204"/>
      <c r="BN376" s="162"/>
      <c r="BO376" s="162"/>
      <c r="BP376" s="162"/>
      <c r="BQ376" s="162"/>
      <c r="BR376" s="167"/>
      <c r="BS376" s="201"/>
      <c r="BT376" s="201"/>
      <c r="BU376" s="201"/>
      <c r="BV376" s="205"/>
      <c r="BW376" s="162"/>
      <c r="BX376" s="162"/>
      <c r="BY376" s="162"/>
      <c r="BZ376" s="162"/>
      <c r="CA376" s="201"/>
      <c r="CB376" s="393"/>
      <c r="CC376" s="393"/>
      <c r="CD376" s="393"/>
      <c r="CE376" s="393"/>
      <c r="CF376" s="162"/>
      <c r="CG376" s="162"/>
      <c r="CH376" s="162"/>
      <c r="CI376" s="162"/>
      <c r="CJ376" s="163"/>
      <c r="CK376" s="163"/>
      <c r="CL376" s="163"/>
      <c r="CM376" s="163"/>
      <c r="CN376" s="163"/>
      <c r="CO376" s="162"/>
      <c r="CP376" s="162"/>
      <c r="CQ376" s="162"/>
      <c r="CR376" s="162"/>
      <c r="CS376" s="163"/>
      <c r="CT376" s="358"/>
      <c r="CU376" s="201"/>
      <c r="CV376" s="206"/>
      <c r="CW376" s="218"/>
    </row>
    <row r="377" spans="1:101" ht="15.75" thickBot="1" x14ac:dyDescent="0.25">
      <c r="A377" s="219" t="s">
        <v>260</v>
      </c>
      <c r="B377" s="219"/>
      <c r="C377" s="168"/>
      <c r="D377" s="785"/>
      <c r="E377" s="869" t="s">
        <v>45</v>
      </c>
      <c r="F377" s="363"/>
      <c r="G377" s="363"/>
      <c r="H377" s="363"/>
      <c r="I377" s="878"/>
      <c r="J377" s="878"/>
      <c r="K377" s="878"/>
      <c r="L377" s="878"/>
      <c r="M377" s="363"/>
      <c r="N377" s="363"/>
      <c r="O377" s="363"/>
      <c r="P377" s="363"/>
      <c r="Q377" s="363"/>
      <c r="R377" s="363"/>
      <c r="S377" s="363"/>
      <c r="T377" s="363"/>
      <c r="U377" s="363"/>
      <c r="V377" s="363"/>
      <c r="W377" s="363"/>
      <c r="X377" s="363"/>
      <c r="Y377" s="363"/>
      <c r="Z377" s="363"/>
      <c r="AA377" s="363"/>
      <c r="AB377" s="363"/>
      <c r="AC377" s="363"/>
      <c r="AD377" s="363"/>
      <c r="AE377" s="363"/>
      <c r="AF377" s="363"/>
      <c r="AG377" s="363"/>
      <c r="AH377" s="363"/>
      <c r="AI377" s="363"/>
      <c r="AJ377" s="363"/>
      <c r="AK377" s="363"/>
      <c r="AL377" s="363"/>
      <c r="AM377" s="363"/>
      <c r="AN377" s="363"/>
      <c r="AO377" s="363"/>
      <c r="AP377" s="363"/>
      <c r="AQ377" s="363"/>
      <c r="AR377" s="363"/>
      <c r="AS377" s="363"/>
      <c r="AT377" s="363"/>
      <c r="AU377" s="363"/>
      <c r="AV377" s="363"/>
      <c r="AW377" s="363"/>
      <c r="AX377" s="363"/>
      <c r="AY377" s="363"/>
      <c r="AZ377" s="363"/>
      <c r="BA377" s="363"/>
      <c r="BB377" s="363"/>
      <c r="BC377" s="363"/>
      <c r="BD377" s="363"/>
      <c r="BE377" s="363"/>
      <c r="BF377" s="363"/>
      <c r="BG377" s="363"/>
      <c r="BH377" s="363"/>
      <c r="BI377" s="363"/>
      <c r="BJ377" s="363"/>
      <c r="BK377" s="363"/>
      <c r="BL377" s="363"/>
      <c r="BM377" s="363"/>
      <c r="BN377" s="363"/>
      <c r="BO377" s="363"/>
      <c r="BP377" s="363"/>
      <c r="BQ377" s="363"/>
      <c r="BR377" s="363"/>
      <c r="BS377" s="363"/>
      <c r="BT377" s="363"/>
      <c r="BU377" s="363"/>
      <c r="BV377" s="363"/>
      <c r="BW377" s="363"/>
      <c r="BX377" s="363"/>
      <c r="BY377" s="363"/>
      <c r="BZ377" s="363"/>
      <c r="CA377" s="363"/>
      <c r="CB377" s="394"/>
      <c r="CC377" s="394"/>
      <c r="CD377" s="394"/>
      <c r="CE377" s="394"/>
      <c r="CF377" s="363"/>
      <c r="CG377" s="363"/>
      <c r="CH377" s="363"/>
      <c r="CI377" s="363"/>
      <c r="CJ377" s="363"/>
      <c r="CK377" s="363"/>
      <c r="CL377" s="363"/>
      <c r="CM377" s="363"/>
      <c r="CN377" s="323"/>
      <c r="CO377" s="363"/>
      <c r="CP377" s="363"/>
      <c r="CQ377" s="363"/>
      <c r="CR377" s="363"/>
      <c r="CS377" s="323"/>
      <c r="CT377" s="155"/>
      <c r="CU377" s="269"/>
      <c r="CV377" s="209"/>
      <c r="CW377" s="218"/>
    </row>
    <row r="378" spans="1:101" ht="18.75" thickTop="1" x14ac:dyDescent="0.2">
      <c r="A378" s="219"/>
      <c r="B378" s="219"/>
      <c r="C378" s="174"/>
      <c r="D378" s="778"/>
      <c r="E378" s="777"/>
      <c r="F378" s="235"/>
      <c r="G378" s="234"/>
      <c r="H378" s="234"/>
      <c r="I378" s="875">
        <f>WEEKNUM(E379)</f>
        <v>50</v>
      </c>
      <c r="J378" s="875"/>
      <c r="K378" s="875"/>
      <c r="L378" s="250"/>
      <c r="M378" s="261"/>
      <c r="N378" s="205"/>
      <c r="O378" s="236"/>
      <c r="P378" s="236"/>
      <c r="Q378" s="675" t="str">
        <f>IF($F382="","",SUM(Q394:S394)-S380)</f>
        <v/>
      </c>
      <c r="R378" s="675"/>
      <c r="S378" s="675"/>
      <c r="T378" s="237"/>
      <c r="U378" s="238"/>
      <c r="V378" s="238"/>
      <c r="W378" s="238"/>
      <c r="X378" s="238"/>
      <c r="Y378" s="236"/>
      <c r="Z378" s="675" t="str">
        <f>IF($F382="","",SUM(Z394:AB394)-AB380)</f>
        <v/>
      </c>
      <c r="AA378" s="675"/>
      <c r="AB378" s="675"/>
      <c r="AC378" s="237"/>
      <c r="AD378" s="238"/>
      <c r="AE378" s="238"/>
      <c r="AF378" s="238"/>
      <c r="AG378" s="238"/>
      <c r="AH378" s="236"/>
      <c r="AI378" s="675" t="str">
        <f>IF($F382="","",SUM(AI394:AK394)-AK380)</f>
        <v/>
      </c>
      <c r="AJ378" s="675"/>
      <c r="AK378" s="675"/>
      <c r="AL378" s="237"/>
      <c r="AM378" s="238"/>
      <c r="AN378" s="238"/>
      <c r="AO378" s="238"/>
      <c r="AP378" s="238"/>
      <c r="AQ378" s="236"/>
      <c r="AR378" s="675" t="str">
        <f>IF($F382="","",SUM(AR394:AT394)-AT380)</f>
        <v/>
      </c>
      <c r="AS378" s="675"/>
      <c r="AT378" s="675"/>
      <c r="AU378" s="239"/>
      <c r="AV378" s="238"/>
      <c r="AW378" s="238"/>
      <c r="AX378" s="238"/>
      <c r="AY378" s="238"/>
      <c r="AZ378" s="240"/>
      <c r="BA378" s="675" t="str">
        <f>IF($F382="","",SUM(BA394:BC394)-BC380)</f>
        <v/>
      </c>
      <c r="BB378" s="675"/>
      <c r="BC378" s="675"/>
      <c r="BD378" s="239"/>
      <c r="BE378" s="238"/>
      <c r="BF378" s="238"/>
      <c r="BG378" s="238"/>
      <c r="BH378" s="238"/>
      <c r="BI378" s="240"/>
      <c r="BJ378" s="675" t="str">
        <f>IF($F382="","",SUM(BJ394:BL394)-BL380)</f>
        <v/>
      </c>
      <c r="BK378" s="675"/>
      <c r="BL378" s="675"/>
      <c r="BM378" s="239"/>
      <c r="BN378" s="238"/>
      <c r="BO378" s="238"/>
      <c r="BP378" s="238"/>
      <c r="BQ378" s="238"/>
      <c r="BR378" s="241"/>
      <c r="BS378" s="675" t="str">
        <f>IF($F382="","",SUM(BS394:BU394)-BU380)</f>
        <v/>
      </c>
      <c r="BT378" s="675"/>
      <c r="BU378" s="675"/>
      <c r="BV378" s="240"/>
      <c r="BW378" s="238"/>
      <c r="BX378" s="238"/>
      <c r="BY378" s="238"/>
      <c r="BZ378" s="238"/>
      <c r="CA378" s="241"/>
      <c r="CB378" s="675" t="str">
        <f>IF($F382="","",SUM(CB394:CD394)-CD380)</f>
        <v/>
      </c>
      <c r="CC378" s="675"/>
      <c r="CD378" s="675"/>
      <c r="CE378" s="240"/>
      <c r="CF378" s="238"/>
      <c r="CG378" s="238"/>
      <c r="CH378" s="238"/>
      <c r="CI378" s="238"/>
      <c r="CJ378" s="234"/>
      <c r="CK378" s="675" t="str">
        <f>IF($F382="","",SUM(CK394:CM394))</f>
        <v/>
      </c>
      <c r="CL378" s="675"/>
      <c r="CM378" s="675"/>
      <c r="CN378" s="240"/>
      <c r="CO378" s="238"/>
      <c r="CP378" s="238"/>
      <c r="CQ378" s="238"/>
      <c r="CR378" s="238"/>
      <c r="CS378" s="234"/>
      <c r="CT378" s="234"/>
      <c r="CU378" s="251"/>
      <c r="CV378" s="209"/>
      <c r="CW378" s="218"/>
    </row>
    <row r="379" spans="1:101" x14ac:dyDescent="0.2">
      <c r="A379" s="219"/>
      <c r="B379" s="219"/>
      <c r="C379" s="174"/>
      <c r="D379" s="779"/>
      <c r="E379" s="543">
        <f>E357+7</f>
        <v>46368</v>
      </c>
      <c r="F379" s="178"/>
      <c r="G379" s="179"/>
      <c r="H379" s="179"/>
      <c r="I379" s="876"/>
      <c r="J379" s="876"/>
      <c r="K379" s="876"/>
      <c r="L379" s="254"/>
      <c r="M379" s="329"/>
      <c r="N379" s="208"/>
      <c r="O379" s="180"/>
      <c r="P379" s="180"/>
      <c r="Q379" s="584" t="str">
        <f>IF(Q378="","",Q378/Data!$X$1)</f>
        <v/>
      </c>
      <c r="R379" s="584"/>
      <c r="S379" s="585" t="str">
        <f>IF(SUM(X382:X393)=0,"",SUM(X382:X393))</f>
        <v/>
      </c>
      <c r="T379" s="181"/>
      <c r="U379" s="182"/>
      <c r="V379" s="182"/>
      <c r="W379" s="182"/>
      <c r="X379" s="182"/>
      <c r="Y379" s="180"/>
      <c r="Z379" s="584" t="str">
        <f>IF(Z378="","",Z378/Data!$X$1)</f>
        <v/>
      </c>
      <c r="AA379" s="584"/>
      <c r="AB379" s="585" t="str">
        <f>IF(SUM(AG382:AG393)=0,"",SUM(AG382:AG393))</f>
        <v/>
      </c>
      <c r="AC379" s="181"/>
      <c r="AD379" s="182"/>
      <c r="AE379" s="182"/>
      <c r="AF379" s="182"/>
      <c r="AG379" s="182"/>
      <c r="AH379" s="180"/>
      <c r="AI379" s="584" t="str">
        <f>IF(AI378="","",AI378/Data!$X$1)</f>
        <v/>
      </c>
      <c r="AJ379" s="584"/>
      <c r="AK379" s="585" t="str">
        <f>IF(SUM(AP382:AP393)=0,"",SUM(AP382:AP393))</f>
        <v/>
      </c>
      <c r="AL379" s="181"/>
      <c r="AM379" s="182"/>
      <c r="AN379" s="182"/>
      <c r="AO379" s="182"/>
      <c r="AP379" s="182"/>
      <c r="AQ379" s="180"/>
      <c r="AR379" s="584" t="str">
        <f>IF(AR378="","",AR378/Data!$X$1)</f>
        <v/>
      </c>
      <c r="AS379" s="584"/>
      <c r="AT379" s="585" t="str">
        <f>IF(SUM(AY382:AY393)=0,"",SUM(AY382:AY393))</f>
        <v/>
      </c>
      <c r="AU379" s="183"/>
      <c r="AV379" s="182"/>
      <c r="AW379" s="182"/>
      <c r="AX379" s="182"/>
      <c r="AY379" s="182"/>
      <c r="AZ379" s="184"/>
      <c r="BA379" s="584" t="str">
        <f>IF(BA378="","",BA378/Data!$X$1)</f>
        <v/>
      </c>
      <c r="BB379" s="584"/>
      <c r="BC379" s="585" t="str">
        <f>IF(SUM(BH382:BH393)=0,"",SUM(BH382:BH393))</f>
        <v/>
      </c>
      <c r="BD379" s="183"/>
      <c r="BE379" s="182"/>
      <c r="BF379" s="182"/>
      <c r="BG379" s="182"/>
      <c r="BH379" s="182"/>
      <c r="BI379" s="184"/>
      <c r="BJ379" s="584" t="str">
        <f>IF(BJ378="","",BJ378/Data!$X$1)</f>
        <v/>
      </c>
      <c r="BK379" s="584"/>
      <c r="BL379" s="585" t="str">
        <f>IF(SUM(BQ382:BQ393)=0,"",SUM(BQ382:BQ393))</f>
        <v/>
      </c>
      <c r="BM379" s="183"/>
      <c r="BN379" s="182"/>
      <c r="BO379" s="182"/>
      <c r="BP379" s="182"/>
      <c r="BQ379" s="182"/>
      <c r="BR379" s="185"/>
      <c r="BS379" s="584" t="str">
        <f>IF(BS378="","",BS378/Data!$X$1)</f>
        <v/>
      </c>
      <c r="BT379" s="584"/>
      <c r="BU379" s="585" t="str">
        <f>IF(SUM(BZ382:BZ393)=0,"",SUM(BZ382:BZ393))</f>
        <v/>
      </c>
      <c r="BV379" s="184"/>
      <c r="BW379" s="182"/>
      <c r="BX379" s="182"/>
      <c r="BY379" s="182"/>
      <c r="BZ379" s="182"/>
      <c r="CA379" s="185"/>
      <c r="CB379" s="584" t="str">
        <f>IF(CB378="","",CB378/Data!$X$1)</f>
        <v/>
      </c>
      <c r="CC379" s="584"/>
      <c r="CD379" s="585" t="str">
        <f>IF(SUM(CI382:CI393)=0,"",SUM(CI382:CI393))</f>
        <v/>
      </c>
      <c r="CE379" s="184"/>
      <c r="CF379" s="182"/>
      <c r="CG379" s="182"/>
      <c r="CH379" s="182"/>
      <c r="CI379" s="182"/>
      <c r="CJ379" s="182"/>
      <c r="CK379" s="584" t="str">
        <f>IF(CK378="","",CK378/Data!$X$1)</f>
        <v/>
      </c>
      <c r="CL379" s="584"/>
      <c r="CM379" s="585" t="str">
        <f>IF(SUM(CR382:CR393)=0,"",SUM(CR382:CR393))</f>
        <v/>
      </c>
      <c r="CN379" s="184"/>
      <c r="CO379" s="182"/>
      <c r="CP379" s="182"/>
      <c r="CQ379" s="182"/>
      <c r="CR379" s="182"/>
      <c r="CS379" s="182"/>
      <c r="CT379" s="182"/>
      <c r="CU379" s="255"/>
      <c r="CV379" s="209"/>
      <c r="CW379" s="218"/>
    </row>
    <row r="380" spans="1:101" ht="13.5" thickBot="1" x14ac:dyDescent="0.25">
      <c r="A380" s="219"/>
      <c r="B380" s="219"/>
      <c r="C380" s="174"/>
      <c r="D380" s="230"/>
      <c r="E380" s="359"/>
      <c r="F380" s="186"/>
      <c r="G380" s="187"/>
      <c r="H380" s="187"/>
      <c r="I380" s="673"/>
      <c r="J380" s="674"/>
      <c r="K380" s="674"/>
      <c r="L380" s="256"/>
      <c r="M380" s="330"/>
      <c r="N380" s="334"/>
      <c r="O380" s="187"/>
      <c r="P380" s="187"/>
      <c r="Q380" s="342" t="str">
        <f>Data!$E$11</f>
        <v>AHH</v>
      </c>
      <c r="R380" s="343" t="str">
        <f>IF($F393="","",RANK(Q378,$Q378:$CL378))</f>
        <v/>
      </c>
      <c r="S380" s="466"/>
      <c r="T380" s="181"/>
      <c r="U380" s="182"/>
      <c r="V380" s="182"/>
      <c r="W380" s="182"/>
      <c r="X380" s="197">
        <f>COUNTIF(U382:W393,"&gt;0")</f>
        <v>0</v>
      </c>
      <c r="Y380" s="180"/>
      <c r="Z380" s="342" t="str">
        <f>Data!$E$12</f>
        <v>RB</v>
      </c>
      <c r="AA380" s="343" t="str">
        <f>IF($F393="","",RANK(Z378,$Q378:$CL378))</f>
        <v/>
      </c>
      <c r="AB380" s="466"/>
      <c r="AC380" s="181"/>
      <c r="AD380" s="182"/>
      <c r="AE380" s="182"/>
      <c r="AF380" s="182"/>
      <c r="AG380" s="197">
        <f>COUNTIF(AD382:AF393,"&gt;0")</f>
        <v>0</v>
      </c>
      <c r="AH380" s="180"/>
      <c r="AI380" s="342" t="str">
        <f>Data!$E$13</f>
        <v>EB</v>
      </c>
      <c r="AJ380" s="343" t="str">
        <f>IF($F393="","",RANK(AI378,$Q378:$CL378))</f>
        <v/>
      </c>
      <c r="AK380" s="466"/>
      <c r="AL380" s="181"/>
      <c r="AM380" s="182"/>
      <c r="AN380" s="182"/>
      <c r="AO380" s="182"/>
      <c r="AP380" s="197">
        <f>COUNTIF(AM382:AO393,"&gt;0")</f>
        <v>0</v>
      </c>
      <c r="AQ380" s="180"/>
      <c r="AR380" s="305" t="str">
        <f>Data!$E$14</f>
        <v>KAF</v>
      </c>
      <c r="AS380" s="343" t="str">
        <f>IF($F393="","",RANK(AR378,$Q378:$CL378))</f>
        <v/>
      </c>
      <c r="AT380" s="466"/>
      <c r="AU380" s="181"/>
      <c r="AV380" s="182"/>
      <c r="AW380" s="182"/>
      <c r="AX380" s="182"/>
      <c r="AY380" s="197">
        <f>COUNTIF(AV382:AX393,"&gt;0")</f>
        <v>0</v>
      </c>
      <c r="AZ380" s="180"/>
      <c r="BA380" s="305" t="str">
        <f>Data!$E$15</f>
        <v>ØG</v>
      </c>
      <c r="BB380" s="343" t="str">
        <f>IF($F393="","",RANK(BA378,$Q378:$CL378))</f>
        <v/>
      </c>
      <c r="BC380" s="466"/>
      <c r="BD380" s="181"/>
      <c r="BE380" s="182"/>
      <c r="BF380" s="182"/>
      <c r="BG380" s="182"/>
      <c r="BH380" s="197">
        <f>COUNTIF(BE382:BG393,"&gt;0")</f>
        <v>0</v>
      </c>
      <c r="BI380" s="180"/>
      <c r="BJ380" s="305" t="str">
        <f>Data!$E$16</f>
        <v>JH</v>
      </c>
      <c r="BK380" s="343" t="str">
        <f>IF($F393="","",RANK(BJ378,$Q378:$CL378))</f>
        <v/>
      </c>
      <c r="BL380" s="466"/>
      <c r="BM380" s="181"/>
      <c r="BN380" s="182"/>
      <c r="BO380" s="182"/>
      <c r="BP380" s="182"/>
      <c r="BQ380" s="197">
        <f>COUNTIF(BN382:BP393,"&gt;0")</f>
        <v>0</v>
      </c>
      <c r="BR380" s="188"/>
      <c r="BS380" s="305" t="str">
        <f>Data!$E$17</f>
        <v>TOH</v>
      </c>
      <c r="BT380" s="343" t="str">
        <f>IF($F393="","",RANK(BS378,$Q378:$CL378))</f>
        <v/>
      </c>
      <c r="BU380" s="466"/>
      <c r="BV380" s="180"/>
      <c r="BW380" s="182"/>
      <c r="BX380" s="182"/>
      <c r="BY380" s="182"/>
      <c r="BZ380" s="197">
        <f>COUNTIF(BW382:BY393,"&gt;0")</f>
        <v>0</v>
      </c>
      <c r="CA380" s="188"/>
      <c r="CB380" s="305" t="s">
        <v>26</v>
      </c>
      <c r="CC380" s="343" t="str">
        <f>IF($F393="","",RANK(CB378,$Q378:$CM378))</f>
        <v/>
      </c>
      <c r="CD380" s="467"/>
      <c r="CE380" s="180"/>
      <c r="CF380" s="182"/>
      <c r="CG380" s="182"/>
      <c r="CH380" s="182"/>
      <c r="CI380" s="197">
        <f>COUNTIF(CF382:CH393,"&gt;0")</f>
        <v>0</v>
      </c>
      <c r="CJ380" s="182"/>
      <c r="CK380" s="305" t="s">
        <v>27</v>
      </c>
      <c r="CL380" s="343" t="str">
        <f>IF($F393="","",RANK(CK378,$Q378:$CM378))</f>
        <v/>
      </c>
      <c r="CM380" s="669"/>
      <c r="CN380" s="180"/>
      <c r="CO380" s="182"/>
      <c r="CP380" s="182"/>
      <c r="CQ380" s="182"/>
      <c r="CR380" s="197">
        <f>COUNTIF(CO382:CQ393,"&gt;0")</f>
        <v>0</v>
      </c>
      <c r="CS380" s="182"/>
      <c r="CT380" s="182"/>
      <c r="CU380" s="255"/>
      <c r="CV380" s="209"/>
      <c r="CW380" s="218"/>
    </row>
    <row r="381" spans="1:101" ht="13.5" thickBot="1" x14ac:dyDescent="0.25">
      <c r="A381" s="227"/>
      <c r="B381" s="227"/>
      <c r="C381" s="168"/>
      <c r="D381" s="231"/>
      <c r="E381" s="189"/>
      <c r="F381" s="190"/>
      <c r="G381" s="191"/>
      <c r="H381" s="191"/>
      <c r="I381" s="192" t="s">
        <v>47</v>
      </c>
      <c r="J381" s="193" t="s">
        <v>48</v>
      </c>
      <c r="K381" s="194" t="s">
        <v>49</v>
      </c>
      <c r="L381" s="257"/>
      <c r="M381" s="331"/>
      <c r="N381" s="335"/>
      <c r="O381" s="195"/>
      <c r="P381" s="195"/>
      <c r="Q381" s="192" t="s">
        <v>47</v>
      </c>
      <c r="R381" s="193" t="s">
        <v>48</v>
      </c>
      <c r="S381" s="194" t="s">
        <v>49</v>
      </c>
      <c r="T381" s="196"/>
      <c r="U381" s="197"/>
      <c r="V381" s="197"/>
      <c r="W381" s="197"/>
      <c r="X381" s="197"/>
      <c r="Y381" s="195"/>
      <c r="Z381" s="192" t="s">
        <v>47</v>
      </c>
      <c r="AA381" s="193" t="s">
        <v>48</v>
      </c>
      <c r="AB381" s="194" t="s">
        <v>49</v>
      </c>
      <c r="AC381" s="196"/>
      <c r="AD381" s="197"/>
      <c r="AE381" s="197"/>
      <c r="AF381" s="197"/>
      <c r="AG381" s="197"/>
      <c r="AH381" s="195"/>
      <c r="AI381" s="192" t="s">
        <v>47</v>
      </c>
      <c r="AJ381" s="193" t="s">
        <v>48</v>
      </c>
      <c r="AK381" s="194" t="s">
        <v>49</v>
      </c>
      <c r="AL381" s="196"/>
      <c r="AM381" s="197"/>
      <c r="AN381" s="197"/>
      <c r="AO381" s="197"/>
      <c r="AP381" s="197"/>
      <c r="AQ381" s="195"/>
      <c r="AR381" s="192" t="s">
        <v>47</v>
      </c>
      <c r="AS381" s="193" t="s">
        <v>48</v>
      </c>
      <c r="AT381" s="194" t="s">
        <v>49</v>
      </c>
      <c r="AU381" s="196"/>
      <c r="AV381" s="197"/>
      <c r="AW381" s="197"/>
      <c r="AX381" s="197"/>
      <c r="AY381" s="197"/>
      <c r="AZ381" s="195"/>
      <c r="BA381" s="192" t="s">
        <v>47</v>
      </c>
      <c r="BB381" s="193" t="s">
        <v>48</v>
      </c>
      <c r="BC381" s="194" t="s">
        <v>49</v>
      </c>
      <c r="BD381" s="196"/>
      <c r="BE381" s="197"/>
      <c r="BF381" s="197"/>
      <c r="BG381" s="197"/>
      <c r="BH381" s="197"/>
      <c r="BI381" s="195"/>
      <c r="BJ381" s="192" t="s">
        <v>47</v>
      </c>
      <c r="BK381" s="193" t="s">
        <v>48</v>
      </c>
      <c r="BL381" s="194" t="s">
        <v>49</v>
      </c>
      <c r="BM381" s="196"/>
      <c r="BN381" s="197"/>
      <c r="BO381" s="197"/>
      <c r="BP381" s="197"/>
      <c r="BQ381" s="197"/>
      <c r="BR381" s="195"/>
      <c r="BS381" s="192" t="s">
        <v>47</v>
      </c>
      <c r="BT381" s="193" t="s">
        <v>48</v>
      </c>
      <c r="BU381" s="194" t="s">
        <v>49</v>
      </c>
      <c r="BV381" s="196"/>
      <c r="BW381" s="197"/>
      <c r="BX381" s="197"/>
      <c r="BY381" s="197"/>
      <c r="BZ381" s="197"/>
      <c r="CA381" s="195"/>
      <c r="CB381" s="192" t="s">
        <v>47</v>
      </c>
      <c r="CC381" s="193" t="s">
        <v>48</v>
      </c>
      <c r="CD381" s="194" t="s">
        <v>49</v>
      </c>
      <c r="CE381" s="196"/>
      <c r="CF381" s="197"/>
      <c r="CG381" s="197"/>
      <c r="CH381" s="197"/>
      <c r="CI381" s="197"/>
      <c r="CJ381" s="197"/>
      <c r="CK381" s="192" t="s">
        <v>47</v>
      </c>
      <c r="CL381" s="193" t="s">
        <v>48</v>
      </c>
      <c r="CM381" s="194" t="s">
        <v>49</v>
      </c>
      <c r="CN381" s="196"/>
      <c r="CO381" s="197"/>
      <c r="CP381" s="197"/>
      <c r="CQ381" s="197"/>
      <c r="CR381" s="197"/>
      <c r="CS381" s="197"/>
      <c r="CT381" s="198"/>
      <c r="CU381" s="255"/>
      <c r="CV381" s="209"/>
      <c r="CW381" s="228"/>
    </row>
    <row r="382" spans="1:101" x14ac:dyDescent="0.2">
      <c r="A382" s="227"/>
      <c r="B382" s="227"/>
      <c r="C382" s="168"/>
      <c r="D382" s="232"/>
      <c r="E382" s="134" t="s">
        <v>261</v>
      </c>
      <c r="F382" s="424"/>
      <c r="G382" s="428" t="s">
        <v>51</v>
      </c>
      <c r="H382" s="429"/>
      <c r="I382" s="138" t="str">
        <f t="shared" ref="I382:I393" si="557">IF($F382&gt;$H382,"x","")</f>
        <v/>
      </c>
      <c r="J382" s="344" t="str">
        <f t="shared" ref="J382:J393" si="558">IF(F382&lt;&gt;"",IF(H382&lt;&gt;"",IF(F382=H382,"x",""),""),"")</f>
        <v/>
      </c>
      <c r="K382" s="345" t="str">
        <f t="shared" ref="K382:K393" si="559">IF($F382&lt;$H382,"x","")</f>
        <v/>
      </c>
      <c r="L382" s="258"/>
      <c r="M382" s="332"/>
      <c r="N382" s="336"/>
      <c r="O382" s="200"/>
      <c r="P382" s="200"/>
      <c r="Q382" s="436"/>
      <c r="R382" s="437"/>
      <c r="S382" s="438" t="str">
        <f t="shared" ref="S382:S393" si="560">IF(Q382="","",100-SUM(Q382:R382))</f>
        <v/>
      </c>
      <c r="T382" s="328"/>
      <c r="U382" s="197" t="str">
        <f>IF(AND($I382="x",AND(MAX(Q382:S382)=Q382,Q382&gt;=0)),Data!$BI$2,"")</f>
        <v/>
      </c>
      <c r="V382" s="197" t="str">
        <f>IF(AND($J382="x",AND(MAX(Q382:S382)=R382,R382&gt;=0)),Data!$BJ$2,"")</f>
        <v/>
      </c>
      <c r="W382" s="197" t="str">
        <f>IF(AND($K382="x",AND(MAX(Q382:S382)=S382,S382&gt;=0)),Data!$BK$2,"")</f>
        <v/>
      </c>
      <c r="X382" s="197"/>
      <c r="Y382" s="328"/>
      <c r="Z382" s="451"/>
      <c r="AA382" s="452"/>
      <c r="AB382" s="438" t="str">
        <f t="shared" ref="AB382:AB393" si="561">IF(Z382="","",100-SUM(Z382:AA382))</f>
        <v/>
      </c>
      <c r="AC382" s="328"/>
      <c r="AD382" s="197" t="str">
        <f>IF(AND($I382="x",AND(MAX(Z382:AB382)=Z382,Z382&lt;&gt;"")),Data!$BI$2,"")</f>
        <v/>
      </c>
      <c r="AE382" s="197" t="str">
        <f>IF(AND($J382="x",AND(MAX(Z382:AB382)=AA382,AA382&lt;&gt;"")),Data!$BJ$2,"")</f>
        <v/>
      </c>
      <c r="AF382" s="197" t="str">
        <f>IF(AND($K382="x",AND(MAX(Z382:AB382)=AB382,AB382&lt;&gt;"")),Data!$BK$2,"")</f>
        <v/>
      </c>
      <c r="AG382" s="197"/>
      <c r="AH382" s="328"/>
      <c r="AI382" s="451"/>
      <c r="AJ382" s="452"/>
      <c r="AK382" s="438" t="str">
        <f t="shared" ref="AK382:AK393" si="562">IF(AI382="","",100-SUM(AI382:AJ382))</f>
        <v/>
      </c>
      <c r="AL382" s="328"/>
      <c r="AM382" s="197" t="str">
        <f>IF(AND($I382="x",AND(MAX(AI382:AK382)=AI382,AI382&lt;&gt;"")),Data!$BI$2,"")</f>
        <v/>
      </c>
      <c r="AN382" s="197" t="str">
        <f>IF(AND($J382="x",AND(MAX(AI382:AK382)=AJ382,AJ382&lt;&gt;"")),Data!$BJ$2,"")</f>
        <v/>
      </c>
      <c r="AO382" s="197" t="str">
        <f>IF(AND($K382="x",AND(MAX(AI382:AK382)=AK382,AK382&lt;&gt;"")),Data!$BK$2,"")</f>
        <v/>
      </c>
      <c r="AP382" s="197"/>
      <c r="AQ382" s="328"/>
      <c r="AR382" s="451"/>
      <c r="AS382" s="452"/>
      <c r="AT382" s="438" t="str">
        <f t="shared" ref="AT382:AT393" si="563">IF(AR382="","",100-SUM(AR382:AS382))</f>
        <v/>
      </c>
      <c r="AU382" s="328"/>
      <c r="AV382" s="197" t="str">
        <f>IF(AND($I382="x",AND(MAX(AR382:AT382)=AR382,AR382&lt;&gt;"")),Data!$BI$2,"")</f>
        <v/>
      </c>
      <c r="AW382" s="197" t="str">
        <f>IF(AND($J382="x",AND(MAX(AR382:AT382)=AS382,AS382&lt;&gt;"")),Data!$BJ$2,"")</f>
        <v/>
      </c>
      <c r="AX382" s="197" t="str">
        <f>IF(AND($K382="x",AND(MAX(AR382:AT382)=AT382,AT382&lt;&gt;"")),Data!$BK$2,"")</f>
        <v/>
      </c>
      <c r="AY382" s="197"/>
      <c r="AZ382" s="328"/>
      <c r="BA382" s="451"/>
      <c r="BB382" s="452"/>
      <c r="BC382" s="438" t="str">
        <f t="shared" ref="BC382:BC393" si="564">IF(BA382="","",100-SUM(BA382:BB382))</f>
        <v/>
      </c>
      <c r="BD382" s="328"/>
      <c r="BE382" s="197" t="str">
        <f>IF(AND($I382="x",AND(MAX(BA382:BC382)=BA382,BA382&lt;&gt;"")),Data!$BI$2,"")</f>
        <v/>
      </c>
      <c r="BF382" s="197" t="str">
        <f>IF(AND($J382="x",AND(MAX(BA382:BC382)=BB382,BB382&lt;&gt;"")),Data!$BJ$2,"")</f>
        <v/>
      </c>
      <c r="BG382" s="197" t="str">
        <f>IF(AND($K382="x",AND(MAX(BA382:BC382)=BC382,BC382&lt;&gt;"")),Data!$BK$2,"")</f>
        <v/>
      </c>
      <c r="BH382" s="197"/>
      <c r="BI382" s="328"/>
      <c r="BJ382" s="451"/>
      <c r="BK382" s="452"/>
      <c r="BL382" s="438" t="str">
        <f t="shared" ref="BL382:BL393" si="565">IF(BJ382="","",100-SUM(BJ382:BK382))</f>
        <v/>
      </c>
      <c r="BM382" s="328"/>
      <c r="BN382" s="197" t="str">
        <f>IF(AND($I382="x",AND(MAX(BJ382:BL382)=BJ382,BJ382&lt;&gt;"")),Data!$BI$2,"")</f>
        <v/>
      </c>
      <c r="BO382" s="197" t="str">
        <f>IF(AND($J382="x",AND(MAX(BJ382:BL382)=BK382,BK382&lt;&gt;"")),Data!$BJ$2,"")</f>
        <v/>
      </c>
      <c r="BP382" s="197" t="str">
        <f>IF(AND($K382="x",AND(MAX(BJ382:BL382)=BL382,BL382&lt;&gt;"")),Data!$BK$2,"")</f>
        <v/>
      </c>
      <c r="BQ382" s="197"/>
      <c r="BR382" s="328"/>
      <c r="BS382" s="451"/>
      <c r="BT382" s="452"/>
      <c r="BU382" s="438" t="str">
        <f t="shared" ref="BU382:BU393" si="566">IF(BS382="","",100-SUM(BS382:BT382))</f>
        <v/>
      </c>
      <c r="BV382" s="328"/>
      <c r="BW382" s="197" t="str">
        <f>IF(AND($I382="x",AND(MAX(BS382:BU382)=BS382,BS382&lt;&gt;"")),Data!$BI$2,"")</f>
        <v/>
      </c>
      <c r="BX382" s="197" t="str">
        <f>IF(AND($J382="x",AND(MAX(BS382:BU382)=BT382,BT382&lt;&gt;"")),Data!$BJ$2,"")</f>
        <v/>
      </c>
      <c r="BY382" s="197" t="str">
        <f>IF(AND($K382="x",AND(MAX(BS382:BU382)=BU382,BU382&lt;&gt;"")),Data!$BK$2,"")</f>
        <v/>
      </c>
      <c r="BZ382" s="197"/>
      <c r="CA382" s="328"/>
      <c r="CB382" s="457" t="str">
        <f t="shared" ref="CB382:CB393" si="567">IFERROR(ROUNDUP((SUM(Q382,Z382,AI382,AR382,BA382,BJ382,BS382)/SUM($Q382:$S382,$Z382:$AB382,$AI382:$AK382,$AR382:$AT382,$BA382:$BC382,$BJ382:$BL382,$BS382:$BU382))*100,-1),"")</f>
        <v/>
      </c>
      <c r="CC382" s="458" t="str">
        <f t="shared" ref="CC382:CC393" si="568">IFERROR(ROUNDDOWN((SUM(R382,AA382,AJ382,AS382,BB382,BK382,BT382)/SUM($Q382:$S382,$Z382:$AB382,$AI382:$AK382,$AR382:$AT382,$BA382:$BC382,$BJ382:$BL382,$BS382:$BU382))*100,-1),"")</f>
        <v/>
      </c>
      <c r="CD382" s="459" t="str">
        <f t="shared" ref="CD382:CD393" si="569">IF(CB382="","",100-SUM(CB382:CC382))</f>
        <v/>
      </c>
      <c r="CE382" s="328"/>
      <c r="CF382" s="197" t="str">
        <f>IF(AND($I382="x",AND(MAX(CB382:CD382)=CB382,CB382&lt;&gt;"")),Data!$BI$2,"")</f>
        <v/>
      </c>
      <c r="CG382" s="197" t="str">
        <f>IF(AND($J382="x",AND(MAX(CB382:CD382)=CC382,CC382&lt;&gt;"")),Data!$BJ$2,"")</f>
        <v/>
      </c>
      <c r="CH382" s="197" t="str">
        <f>IF(AND($K382="x",AND(MAX(CB382:CD382)=CD382,CD382&lt;&gt;"")),Data!$BK$2,"")</f>
        <v/>
      </c>
      <c r="CI382" s="197"/>
      <c r="CJ382" s="197"/>
      <c r="CK382" s="451"/>
      <c r="CL382" s="452"/>
      <c r="CM382" s="438" t="str">
        <f t="shared" ref="CM382:CM393" si="570">IF(CK382="","",100-SUM(CK382:CL382))</f>
        <v/>
      </c>
      <c r="CN382" s="328"/>
      <c r="CO382" s="197" t="str">
        <f>IF(AND($I382="x",AND(MAX(CK382:CM382)=CK382,CK382&lt;&gt;"")),Data!$BI$2,"")</f>
        <v/>
      </c>
      <c r="CP382" s="197" t="str">
        <f>IF(AND($J382="x",AND(MAX(CK382:CM382)=CL382,CL382&lt;&gt;"")),Data!$BJ$2,"")</f>
        <v/>
      </c>
      <c r="CQ382" s="197" t="str">
        <f>IF(AND($K382="x",AND(MAX(CK382:CM382)=CM382,CM382&lt;&gt;"")),Data!$BK$2,"")</f>
        <v/>
      </c>
      <c r="CR382" s="197"/>
      <c r="CS382" s="197"/>
      <c r="CT382" s="328"/>
      <c r="CU382" s="255"/>
      <c r="CV382" s="209"/>
      <c r="CW382" s="227"/>
    </row>
    <row r="383" spans="1:101" x14ac:dyDescent="0.2">
      <c r="A383" s="227"/>
      <c r="B383" s="227"/>
      <c r="C383" s="168"/>
      <c r="D383" s="232"/>
      <c r="E383" s="135" t="s">
        <v>262</v>
      </c>
      <c r="F383" s="425"/>
      <c r="G383" s="430" t="s">
        <v>51</v>
      </c>
      <c r="H383" s="431"/>
      <c r="I383" s="346" t="str">
        <f t="shared" si="557"/>
        <v/>
      </c>
      <c r="J383" s="347" t="str">
        <f t="shared" si="558"/>
        <v/>
      </c>
      <c r="K383" s="348" t="str">
        <f t="shared" si="559"/>
        <v/>
      </c>
      <c r="L383" s="258"/>
      <c r="M383" s="332"/>
      <c r="N383" s="336"/>
      <c r="O383" s="200"/>
      <c r="P383" s="200"/>
      <c r="Q383" s="439"/>
      <c r="R383" s="440"/>
      <c r="S383" s="441" t="str">
        <f t="shared" si="560"/>
        <v/>
      </c>
      <c r="T383" s="328"/>
      <c r="U383" s="197" t="str">
        <f>IF(AND($I383="x",AND(MAX(Q383:S383)=Q383,Q383&gt;=0)),Data!$BI$2,"")</f>
        <v/>
      </c>
      <c r="V383" s="197" t="str">
        <f>IF(AND($J383="x",AND(MAX(Q383:S383)=R383,R383&gt;=0)),Data!$BJ$2,"")</f>
        <v/>
      </c>
      <c r="W383" s="197" t="str">
        <f>IF(AND($K383="x",AND(MAX(Q383:S383)=S383,S383&gt;=0)),Data!$BK$2,"")</f>
        <v/>
      </c>
      <c r="X383" s="197"/>
      <c r="Y383" s="328"/>
      <c r="Z383" s="453"/>
      <c r="AA383" s="454"/>
      <c r="AB383" s="441" t="str">
        <f t="shared" si="561"/>
        <v/>
      </c>
      <c r="AC383" s="328"/>
      <c r="AD383" s="197" t="str">
        <f>IF(AND($I383="x",AND(MAX(Z383:AB383)=Z383,Z383&lt;&gt;"")),Data!$BI$2,"")</f>
        <v/>
      </c>
      <c r="AE383" s="197" t="str">
        <f>IF(AND($J383="x",AND(MAX(Z383:AB383)=AA383,AA383&lt;&gt;"")),Data!$BJ$2,"")</f>
        <v/>
      </c>
      <c r="AF383" s="197" t="str">
        <f>IF(AND($K383="x",AND(MAX(Z383:AB383)=AB383,AB383&lt;&gt;"")),Data!$BK$2,"")</f>
        <v/>
      </c>
      <c r="AG383" s="197"/>
      <c r="AH383" s="328"/>
      <c r="AI383" s="453"/>
      <c r="AJ383" s="454"/>
      <c r="AK383" s="441" t="str">
        <f t="shared" si="562"/>
        <v/>
      </c>
      <c r="AL383" s="328"/>
      <c r="AM383" s="197" t="str">
        <f>IF(AND($I383="x",AND(MAX(AI383:AK383)=AI383,AI383&lt;&gt;"")),Data!$BI$2,"")</f>
        <v/>
      </c>
      <c r="AN383" s="197" t="str">
        <f>IF(AND($J383="x",AND(MAX(AI383:AK383)=AJ383,AJ383&lt;&gt;"")),Data!$BJ$2,"")</f>
        <v/>
      </c>
      <c r="AO383" s="197" t="str">
        <f>IF(AND($K383="x",AND(MAX(AI383:AK383)=AK383,AK383&lt;&gt;"")),Data!$BK$2,"")</f>
        <v/>
      </c>
      <c r="AP383" s="197"/>
      <c r="AQ383" s="328"/>
      <c r="AR383" s="453"/>
      <c r="AS383" s="454"/>
      <c r="AT383" s="441" t="str">
        <f t="shared" si="563"/>
        <v/>
      </c>
      <c r="AU383" s="328"/>
      <c r="AV383" s="197" t="str">
        <f>IF(AND($I383="x",AND(MAX(AR383:AT383)=AR383,AR383&lt;&gt;"")),Data!$BI$2,"")</f>
        <v/>
      </c>
      <c r="AW383" s="197" t="str">
        <f>IF(AND($J383="x",AND(MAX(AR383:AT383)=AS383,AS383&lt;&gt;"")),Data!$BJ$2,"")</f>
        <v/>
      </c>
      <c r="AX383" s="197" t="str">
        <f>IF(AND($K383="x",AND(MAX(AR383:AT383)=AT383,AT383&lt;&gt;"")),Data!$BK$2,"")</f>
        <v/>
      </c>
      <c r="AY383" s="197"/>
      <c r="AZ383" s="328"/>
      <c r="BA383" s="453"/>
      <c r="BB383" s="454"/>
      <c r="BC383" s="441" t="str">
        <f t="shared" si="564"/>
        <v/>
      </c>
      <c r="BD383" s="328"/>
      <c r="BE383" s="197" t="str">
        <f>IF(AND($I383="x",AND(MAX(BA383:BC383)=BA383,BA383&lt;&gt;"")),Data!$BI$2,"")</f>
        <v/>
      </c>
      <c r="BF383" s="197" t="str">
        <f>IF(AND($J383="x",AND(MAX(BA383:BC383)=BB383,BB383&lt;&gt;"")),Data!$BJ$2,"")</f>
        <v/>
      </c>
      <c r="BG383" s="197" t="str">
        <f>IF(AND($K383="x",AND(MAX(BA383:BC383)=BC383,BC383&lt;&gt;"")),Data!$BK$2,"")</f>
        <v/>
      </c>
      <c r="BH383" s="197"/>
      <c r="BI383" s="328"/>
      <c r="BJ383" s="453"/>
      <c r="BK383" s="454"/>
      <c r="BL383" s="441" t="str">
        <f t="shared" si="565"/>
        <v/>
      </c>
      <c r="BM383" s="328"/>
      <c r="BN383" s="197" t="str">
        <f>IF(AND($I383="x",AND(MAX(BJ383:BL383)=BJ383,BJ383&lt;&gt;"")),Data!$BI$2,"")</f>
        <v/>
      </c>
      <c r="BO383" s="197" t="str">
        <f>IF(AND($J383="x",AND(MAX(BJ383:BL383)=BK383,BK383&lt;&gt;"")),Data!$BJ$2,"")</f>
        <v/>
      </c>
      <c r="BP383" s="197" t="str">
        <f>IF(AND($K383="x",AND(MAX(BJ383:BL383)=BL383,BL383&lt;&gt;"")),Data!$BK$2,"")</f>
        <v/>
      </c>
      <c r="BQ383" s="197"/>
      <c r="BR383" s="328"/>
      <c r="BS383" s="453"/>
      <c r="BT383" s="454"/>
      <c r="BU383" s="441" t="str">
        <f t="shared" si="566"/>
        <v/>
      </c>
      <c r="BV383" s="328"/>
      <c r="BW383" s="197" t="str">
        <f>IF(AND($I383="x",AND(MAX(BS383:BU383)=BS383,BS383&lt;&gt;"")),Data!$BI$2,"")</f>
        <v/>
      </c>
      <c r="BX383" s="197" t="str">
        <f>IF(AND($J383="x",AND(MAX(BS383:BU383)=BT383,BT383&lt;&gt;"")),Data!$BJ$2,"")</f>
        <v/>
      </c>
      <c r="BY383" s="197" t="str">
        <f>IF(AND($K383="x",AND(MAX(BS383:BU383)=BU383,BU383&lt;&gt;"")),Data!$BK$2,"")</f>
        <v/>
      </c>
      <c r="BZ383" s="197"/>
      <c r="CA383" s="328"/>
      <c r="CB383" s="460" t="str">
        <f t="shared" si="567"/>
        <v/>
      </c>
      <c r="CC383" s="461" t="str">
        <f t="shared" si="568"/>
        <v/>
      </c>
      <c r="CD383" s="462" t="str">
        <f t="shared" si="569"/>
        <v/>
      </c>
      <c r="CE383" s="328"/>
      <c r="CF383" s="197" t="str">
        <f>IF(AND($I383="x",AND(MAX(CB383:CD383)=CB383,CB383&lt;&gt;"")),Data!$BI$2,"")</f>
        <v/>
      </c>
      <c r="CG383" s="197" t="str">
        <f>IF(AND($J383="x",AND(MAX(CB383:CD383)=CC383,CC383&lt;&gt;"")),Data!$BJ$2,"")</f>
        <v/>
      </c>
      <c r="CH383" s="197" t="str">
        <f>IF(AND($K383="x",AND(MAX(CB383:CD383)=CD383,CD383&lt;&gt;"")),Data!$BK$2,"")</f>
        <v/>
      </c>
      <c r="CI383" s="197"/>
      <c r="CJ383" s="197"/>
      <c r="CK383" s="453"/>
      <c r="CL383" s="454"/>
      <c r="CM383" s="441" t="str">
        <f t="shared" si="570"/>
        <v/>
      </c>
      <c r="CN383" s="328"/>
      <c r="CO383" s="197" t="str">
        <f>IF(AND($I383="x",AND(MAX(CK383:CM383)=CK383,CK383&lt;&gt;"")),Data!$BI$2,"")</f>
        <v/>
      </c>
      <c r="CP383" s="197" t="str">
        <f>IF(AND($J383="x",AND(MAX(CK383:CM383)=CL383,CL383&lt;&gt;"")),Data!$BJ$2,"")</f>
        <v/>
      </c>
      <c r="CQ383" s="197" t="str">
        <f>IF(AND($K383="x",AND(MAX(CK383:CM383)=CM383,CM383&lt;&gt;"")),Data!$BK$2,"")</f>
        <v/>
      </c>
      <c r="CR383" s="197"/>
      <c r="CS383" s="197"/>
      <c r="CT383" s="328"/>
      <c r="CU383" s="255"/>
      <c r="CV383" s="209"/>
      <c r="CW383" s="227"/>
    </row>
    <row r="384" spans="1:101" x14ac:dyDescent="0.2">
      <c r="A384" s="227"/>
      <c r="B384" s="227"/>
      <c r="C384" s="168"/>
      <c r="D384" s="232"/>
      <c r="E384" s="136" t="s">
        <v>263</v>
      </c>
      <c r="F384" s="426"/>
      <c r="G384" s="432" t="s">
        <v>51</v>
      </c>
      <c r="H384" s="433"/>
      <c r="I384" s="349" t="str">
        <f t="shared" si="557"/>
        <v/>
      </c>
      <c r="J384" s="350" t="str">
        <f t="shared" si="558"/>
        <v/>
      </c>
      <c r="K384" s="351" t="str">
        <f t="shared" si="559"/>
        <v/>
      </c>
      <c r="L384" s="258"/>
      <c r="M384" s="332"/>
      <c r="N384" s="336"/>
      <c r="O384" s="200"/>
      <c r="P384" s="200"/>
      <c r="Q384" s="442"/>
      <c r="R384" s="443"/>
      <c r="S384" s="444" t="str">
        <f t="shared" si="560"/>
        <v/>
      </c>
      <c r="T384" s="328"/>
      <c r="U384" s="197" t="str">
        <f>IF(AND($I384="x",AND(MAX(Q384:S384)=Q384,Q384&gt;=0)),Data!$BI$2,"")</f>
        <v/>
      </c>
      <c r="V384" s="197" t="str">
        <f>IF(AND($J384="x",AND(MAX(Q384:S384)=R384,R384&gt;=0)),Data!$BJ$2,"")</f>
        <v/>
      </c>
      <c r="W384" s="197" t="str">
        <f>IF(AND($K384="x",AND(MAX(Q384:S384)=S384,S384&gt;=0)),Data!$BK$2,"")</f>
        <v/>
      </c>
      <c r="X384" s="197"/>
      <c r="Y384" s="328"/>
      <c r="Z384" s="455"/>
      <c r="AA384" s="456"/>
      <c r="AB384" s="444" t="str">
        <f t="shared" si="561"/>
        <v/>
      </c>
      <c r="AC384" s="328"/>
      <c r="AD384" s="197" t="str">
        <f>IF(AND($I384="x",AND(MAX(Z384:AB384)=Z384,Z384&lt;&gt;"")),Data!$BI$2,"")</f>
        <v/>
      </c>
      <c r="AE384" s="197" t="str">
        <f>IF(AND($J384="x",AND(MAX(Z384:AB384)=AA384,AA384&lt;&gt;"")),Data!$BJ$2,"")</f>
        <v/>
      </c>
      <c r="AF384" s="197" t="str">
        <f>IF(AND($K384="x",AND(MAX(Z384:AB384)=AB384,AB384&lt;&gt;"")),Data!$BK$2,"")</f>
        <v/>
      </c>
      <c r="AG384" s="197"/>
      <c r="AH384" s="328"/>
      <c r="AI384" s="455"/>
      <c r="AJ384" s="456"/>
      <c r="AK384" s="444" t="str">
        <f t="shared" si="562"/>
        <v/>
      </c>
      <c r="AL384" s="328"/>
      <c r="AM384" s="197" t="str">
        <f>IF(AND($I384="x",AND(MAX(AI384:AK384)=AI384,AI384&lt;&gt;"")),Data!$BI$2,"")</f>
        <v/>
      </c>
      <c r="AN384" s="197" t="str">
        <f>IF(AND($J384="x",AND(MAX(AI384:AK384)=AJ384,AJ384&lt;&gt;"")),Data!$BJ$2,"")</f>
        <v/>
      </c>
      <c r="AO384" s="197" t="str">
        <f>IF(AND($K384="x",AND(MAX(AI384:AK384)=AK384,AK384&lt;&gt;"")),Data!$BK$2,"")</f>
        <v/>
      </c>
      <c r="AP384" s="197"/>
      <c r="AQ384" s="328"/>
      <c r="AR384" s="455"/>
      <c r="AS384" s="456"/>
      <c r="AT384" s="444" t="str">
        <f t="shared" si="563"/>
        <v/>
      </c>
      <c r="AU384" s="328"/>
      <c r="AV384" s="197" t="str">
        <f>IF(AND($I384="x",AND(MAX(AR384:AT384)=AR384,AR384&lt;&gt;"")),Data!$BI$2,"")</f>
        <v/>
      </c>
      <c r="AW384" s="197" t="str">
        <f>IF(AND($J384="x",AND(MAX(AR384:AT384)=AS384,AS384&lt;&gt;"")),Data!$BJ$2,"")</f>
        <v/>
      </c>
      <c r="AX384" s="197" t="str">
        <f>IF(AND($K384="x",AND(MAX(AR384:AT384)=AT384,AT384&lt;&gt;"")),Data!$BK$2,"")</f>
        <v/>
      </c>
      <c r="AY384" s="197"/>
      <c r="AZ384" s="328"/>
      <c r="BA384" s="455"/>
      <c r="BB384" s="456"/>
      <c r="BC384" s="444" t="str">
        <f t="shared" si="564"/>
        <v/>
      </c>
      <c r="BD384" s="328"/>
      <c r="BE384" s="197" t="str">
        <f>IF(AND($I384="x",AND(MAX(BA384:BC384)=BA384,BA384&lt;&gt;"")),Data!$BI$2,"")</f>
        <v/>
      </c>
      <c r="BF384" s="197" t="str">
        <f>IF(AND($J384="x",AND(MAX(BA384:BC384)=BB384,BB384&lt;&gt;"")),Data!$BJ$2,"")</f>
        <v/>
      </c>
      <c r="BG384" s="197" t="str">
        <f>IF(AND($K384="x",AND(MAX(BA384:BC384)=BC384,BC384&lt;&gt;"")),Data!$BK$2,"")</f>
        <v/>
      </c>
      <c r="BH384" s="197"/>
      <c r="BI384" s="328"/>
      <c r="BJ384" s="455"/>
      <c r="BK384" s="456"/>
      <c r="BL384" s="444" t="str">
        <f t="shared" si="565"/>
        <v/>
      </c>
      <c r="BM384" s="328"/>
      <c r="BN384" s="197" t="str">
        <f>IF(AND($I384="x",AND(MAX(BJ384:BL384)=BJ384,BJ384&lt;&gt;"")),Data!$BI$2,"")</f>
        <v/>
      </c>
      <c r="BO384" s="197" t="str">
        <f>IF(AND($J384="x",AND(MAX(BJ384:BL384)=BK384,BK384&lt;&gt;"")),Data!$BJ$2,"")</f>
        <v/>
      </c>
      <c r="BP384" s="197" t="str">
        <f>IF(AND($K384="x",AND(MAX(BJ384:BL384)=BL384,BL384&lt;&gt;"")),Data!$BK$2,"")</f>
        <v/>
      </c>
      <c r="BQ384" s="197"/>
      <c r="BR384" s="328"/>
      <c r="BS384" s="455"/>
      <c r="BT384" s="456"/>
      <c r="BU384" s="444" t="str">
        <f t="shared" si="566"/>
        <v/>
      </c>
      <c r="BV384" s="328"/>
      <c r="BW384" s="197" t="str">
        <f>IF(AND($I384="x",AND(MAX(BS384:BU384)=BS384,BS384&lt;&gt;"")),Data!$BI$2,"")</f>
        <v/>
      </c>
      <c r="BX384" s="197" t="str">
        <f>IF(AND($J384="x",AND(MAX(BS384:BU384)=BT384,BT384&lt;&gt;"")),Data!$BJ$2,"")</f>
        <v/>
      </c>
      <c r="BY384" s="197" t="str">
        <f>IF(AND($K384="x",AND(MAX(BS384:BU384)=BU384,BU384&lt;&gt;"")),Data!$BK$2,"")</f>
        <v/>
      </c>
      <c r="BZ384" s="197"/>
      <c r="CA384" s="328"/>
      <c r="CB384" s="463" t="str">
        <f t="shared" si="567"/>
        <v/>
      </c>
      <c r="CC384" s="464" t="str">
        <f t="shared" si="568"/>
        <v/>
      </c>
      <c r="CD384" s="465" t="str">
        <f t="shared" si="569"/>
        <v/>
      </c>
      <c r="CE384" s="328"/>
      <c r="CF384" s="197" t="str">
        <f>IF(AND($I384="x",AND(MAX(CB384:CD384)=CB384,CB384&lt;&gt;"")),Data!$BI$2,"")</f>
        <v/>
      </c>
      <c r="CG384" s="197" t="str">
        <f>IF(AND($J384="x",AND(MAX(CB384:CD384)=CC384,CC384&lt;&gt;"")),Data!$BJ$2,"")</f>
        <v/>
      </c>
      <c r="CH384" s="197" t="str">
        <f>IF(AND($K384="x",AND(MAX(CB384:CD384)=CD384,CD384&lt;&gt;"")),Data!$BK$2,"")</f>
        <v/>
      </c>
      <c r="CI384" s="197"/>
      <c r="CJ384" s="197"/>
      <c r="CK384" s="455"/>
      <c r="CL384" s="456"/>
      <c r="CM384" s="444" t="str">
        <f t="shared" si="570"/>
        <v/>
      </c>
      <c r="CN384" s="328"/>
      <c r="CO384" s="197" t="str">
        <f>IF(AND($I384="x",AND(MAX(CK384:CM384)=CK384,CK384&lt;&gt;"")),Data!$BI$2,"")</f>
        <v/>
      </c>
      <c r="CP384" s="197" t="str">
        <f>IF(AND($J384="x",AND(MAX(CK384:CM384)=CL384,CL384&lt;&gt;"")),Data!$BJ$2,"")</f>
        <v/>
      </c>
      <c r="CQ384" s="197" t="str">
        <f>IF(AND($K384="x",AND(MAX(CK384:CM384)=CM384,CM384&lt;&gt;"")),Data!$BK$2,"")</f>
        <v/>
      </c>
      <c r="CR384" s="197"/>
      <c r="CS384" s="197"/>
      <c r="CT384" s="328"/>
      <c r="CU384" s="255"/>
      <c r="CV384" s="209"/>
      <c r="CW384" s="227"/>
    </row>
    <row r="385" spans="1:101" x14ac:dyDescent="0.2">
      <c r="A385" s="227"/>
      <c r="B385" s="227"/>
      <c r="C385" s="168"/>
      <c r="D385" s="232"/>
      <c r="E385" s="134" t="s">
        <v>264</v>
      </c>
      <c r="F385" s="424"/>
      <c r="G385" s="428" t="s">
        <v>51</v>
      </c>
      <c r="H385" s="429"/>
      <c r="I385" s="138" t="str">
        <f t="shared" si="557"/>
        <v/>
      </c>
      <c r="J385" s="344" t="str">
        <f t="shared" si="558"/>
        <v/>
      </c>
      <c r="K385" s="345" t="str">
        <f t="shared" si="559"/>
        <v/>
      </c>
      <c r="L385" s="258"/>
      <c r="M385" s="332"/>
      <c r="N385" s="336"/>
      <c r="O385" s="200"/>
      <c r="P385" s="200"/>
      <c r="Q385" s="436"/>
      <c r="R385" s="437"/>
      <c r="S385" s="438" t="str">
        <f t="shared" si="560"/>
        <v/>
      </c>
      <c r="T385" s="328"/>
      <c r="U385" s="197" t="str">
        <f>IF(AND($I385="x",AND(MAX(Q385:S385)=Q385,Q385&gt;=0)),Data!$BI$2,"")</f>
        <v/>
      </c>
      <c r="V385" s="197" t="str">
        <f>IF(AND($J385="x",AND(MAX(Q385:S385)=R385,R385&gt;=0)),Data!$BJ$2,"")</f>
        <v/>
      </c>
      <c r="W385" s="197" t="str">
        <f>IF(AND($K385="x",AND(MAX(Q385:S385)=S385,S385&gt;=0)),Data!$BK$2,"")</f>
        <v/>
      </c>
      <c r="X385" s="197"/>
      <c r="Y385" s="328"/>
      <c r="Z385" s="451"/>
      <c r="AA385" s="452"/>
      <c r="AB385" s="438" t="str">
        <f t="shared" si="561"/>
        <v/>
      </c>
      <c r="AC385" s="328"/>
      <c r="AD385" s="197" t="str">
        <f>IF(AND($I385="x",AND(MAX(Z385:AB385)=Z385,Z385&lt;&gt;"")),Data!$BI$2,"")</f>
        <v/>
      </c>
      <c r="AE385" s="197" t="str">
        <f>IF(AND($J385="x",AND(MAX(Z385:AB385)=AA385,AA385&lt;&gt;"")),Data!$BJ$2,"")</f>
        <v/>
      </c>
      <c r="AF385" s="197" t="str">
        <f>IF(AND($K385="x",AND(MAX(Z385:AB385)=AB385,AB385&lt;&gt;"")),Data!$BK$2,"")</f>
        <v/>
      </c>
      <c r="AG385" s="197"/>
      <c r="AH385" s="328"/>
      <c r="AI385" s="451"/>
      <c r="AJ385" s="452"/>
      <c r="AK385" s="438" t="str">
        <f t="shared" si="562"/>
        <v/>
      </c>
      <c r="AL385" s="328"/>
      <c r="AM385" s="197" t="str">
        <f>IF(AND($I385="x",AND(MAX(AI385:AK385)=AI385,AI385&lt;&gt;"")),Data!$BI$2,"")</f>
        <v/>
      </c>
      <c r="AN385" s="197" t="str">
        <f>IF(AND($J385="x",AND(MAX(AI385:AK385)=AJ385,AJ385&lt;&gt;"")),Data!$BJ$2,"")</f>
        <v/>
      </c>
      <c r="AO385" s="197" t="str">
        <f>IF(AND($K385="x",AND(MAX(AI385:AK385)=AK385,AK385&lt;&gt;"")),Data!$BK$2,"")</f>
        <v/>
      </c>
      <c r="AP385" s="197"/>
      <c r="AQ385" s="328"/>
      <c r="AR385" s="451"/>
      <c r="AS385" s="452"/>
      <c r="AT385" s="438" t="str">
        <f t="shared" si="563"/>
        <v/>
      </c>
      <c r="AU385" s="328"/>
      <c r="AV385" s="197" t="str">
        <f>IF(AND($I385="x",AND(MAX(AR385:AT385)=AR385,AR385&lt;&gt;"")),Data!$BI$2,"")</f>
        <v/>
      </c>
      <c r="AW385" s="197" t="str">
        <f>IF(AND($J385="x",AND(MAX(AR385:AT385)=AS385,AS385&lt;&gt;"")),Data!$BJ$2,"")</f>
        <v/>
      </c>
      <c r="AX385" s="197" t="str">
        <f>IF(AND($K385="x",AND(MAX(AR385:AT385)=AT385,AT385&lt;&gt;"")),Data!$BK$2,"")</f>
        <v/>
      </c>
      <c r="AY385" s="197"/>
      <c r="AZ385" s="328"/>
      <c r="BA385" s="451"/>
      <c r="BB385" s="452"/>
      <c r="BC385" s="438" t="str">
        <f t="shared" si="564"/>
        <v/>
      </c>
      <c r="BD385" s="328"/>
      <c r="BE385" s="197" t="str">
        <f>IF(AND($I385="x",AND(MAX(BA385:BC385)=BA385,BA385&lt;&gt;"")),Data!$BI$2,"")</f>
        <v/>
      </c>
      <c r="BF385" s="197" t="str">
        <f>IF(AND($J385="x",AND(MAX(BA385:BC385)=BB385,BB385&lt;&gt;"")),Data!$BJ$2,"")</f>
        <v/>
      </c>
      <c r="BG385" s="197" t="str">
        <f>IF(AND($K385="x",AND(MAX(BA385:BC385)=BC385,BC385&lt;&gt;"")),Data!$BK$2,"")</f>
        <v/>
      </c>
      <c r="BH385" s="197"/>
      <c r="BI385" s="328"/>
      <c r="BJ385" s="451"/>
      <c r="BK385" s="452"/>
      <c r="BL385" s="438" t="str">
        <f t="shared" si="565"/>
        <v/>
      </c>
      <c r="BM385" s="328"/>
      <c r="BN385" s="197" t="str">
        <f>IF(AND($I385="x",AND(MAX(BJ385:BL385)=BJ385,BJ385&lt;&gt;"")),Data!$BI$2,"")</f>
        <v/>
      </c>
      <c r="BO385" s="197" t="str">
        <f>IF(AND($J385="x",AND(MAX(BJ385:BL385)=BK385,BK385&lt;&gt;"")),Data!$BJ$2,"")</f>
        <v/>
      </c>
      <c r="BP385" s="197" t="str">
        <f>IF(AND($K385="x",AND(MAX(BJ385:BL385)=BL385,BL385&lt;&gt;"")),Data!$BK$2,"")</f>
        <v/>
      </c>
      <c r="BQ385" s="197"/>
      <c r="BR385" s="328"/>
      <c r="BS385" s="451"/>
      <c r="BT385" s="452"/>
      <c r="BU385" s="438" t="str">
        <f t="shared" si="566"/>
        <v/>
      </c>
      <c r="BV385" s="328"/>
      <c r="BW385" s="197" t="str">
        <f>IF(AND($I385="x",AND(MAX(BS385:BU385)=BS385,BS385&lt;&gt;"")),Data!$BI$2,"")</f>
        <v/>
      </c>
      <c r="BX385" s="197" t="str">
        <f>IF(AND($J385="x",AND(MAX(BS385:BU385)=BT385,BT385&lt;&gt;"")),Data!$BJ$2,"")</f>
        <v/>
      </c>
      <c r="BY385" s="197" t="str">
        <f>IF(AND($K385="x",AND(MAX(BS385:BU385)=BU385,BU385&lt;&gt;"")),Data!$BK$2,"")</f>
        <v/>
      </c>
      <c r="BZ385" s="197"/>
      <c r="CA385" s="328"/>
      <c r="CB385" s="457" t="str">
        <f t="shared" si="567"/>
        <v/>
      </c>
      <c r="CC385" s="458" t="str">
        <f t="shared" si="568"/>
        <v/>
      </c>
      <c r="CD385" s="459" t="str">
        <f t="shared" si="569"/>
        <v/>
      </c>
      <c r="CE385" s="328"/>
      <c r="CF385" s="197" t="str">
        <f>IF(AND($I385="x",AND(MAX(CB385:CD385)=CB385,CB385&lt;&gt;"")),Data!$BI$2,"")</f>
        <v/>
      </c>
      <c r="CG385" s="197" t="str">
        <f>IF(AND($J385="x",AND(MAX(CB385:CD385)=CC385,CC385&lt;&gt;"")),Data!$BJ$2,"")</f>
        <v/>
      </c>
      <c r="CH385" s="197" t="str">
        <f>IF(AND($K385="x",AND(MAX(CB385:CD385)=CD385,CD385&lt;&gt;"")),Data!$BK$2,"")</f>
        <v/>
      </c>
      <c r="CI385" s="197"/>
      <c r="CJ385" s="197"/>
      <c r="CK385" s="451"/>
      <c r="CL385" s="452"/>
      <c r="CM385" s="438" t="str">
        <f t="shared" si="570"/>
        <v/>
      </c>
      <c r="CN385" s="328"/>
      <c r="CO385" s="197" t="str">
        <f>IF(AND($I385="x",AND(MAX(CK385:CM385)=CK385,CK385&lt;&gt;"")),Data!$BI$2,"")</f>
        <v/>
      </c>
      <c r="CP385" s="197" t="str">
        <f>IF(AND($J385="x",AND(MAX(CK385:CM385)=CL385,CL385&lt;&gt;"")),Data!$BJ$2,"")</f>
        <v/>
      </c>
      <c r="CQ385" s="197" t="str">
        <f>IF(AND($K385="x",AND(MAX(CK385:CM385)=CM385,CM385&lt;&gt;"")),Data!$BK$2,"")</f>
        <v/>
      </c>
      <c r="CR385" s="197"/>
      <c r="CS385" s="197"/>
      <c r="CT385" s="328"/>
      <c r="CU385" s="255"/>
      <c r="CV385" s="209"/>
      <c r="CW385" s="227"/>
    </row>
    <row r="386" spans="1:101" x14ac:dyDescent="0.2">
      <c r="A386" s="227"/>
      <c r="B386" s="227"/>
      <c r="C386" s="168"/>
      <c r="D386" s="232"/>
      <c r="E386" s="135" t="s">
        <v>265</v>
      </c>
      <c r="F386" s="425"/>
      <c r="G386" s="430" t="s">
        <v>51</v>
      </c>
      <c r="H386" s="431"/>
      <c r="I386" s="346" t="str">
        <f t="shared" si="557"/>
        <v/>
      </c>
      <c r="J386" s="347" t="str">
        <f t="shared" si="558"/>
        <v/>
      </c>
      <c r="K386" s="348" t="str">
        <f t="shared" si="559"/>
        <v/>
      </c>
      <c r="L386" s="258"/>
      <c r="M386" s="332"/>
      <c r="N386" s="336"/>
      <c r="O386" s="200"/>
      <c r="P386" s="200"/>
      <c r="Q386" s="439"/>
      <c r="R386" s="440"/>
      <c r="S386" s="441" t="str">
        <f t="shared" si="560"/>
        <v/>
      </c>
      <c r="T386" s="328"/>
      <c r="U386" s="197" t="str">
        <f>IF(AND($I386="x",AND(MAX(Q386:S386)=Q386,Q386&gt;=0)),Data!$BI$2,"")</f>
        <v/>
      </c>
      <c r="V386" s="197" t="str">
        <f>IF(AND($J386="x",AND(MAX(Q386:S386)=R386,R386&gt;=0)),Data!$BJ$2,"")</f>
        <v/>
      </c>
      <c r="W386" s="197" t="str">
        <f>IF(AND($K386="x",AND(MAX(Q386:S386)=S386,S386&gt;=0)),Data!$BK$2,"")</f>
        <v/>
      </c>
      <c r="X386" s="197"/>
      <c r="Y386" s="328"/>
      <c r="Z386" s="453"/>
      <c r="AA386" s="454"/>
      <c r="AB386" s="441" t="str">
        <f t="shared" si="561"/>
        <v/>
      </c>
      <c r="AC386" s="328"/>
      <c r="AD386" s="197" t="str">
        <f>IF(AND($I386="x",AND(MAX(Z386:AB386)=Z386,Z386&lt;&gt;"")),Data!$BI$2,"")</f>
        <v/>
      </c>
      <c r="AE386" s="197" t="str">
        <f>IF(AND($J386="x",AND(MAX(Z386:AB386)=AA386,AA386&lt;&gt;"")),Data!$BJ$2,"")</f>
        <v/>
      </c>
      <c r="AF386" s="197" t="str">
        <f>IF(AND($K386="x",AND(MAX(Z386:AB386)=AB386,AB386&lt;&gt;"")),Data!$BK$2,"")</f>
        <v/>
      </c>
      <c r="AG386" s="197"/>
      <c r="AH386" s="328"/>
      <c r="AI386" s="453"/>
      <c r="AJ386" s="454"/>
      <c r="AK386" s="441" t="str">
        <f t="shared" si="562"/>
        <v/>
      </c>
      <c r="AL386" s="328"/>
      <c r="AM386" s="197" t="str">
        <f>IF(AND($I386="x",AND(MAX(AI386:AK386)=AI386,AI386&lt;&gt;"")),Data!$BI$2,"")</f>
        <v/>
      </c>
      <c r="AN386" s="197" t="str">
        <f>IF(AND($J386="x",AND(MAX(AI386:AK386)=AJ386,AJ386&lt;&gt;"")),Data!$BJ$2,"")</f>
        <v/>
      </c>
      <c r="AO386" s="197" t="str">
        <f>IF(AND($K386="x",AND(MAX(AI386:AK386)=AK386,AK386&lt;&gt;"")),Data!$BK$2,"")</f>
        <v/>
      </c>
      <c r="AP386" s="197"/>
      <c r="AQ386" s="328"/>
      <c r="AR386" s="453"/>
      <c r="AS386" s="454"/>
      <c r="AT386" s="441" t="str">
        <f t="shared" si="563"/>
        <v/>
      </c>
      <c r="AU386" s="328"/>
      <c r="AV386" s="197" t="str">
        <f>IF(AND($I386="x",AND(MAX(AR386:AT386)=AR386,AR386&lt;&gt;"")),Data!$BI$2,"")</f>
        <v/>
      </c>
      <c r="AW386" s="197" t="str">
        <f>IF(AND($J386="x",AND(MAX(AR386:AT386)=AS386,AS386&lt;&gt;"")),Data!$BJ$2,"")</f>
        <v/>
      </c>
      <c r="AX386" s="197" t="str">
        <f>IF(AND($K386="x",AND(MAX(AR386:AT386)=AT386,AT386&lt;&gt;"")),Data!$BK$2,"")</f>
        <v/>
      </c>
      <c r="AY386" s="197"/>
      <c r="AZ386" s="328"/>
      <c r="BA386" s="453"/>
      <c r="BB386" s="454"/>
      <c r="BC386" s="441" t="str">
        <f t="shared" si="564"/>
        <v/>
      </c>
      <c r="BD386" s="328"/>
      <c r="BE386" s="197" t="str">
        <f>IF(AND($I386="x",AND(MAX(BA386:BC386)=BA386,BA386&lt;&gt;"")),Data!$BI$2,"")</f>
        <v/>
      </c>
      <c r="BF386" s="197" t="str">
        <f>IF(AND($J386="x",AND(MAX(BA386:BC386)=BB386,BB386&lt;&gt;"")),Data!$BJ$2,"")</f>
        <v/>
      </c>
      <c r="BG386" s="197" t="str">
        <f>IF(AND($K386="x",AND(MAX(BA386:BC386)=BC386,BC386&lt;&gt;"")),Data!$BK$2,"")</f>
        <v/>
      </c>
      <c r="BH386" s="197"/>
      <c r="BI386" s="328"/>
      <c r="BJ386" s="453"/>
      <c r="BK386" s="454"/>
      <c r="BL386" s="441" t="str">
        <f t="shared" si="565"/>
        <v/>
      </c>
      <c r="BM386" s="328"/>
      <c r="BN386" s="197" t="str">
        <f>IF(AND($I386="x",AND(MAX(BJ386:BL386)=BJ386,BJ386&lt;&gt;"")),Data!$BI$2,"")</f>
        <v/>
      </c>
      <c r="BO386" s="197" t="str">
        <f>IF(AND($J386="x",AND(MAX(BJ386:BL386)=BK386,BK386&lt;&gt;"")),Data!$BJ$2,"")</f>
        <v/>
      </c>
      <c r="BP386" s="197" t="str">
        <f>IF(AND($K386="x",AND(MAX(BJ386:BL386)=BL386,BL386&lt;&gt;"")),Data!$BK$2,"")</f>
        <v/>
      </c>
      <c r="BQ386" s="197"/>
      <c r="BR386" s="328"/>
      <c r="BS386" s="453"/>
      <c r="BT386" s="454"/>
      <c r="BU386" s="441" t="str">
        <f t="shared" si="566"/>
        <v/>
      </c>
      <c r="BV386" s="328"/>
      <c r="BW386" s="197" t="str">
        <f>IF(AND($I386="x",AND(MAX(BS386:BU386)=BS386,BS386&lt;&gt;"")),Data!$BI$2,"")</f>
        <v/>
      </c>
      <c r="BX386" s="197" t="str">
        <f>IF(AND($J386="x",AND(MAX(BS386:BU386)=BT386,BT386&lt;&gt;"")),Data!$BJ$2,"")</f>
        <v/>
      </c>
      <c r="BY386" s="197" t="str">
        <f>IF(AND($K386="x",AND(MAX(BS386:BU386)=BU386,BU386&lt;&gt;"")),Data!$BK$2,"")</f>
        <v/>
      </c>
      <c r="BZ386" s="197"/>
      <c r="CA386" s="328"/>
      <c r="CB386" s="460" t="str">
        <f t="shared" si="567"/>
        <v/>
      </c>
      <c r="CC386" s="461" t="str">
        <f t="shared" si="568"/>
        <v/>
      </c>
      <c r="CD386" s="462" t="str">
        <f t="shared" si="569"/>
        <v/>
      </c>
      <c r="CE386" s="328"/>
      <c r="CF386" s="197" t="str">
        <f>IF(AND($I386="x",AND(MAX(CB386:CD386)=CB386,CB386&lt;&gt;"")),Data!$BI$2,"")</f>
        <v/>
      </c>
      <c r="CG386" s="197" t="str">
        <f>IF(AND($J386="x",AND(MAX(CB386:CD386)=CC386,CC386&lt;&gt;"")),Data!$BJ$2,"")</f>
        <v/>
      </c>
      <c r="CH386" s="197" t="str">
        <f>IF(AND($K386="x",AND(MAX(CB386:CD386)=CD386,CD386&lt;&gt;"")),Data!$BK$2,"")</f>
        <v/>
      </c>
      <c r="CI386" s="197"/>
      <c r="CJ386" s="197"/>
      <c r="CK386" s="453"/>
      <c r="CL386" s="454"/>
      <c r="CM386" s="441" t="str">
        <f t="shared" si="570"/>
        <v/>
      </c>
      <c r="CN386" s="328"/>
      <c r="CO386" s="197" t="str">
        <f>IF(AND($I386="x",AND(MAX(CK386:CM386)=CK386,CK386&lt;&gt;"")),Data!$BI$2,"")</f>
        <v/>
      </c>
      <c r="CP386" s="197" t="str">
        <f>IF(AND($J386="x",AND(MAX(CK386:CM386)=CL386,CL386&lt;&gt;"")),Data!$BJ$2,"")</f>
        <v/>
      </c>
      <c r="CQ386" s="197" t="str">
        <f>IF(AND($K386="x",AND(MAX(CK386:CM386)=CM386,CM386&lt;&gt;"")),Data!$BK$2,"")</f>
        <v/>
      </c>
      <c r="CR386" s="197"/>
      <c r="CS386" s="197"/>
      <c r="CT386" s="328"/>
      <c r="CU386" s="255"/>
      <c r="CV386" s="209"/>
      <c r="CW386" s="227"/>
    </row>
    <row r="387" spans="1:101" x14ac:dyDescent="0.2">
      <c r="A387" s="227"/>
      <c r="B387" s="227"/>
      <c r="C387" s="168"/>
      <c r="D387" s="232"/>
      <c r="E387" s="136" t="s">
        <v>266</v>
      </c>
      <c r="F387" s="426"/>
      <c r="G387" s="432" t="s">
        <v>51</v>
      </c>
      <c r="H387" s="433"/>
      <c r="I387" s="349" t="str">
        <f t="shared" si="557"/>
        <v/>
      </c>
      <c r="J387" s="350" t="str">
        <f t="shared" si="558"/>
        <v/>
      </c>
      <c r="K387" s="351" t="str">
        <f t="shared" si="559"/>
        <v/>
      </c>
      <c r="L387" s="258"/>
      <c r="M387" s="332"/>
      <c r="N387" s="336"/>
      <c r="O387" s="200"/>
      <c r="P387" s="200"/>
      <c r="Q387" s="445"/>
      <c r="R387" s="446"/>
      <c r="S387" s="447" t="str">
        <f t="shared" si="560"/>
        <v/>
      </c>
      <c r="T387" s="328"/>
      <c r="U387" s="197" t="str">
        <f>IF(AND($I387="x",AND(MAX(Q387:S387)=Q387,Q387&gt;=0)),Data!$BI$2,"")</f>
        <v/>
      </c>
      <c r="V387" s="197" t="str">
        <f>IF(AND($J387="x",AND(MAX(Q387:S387)=R387,R387&gt;=0)),Data!$BJ$2,"")</f>
        <v/>
      </c>
      <c r="W387" s="197" t="str">
        <f>IF(AND($K387="x",AND(MAX(Q387:S387)=S387,S387&gt;=0)),Data!$BK$2,"")</f>
        <v/>
      </c>
      <c r="X387" s="197"/>
      <c r="Y387" s="328"/>
      <c r="Z387" s="455"/>
      <c r="AA387" s="456"/>
      <c r="AB387" s="447" t="str">
        <f t="shared" si="561"/>
        <v/>
      </c>
      <c r="AC387" s="328"/>
      <c r="AD387" s="197" t="str">
        <f>IF(AND($I387="x",AND(MAX(Z387:AB387)=Z387,Z387&lt;&gt;"")),Data!$BI$2,"")</f>
        <v/>
      </c>
      <c r="AE387" s="197" t="str">
        <f>IF(AND($J387="x",AND(MAX(Z387:AB387)=AA387,AA387&lt;&gt;"")),Data!$BJ$2,"")</f>
        <v/>
      </c>
      <c r="AF387" s="197" t="str">
        <f>IF(AND($K387="x",AND(MAX(Z387:AB387)=AB387,AB387&lt;&gt;"")),Data!$BK$2,"")</f>
        <v/>
      </c>
      <c r="AG387" s="197"/>
      <c r="AH387" s="328"/>
      <c r="AI387" s="455"/>
      <c r="AJ387" s="456"/>
      <c r="AK387" s="447" t="str">
        <f t="shared" si="562"/>
        <v/>
      </c>
      <c r="AL387" s="328"/>
      <c r="AM387" s="197" t="str">
        <f>IF(AND($I387="x",AND(MAX(AI387:AK387)=AI387,AI387&lt;&gt;"")),Data!$BI$2,"")</f>
        <v/>
      </c>
      <c r="AN387" s="197" t="str">
        <f>IF(AND($J387="x",AND(MAX(AI387:AK387)=AJ387,AJ387&lt;&gt;"")),Data!$BJ$2,"")</f>
        <v/>
      </c>
      <c r="AO387" s="197" t="str">
        <f>IF(AND($K387="x",AND(MAX(AI387:AK387)=AK387,AK387&lt;&gt;"")),Data!$BK$2,"")</f>
        <v/>
      </c>
      <c r="AP387" s="197"/>
      <c r="AQ387" s="328"/>
      <c r="AR387" s="455"/>
      <c r="AS387" s="456"/>
      <c r="AT387" s="447" t="str">
        <f t="shared" si="563"/>
        <v/>
      </c>
      <c r="AU387" s="328"/>
      <c r="AV387" s="197" t="str">
        <f>IF(AND($I387="x",AND(MAX(AR387:AT387)=AR387,AR387&lt;&gt;"")),Data!$BI$2,"")</f>
        <v/>
      </c>
      <c r="AW387" s="197" t="str">
        <f>IF(AND($J387="x",AND(MAX(AR387:AT387)=AS387,AS387&lt;&gt;"")),Data!$BJ$2,"")</f>
        <v/>
      </c>
      <c r="AX387" s="197" t="str">
        <f>IF(AND($K387="x",AND(MAX(AR387:AT387)=AT387,AT387&lt;&gt;"")),Data!$BK$2,"")</f>
        <v/>
      </c>
      <c r="AY387" s="197"/>
      <c r="AZ387" s="328"/>
      <c r="BA387" s="455"/>
      <c r="BB387" s="456"/>
      <c r="BC387" s="447" t="str">
        <f t="shared" si="564"/>
        <v/>
      </c>
      <c r="BD387" s="328"/>
      <c r="BE387" s="197" t="str">
        <f>IF(AND($I387="x",AND(MAX(BA387:BC387)=BA387,BA387&lt;&gt;"")),Data!$BI$2,"")</f>
        <v/>
      </c>
      <c r="BF387" s="197" t="str">
        <f>IF(AND($J387="x",AND(MAX(BA387:BC387)=BB387,BB387&lt;&gt;"")),Data!$BJ$2,"")</f>
        <v/>
      </c>
      <c r="BG387" s="197" t="str">
        <f>IF(AND($K387="x",AND(MAX(BA387:BC387)=BC387,BC387&lt;&gt;"")),Data!$BK$2,"")</f>
        <v/>
      </c>
      <c r="BH387" s="197"/>
      <c r="BI387" s="328"/>
      <c r="BJ387" s="455"/>
      <c r="BK387" s="456"/>
      <c r="BL387" s="447" t="str">
        <f t="shared" si="565"/>
        <v/>
      </c>
      <c r="BM387" s="328"/>
      <c r="BN387" s="197" t="str">
        <f>IF(AND($I387="x",AND(MAX(BJ387:BL387)=BJ387,BJ387&lt;&gt;"")),Data!$BI$2,"")</f>
        <v/>
      </c>
      <c r="BO387" s="197" t="str">
        <f>IF(AND($J387="x",AND(MAX(BJ387:BL387)=BK387,BK387&lt;&gt;"")),Data!$BJ$2,"")</f>
        <v/>
      </c>
      <c r="BP387" s="197" t="str">
        <f>IF(AND($K387="x",AND(MAX(BJ387:BL387)=BL387,BL387&lt;&gt;"")),Data!$BK$2,"")</f>
        <v/>
      </c>
      <c r="BQ387" s="197"/>
      <c r="BR387" s="328"/>
      <c r="BS387" s="455"/>
      <c r="BT387" s="456"/>
      <c r="BU387" s="447" t="str">
        <f t="shared" si="566"/>
        <v/>
      </c>
      <c r="BV387" s="328"/>
      <c r="BW387" s="197" t="str">
        <f>IF(AND($I387="x",AND(MAX(BS387:BU387)=BS387,BS387&lt;&gt;"")),Data!$BI$2,"")</f>
        <v/>
      </c>
      <c r="BX387" s="197" t="str">
        <f>IF(AND($J387="x",AND(MAX(BS387:BU387)=BT387,BT387&lt;&gt;"")),Data!$BJ$2,"")</f>
        <v/>
      </c>
      <c r="BY387" s="197" t="str">
        <f>IF(AND($K387="x",AND(MAX(BS387:BU387)=BU387,BU387&lt;&gt;"")),Data!$BK$2,"")</f>
        <v/>
      </c>
      <c r="BZ387" s="197"/>
      <c r="CA387" s="328"/>
      <c r="CB387" s="463" t="str">
        <f t="shared" si="567"/>
        <v/>
      </c>
      <c r="CC387" s="464" t="str">
        <f t="shared" si="568"/>
        <v/>
      </c>
      <c r="CD387" s="465" t="str">
        <f t="shared" si="569"/>
        <v/>
      </c>
      <c r="CE387" s="328"/>
      <c r="CF387" s="197" t="str">
        <f>IF(AND($I387="x",AND(MAX(CB387:CD387)=CB387,CB387&lt;&gt;"")),Data!$BI$2,"")</f>
        <v/>
      </c>
      <c r="CG387" s="197" t="str">
        <f>IF(AND($J387="x",AND(MAX(CB387:CD387)=CC387,CC387&lt;&gt;"")),Data!$BJ$2,"")</f>
        <v/>
      </c>
      <c r="CH387" s="197" t="str">
        <f>IF(AND($K387="x",AND(MAX(CB387:CD387)=CD387,CD387&lt;&gt;"")),Data!$BK$2,"")</f>
        <v/>
      </c>
      <c r="CI387" s="197"/>
      <c r="CJ387" s="197"/>
      <c r="CK387" s="455"/>
      <c r="CL387" s="456"/>
      <c r="CM387" s="447" t="str">
        <f t="shared" si="570"/>
        <v/>
      </c>
      <c r="CN387" s="328"/>
      <c r="CO387" s="197" t="str">
        <f>IF(AND($I387="x",AND(MAX(CK387:CM387)=CK387,CK387&lt;&gt;"")),Data!$BI$2,"")</f>
        <v/>
      </c>
      <c r="CP387" s="197" t="str">
        <f>IF(AND($J387="x",AND(MAX(CK387:CM387)=CL387,CL387&lt;&gt;"")),Data!$BJ$2,"")</f>
        <v/>
      </c>
      <c r="CQ387" s="197" t="str">
        <f>IF(AND($K387="x",AND(MAX(CK387:CM387)=CM387,CM387&lt;&gt;"")),Data!$BK$2,"")</f>
        <v/>
      </c>
      <c r="CR387" s="197"/>
      <c r="CS387" s="197"/>
      <c r="CT387" s="328"/>
      <c r="CU387" s="255"/>
      <c r="CV387" s="209"/>
      <c r="CW387" s="227"/>
    </row>
    <row r="388" spans="1:101" x14ac:dyDescent="0.2">
      <c r="A388" s="227"/>
      <c r="B388" s="227"/>
      <c r="C388" s="168"/>
      <c r="D388" s="232"/>
      <c r="E388" s="134" t="s">
        <v>267</v>
      </c>
      <c r="F388" s="424"/>
      <c r="G388" s="428" t="s">
        <v>51</v>
      </c>
      <c r="H388" s="429"/>
      <c r="I388" s="138" t="str">
        <f t="shared" si="557"/>
        <v/>
      </c>
      <c r="J388" s="344" t="str">
        <f t="shared" si="558"/>
        <v/>
      </c>
      <c r="K388" s="345" t="str">
        <f t="shared" si="559"/>
        <v/>
      </c>
      <c r="L388" s="258"/>
      <c r="M388" s="332"/>
      <c r="N388" s="336"/>
      <c r="O388" s="200"/>
      <c r="P388" s="200"/>
      <c r="Q388" s="436"/>
      <c r="R388" s="437"/>
      <c r="S388" s="438" t="str">
        <f t="shared" si="560"/>
        <v/>
      </c>
      <c r="T388" s="328"/>
      <c r="U388" s="197" t="str">
        <f>IF(AND($I388="x",AND(MAX(Q388:S388)=Q388,Q388&gt;=0)),Data!$BI$2,"")</f>
        <v/>
      </c>
      <c r="V388" s="197" t="str">
        <f>IF(AND($J388="x",AND(MAX(Q388:S388)=R388,R388&gt;=0)),Data!$BJ$2,"")</f>
        <v/>
      </c>
      <c r="W388" s="197" t="str">
        <f>IF(AND($K388="x",AND(MAX(Q388:S388)=S388,S388&gt;=0)),Data!$BK$2,"")</f>
        <v/>
      </c>
      <c r="X388" s="197"/>
      <c r="Y388" s="328"/>
      <c r="Z388" s="451"/>
      <c r="AA388" s="452"/>
      <c r="AB388" s="438" t="str">
        <f t="shared" si="561"/>
        <v/>
      </c>
      <c r="AC388" s="328"/>
      <c r="AD388" s="197" t="str">
        <f>IF(AND($I388="x",AND(MAX(Z388:AB388)=Z388,Z388&lt;&gt;"")),Data!$BI$2,"")</f>
        <v/>
      </c>
      <c r="AE388" s="197" t="str">
        <f>IF(AND($J388="x",AND(MAX(Z388:AB388)=AA388,AA388&lt;&gt;"")),Data!$BJ$2,"")</f>
        <v/>
      </c>
      <c r="AF388" s="197" t="str">
        <f>IF(AND($K388="x",AND(MAX(Z388:AB388)=AB388,AB388&lt;&gt;"")),Data!$BK$2,"")</f>
        <v/>
      </c>
      <c r="AG388" s="197"/>
      <c r="AH388" s="328"/>
      <c r="AI388" s="451"/>
      <c r="AJ388" s="452"/>
      <c r="AK388" s="438" t="str">
        <f t="shared" si="562"/>
        <v/>
      </c>
      <c r="AL388" s="328"/>
      <c r="AM388" s="197" t="str">
        <f>IF(AND($I388="x",AND(MAX(AI388:AK388)=AI388,AI388&lt;&gt;"")),Data!$BI$2,"")</f>
        <v/>
      </c>
      <c r="AN388" s="197" t="str">
        <f>IF(AND($J388="x",AND(MAX(AI388:AK388)=AJ388,AJ388&lt;&gt;"")),Data!$BJ$2,"")</f>
        <v/>
      </c>
      <c r="AO388" s="197" t="str">
        <f>IF(AND($K388="x",AND(MAX(AI388:AK388)=AK388,AK388&lt;&gt;"")),Data!$BK$2,"")</f>
        <v/>
      </c>
      <c r="AP388" s="197"/>
      <c r="AQ388" s="328"/>
      <c r="AR388" s="451"/>
      <c r="AS388" s="452"/>
      <c r="AT388" s="438" t="str">
        <f t="shared" si="563"/>
        <v/>
      </c>
      <c r="AU388" s="328"/>
      <c r="AV388" s="197" t="str">
        <f>IF(AND($I388="x",AND(MAX(AR388:AT388)=AR388,AR388&lt;&gt;"")),Data!$BI$2,"")</f>
        <v/>
      </c>
      <c r="AW388" s="197" t="str">
        <f>IF(AND($J388="x",AND(MAX(AR388:AT388)=AS388,AS388&lt;&gt;"")),Data!$BJ$2,"")</f>
        <v/>
      </c>
      <c r="AX388" s="197" t="str">
        <f>IF(AND($K388="x",AND(MAX(AR388:AT388)=AT388,AT388&lt;&gt;"")),Data!$BK$2,"")</f>
        <v/>
      </c>
      <c r="AY388" s="197"/>
      <c r="AZ388" s="328"/>
      <c r="BA388" s="451"/>
      <c r="BB388" s="452"/>
      <c r="BC388" s="438" t="str">
        <f t="shared" si="564"/>
        <v/>
      </c>
      <c r="BD388" s="328"/>
      <c r="BE388" s="197" t="str">
        <f>IF(AND($I388="x",AND(MAX(BA388:BC388)=BA388,BA388&lt;&gt;"")),Data!$BI$2,"")</f>
        <v/>
      </c>
      <c r="BF388" s="197" t="str">
        <f>IF(AND($J388="x",AND(MAX(BA388:BC388)=BB388,BB388&lt;&gt;"")),Data!$BJ$2,"")</f>
        <v/>
      </c>
      <c r="BG388" s="197" t="str">
        <f>IF(AND($K388="x",AND(MAX(BA388:BC388)=BC388,BC388&lt;&gt;"")),Data!$BK$2,"")</f>
        <v/>
      </c>
      <c r="BH388" s="197"/>
      <c r="BI388" s="328"/>
      <c r="BJ388" s="451"/>
      <c r="BK388" s="452"/>
      <c r="BL388" s="438" t="str">
        <f t="shared" si="565"/>
        <v/>
      </c>
      <c r="BM388" s="328"/>
      <c r="BN388" s="197" t="str">
        <f>IF(AND($I388="x",AND(MAX(BJ388:BL388)=BJ388,BJ388&lt;&gt;"")),Data!$BI$2,"")</f>
        <v/>
      </c>
      <c r="BO388" s="197" t="str">
        <f>IF(AND($J388="x",AND(MAX(BJ388:BL388)=BK388,BK388&lt;&gt;"")),Data!$BJ$2,"")</f>
        <v/>
      </c>
      <c r="BP388" s="197" t="str">
        <f>IF(AND($K388="x",AND(MAX(BJ388:BL388)=BL388,BL388&lt;&gt;"")),Data!$BK$2,"")</f>
        <v/>
      </c>
      <c r="BQ388" s="197"/>
      <c r="BR388" s="328"/>
      <c r="BS388" s="451"/>
      <c r="BT388" s="452"/>
      <c r="BU388" s="438" t="str">
        <f t="shared" si="566"/>
        <v/>
      </c>
      <c r="BV388" s="328"/>
      <c r="BW388" s="197" t="str">
        <f>IF(AND($I388="x",AND(MAX(BS388:BU388)=BS388,BS388&lt;&gt;"")),Data!$BI$2,"")</f>
        <v/>
      </c>
      <c r="BX388" s="197" t="str">
        <f>IF(AND($J388="x",AND(MAX(BS388:BU388)=BT388,BT388&lt;&gt;"")),Data!$BJ$2,"")</f>
        <v/>
      </c>
      <c r="BY388" s="197" t="str">
        <f>IF(AND($K388="x",AND(MAX(BS388:BU388)=BU388,BU388&lt;&gt;"")),Data!$BK$2,"")</f>
        <v/>
      </c>
      <c r="BZ388" s="197"/>
      <c r="CA388" s="328"/>
      <c r="CB388" s="457" t="str">
        <f t="shared" si="567"/>
        <v/>
      </c>
      <c r="CC388" s="458" t="str">
        <f t="shared" si="568"/>
        <v/>
      </c>
      <c r="CD388" s="459" t="str">
        <f t="shared" si="569"/>
        <v/>
      </c>
      <c r="CE388" s="328"/>
      <c r="CF388" s="197" t="str">
        <f>IF(AND($I388="x",AND(MAX(CB388:CD388)=CB388,CB388&lt;&gt;"")),Data!$BI$2,"")</f>
        <v/>
      </c>
      <c r="CG388" s="197" t="str">
        <f>IF(AND($J388="x",AND(MAX(CB388:CD388)=CC388,CC388&lt;&gt;"")),Data!$BJ$2,"")</f>
        <v/>
      </c>
      <c r="CH388" s="197" t="str">
        <f>IF(AND($K388="x",AND(MAX(CB388:CD388)=CD388,CD388&lt;&gt;"")),Data!$BK$2,"")</f>
        <v/>
      </c>
      <c r="CI388" s="197"/>
      <c r="CJ388" s="197"/>
      <c r="CK388" s="451"/>
      <c r="CL388" s="452"/>
      <c r="CM388" s="438" t="str">
        <f t="shared" si="570"/>
        <v/>
      </c>
      <c r="CN388" s="328"/>
      <c r="CO388" s="197" t="str">
        <f>IF(AND($I388="x",AND(MAX(CK388:CM388)=CK388,CK388&lt;&gt;"")),Data!$BI$2,"")</f>
        <v/>
      </c>
      <c r="CP388" s="197" t="str">
        <f>IF(AND($J388="x",AND(MAX(CK388:CM388)=CL388,CL388&lt;&gt;"")),Data!$BJ$2,"")</f>
        <v/>
      </c>
      <c r="CQ388" s="197" t="str">
        <f>IF(AND($K388="x",AND(MAX(CK388:CM388)=CM388,CM388&lt;&gt;"")),Data!$BK$2,"")</f>
        <v/>
      </c>
      <c r="CR388" s="197"/>
      <c r="CS388" s="197"/>
      <c r="CT388" s="328"/>
      <c r="CU388" s="259"/>
      <c r="CV388" s="209"/>
      <c r="CW388" s="227"/>
    </row>
    <row r="389" spans="1:101" x14ac:dyDescent="0.2">
      <c r="A389" s="227"/>
      <c r="B389" s="227"/>
      <c r="C389" s="168"/>
      <c r="D389" s="232"/>
      <c r="E389" s="135" t="s">
        <v>268</v>
      </c>
      <c r="F389" s="425"/>
      <c r="G389" s="430" t="s">
        <v>51</v>
      </c>
      <c r="H389" s="431"/>
      <c r="I389" s="346" t="str">
        <f t="shared" si="557"/>
        <v/>
      </c>
      <c r="J389" s="347" t="str">
        <f t="shared" si="558"/>
        <v/>
      </c>
      <c r="K389" s="348" t="str">
        <f t="shared" si="559"/>
        <v/>
      </c>
      <c r="L389" s="258"/>
      <c r="M389" s="332"/>
      <c r="N389" s="336"/>
      <c r="O389" s="200"/>
      <c r="P389" s="200"/>
      <c r="Q389" s="439"/>
      <c r="R389" s="440"/>
      <c r="S389" s="441" t="str">
        <f t="shared" si="560"/>
        <v/>
      </c>
      <c r="T389" s="328"/>
      <c r="U389" s="197" t="str">
        <f>IF(AND($I389="x",AND(MAX(Q389:S389)=Q389,Q389&gt;=0)),Data!$BI$2,"")</f>
        <v/>
      </c>
      <c r="V389" s="197" t="str">
        <f>IF(AND($J389="x",AND(MAX(Q389:S389)=R389,R389&gt;=0)),Data!$BJ$2,"")</f>
        <v/>
      </c>
      <c r="W389" s="197" t="str">
        <f>IF(AND($K389="x",AND(MAX(Q389:S389)=S389,S389&gt;=0)),Data!$BK$2,"")</f>
        <v/>
      </c>
      <c r="X389" s="197"/>
      <c r="Y389" s="328"/>
      <c r="Z389" s="453"/>
      <c r="AA389" s="454"/>
      <c r="AB389" s="441" t="str">
        <f t="shared" si="561"/>
        <v/>
      </c>
      <c r="AC389" s="328"/>
      <c r="AD389" s="197" t="str">
        <f>IF(AND($I389="x",AND(MAX(Z389:AB389)=Z389,Z389&lt;&gt;"")),Data!$BI$2,"")</f>
        <v/>
      </c>
      <c r="AE389" s="197" t="str">
        <f>IF(AND($J389="x",AND(MAX(Z389:AB389)=AA389,AA389&lt;&gt;"")),Data!$BJ$2,"")</f>
        <v/>
      </c>
      <c r="AF389" s="197" t="str">
        <f>IF(AND($K389="x",AND(MAX(Z389:AB389)=AB389,AB389&lt;&gt;"")),Data!$BK$2,"")</f>
        <v/>
      </c>
      <c r="AG389" s="197"/>
      <c r="AH389" s="328"/>
      <c r="AI389" s="453"/>
      <c r="AJ389" s="454"/>
      <c r="AK389" s="441" t="str">
        <f t="shared" si="562"/>
        <v/>
      </c>
      <c r="AL389" s="328"/>
      <c r="AM389" s="197" t="str">
        <f>IF(AND($I389="x",AND(MAX(AI389:AK389)=AI389,AI389&lt;&gt;"")),Data!$BI$2,"")</f>
        <v/>
      </c>
      <c r="AN389" s="197" t="str">
        <f>IF(AND($J389="x",AND(MAX(AI389:AK389)=AJ389,AJ389&lt;&gt;"")),Data!$BJ$2,"")</f>
        <v/>
      </c>
      <c r="AO389" s="197" t="str">
        <f>IF(AND($K389="x",AND(MAX(AI389:AK389)=AK389,AK389&lt;&gt;"")),Data!$BK$2,"")</f>
        <v/>
      </c>
      <c r="AP389" s="197"/>
      <c r="AQ389" s="328"/>
      <c r="AR389" s="453"/>
      <c r="AS389" s="454"/>
      <c r="AT389" s="441" t="str">
        <f t="shared" si="563"/>
        <v/>
      </c>
      <c r="AU389" s="328"/>
      <c r="AV389" s="197" t="str">
        <f>IF(AND($I389="x",AND(MAX(AR389:AT389)=AR389,AR389&lt;&gt;"")),Data!$BI$2,"")</f>
        <v/>
      </c>
      <c r="AW389" s="197" t="str">
        <f>IF(AND($J389="x",AND(MAX(AR389:AT389)=AS389,AS389&lt;&gt;"")),Data!$BJ$2,"")</f>
        <v/>
      </c>
      <c r="AX389" s="197" t="str">
        <f>IF(AND($K389="x",AND(MAX(AR389:AT389)=AT389,AT389&lt;&gt;"")),Data!$BK$2,"")</f>
        <v/>
      </c>
      <c r="AY389" s="197"/>
      <c r="AZ389" s="328"/>
      <c r="BA389" s="453"/>
      <c r="BB389" s="454"/>
      <c r="BC389" s="441" t="str">
        <f t="shared" si="564"/>
        <v/>
      </c>
      <c r="BD389" s="328"/>
      <c r="BE389" s="197" t="str">
        <f>IF(AND($I389="x",AND(MAX(BA389:BC389)=BA389,BA389&lt;&gt;"")),Data!$BI$2,"")</f>
        <v/>
      </c>
      <c r="BF389" s="197" t="str">
        <f>IF(AND($J389="x",AND(MAX(BA389:BC389)=BB389,BB389&lt;&gt;"")),Data!$BJ$2,"")</f>
        <v/>
      </c>
      <c r="BG389" s="197" t="str">
        <f>IF(AND($K389="x",AND(MAX(BA389:BC389)=BC389,BC389&lt;&gt;"")),Data!$BK$2,"")</f>
        <v/>
      </c>
      <c r="BH389" s="197"/>
      <c r="BI389" s="328"/>
      <c r="BJ389" s="453"/>
      <c r="BK389" s="454"/>
      <c r="BL389" s="441" t="str">
        <f t="shared" si="565"/>
        <v/>
      </c>
      <c r="BM389" s="328"/>
      <c r="BN389" s="197" t="str">
        <f>IF(AND($I389="x",AND(MAX(BJ389:BL389)=BJ389,BJ389&lt;&gt;"")),Data!$BI$2,"")</f>
        <v/>
      </c>
      <c r="BO389" s="197" t="str">
        <f>IF(AND($J389="x",AND(MAX(BJ389:BL389)=BK389,BK389&lt;&gt;"")),Data!$BJ$2,"")</f>
        <v/>
      </c>
      <c r="BP389" s="197" t="str">
        <f>IF(AND($K389="x",AND(MAX(BJ389:BL389)=BL389,BL389&lt;&gt;"")),Data!$BK$2,"")</f>
        <v/>
      </c>
      <c r="BQ389" s="197"/>
      <c r="BR389" s="328"/>
      <c r="BS389" s="453"/>
      <c r="BT389" s="454"/>
      <c r="BU389" s="441" t="str">
        <f t="shared" si="566"/>
        <v/>
      </c>
      <c r="BV389" s="328"/>
      <c r="BW389" s="197" t="str">
        <f>IF(AND($I389="x",AND(MAX(BS389:BU389)=BS389,BS389&lt;&gt;"")),Data!$BI$2,"")</f>
        <v/>
      </c>
      <c r="BX389" s="197" t="str">
        <f>IF(AND($J389="x",AND(MAX(BS389:BU389)=BT389,BT389&lt;&gt;"")),Data!$BJ$2,"")</f>
        <v/>
      </c>
      <c r="BY389" s="197" t="str">
        <f>IF(AND($K389="x",AND(MAX(BS389:BU389)=BU389,BU389&lt;&gt;"")),Data!$BK$2,"")</f>
        <v/>
      </c>
      <c r="BZ389" s="197"/>
      <c r="CA389" s="328"/>
      <c r="CB389" s="460" t="str">
        <f t="shared" si="567"/>
        <v/>
      </c>
      <c r="CC389" s="461" t="str">
        <f t="shared" si="568"/>
        <v/>
      </c>
      <c r="CD389" s="462" t="str">
        <f t="shared" si="569"/>
        <v/>
      </c>
      <c r="CE389" s="328"/>
      <c r="CF389" s="197" t="str">
        <f>IF(AND($I389="x",AND(MAX(CB389:CD389)=CB389,CB389&lt;&gt;"")),Data!$BI$2,"")</f>
        <v/>
      </c>
      <c r="CG389" s="197" t="str">
        <f>IF(AND($J389="x",AND(MAX(CB389:CD389)=CC389,CC389&lt;&gt;"")),Data!$BJ$2,"")</f>
        <v/>
      </c>
      <c r="CH389" s="197" t="str">
        <f>IF(AND($K389="x",AND(MAX(CB389:CD389)=CD389,CD389&lt;&gt;"")),Data!$BK$2,"")</f>
        <v/>
      </c>
      <c r="CI389" s="197"/>
      <c r="CJ389" s="197"/>
      <c r="CK389" s="453"/>
      <c r="CL389" s="454"/>
      <c r="CM389" s="441" t="str">
        <f t="shared" si="570"/>
        <v/>
      </c>
      <c r="CN389" s="328"/>
      <c r="CO389" s="197" t="str">
        <f>IF(AND($I389="x",AND(MAX(CK389:CM389)=CK389,CK389&lt;&gt;"")),Data!$BI$2,"")</f>
        <v/>
      </c>
      <c r="CP389" s="197" t="str">
        <f>IF(AND($J389="x",AND(MAX(CK389:CM389)=CL389,CL389&lt;&gt;"")),Data!$BJ$2,"")</f>
        <v/>
      </c>
      <c r="CQ389" s="197" t="str">
        <f>IF(AND($K389="x",AND(MAX(CK389:CM389)=CM389,CM389&lt;&gt;"")),Data!$BK$2,"")</f>
        <v/>
      </c>
      <c r="CR389" s="197"/>
      <c r="CS389" s="197"/>
      <c r="CT389" s="328"/>
      <c r="CU389" s="259"/>
      <c r="CV389" s="209"/>
      <c r="CW389" s="227"/>
    </row>
    <row r="390" spans="1:101" x14ac:dyDescent="0.2">
      <c r="A390" s="227"/>
      <c r="B390" s="227"/>
      <c r="C390" s="168"/>
      <c r="D390" s="232"/>
      <c r="E390" s="136" t="s">
        <v>269</v>
      </c>
      <c r="F390" s="426"/>
      <c r="G390" s="432" t="s">
        <v>51</v>
      </c>
      <c r="H390" s="433"/>
      <c r="I390" s="349" t="str">
        <f t="shared" si="557"/>
        <v/>
      </c>
      <c r="J390" s="350" t="str">
        <f t="shared" si="558"/>
        <v/>
      </c>
      <c r="K390" s="351" t="str">
        <f t="shared" si="559"/>
        <v/>
      </c>
      <c r="L390" s="258"/>
      <c r="M390" s="332"/>
      <c r="N390" s="336"/>
      <c r="O390" s="200"/>
      <c r="P390" s="200"/>
      <c r="Q390" s="445"/>
      <c r="R390" s="446"/>
      <c r="S390" s="447" t="str">
        <f t="shared" si="560"/>
        <v/>
      </c>
      <c r="T390" s="328"/>
      <c r="U390" s="197" t="str">
        <f>IF(AND($I390="x",AND(MAX(Q390:S390)=Q390,Q390&gt;=0)),Data!$BI$2,"")</f>
        <v/>
      </c>
      <c r="V390" s="197" t="str">
        <f>IF(AND($J390="x",AND(MAX(Q390:S390)=R390,R390&gt;=0)),Data!$BJ$2,"")</f>
        <v/>
      </c>
      <c r="W390" s="197" t="str">
        <f>IF(AND($K390="x",AND(MAX(Q390:S390)=S390,S390&gt;=0)),Data!$BK$2,"")</f>
        <v/>
      </c>
      <c r="X390" s="197"/>
      <c r="Y390" s="328"/>
      <c r="Z390" s="455"/>
      <c r="AA390" s="456"/>
      <c r="AB390" s="447" t="str">
        <f t="shared" si="561"/>
        <v/>
      </c>
      <c r="AC390" s="328"/>
      <c r="AD390" s="197" t="str">
        <f>IF(AND($I390="x",AND(MAX(Z390:AB390)=Z390,Z390&lt;&gt;"")),Data!$BI$2,"")</f>
        <v/>
      </c>
      <c r="AE390" s="197" t="str">
        <f>IF(AND($J390="x",AND(MAX(Z390:AB390)=AA390,AA390&lt;&gt;"")),Data!$BJ$2,"")</f>
        <v/>
      </c>
      <c r="AF390" s="197" t="str">
        <f>IF(AND($K390="x",AND(MAX(Z390:AB390)=AB390,AB390&lt;&gt;"")),Data!$BK$2,"")</f>
        <v/>
      </c>
      <c r="AG390" s="197"/>
      <c r="AH390" s="328"/>
      <c r="AI390" s="455"/>
      <c r="AJ390" s="456"/>
      <c r="AK390" s="447" t="str">
        <f t="shared" si="562"/>
        <v/>
      </c>
      <c r="AL390" s="328"/>
      <c r="AM390" s="197" t="str">
        <f>IF(AND($I390="x",AND(MAX(AI390:AK390)=AI390,AI390&lt;&gt;"")),Data!$BI$2,"")</f>
        <v/>
      </c>
      <c r="AN390" s="197" t="str">
        <f>IF(AND($J390="x",AND(MAX(AI390:AK390)=AJ390,AJ390&lt;&gt;"")),Data!$BJ$2,"")</f>
        <v/>
      </c>
      <c r="AO390" s="197" t="str">
        <f>IF(AND($K390="x",AND(MAX(AI390:AK390)=AK390,AK390&lt;&gt;"")),Data!$BK$2,"")</f>
        <v/>
      </c>
      <c r="AP390" s="197"/>
      <c r="AQ390" s="328"/>
      <c r="AR390" s="455"/>
      <c r="AS390" s="456"/>
      <c r="AT390" s="447" t="str">
        <f t="shared" si="563"/>
        <v/>
      </c>
      <c r="AU390" s="328"/>
      <c r="AV390" s="197" t="str">
        <f>IF(AND($I390="x",AND(MAX(AR390:AT390)=AR390,AR390&lt;&gt;"")),Data!$BI$2,"")</f>
        <v/>
      </c>
      <c r="AW390" s="197" t="str">
        <f>IF(AND($J390="x",AND(MAX(AR390:AT390)=AS390,AS390&lt;&gt;"")),Data!$BJ$2,"")</f>
        <v/>
      </c>
      <c r="AX390" s="197" t="str">
        <f>IF(AND($K390="x",AND(MAX(AR390:AT390)=AT390,AT390&lt;&gt;"")),Data!$BK$2,"")</f>
        <v/>
      </c>
      <c r="AY390" s="197"/>
      <c r="AZ390" s="328"/>
      <c r="BA390" s="455"/>
      <c r="BB390" s="456"/>
      <c r="BC390" s="447" t="str">
        <f t="shared" si="564"/>
        <v/>
      </c>
      <c r="BD390" s="328"/>
      <c r="BE390" s="197" t="str">
        <f>IF(AND($I390="x",AND(MAX(BA390:BC390)=BA390,BA390&lt;&gt;"")),Data!$BI$2,"")</f>
        <v/>
      </c>
      <c r="BF390" s="197" t="str">
        <f>IF(AND($J390="x",AND(MAX(BA390:BC390)=BB390,BB390&lt;&gt;"")),Data!$BJ$2,"")</f>
        <v/>
      </c>
      <c r="BG390" s="197" t="str">
        <f>IF(AND($K390="x",AND(MAX(BA390:BC390)=BC390,BC390&lt;&gt;"")),Data!$BK$2,"")</f>
        <v/>
      </c>
      <c r="BH390" s="197"/>
      <c r="BI390" s="328"/>
      <c r="BJ390" s="455"/>
      <c r="BK390" s="456"/>
      <c r="BL390" s="447" t="str">
        <f t="shared" si="565"/>
        <v/>
      </c>
      <c r="BM390" s="328"/>
      <c r="BN390" s="197" t="str">
        <f>IF(AND($I390="x",AND(MAX(BJ390:BL390)=BJ390,BJ390&lt;&gt;"")),Data!$BI$2,"")</f>
        <v/>
      </c>
      <c r="BO390" s="197" t="str">
        <f>IF(AND($J390="x",AND(MAX(BJ390:BL390)=BK390,BK390&lt;&gt;"")),Data!$BJ$2,"")</f>
        <v/>
      </c>
      <c r="BP390" s="197" t="str">
        <f>IF(AND($K390="x",AND(MAX(BJ390:BL390)=BL390,BL390&lt;&gt;"")),Data!$BK$2,"")</f>
        <v/>
      </c>
      <c r="BQ390" s="197"/>
      <c r="BR390" s="328"/>
      <c r="BS390" s="455"/>
      <c r="BT390" s="456"/>
      <c r="BU390" s="447" t="str">
        <f t="shared" si="566"/>
        <v/>
      </c>
      <c r="BV390" s="328"/>
      <c r="BW390" s="197" t="str">
        <f>IF(AND($I390="x",AND(MAX(BS390:BU390)=BS390,BS390&lt;&gt;"")),Data!$BI$2,"")</f>
        <v/>
      </c>
      <c r="BX390" s="197" t="str">
        <f>IF(AND($J390="x",AND(MAX(BS390:BU390)=BT390,BT390&lt;&gt;"")),Data!$BJ$2,"")</f>
        <v/>
      </c>
      <c r="BY390" s="197" t="str">
        <f>IF(AND($K390="x",AND(MAX(BS390:BU390)=BU390,BU390&lt;&gt;"")),Data!$BK$2,"")</f>
        <v/>
      </c>
      <c r="BZ390" s="197"/>
      <c r="CA390" s="328"/>
      <c r="CB390" s="463" t="str">
        <f t="shared" si="567"/>
        <v/>
      </c>
      <c r="CC390" s="464" t="str">
        <f t="shared" si="568"/>
        <v/>
      </c>
      <c r="CD390" s="465" t="str">
        <f t="shared" si="569"/>
        <v/>
      </c>
      <c r="CE390" s="328"/>
      <c r="CF390" s="197" t="str">
        <f>IF(AND($I390="x",AND(MAX(CB390:CD390)=CB390,CB390&lt;&gt;"")),Data!$BI$2,"")</f>
        <v/>
      </c>
      <c r="CG390" s="197" t="str">
        <f>IF(AND($J390="x",AND(MAX(CB390:CD390)=CC390,CC390&lt;&gt;"")),Data!$BJ$2,"")</f>
        <v/>
      </c>
      <c r="CH390" s="197" t="str">
        <f>IF(AND($K390="x",AND(MAX(CB390:CD390)=CD390,CD390&lt;&gt;"")),Data!$BK$2,"")</f>
        <v/>
      </c>
      <c r="CI390" s="197"/>
      <c r="CJ390" s="197"/>
      <c r="CK390" s="455"/>
      <c r="CL390" s="456"/>
      <c r="CM390" s="447" t="str">
        <f t="shared" si="570"/>
        <v/>
      </c>
      <c r="CN390" s="328"/>
      <c r="CO390" s="197" t="str">
        <f>IF(AND($I390="x",AND(MAX(CK390:CM390)=CK390,CK390&lt;&gt;"")),Data!$BI$2,"")</f>
        <v/>
      </c>
      <c r="CP390" s="197" t="str">
        <f>IF(AND($J390="x",AND(MAX(CK390:CM390)=CL390,CL390&lt;&gt;"")),Data!$BJ$2,"")</f>
        <v/>
      </c>
      <c r="CQ390" s="197" t="str">
        <f>IF(AND($K390="x",AND(MAX(CK390:CM390)=CM390,CM390&lt;&gt;"")),Data!$BK$2,"")</f>
        <v/>
      </c>
      <c r="CR390" s="197"/>
      <c r="CS390" s="197"/>
      <c r="CT390" s="328"/>
      <c r="CU390" s="259"/>
      <c r="CV390" s="209"/>
      <c r="CW390" s="227"/>
    </row>
    <row r="391" spans="1:101" x14ac:dyDescent="0.2">
      <c r="A391" s="227"/>
      <c r="B391" s="227"/>
      <c r="C391" s="168"/>
      <c r="D391" s="232"/>
      <c r="E391" s="137" t="s">
        <v>270</v>
      </c>
      <c r="F391" s="427"/>
      <c r="G391" s="434" t="s">
        <v>51</v>
      </c>
      <c r="H391" s="435"/>
      <c r="I391" s="138" t="str">
        <f t="shared" si="557"/>
        <v/>
      </c>
      <c r="J391" s="344" t="str">
        <f t="shared" si="558"/>
        <v/>
      </c>
      <c r="K391" s="345" t="str">
        <f t="shared" si="559"/>
        <v/>
      </c>
      <c r="L391" s="258"/>
      <c r="M391" s="332"/>
      <c r="N391" s="336"/>
      <c r="O391" s="200"/>
      <c r="P391" s="200"/>
      <c r="Q391" s="448"/>
      <c r="R391" s="449"/>
      <c r="S391" s="450" t="str">
        <f t="shared" si="560"/>
        <v/>
      </c>
      <c r="T391" s="328"/>
      <c r="U391" s="197" t="str">
        <f>IF(AND($I391="x",AND(MAX(Q391:S391)=Q391,Q391&gt;=0)),Data!$BI$2,"")</f>
        <v/>
      </c>
      <c r="V391" s="197" t="str">
        <f>IF(AND($J391="x",AND(MAX(Q391:S391)=R391,R391&gt;=0)),Data!$BJ$2,"")</f>
        <v/>
      </c>
      <c r="W391" s="197" t="str">
        <f>IF(AND($K391="x",AND(MAX(Q391:S391)=S391,S391&gt;=0)),Data!$BK$2,"")</f>
        <v/>
      </c>
      <c r="X391" s="197"/>
      <c r="Y391" s="328"/>
      <c r="Z391" s="451"/>
      <c r="AA391" s="452"/>
      <c r="AB391" s="450" t="str">
        <f t="shared" si="561"/>
        <v/>
      </c>
      <c r="AC391" s="328"/>
      <c r="AD391" s="197" t="str">
        <f>IF(AND($I391="x",AND(MAX(Z391:AB391)=Z391,Z391&lt;&gt;"")),Data!$BI$2,"")</f>
        <v/>
      </c>
      <c r="AE391" s="197" t="str">
        <f>IF(AND($J391="x",AND(MAX(Z391:AB391)=AA391,AA391&lt;&gt;"")),Data!$BJ$2,"")</f>
        <v/>
      </c>
      <c r="AF391" s="197" t="str">
        <f>IF(AND($K391="x",AND(MAX(Z391:AB391)=AB391,AB391&lt;&gt;"")),Data!$BK$2,"")</f>
        <v/>
      </c>
      <c r="AG391" s="197"/>
      <c r="AH391" s="328"/>
      <c r="AI391" s="451"/>
      <c r="AJ391" s="452"/>
      <c r="AK391" s="450" t="str">
        <f t="shared" si="562"/>
        <v/>
      </c>
      <c r="AL391" s="328"/>
      <c r="AM391" s="197" t="str">
        <f>IF(AND($I391="x",AND(MAX(AI391:AK391)=AI391,AI391&lt;&gt;"")),Data!$BI$2,"")</f>
        <v/>
      </c>
      <c r="AN391" s="197" t="str">
        <f>IF(AND($J391="x",AND(MAX(AI391:AK391)=AJ391,AJ391&lt;&gt;"")),Data!$BJ$2,"")</f>
        <v/>
      </c>
      <c r="AO391" s="197" t="str">
        <f>IF(AND($K391="x",AND(MAX(AI391:AK391)=AK391,AK391&lt;&gt;"")),Data!$BK$2,"")</f>
        <v/>
      </c>
      <c r="AP391" s="197"/>
      <c r="AQ391" s="328"/>
      <c r="AR391" s="451"/>
      <c r="AS391" s="452"/>
      <c r="AT391" s="450" t="str">
        <f t="shared" si="563"/>
        <v/>
      </c>
      <c r="AU391" s="328"/>
      <c r="AV391" s="197" t="str">
        <f>IF(AND($I391="x",AND(MAX(AR391:AT391)=AR391,AR391&lt;&gt;"")),Data!$BI$2,"")</f>
        <v/>
      </c>
      <c r="AW391" s="197" t="str">
        <f>IF(AND($J391="x",AND(MAX(AR391:AT391)=AS391,AS391&lt;&gt;"")),Data!$BJ$2,"")</f>
        <v/>
      </c>
      <c r="AX391" s="197" t="str">
        <f>IF(AND($K391="x",AND(MAX(AR391:AT391)=AT391,AT391&lt;&gt;"")),Data!$BK$2,"")</f>
        <v/>
      </c>
      <c r="AY391" s="197"/>
      <c r="AZ391" s="328"/>
      <c r="BA391" s="451"/>
      <c r="BB391" s="452"/>
      <c r="BC391" s="450" t="str">
        <f t="shared" si="564"/>
        <v/>
      </c>
      <c r="BD391" s="328"/>
      <c r="BE391" s="197" t="str">
        <f>IF(AND($I391="x",AND(MAX(BA391:BC391)=BA391,BA391&lt;&gt;"")),Data!$BI$2,"")</f>
        <v/>
      </c>
      <c r="BF391" s="197" t="str">
        <f>IF(AND($J391="x",AND(MAX(BA391:BC391)=BB391,BB391&lt;&gt;"")),Data!$BJ$2,"")</f>
        <v/>
      </c>
      <c r="BG391" s="197" t="str">
        <f>IF(AND($K391="x",AND(MAX(BA391:BC391)=BC391,BC391&lt;&gt;"")),Data!$BK$2,"")</f>
        <v/>
      </c>
      <c r="BH391" s="197"/>
      <c r="BI391" s="328"/>
      <c r="BJ391" s="451"/>
      <c r="BK391" s="452"/>
      <c r="BL391" s="450" t="str">
        <f t="shared" si="565"/>
        <v/>
      </c>
      <c r="BM391" s="328"/>
      <c r="BN391" s="197" t="str">
        <f>IF(AND($I391="x",AND(MAX(BJ391:BL391)=BJ391,BJ391&lt;&gt;"")),Data!$BI$2,"")</f>
        <v/>
      </c>
      <c r="BO391" s="197" t="str">
        <f>IF(AND($J391="x",AND(MAX(BJ391:BL391)=BK391,BK391&lt;&gt;"")),Data!$BJ$2,"")</f>
        <v/>
      </c>
      <c r="BP391" s="197" t="str">
        <f>IF(AND($K391="x",AND(MAX(BJ391:BL391)=BL391,BL391&lt;&gt;"")),Data!$BK$2,"")</f>
        <v/>
      </c>
      <c r="BQ391" s="197"/>
      <c r="BR391" s="328"/>
      <c r="BS391" s="451"/>
      <c r="BT391" s="452"/>
      <c r="BU391" s="450" t="str">
        <f t="shared" si="566"/>
        <v/>
      </c>
      <c r="BV391" s="328"/>
      <c r="BW391" s="197" t="str">
        <f>IF(AND($I391="x",AND(MAX(BS391:BU391)=BS391,BS391&lt;&gt;"")),Data!$BI$2,"")</f>
        <v/>
      </c>
      <c r="BX391" s="197" t="str">
        <f>IF(AND($J391="x",AND(MAX(BS391:BU391)=BT391,BT391&lt;&gt;"")),Data!$BJ$2,"")</f>
        <v/>
      </c>
      <c r="BY391" s="197" t="str">
        <f>IF(AND($K391="x",AND(MAX(BS391:BU391)=BU391,BU391&lt;&gt;"")),Data!$BK$2,"")</f>
        <v/>
      </c>
      <c r="BZ391" s="197"/>
      <c r="CA391" s="328"/>
      <c r="CB391" s="457" t="str">
        <f t="shared" si="567"/>
        <v/>
      </c>
      <c r="CC391" s="458" t="str">
        <f t="shared" si="568"/>
        <v/>
      </c>
      <c r="CD391" s="459" t="str">
        <f t="shared" si="569"/>
        <v/>
      </c>
      <c r="CE391" s="328"/>
      <c r="CF391" s="197" t="str">
        <f>IF(AND($I391="x",AND(MAX(CB391:CD391)=CB391,CB391&lt;&gt;"")),Data!$BI$2,"")</f>
        <v/>
      </c>
      <c r="CG391" s="197" t="str">
        <f>IF(AND($J391="x",AND(MAX(CB391:CD391)=CC391,CC391&lt;&gt;"")),Data!$BJ$2,"")</f>
        <v/>
      </c>
      <c r="CH391" s="197" t="str">
        <f>IF(AND($K391="x",AND(MAX(CB391:CD391)=CD391,CD391&lt;&gt;"")),Data!$BK$2,"")</f>
        <v/>
      </c>
      <c r="CI391" s="197"/>
      <c r="CJ391" s="197"/>
      <c r="CK391" s="451"/>
      <c r="CL391" s="452"/>
      <c r="CM391" s="450" t="str">
        <f t="shared" si="570"/>
        <v/>
      </c>
      <c r="CN391" s="328"/>
      <c r="CO391" s="197" t="str">
        <f>IF(AND($I391="x",AND(MAX(CK391:CM391)=CK391,CK391&lt;&gt;"")),Data!$BI$2,"")</f>
        <v/>
      </c>
      <c r="CP391" s="197" t="str">
        <f>IF(AND($J391="x",AND(MAX(CK391:CM391)=CL391,CL391&lt;&gt;"")),Data!$BJ$2,"")</f>
        <v/>
      </c>
      <c r="CQ391" s="197" t="str">
        <f>IF(AND($K391="x",AND(MAX(CK391:CM391)=CM391,CM391&lt;&gt;"")),Data!$BK$2,"")</f>
        <v/>
      </c>
      <c r="CR391" s="197"/>
      <c r="CS391" s="197"/>
      <c r="CT391" s="328"/>
      <c r="CU391" s="259"/>
      <c r="CV391" s="209"/>
      <c r="CW391" s="227"/>
    </row>
    <row r="392" spans="1:101" x14ac:dyDescent="0.2">
      <c r="A392" s="227"/>
      <c r="B392" s="227"/>
      <c r="C392" s="168"/>
      <c r="D392" s="232"/>
      <c r="E392" s="135" t="s">
        <v>271</v>
      </c>
      <c r="F392" s="425"/>
      <c r="G392" s="430" t="s">
        <v>51</v>
      </c>
      <c r="H392" s="431"/>
      <c r="I392" s="346" t="str">
        <f t="shared" si="557"/>
        <v/>
      </c>
      <c r="J392" s="347" t="str">
        <f t="shared" si="558"/>
        <v/>
      </c>
      <c r="K392" s="348" t="str">
        <f t="shared" si="559"/>
        <v/>
      </c>
      <c r="L392" s="258"/>
      <c r="M392" s="332"/>
      <c r="N392" s="336"/>
      <c r="O392" s="200"/>
      <c r="P392" s="200"/>
      <c r="Q392" s="439"/>
      <c r="R392" s="440"/>
      <c r="S392" s="441" t="str">
        <f t="shared" si="560"/>
        <v/>
      </c>
      <c r="T392" s="328"/>
      <c r="U392" s="197" t="str">
        <f>IF(AND($I392="x",AND(MAX(Q392:S392)=Q392,Q392&gt;=0)),Data!$BI$2,"")</f>
        <v/>
      </c>
      <c r="V392" s="197" t="str">
        <f>IF(AND($J392="x",AND(MAX(Q392:S392)=R392,R392&gt;=0)),Data!$BJ$2,"")</f>
        <v/>
      </c>
      <c r="W392" s="197" t="str">
        <f>IF(AND($K392="x",AND(MAX(Q392:S392)=S392,S392&gt;=0)),Data!$BK$2,"")</f>
        <v/>
      </c>
      <c r="X392" s="197"/>
      <c r="Y392" s="328"/>
      <c r="Z392" s="453"/>
      <c r="AA392" s="454"/>
      <c r="AB392" s="441" t="str">
        <f t="shared" si="561"/>
        <v/>
      </c>
      <c r="AC392" s="328"/>
      <c r="AD392" s="197" t="str">
        <f>IF(AND($I392="x",AND(MAX(Z392:AB392)=Z392,Z392&lt;&gt;"")),Data!$BI$2,"")</f>
        <v/>
      </c>
      <c r="AE392" s="197" t="str">
        <f>IF(AND($J392="x",AND(MAX(Z392:AB392)=AA392,AA392&lt;&gt;"")),Data!$BJ$2,"")</f>
        <v/>
      </c>
      <c r="AF392" s="197" t="str">
        <f>IF(AND($K392="x",AND(MAX(Z392:AB392)=AB392,AB392&lt;&gt;"")),Data!$BK$2,"")</f>
        <v/>
      </c>
      <c r="AG392" s="197"/>
      <c r="AH392" s="328"/>
      <c r="AI392" s="453"/>
      <c r="AJ392" s="454"/>
      <c r="AK392" s="441" t="str">
        <f t="shared" si="562"/>
        <v/>
      </c>
      <c r="AL392" s="328"/>
      <c r="AM392" s="197" t="str">
        <f>IF(AND($I392="x",AND(MAX(AI392:AK392)=AI392,AI392&lt;&gt;"")),Data!$BI$2,"")</f>
        <v/>
      </c>
      <c r="AN392" s="197" t="str">
        <f>IF(AND($J392="x",AND(MAX(AI392:AK392)=AJ392,AJ392&lt;&gt;"")),Data!$BJ$2,"")</f>
        <v/>
      </c>
      <c r="AO392" s="197" t="str">
        <f>IF(AND($K392="x",AND(MAX(AI392:AK392)=AK392,AK392&lt;&gt;"")),Data!$BK$2,"")</f>
        <v/>
      </c>
      <c r="AP392" s="197"/>
      <c r="AQ392" s="328"/>
      <c r="AR392" s="453"/>
      <c r="AS392" s="454"/>
      <c r="AT392" s="441" t="str">
        <f t="shared" si="563"/>
        <v/>
      </c>
      <c r="AU392" s="328"/>
      <c r="AV392" s="197" t="str">
        <f>IF(AND($I392="x",AND(MAX(AR392:AT392)=AR392,AR392&lt;&gt;"")),Data!$BI$2,"")</f>
        <v/>
      </c>
      <c r="AW392" s="197" t="str">
        <f>IF(AND($J392="x",AND(MAX(AR392:AT392)=AS392,AS392&lt;&gt;"")),Data!$BJ$2,"")</f>
        <v/>
      </c>
      <c r="AX392" s="197" t="str">
        <f>IF(AND($K392="x",AND(MAX(AR392:AT392)=AT392,AT392&lt;&gt;"")),Data!$BK$2,"")</f>
        <v/>
      </c>
      <c r="AY392" s="197"/>
      <c r="AZ392" s="328"/>
      <c r="BA392" s="453"/>
      <c r="BB392" s="454"/>
      <c r="BC392" s="441" t="str">
        <f t="shared" si="564"/>
        <v/>
      </c>
      <c r="BD392" s="328"/>
      <c r="BE392" s="197" t="str">
        <f>IF(AND($I392="x",AND(MAX(BA392:BC392)=BA392,BA392&lt;&gt;"")),Data!$BI$2,"")</f>
        <v/>
      </c>
      <c r="BF392" s="197" t="str">
        <f>IF(AND($J392="x",AND(MAX(BA392:BC392)=BB392,BB392&lt;&gt;"")),Data!$BJ$2,"")</f>
        <v/>
      </c>
      <c r="BG392" s="197" t="str">
        <f>IF(AND($K392="x",AND(MAX(BA392:BC392)=BC392,BC392&lt;&gt;"")),Data!$BK$2,"")</f>
        <v/>
      </c>
      <c r="BH392" s="197"/>
      <c r="BI392" s="328"/>
      <c r="BJ392" s="453"/>
      <c r="BK392" s="454"/>
      <c r="BL392" s="441" t="str">
        <f t="shared" si="565"/>
        <v/>
      </c>
      <c r="BM392" s="328"/>
      <c r="BN392" s="197" t="str">
        <f>IF(AND($I392="x",AND(MAX(BJ392:BL392)=BJ392,BJ392&lt;&gt;"")),Data!$BI$2,"")</f>
        <v/>
      </c>
      <c r="BO392" s="197" t="str">
        <f>IF(AND($J392="x",AND(MAX(BJ392:BL392)=BK392,BK392&lt;&gt;"")),Data!$BJ$2,"")</f>
        <v/>
      </c>
      <c r="BP392" s="197" t="str">
        <f>IF(AND($K392="x",AND(MAX(BJ392:BL392)=BL392,BL392&lt;&gt;"")),Data!$BK$2,"")</f>
        <v/>
      </c>
      <c r="BQ392" s="197"/>
      <c r="BR392" s="328"/>
      <c r="BS392" s="453"/>
      <c r="BT392" s="454"/>
      <c r="BU392" s="441" t="str">
        <f t="shared" si="566"/>
        <v/>
      </c>
      <c r="BV392" s="328"/>
      <c r="BW392" s="197" t="str">
        <f>IF(AND($I392="x",AND(MAX(BS392:BU392)=BS392,BS392&lt;&gt;"")),Data!$BI$2,"")</f>
        <v/>
      </c>
      <c r="BX392" s="197" t="str">
        <f>IF(AND($J392="x",AND(MAX(BS392:BU392)=BT392,BT392&lt;&gt;"")),Data!$BJ$2,"")</f>
        <v/>
      </c>
      <c r="BY392" s="197" t="str">
        <f>IF(AND($K392="x",AND(MAX(BS392:BU392)=BU392,BU392&lt;&gt;"")),Data!$BK$2,"")</f>
        <v/>
      </c>
      <c r="BZ392" s="197"/>
      <c r="CA392" s="328"/>
      <c r="CB392" s="460" t="str">
        <f t="shared" si="567"/>
        <v/>
      </c>
      <c r="CC392" s="461" t="str">
        <f t="shared" si="568"/>
        <v/>
      </c>
      <c r="CD392" s="462" t="str">
        <f t="shared" si="569"/>
        <v/>
      </c>
      <c r="CE392" s="328"/>
      <c r="CF392" s="197" t="str">
        <f>IF(AND($I392="x",AND(MAX(CB392:CD392)=CB392,CB392&lt;&gt;"")),Data!$BI$2,"")</f>
        <v/>
      </c>
      <c r="CG392" s="197" t="str">
        <f>IF(AND($J392="x",AND(MAX(CB392:CD392)=CC392,CC392&lt;&gt;"")),Data!$BJ$2,"")</f>
        <v/>
      </c>
      <c r="CH392" s="197" t="str">
        <f>IF(AND($K392="x",AND(MAX(CB392:CD392)=CD392,CD392&lt;&gt;"")),Data!$BK$2,"")</f>
        <v/>
      </c>
      <c r="CI392" s="197"/>
      <c r="CJ392" s="197"/>
      <c r="CK392" s="453"/>
      <c r="CL392" s="454"/>
      <c r="CM392" s="441" t="str">
        <f t="shared" si="570"/>
        <v/>
      </c>
      <c r="CN392" s="328"/>
      <c r="CO392" s="197" t="str">
        <f>IF(AND($I392="x",AND(MAX(CK392:CM392)=CK392,CK392&lt;&gt;"")),Data!$BI$2,"")</f>
        <v/>
      </c>
      <c r="CP392" s="197" t="str">
        <f>IF(AND($J392="x",AND(MAX(CK392:CM392)=CL392,CL392&lt;&gt;"")),Data!$BJ$2,"")</f>
        <v/>
      </c>
      <c r="CQ392" s="197" t="str">
        <f>IF(AND($K392="x",AND(MAX(CK392:CM392)=CM392,CM392&lt;&gt;"")),Data!$BK$2,"")</f>
        <v/>
      </c>
      <c r="CR392" s="197"/>
      <c r="CS392" s="197"/>
      <c r="CT392" s="328"/>
      <c r="CU392" s="259"/>
      <c r="CV392" s="209"/>
      <c r="CW392" s="227"/>
    </row>
    <row r="393" spans="1:101" x14ac:dyDescent="0.2">
      <c r="A393" s="227"/>
      <c r="B393" s="227"/>
      <c r="C393" s="168"/>
      <c r="D393" s="232"/>
      <c r="E393" s="136" t="s">
        <v>272</v>
      </c>
      <c r="F393" s="426"/>
      <c r="G393" s="432" t="s">
        <v>51</v>
      </c>
      <c r="H393" s="433"/>
      <c r="I393" s="349" t="str">
        <f t="shared" si="557"/>
        <v/>
      </c>
      <c r="J393" s="350" t="str">
        <f t="shared" si="558"/>
        <v/>
      </c>
      <c r="K393" s="351" t="str">
        <f t="shared" si="559"/>
        <v/>
      </c>
      <c r="L393" s="258"/>
      <c r="M393" s="332"/>
      <c r="N393" s="336"/>
      <c r="O393" s="200"/>
      <c r="P393" s="200"/>
      <c r="Q393" s="445"/>
      <c r="R393" s="446"/>
      <c r="S393" s="447" t="str">
        <f t="shared" si="560"/>
        <v/>
      </c>
      <c r="T393" s="328"/>
      <c r="U393" s="197" t="str">
        <f>IF(AND($I393="x",AND(MAX(Q393:S393)=Q393,Q393&gt;=0)),Data!$BI$2,"")</f>
        <v/>
      </c>
      <c r="V393" s="197" t="str">
        <f>IF(AND($J393="x",AND(MAX(Q393:S393)=R393,R393&gt;=0)),Data!$BJ$2,"")</f>
        <v/>
      </c>
      <c r="W393" s="197" t="str">
        <f>IF(AND($K393="x",AND(MAX(Q393:S393)=S393,S393&gt;=0)),Data!$BK$2,"")</f>
        <v/>
      </c>
      <c r="X393" s="197"/>
      <c r="Y393" s="328"/>
      <c r="Z393" s="455"/>
      <c r="AA393" s="456"/>
      <c r="AB393" s="447" t="str">
        <f t="shared" si="561"/>
        <v/>
      </c>
      <c r="AC393" s="328"/>
      <c r="AD393" s="197" t="str">
        <f>IF(AND($I393="x",AND(MAX(Z393:AB393)=Z393,Z393&lt;&gt;"")),Data!$BI$2,"")</f>
        <v/>
      </c>
      <c r="AE393" s="197" t="str">
        <f>IF(AND($J393="x",AND(MAX(Z393:AB393)=AA393,AA393&lt;&gt;"")),Data!$BJ$2,"")</f>
        <v/>
      </c>
      <c r="AF393" s="197" t="str">
        <f>IF(AND($K393="x",AND(MAX(Z393:AB393)=AB393,AB393&lt;&gt;"")),Data!$BK$2,"")</f>
        <v/>
      </c>
      <c r="AG393" s="197"/>
      <c r="AH393" s="328"/>
      <c r="AI393" s="455"/>
      <c r="AJ393" s="456"/>
      <c r="AK393" s="447" t="str">
        <f t="shared" si="562"/>
        <v/>
      </c>
      <c r="AL393" s="328"/>
      <c r="AM393" s="197" t="str">
        <f>IF(AND($I393="x",AND(MAX(AI393:AK393)=AI393,AI393&lt;&gt;"")),Data!$BI$2,"")</f>
        <v/>
      </c>
      <c r="AN393" s="197" t="str">
        <f>IF(AND($J393="x",AND(MAX(AI393:AK393)=AJ393,AJ393&lt;&gt;"")),Data!$BJ$2,"")</f>
        <v/>
      </c>
      <c r="AO393" s="197" t="str">
        <f>IF(AND($K393="x",AND(MAX(AI393:AK393)=AK393,AK393&lt;&gt;"")),Data!$BK$2,"")</f>
        <v/>
      </c>
      <c r="AP393" s="197"/>
      <c r="AQ393" s="328"/>
      <c r="AR393" s="455"/>
      <c r="AS393" s="456"/>
      <c r="AT393" s="447" t="str">
        <f t="shared" si="563"/>
        <v/>
      </c>
      <c r="AU393" s="328"/>
      <c r="AV393" s="197" t="str">
        <f>IF(AND($I393="x",AND(MAX(AR393:AT393)=AR393,AR393&lt;&gt;"")),Data!$BI$2,"")</f>
        <v/>
      </c>
      <c r="AW393" s="197" t="str">
        <f>IF(AND($J393="x",AND(MAX(AR393:AT393)=AS393,AS393&lt;&gt;"")),Data!$BJ$2,"")</f>
        <v/>
      </c>
      <c r="AX393" s="197" t="str">
        <f>IF(AND($K393="x",AND(MAX(AR393:AT393)=AT393,AT393&lt;&gt;"")),Data!$BK$2,"")</f>
        <v/>
      </c>
      <c r="AY393" s="197"/>
      <c r="AZ393" s="328"/>
      <c r="BA393" s="455"/>
      <c r="BB393" s="456"/>
      <c r="BC393" s="447" t="str">
        <f t="shared" si="564"/>
        <v/>
      </c>
      <c r="BD393" s="328"/>
      <c r="BE393" s="197" t="str">
        <f>IF(AND($I393="x",AND(MAX(BA393:BC393)=BA393,BA393&lt;&gt;"")),Data!$BI$2,"")</f>
        <v/>
      </c>
      <c r="BF393" s="197" t="str">
        <f>IF(AND($J393="x",AND(MAX(BA393:BC393)=BB393,BB393&lt;&gt;"")),Data!$BJ$2,"")</f>
        <v/>
      </c>
      <c r="BG393" s="197" t="str">
        <f>IF(AND($K393="x",AND(MAX(BA393:BC393)=BC393,BC393&lt;&gt;"")),Data!$BK$2,"")</f>
        <v/>
      </c>
      <c r="BH393" s="197"/>
      <c r="BI393" s="328"/>
      <c r="BJ393" s="455"/>
      <c r="BK393" s="456"/>
      <c r="BL393" s="447" t="str">
        <f t="shared" si="565"/>
        <v/>
      </c>
      <c r="BM393" s="328"/>
      <c r="BN393" s="197" t="str">
        <f>IF(AND($I393="x",AND(MAX(BJ393:BL393)=BJ393,BJ393&lt;&gt;"")),Data!$BI$2,"")</f>
        <v/>
      </c>
      <c r="BO393" s="197" t="str">
        <f>IF(AND($J393="x",AND(MAX(BJ393:BL393)=BK393,BK393&lt;&gt;"")),Data!$BJ$2,"")</f>
        <v/>
      </c>
      <c r="BP393" s="197" t="str">
        <f>IF(AND($K393="x",AND(MAX(BJ393:BL393)=BL393,BL393&lt;&gt;"")),Data!$BK$2,"")</f>
        <v/>
      </c>
      <c r="BQ393" s="197"/>
      <c r="BR393" s="328"/>
      <c r="BS393" s="455"/>
      <c r="BT393" s="456"/>
      <c r="BU393" s="447" t="str">
        <f t="shared" si="566"/>
        <v/>
      </c>
      <c r="BV393" s="328"/>
      <c r="BW393" s="197" t="str">
        <f>IF(AND($I393="x",AND(MAX(BS393:BU393)=BS393,BS393&lt;&gt;"")),Data!$BI$2,"")</f>
        <v/>
      </c>
      <c r="BX393" s="197" t="str">
        <f>IF(AND($J393="x",AND(MAX(BS393:BU393)=BT393,BT393&lt;&gt;"")),Data!$BJ$2,"")</f>
        <v/>
      </c>
      <c r="BY393" s="197" t="str">
        <f>IF(AND($K393="x",AND(MAX(BS393:BU393)=BU393,BU393&lt;&gt;"")),Data!$BK$2,"")</f>
        <v/>
      </c>
      <c r="BZ393" s="197"/>
      <c r="CA393" s="328"/>
      <c r="CB393" s="463" t="str">
        <f t="shared" si="567"/>
        <v/>
      </c>
      <c r="CC393" s="464" t="str">
        <f t="shared" si="568"/>
        <v/>
      </c>
      <c r="CD393" s="465" t="str">
        <f t="shared" si="569"/>
        <v/>
      </c>
      <c r="CE393" s="328"/>
      <c r="CF393" s="197" t="str">
        <f>IF(AND($I393="x",AND(MAX(CB393:CD393)=CB393,CB393&lt;&gt;"")),Data!$BI$2,"")</f>
        <v/>
      </c>
      <c r="CG393" s="197" t="str">
        <f>IF(AND($J393="x",AND(MAX(CB393:CD393)=CC393,CC393&lt;&gt;"")),Data!$BJ$2,"")</f>
        <v/>
      </c>
      <c r="CH393" s="197" t="str">
        <f>IF(AND($K393="x",AND(MAX(CB393:CD393)=CD393,CD393&lt;&gt;"")),Data!$BK$2,"")</f>
        <v/>
      </c>
      <c r="CI393" s="197"/>
      <c r="CJ393" s="197"/>
      <c r="CK393" s="455"/>
      <c r="CL393" s="456"/>
      <c r="CM393" s="447" t="str">
        <f t="shared" si="570"/>
        <v/>
      </c>
      <c r="CN393" s="328"/>
      <c r="CO393" s="197" t="str">
        <f>IF(AND($I393="x",AND(MAX(CK393:CM393)=CK393,CK393&lt;&gt;"")),Data!$BI$2,"")</f>
        <v/>
      </c>
      <c r="CP393" s="197" t="str">
        <f>IF(AND($J393="x",AND(MAX(CK393:CM393)=CL393,CL393&lt;&gt;"")),Data!$BJ$2,"")</f>
        <v/>
      </c>
      <c r="CQ393" s="197" t="str">
        <f>IF(AND($K393="x",AND(MAX(CK393:CM393)=CM393,CM393&lt;&gt;"")),Data!$BK$2,"")</f>
        <v/>
      </c>
      <c r="CR393" s="197"/>
      <c r="CS393" s="197"/>
      <c r="CT393" s="328"/>
      <c r="CU393" s="259"/>
      <c r="CV393" s="209"/>
      <c r="CW393" s="227"/>
    </row>
    <row r="394" spans="1:101" x14ac:dyDescent="0.2">
      <c r="A394" s="227"/>
      <c r="B394" s="227"/>
      <c r="C394" s="168"/>
      <c r="D394" s="233"/>
      <c r="E394" s="199"/>
      <c r="F394" s="352" t="str">
        <f>IF(SUM(F382:F393)=0,"",SUM(F382:F393))</f>
        <v/>
      </c>
      <c r="G394" s="327" t="s">
        <v>51</v>
      </c>
      <c r="H394" s="353" t="str">
        <f>IF(SUM(H382:H393)=0,"",SUM(H382:H393))</f>
        <v/>
      </c>
      <c r="I394" s="354" t="str">
        <f>IF(COUNTIF(I382:I393,"=x")=0,"",COUNTIF(I382:I393,"=x"))</f>
        <v/>
      </c>
      <c r="J394" s="355" t="str">
        <f>IF(COUNTIF(J382:J393,"=x")=0,"",COUNTIF(J382:J393,"=x"))</f>
        <v/>
      </c>
      <c r="K394" s="356" t="str">
        <f>IF(COUNTIF(K382:K393,"=x")=0,"",COUNTIF(K382:K393,"=x"))</f>
        <v/>
      </c>
      <c r="L394" s="258"/>
      <c r="M394" s="332"/>
      <c r="N394" s="336"/>
      <c r="O394" s="200"/>
      <c r="P394" s="326"/>
      <c r="Q394" s="422">
        <f>SUM(U382:U393)</f>
        <v>0</v>
      </c>
      <c r="R394" s="422">
        <f t="shared" ref="R394:S394" si="571">SUM(V382:V393)</f>
        <v>0</v>
      </c>
      <c r="S394" s="422">
        <f t="shared" si="571"/>
        <v>0</v>
      </c>
      <c r="T394" s="325"/>
      <c r="U394" s="197">
        <f>SUM(U382:U393)</f>
        <v>0</v>
      </c>
      <c r="V394" s="197">
        <f t="shared" ref="V394:W394" si="572">SUM(V382:V393)</f>
        <v>0</v>
      </c>
      <c r="W394" s="197">
        <f t="shared" si="572"/>
        <v>0</v>
      </c>
      <c r="X394" s="197"/>
      <c r="Y394" s="324"/>
      <c r="Z394" s="422">
        <f>SUM(AD382:AD393)</f>
        <v>0</v>
      </c>
      <c r="AA394" s="422">
        <f t="shared" ref="AA394:AB394" si="573">SUM(AE382:AE393)</f>
        <v>0</v>
      </c>
      <c r="AB394" s="422">
        <f t="shared" si="573"/>
        <v>0</v>
      </c>
      <c r="AC394" s="325"/>
      <c r="AD394" s="197">
        <f>SUM(AD382:AD393)</f>
        <v>0</v>
      </c>
      <c r="AE394" s="197">
        <f t="shared" ref="AE394:AF394" si="574">SUM(AE382:AE393)</f>
        <v>0</v>
      </c>
      <c r="AF394" s="197">
        <f t="shared" si="574"/>
        <v>0</v>
      </c>
      <c r="AG394" s="197"/>
      <c r="AH394" s="324"/>
      <c r="AI394" s="422">
        <f>SUM(AM382:AM393)</f>
        <v>0</v>
      </c>
      <c r="AJ394" s="422">
        <f t="shared" ref="AJ394:AK394" si="575">SUM(AN382:AN393)</f>
        <v>0</v>
      </c>
      <c r="AK394" s="422">
        <f t="shared" si="575"/>
        <v>0</v>
      </c>
      <c r="AL394" s="325"/>
      <c r="AM394" s="197">
        <f>SUM(AM382:AM393)</f>
        <v>0</v>
      </c>
      <c r="AN394" s="197">
        <f t="shared" ref="AN394:AO394" si="576">SUM(AN382:AN393)</f>
        <v>0</v>
      </c>
      <c r="AO394" s="197">
        <f t="shared" si="576"/>
        <v>0</v>
      </c>
      <c r="AP394" s="197"/>
      <c r="AQ394" s="324"/>
      <c r="AR394" s="422">
        <f>SUM(AV382:AV393)</f>
        <v>0</v>
      </c>
      <c r="AS394" s="422">
        <f t="shared" ref="AS394:AT394" si="577">SUM(AW382:AW393)</f>
        <v>0</v>
      </c>
      <c r="AT394" s="422">
        <f t="shared" si="577"/>
        <v>0</v>
      </c>
      <c r="AU394" s="325"/>
      <c r="AV394" s="197">
        <f>SUM(AV382:AV393)</f>
        <v>0</v>
      </c>
      <c r="AW394" s="197">
        <f t="shared" ref="AW394:AX394" si="578">SUM(AW382:AW393)</f>
        <v>0</v>
      </c>
      <c r="AX394" s="197">
        <f t="shared" si="578"/>
        <v>0</v>
      </c>
      <c r="AY394" s="197"/>
      <c r="AZ394" s="324"/>
      <c r="BA394" s="422">
        <f>SUM(BE382:BE393)</f>
        <v>0</v>
      </c>
      <c r="BB394" s="422">
        <f t="shared" ref="BB394:BC394" si="579">SUM(BF382:BF393)</f>
        <v>0</v>
      </c>
      <c r="BC394" s="422">
        <f t="shared" si="579"/>
        <v>0</v>
      </c>
      <c r="BD394" s="325"/>
      <c r="BE394" s="197">
        <f>SUM(BE382:BE393)</f>
        <v>0</v>
      </c>
      <c r="BF394" s="197">
        <f t="shared" ref="BF394:BG394" si="580">SUM(BF382:BF393)</f>
        <v>0</v>
      </c>
      <c r="BG394" s="197">
        <f t="shared" si="580"/>
        <v>0</v>
      </c>
      <c r="BH394" s="197"/>
      <c r="BI394" s="324"/>
      <c r="BJ394" s="422">
        <f>SUM(BN382:BN393)</f>
        <v>0</v>
      </c>
      <c r="BK394" s="422">
        <f t="shared" ref="BK394" si="581">SUM(BO382:BO393)</f>
        <v>0</v>
      </c>
      <c r="BL394" s="422">
        <f t="shared" ref="BL394" si="582">SUM(BP382:BP393)</f>
        <v>0</v>
      </c>
      <c r="BM394" s="325"/>
      <c r="BN394" s="197">
        <f>SUM(BN382:BN393)</f>
        <v>0</v>
      </c>
      <c r="BO394" s="197">
        <f t="shared" ref="BO394:BP394" si="583">SUM(BO382:BO393)</f>
        <v>0</v>
      </c>
      <c r="BP394" s="197">
        <f t="shared" si="583"/>
        <v>0</v>
      </c>
      <c r="BQ394" s="197"/>
      <c r="BR394" s="324"/>
      <c r="BS394" s="422">
        <f>SUM(BW382:BW393)</f>
        <v>0</v>
      </c>
      <c r="BT394" s="422">
        <f t="shared" ref="BT394:BU394" si="584">SUM(BX382:BX393)</f>
        <v>0</v>
      </c>
      <c r="BU394" s="422">
        <f t="shared" si="584"/>
        <v>0</v>
      </c>
      <c r="BV394" s="325"/>
      <c r="BW394" s="197">
        <f>SUM(BW382:BW393)</f>
        <v>0</v>
      </c>
      <c r="BX394" s="197">
        <f t="shared" ref="BX394:BY394" si="585">SUM(BX382:BX393)</f>
        <v>0</v>
      </c>
      <c r="BY394" s="197">
        <f t="shared" si="585"/>
        <v>0</v>
      </c>
      <c r="BZ394" s="197"/>
      <c r="CA394" s="326"/>
      <c r="CB394" s="422">
        <f>SUM(CF382:CF393)</f>
        <v>0</v>
      </c>
      <c r="CC394" s="422">
        <f t="shared" ref="CC394:CD394" si="586">SUM(CG382:CG393)</f>
        <v>0</v>
      </c>
      <c r="CD394" s="422">
        <f t="shared" si="586"/>
        <v>0</v>
      </c>
      <c r="CE394" s="325"/>
      <c r="CF394" s="197">
        <f>SUM(CF382:CF393)</f>
        <v>0</v>
      </c>
      <c r="CG394" s="197">
        <f t="shared" ref="CG394:CH394" si="587">SUM(CG382:CG393)</f>
        <v>0</v>
      </c>
      <c r="CH394" s="197">
        <f t="shared" si="587"/>
        <v>0</v>
      </c>
      <c r="CI394" s="197"/>
      <c r="CJ394" s="197"/>
      <c r="CK394" s="422">
        <f>SUM(CO382:CO393)</f>
        <v>0</v>
      </c>
      <c r="CL394" s="422">
        <f t="shared" ref="CL394:CM394" si="588">SUM(CP382:CP393)</f>
        <v>0</v>
      </c>
      <c r="CM394" s="422">
        <f t="shared" si="588"/>
        <v>0</v>
      </c>
      <c r="CN394" s="325"/>
      <c r="CO394" s="197">
        <f>SUM(CO382:CO393)</f>
        <v>0</v>
      </c>
      <c r="CP394" s="197">
        <f t="shared" ref="CP394:CQ394" si="589">SUM(CP382:CP393)</f>
        <v>0</v>
      </c>
      <c r="CQ394" s="197">
        <f t="shared" si="589"/>
        <v>0</v>
      </c>
      <c r="CR394" s="197"/>
      <c r="CS394" s="197"/>
      <c r="CT394" s="197"/>
      <c r="CU394" s="259"/>
      <c r="CV394" s="209"/>
      <c r="CW394" s="228"/>
    </row>
    <row r="395" spans="1:101" x14ac:dyDescent="0.2">
      <c r="A395" s="227"/>
      <c r="B395" s="227"/>
      <c r="C395" s="168"/>
      <c r="D395" s="249"/>
      <c r="E395" s="242"/>
      <c r="F395" s="243"/>
      <c r="G395" s="242"/>
      <c r="H395" s="242"/>
      <c r="I395" s="242"/>
      <c r="J395" s="242"/>
      <c r="K395" s="242"/>
      <c r="L395" s="252"/>
      <c r="M395" s="260"/>
      <c r="N395" s="337"/>
      <c r="O395" s="333"/>
      <c r="P395" s="244"/>
      <c r="Q395" s="245"/>
      <c r="R395" s="245"/>
      <c r="S395" s="245"/>
      <c r="T395" s="246"/>
      <c r="U395" s="247"/>
      <c r="V395" s="247"/>
      <c r="W395" s="247"/>
      <c r="X395" s="247"/>
      <c r="Y395" s="244"/>
      <c r="Z395" s="245"/>
      <c r="AA395" s="245"/>
      <c r="AB395" s="245"/>
      <c r="AC395" s="246"/>
      <c r="AD395" s="247"/>
      <c r="AE395" s="247"/>
      <c r="AF395" s="247"/>
      <c r="AG395" s="247"/>
      <c r="AH395" s="244"/>
      <c r="AI395" s="245"/>
      <c r="AJ395" s="245"/>
      <c r="AK395" s="245"/>
      <c r="AL395" s="246"/>
      <c r="AM395" s="247"/>
      <c r="AN395" s="247"/>
      <c r="AO395" s="247"/>
      <c r="AP395" s="247"/>
      <c r="AQ395" s="244"/>
      <c r="AR395" s="245"/>
      <c r="AS395" s="245"/>
      <c r="AT395" s="245"/>
      <c r="AU395" s="246"/>
      <c r="AV395" s="247"/>
      <c r="AW395" s="247"/>
      <c r="AX395" s="247"/>
      <c r="AY395" s="247"/>
      <c r="AZ395" s="244"/>
      <c r="BA395" s="245"/>
      <c r="BB395" s="245"/>
      <c r="BC395" s="245"/>
      <c r="BD395" s="246"/>
      <c r="BE395" s="247"/>
      <c r="BF395" s="247"/>
      <c r="BG395" s="247"/>
      <c r="BH395" s="247"/>
      <c r="BI395" s="244"/>
      <c r="BJ395" s="244"/>
      <c r="BK395" s="244"/>
      <c r="BL395" s="244"/>
      <c r="BM395" s="244"/>
      <c r="BN395" s="247"/>
      <c r="BO395" s="247"/>
      <c r="BP395" s="247"/>
      <c r="BQ395" s="247"/>
      <c r="BR395" s="244"/>
      <c r="BS395" s="244"/>
      <c r="BT395" s="244"/>
      <c r="BU395" s="244"/>
      <c r="BV395" s="244"/>
      <c r="BW395" s="247"/>
      <c r="BX395" s="247"/>
      <c r="BY395" s="247"/>
      <c r="BZ395" s="247"/>
      <c r="CA395" s="244"/>
      <c r="CB395" s="244"/>
      <c r="CC395" s="244"/>
      <c r="CD395" s="244"/>
      <c r="CE395" s="244"/>
      <c r="CF395" s="247"/>
      <c r="CG395" s="247"/>
      <c r="CH395" s="247"/>
      <c r="CI395" s="247"/>
      <c r="CJ395" s="248"/>
      <c r="CK395" s="248"/>
      <c r="CL395" s="248"/>
      <c r="CM395" s="248"/>
      <c r="CN395" s="248"/>
      <c r="CO395" s="247"/>
      <c r="CP395" s="247"/>
      <c r="CQ395" s="247"/>
      <c r="CR395" s="247"/>
      <c r="CS395" s="248"/>
      <c r="CT395" s="242"/>
      <c r="CU395" s="253"/>
      <c r="CV395" s="209"/>
      <c r="CW395" s="228"/>
    </row>
    <row r="396" spans="1:101" x14ac:dyDescent="0.2">
      <c r="A396" s="219"/>
      <c r="B396" s="219"/>
      <c r="C396" s="175"/>
      <c r="D396" s="176"/>
      <c r="E396" s="210"/>
      <c r="F396" s="211"/>
      <c r="G396" s="210"/>
      <c r="H396" s="210"/>
      <c r="I396" s="210"/>
      <c r="J396" s="210"/>
      <c r="K396" s="210"/>
      <c r="L396" s="212"/>
      <c r="M396" s="213"/>
      <c r="N396" s="213"/>
      <c r="O396" s="213"/>
      <c r="P396" s="213"/>
      <c r="Q396" s="210"/>
      <c r="R396" s="210"/>
      <c r="S396" s="210"/>
      <c r="T396" s="214"/>
      <c r="U396" s="215"/>
      <c r="V396" s="215"/>
      <c r="W396" s="215"/>
      <c r="X396" s="215"/>
      <c r="Y396" s="213"/>
      <c r="Z396" s="210"/>
      <c r="AA396" s="210"/>
      <c r="AB396" s="210"/>
      <c r="AC396" s="214"/>
      <c r="AD396" s="215"/>
      <c r="AE396" s="215"/>
      <c r="AF396" s="215"/>
      <c r="AG396" s="215"/>
      <c r="AH396" s="213"/>
      <c r="AI396" s="210"/>
      <c r="AJ396" s="210"/>
      <c r="AK396" s="210"/>
      <c r="AL396" s="214"/>
      <c r="AM396" s="215"/>
      <c r="AN396" s="215"/>
      <c r="AO396" s="215"/>
      <c r="AP396" s="215"/>
      <c r="AQ396" s="213"/>
      <c r="AR396" s="210"/>
      <c r="AS396" s="210"/>
      <c r="AT396" s="210"/>
      <c r="AU396" s="214"/>
      <c r="AV396" s="215"/>
      <c r="AW396" s="215"/>
      <c r="AX396" s="215"/>
      <c r="AY396" s="215"/>
      <c r="AZ396" s="213"/>
      <c r="BA396" s="210"/>
      <c r="BB396" s="210"/>
      <c r="BC396" s="210"/>
      <c r="BD396" s="214"/>
      <c r="BE396" s="215"/>
      <c r="BF396" s="215"/>
      <c r="BG396" s="215"/>
      <c r="BH396" s="215"/>
      <c r="BI396" s="213"/>
      <c r="BJ396" s="210"/>
      <c r="BK396" s="210"/>
      <c r="BL396" s="210"/>
      <c r="BM396" s="214"/>
      <c r="BN396" s="215"/>
      <c r="BO396" s="215"/>
      <c r="BP396" s="215"/>
      <c r="BQ396" s="215"/>
      <c r="BR396" s="177"/>
      <c r="BS396" s="210"/>
      <c r="BT396" s="210"/>
      <c r="BU396" s="210"/>
      <c r="BV396" s="213"/>
      <c r="BW396" s="215"/>
      <c r="BX396" s="215"/>
      <c r="BY396" s="215"/>
      <c r="BZ396" s="215"/>
      <c r="CA396" s="210"/>
      <c r="CB396" s="216"/>
      <c r="CC396" s="216"/>
      <c r="CD396" s="216"/>
      <c r="CE396" s="216"/>
      <c r="CF396" s="215"/>
      <c r="CG396" s="215"/>
      <c r="CH396" s="215"/>
      <c r="CI396" s="215"/>
      <c r="CJ396" s="210"/>
      <c r="CK396" s="210"/>
      <c r="CL396" s="210"/>
      <c r="CM396" s="210"/>
      <c r="CN396" s="210"/>
      <c r="CO396" s="215"/>
      <c r="CP396" s="215"/>
      <c r="CQ396" s="215"/>
      <c r="CR396" s="215"/>
      <c r="CS396" s="210"/>
      <c r="CT396" s="210"/>
      <c r="CU396" s="210"/>
      <c r="CV396" s="217"/>
      <c r="CW396" s="218"/>
    </row>
    <row r="397" spans="1:101" ht="14.25" thickTop="1" thickBot="1" x14ac:dyDescent="0.25">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c r="AA397" s="218"/>
      <c r="AB397" s="218"/>
      <c r="AC397" s="218"/>
      <c r="AD397" s="218"/>
      <c r="AE397" s="218"/>
      <c r="AF397" s="218"/>
      <c r="AG397" s="218"/>
      <c r="AH397" s="218"/>
      <c r="AI397" s="218"/>
      <c r="AJ397" s="218"/>
      <c r="AK397" s="218"/>
      <c r="AL397" s="218"/>
      <c r="AM397" s="218"/>
      <c r="AN397" s="218"/>
      <c r="AO397" s="218"/>
      <c r="AP397" s="218"/>
      <c r="AQ397" s="218"/>
      <c r="AR397" s="218"/>
      <c r="AS397" s="218"/>
      <c r="AT397" s="218"/>
      <c r="AU397" s="218"/>
      <c r="AV397" s="218"/>
      <c r="AW397" s="218"/>
      <c r="AX397" s="218"/>
      <c r="AY397" s="218"/>
      <c r="AZ397" s="218"/>
      <c r="BA397" s="218"/>
      <c r="BB397" s="218"/>
      <c r="BC397" s="218"/>
      <c r="BD397" s="218"/>
      <c r="BE397" s="218"/>
      <c r="BF397" s="218"/>
      <c r="BG397" s="218"/>
      <c r="BH397" s="218"/>
      <c r="BI397" s="218"/>
      <c r="BJ397" s="218"/>
      <c r="BK397" s="218"/>
      <c r="BL397" s="218"/>
      <c r="BM397" s="218"/>
      <c r="BN397" s="218"/>
      <c r="BO397" s="218"/>
      <c r="BP397" s="218"/>
      <c r="BQ397" s="218"/>
      <c r="BR397" s="218"/>
      <c r="BS397" s="218"/>
      <c r="BT397" s="218"/>
      <c r="BU397" s="218"/>
      <c r="BV397" s="218"/>
      <c r="BW397" s="218"/>
      <c r="BX397" s="218"/>
      <c r="BY397" s="218"/>
      <c r="BZ397" s="218"/>
      <c r="CA397" s="218"/>
      <c r="CB397" s="392"/>
      <c r="CC397" s="392"/>
      <c r="CD397" s="392"/>
      <c r="CE397" s="392"/>
      <c r="CF397" s="218"/>
      <c r="CG397" s="218"/>
      <c r="CH397" s="218"/>
      <c r="CI397" s="218"/>
      <c r="CJ397" s="218"/>
      <c r="CK397" s="218"/>
      <c r="CL397" s="218"/>
      <c r="CM397" s="218"/>
      <c r="CN397" s="218"/>
      <c r="CO397" s="218"/>
      <c r="CP397" s="218"/>
      <c r="CQ397" s="218"/>
      <c r="CR397" s="218"/>
      <c r="CS397" s="218"/>
      <c r="CT397" s="218"/>
      <c r="CU397" s="218"/>
      <c r="CV397" s="218"/>
      <c r="CW397" s="218"/>
    </row>
    <row r="398" spans="1:101" ht="21" thickTop="1" x14ac:dyDescent="0.3">
      <c r="A398" s="219"/>
      <c r="B398" s="219"/>
      <c r="C398" s="157"/>
      <c r="D398" s="158"/>
      <c r="E398" s="731" t="s">
        <v>44</v>
      </c>
      <c r="F398" s="229"/>
      <c r="G398" s="229"/>
      <c r="H398" s="229"/>
      <c r="I398" s="877" t="e" vm="1">
        <v>#VALUE!</v>
      </c>
      <c r="J398" s="877"/>
      <c r="K398" s="877"/>
      <c r="L398" s="877"/>
      <c r="M398" s="159"/>
      <c r="N398" s="159"/>
      <c r="O398" s="159"/>
      <c r="P398" s="160"/>
      <c r="Q398" s="159"/>
      <c r="R398" s="159"/>
      <c r="S398" s="159"/>
      <c r="T398" s="161"/>
      <c r="U398" s="162"/>
      <c r="V398" s="162"/>
      <c r="W398" s="162"/>
      <c r="X398" s="162"/>
      <c r="Y398" s="160"/>
      <c r="Z398" s="159"/>
      <c r="AA398" s="159"/>
      <c r="AB398" s="159"/>
      <c r="AC398" s="161"/>
      <c r="AD398" s="162"/>
      <c r="AE398" s="162"/>
      <c r="AF398" s="162"/>
      <c r="AG398" s="162"/>
      <c r="AH398" s="160"/>
      <c r="AI398" s="159"/>
      <c r="AJ398" s="201"/>
      <c r="AK398" s="201"/>
      <c r="AL398" s="164"/>
      <c r="AM398" s="162"/>
      <c r="AN398" s="162"/>
      <c r="AO398" s="162"/>
      <c r="AP398" s="162"/>
      <c r="AQ398" s="202"/>
      <c r="AR398" s="203"/>
      <c r="AS398" s="165"/>
      <c r="AT398" s="166"/>
      <c r="AU398" s="164"/>
      <c r="AV398" s="162"/>
      <c r="AW398" s="162"/>
      <c r="AX398" s="162"/>
      <c r="AY398" s="162"/>
      <c r="AZ398" s="202"/>
      <c r="BA398" s="203"/>
      <c r="BB398" s="166"/>
      <c r="BC398" s="201"/>
      <c r="BD398" s="204"/>
      <c r="BE398" s="162"/>
      <c r="BF398" s="162"/>
      <c r="BG398" s="162"/>
      <c r="BH398" s="162"/>
      <c r="BI398" s="205"/>
      <c r="BJ398" s="201"/>
      <c r="BK398" s="201"/>
      <c r="BL398" s="201"/>
      <c r="BM398" s="204"/>
      <c r="BN398" s="162"/>
      <c r="BO398" s="162"/>
      <c r="BP398" s="162"/>
      <c r="BQ398" s="162"/>
      <c r="BR398" s="167"/>
      <c r="BS398" s="201"/>
      <c r="BT398" s="201"/>
      <c r="BU398" s="201"/>
      <c r="BV398" s="205"/>
      <c r="BW398" s="162"/>
      <c r="BX398" s="162"/>
      <c r="BY398" s="162"/>
      <c r="BZ398" s="162"/>
      <c r="CA398" s="201"/>
      <c r="CB398" s="393"/>
      <c r="CC398" s="393"/>
      <c r="CD398" s="393"/>
      <c r="CE398" s="393"/>
      <c r="CF398" s="162"/>
      <c r="CG398" s="162"/>
      <c r="CH398" s="162"/>
      <c r="CI398" s="162"/>
      <c r="CJ398" s="163"/>
      <c r="CK398" s="163"/>
      <c r="CL398" s="163"/>
      <c r="CM398" s="163"/>
      <c r="CN398" s="163"/>
      <c r="CO398" s="162"/>
      <c r="CP398" s="162"/>
      <c r="CQ398" s="162"/>
      <c r="CR398" s="162"/>
      <c r="CS398" s="163"/>
      <c r="CT398" s="358"/>
      <c r="CU398" s="201"/>
      <c r="CV398" s="206"/>
      <c r="CW398" s="218"/>
    </row>
    <row r="399" spans="1:101" ht="15.75" thickBot="1" x14ac:dyDescent="0.25">
      <c r="A399" s="219"/>
      <c r="B399" s="219"/>
      <c r="C399" s="168"/>
      <c r="D399" s="785"/>
      <c r="E399" s="869" t="s">
        <v>45</v>
      </c>
      <c r="F399" s="363"/>
      <c r="G399" s="363"/>
      <c r="H399" s="363"/>
      <c r="I399" s="878"/>
      <c r="J399" s="878"/>
      <c r="K399" s="878"/>
      <c r="L399" s="878"/>
      <c r="M399" s="363"/>
      <c r="N399" s="363"/>
      <c r="O399" s="363"/>
      <c r="P399" s="363"/>
      <c r="Q399" s="363"/>
      <c r="R399" s="363"/>
      <c r="S399" s="363"/>
      <c r="T399" s="363"/>
      <c r="U399" s="363"/>
      <c r="V399" s="363"/>
      <c r="W399" s="363"/>
      <c r="X399" s="363"/>
      <c r="Y399" s="363"/>
      <c r="Z399" s="363"/>
      <c r="AA399" s="363"/>
      <c r="AB399" s="363"/>
      <c r="AC399" s="363"/>
      <c r="AD399" s="363"/>
      <c r="AE399" s="363"/>
      <c r="AF399" s="363"/>
      <c r="AG399" s="363"/>
      <c r="AH399" s="363"/>
      <c r="AI399" s="363"/>
      <c r="AJ399" s="363"/>
      <c r="AK399" s="363"/>
      <c r="AL399" s="363"/>
      <c r="AM399" s="363"/>
      <c r="AN399" s="363"/>
      <c r="AO399" s="363"/>
      <c r="AP399" s="363"/>
      <c r="AQ399" s="363"/>
      <c r="AR399" s="363"/>
      <c r="AS399" s="363"/>
      <c r="AT399" s="363"/>
      <c r="AU399" s="363"/>
      <c r="AV399" s="363"/>
      <c r="AW399" s="363"/>
      <c r="AX399" s="363"/>
      <c r="AY399" s="363"/>
      <c r="AZ399" s="363"/>
      <c r="BA399" s="363"/>
      <c r="BB399" s="363"/>
      <c r="BC399" s="363"/>
      <c r="BD399" s="363"/>
      <c r="BE399" s="363"/>
      <c r="BF399" s="363"/>
      <c r="BG399" s="363"/>
      <c r="BH399" s="363"/>
      <c r="BI399" s="363"/>
      <c r="BJ399" s="363"/>
      <c r="BK399" s="363"/>
      <c r="BL399" s="363"/>
      <c r="BM399" s="363"/>
      <c r="BN399" s="363"/>
      <c r="BO399" s="363"/>
      <c r="BP399" s="363"/>
      <c r="BQ399" s="363"/>
      <c r="BR399" s="363"/>
      <c r="BS399" s="363"/>
      <c r="BT399" s="363"/>
      <c r="BU399" s="363"/>
      <c r="BV399" s="363"/>
      <c r="BW399" s="363"/>
      <c r="BX399" s="363"/>
      <c r="BY399" s="363"/>
      <c r="BZ399" s="363"/>
      <c r="CA399" s="363"/>
      <c r="CB399" s="394"/>
      <c r="CC399" s="394"/>
      <c r="CD399" s="394"/>
      <c r="CE399" s="394"/>
      <c r="CF399" s="363"/>
      <c r="CG399" s="363"/>
      <c r="CH399" s="363"/>
      <c r="CI399" s="363"/>
      <c r="CJ399" s="363"/>
      <c r="CK399" s="363"/>
      <c r="CL399" s="363"/>
      <c r="CM399" s="363"/>
      <c r="CN399" s="323"/>
      <c r="CO399" s="363"/>
      <c r="CP399" s="363"/>
      <c r="CQ399" s="363"/>
      <c r="CR399" s="363"/>
      <c r="CS399" s="323"/>
      <c r="CT399" s="155"/>
      <c r="CU399" s="269"/>
      <c r="CV399" s="209"/>
      <c r="CW399" s="218"/>
    </row>
    <row r="400" spans="1:101" ht="18.75" thickTop="1" x14ac:dyDescent="0.2">
      <c r="A400" s="219"/>
      <c r="B400" s="219"/>
      <c r="C400" s="174"/>
      <c r="D400" s="778"/>
      <c r="E400" s="777"/>
      <c r="F400" s="235"/>
      <c r="G400" s="234"/>
      <c r="H400" s="234"/>
      <c r="I400" s="875">
        <f>WEEKNUM(E401)</f>
        <v>51</v>
      </c>
      <c r="J400" s="875"/>
      <c r="K400" s="875"/>
      <c r="L400" s="250"/>
      <c r="M400" s="261"/>
      <c r="N400" s="205"/>
      <c r="O400" s="236"/>
      <c r="P400" s="236"/>
      <c r="Q400" s="675" t="str">
        <f>IF($F404="","",SUM(Q416:S416)-S402)</f>
        <v/>
      </c>
      <c r="R400" s="675"/>
      <c r="S400" s="675"/>
      <c r="T400" s="237"/>
      <c r="U400" s="238"/>
      <c r="V400" s="238"/>
      <c r="W400" s="238"/>
      <c r="X400" s="238"/>
      <c r="Y400" s="236"/>
      <c r="Z400" s="675" t="str">
        <f>IF($F404="","",SUM(Z416:AB416)-AB402)</f>
        <v/>
      </c>
      <c r="AA400" s="675"/>
      <c r="AB400" s="675"/>
      <c r="AC400" s="237"/>
      <c r="AD400" s="238"/>
      <c r="AE400" s="238"/>
      <c r="AF400" s="238"/>
      <c r="AG400" s="238"/>
      <c r="AH400" s="236"/>
      <c r="AI400" s="675" t="str">
        <f>IF($F404="","",SUM(AI416:AK416)-AK402)</f>
        <v/>
      </c>
      <c r="AJ400" s="675"/>
      <c r="AK400" s="675"/>
      <c r="AL400" s="237"/>
      <c r="AM400" s="238"/>
      <c r="AN400" s="238"/>
      <c r="AO400" s="238"/>
      <c r="AP400" s="238"/>
      <c r="AQ400" s="236"/>
      <c r="AR400" s="675" t="str">
        <f>IF($F404="","",SUM(AR416:AT416)-AT402)</f>
        <v/>
      </c>
      <c r="AS400" s="675"/>
      <c r="AT400" s="675"/>
      <c r="AU400" s="239"/>
      <c r="AV400" s="238"/>
      <c r="AW400" s="238"/>
      <c r="AX400" s="238"/>
      <c r="AY400" s="238"/>
      <c r="AZ400" s="240"/>
      <c r="BA400" s="675" t="str">
        <f>IF($F404="","",SUM(BA416:BC416)-BC402)</f>
        <v/>
      </c>
      <c r="BB400" s="675"/>
      <c r="BC400" s="675"/>
      <c r="BD400" s="239"/>
      <c r="BE400" s="238"/>
      <c r="BF400" s="238"/>
      <c r="BG400" s="238"/>
      <c r="BH400" s="238"/>
      <c r="BI400" s="240"/>
      <c r="BJ400" s="675" t="str">
        <f>IF($F404="","",SUM(BJ416:BL416)-BL402)</f>
        <v/>
      </c>
      <c r="BK400" s="675"/>
      <c r="BL400" s="675"/>
      <c r="BM400" s="239"/>
      <c r="BN400" s="238"/>
      <c r="BO400" s="238"/>
      <c r="BP400" s="238"/>
      <c r="BQ400" s="238"/>
      <c r="BR400" s="241"/>
      <c r="BS400" s="675" t="str">
        <f>IF($F404="","",SUM(BS416:BU416)-BU402)</f>
        <v/>
      </c>
      <c r="BT400" s="675"/>
      <c r="BU400" s="675"/>
      <c r="BV400" s="240"/>
      <c r="BW400" s="238"/>
      <c r="BX400" s="238"/>
      <c r="BY400" s="238"/>
      <c r="BZ400" s="238"/>
      <c r="CA400" s="241"/>
      <c r="CB400" s="675" t="str">
        <f>IF($F404="","",SUM(CB416:CD416)-CD402)</f>
        <v/>
      </c>
      <c r="CC400" s="675"/>
      <c r="CD400" s="675"/>
      <c r="CE400" s="240"/>
      <c r="CF400" s="238"/>
      <c r="CG400" s="238"/>
      <c r="CH400" s="238"/>
      <c r="CI400" s="238"/>
      <c r="CJ400" s="234"/>
      <c r="CK400" s="675" t="str">
        <f>IF($F404="","",SUM(CK416:CM416))</f>
        <v/>
      </c>
      <c r="CL400" s="675"/>
      <c r="CM400" s="675"/>
      <c r="CN400" s="240"/>
      <c r="CO400" s="238"/>
      <c r="CP400" s="238"/>
      <c r="CQ400" s="238"/>
      <c r="CR400" s="238"/>
      <c r="CS400" s="234"/>
      <c r="CT400" s="234"/>
      <c r="CU400" s="251"/>
      <c r="CV400" s="209"/>
      <c r="CW400" s="218"/>
    </row>
    <row r="401" spans="1:101" x14ac:dyDescent="0.2">
      <c r="A401" s="219"/>
      <c r="B401" s="219"/>
      <c r="C401" s="174"/>
      <c r="D401" s="779"/>
      <c r="E401" s="543">
        <f>E379+7</f>
        <v>46375</v>
      </c>
      <c r="F401" s="178"/>
      <c r="G401" s="179"/>
      <c r="H401" s="179"/>
      <c r="I401" s="876"/>
      <c r="J401" s="876"/>
      <c r="K401" s="876"/>
      <c r="L401" s="254"/>
      <c r="M401" s="329"/>
      <c r="N401" s="208"/>
      <c r="O401" s="180"/>
      <c r="P401" s="180"/>
      <c r="Q401" s="584" t="str">
        <f>IF(Q400="","",Q400/Data!$X$1)</f>
        <v/>
      </c>
      <c r="R401" s="584"/>
      <c r="S401" s="585" t="str">
        <f>IF(SUM(X404:X415)=0,"",SUM(X404:X415))</f>
        <v/>
      </c>
      <c r="T401" s="181"/>
      <c r="U401" s="182"/>
      <c r="V401" s="182"/>
      <c r="W401" s="182"/>
      <c r="X401" s="182"/>
      <c r="Y401" s="180"/>
      <c r="Z401" s="584" t="str">
        <f>IF(Z400="","",Z400/Data!$X$1)</f>
        <v/>
      </c>
      <c r="AA401" s="584"/>
      <c r="AB401" s="585" t="str">
        <f>IF(SUM(AG404:AG415)=0,"",SUM(AG404:AG415))</f>
        <v/>
      </c>
      <c r="AC401" s="181"/>
      <c r="AD401" s="182"/>
      <c r="AE401" s="182"/>
      <c r="AF401" s="182"/>
      <c r="AG401" s="182"/>
      <c r="AH401" s="180"/>
      <c r="AI401" s="584" t="str">
        <f>IF(AI400="","",AI400/Data!$X$1)</f>
        <v/>
      </c>
      <c r="AJ401" s="584"/>
      <c r="AK401" s="585" t="str">
        <f>IF(SUM(AP404:AP415)=0,"",SUM(AP404:AP415))</f>
        <v/>
      </c>
      <c r="AL401" s="181"/>
      <c r="AM401" s="182"/>
      <c r="AN401" s="182"/>
      <c r="AO401" s="182"/>
      <c r="AP401" s="182"/>
      <c r="AQ401" s="180"/>
      <c r="AR401" s="584" t="str">
        <f>IF(AR400="","",AR400/Data!$X$1)</f>
        <v/>
      </c>
      <c r="AS401" s="584"/>
      <c r="AT401" s="585" t="str">
        <f>IF(SUM(AY404:AY415)=0,"",SUM(AY404:AY415))</f>
        <v/>
      </c>
      <c r="AU401" s="183"/>
      <c r="AV401" s="182"/>
      <c r="AW401" s="182"/>
      <c r="AX401" s="182"/>
      <c r="AY401" s="182"/>
      <c r="AZ401" s="184"/>
      <c r="BA401" s="584" t="str">
        <f>IF(BA400="","",BA400/Data!$X$1)</f>
        <v/>
      </c>
      <c r="BB401" s="584"/>
      <c r="BC401" s="585" t="str">
        <f>IF(SUM(BH404:BH415)=0,"",SUM(BH404:BH415))</f>
        <v/>
      </c>
      <c r="BD401" s="183"/>
      <c r="BE401" s="182"/>
      <c r="BF401" s="182"/>
      <c r="BG401" s="182"/>
      <c r="BH401" s="182"/>
      <c r="BI401" s="184"/>
      <c r="BJ401" s="584" t="str">
        <f>IF(BJ400="","",BJ400/Data!$X$1)</f>
        <v/>
      </c>
      <c r="BK401" s="584"/>
      <c r="BL401" s="585" t="str">
        <f>IF(SUM(BQ404:BQ415)=0,"",SUM(BQ404:BQ415))</f>
        <v/>
      </c>
      <c r="BM401" s="183"/>
      <c r="BN401" s="182"/>
      <c r="BO401" s="182"/>
      <c r="BP401" s="182"/>
      <c r="BQ401" s="182"/>
      <c r="BR401" s="185"/>
      <c r="BS401" s="584" t="str">
        <f>IF(BS400="","",BS400/Data!$X$1)</f>
        <v/>
      </c>
      <c r="BT401" s="584"/>
      <c r="BU401" s="585" t="str">
        <f>IF(SUM(BZ404:BZ415)=0,"",SUM(BZ404:BZ415))</f>
        <v/>
      </c>
      <c r="BV401" s="184"/>
      <c r="BW401" s="182"/>
      <c r="BX401" s="182"/>
      <c r="BY401" s="182"/>
      <c r="BZ401" s="182"/>
      <c r="CA401" s="185"/>
      <c r="CB401" s="584" t="str">
        <f>IF(CB400="","",CB400/Data!$X$1)</f>
        <v/>
      </c>
      <c r="CC401" s="584"/>
      <c r="CD401" s="585" t="str">
        <f>IF(SUM(CI404:CI415)=0,"",SUM(CI404:CI415))</f>
        <v/>
      </c>
      <c r="CE401" s="184"/>
      <c r="CF401" s="182"/>
      <c r="CG401" s="182"/>
      <c r="CH401" s="182"/>
      <c r="CI401" s="182"/>
      <c r="CJ401" s="182"/>
      <c r="CK401" s="584" t="str">
        <f>IF(CK400="","",CK400/Data!$X$1)</f>
        <v/>
      </c>
      <c r="CL401" s="584"/>
      <c r="CM401" s="585" t="str">
        <f>IF(SUM(CR404:CR415)=0,"",SUM(CR404:CR415))</f>
        <v/>
      </c>
      <c r="CN401" s="184"/>
      <c r="CO401" s="182"/>
      <c r="CP401" s="182"/>
      <c r="CQ401" s="182"/>
      <c r="CR401" s="182"/>
      <c r="CS401" s="182"/>
      <c r="CT401" s="182"/>
      <c r="CU401" s="255"/>
      <c r="CV401" s="209"/>
      <c r="CW401" s="218"/>
    </row>
    <row r="402" spans="1:101" ht="13.5" thickBot="1" x14ac:dyDescent="0.25">
      <c r="A402" s="219"/>
      <c r="B402" s="219"/>
      <c r="C402" s="174"/>
      <c r="D402" s="230"/>
      <c r="E402" s="359"/>
      <c r="F402" s="186"/>
      <c r="G402" s="187"/>
      <c r="H402" s="187"/>
      <c r="I402" s="673"/>
      <c r="J402" s="674"/>
      <c r="K402" s="674"/>
      <c r="L402" s="256"/>
      <c r="M402" s="330"/>
      <c r="N402" s="334"/>
      <c r="O402" s="187"/>
      <c r="P402" s="187"/>
      <c r="Q402" s="342" t="str">
        <f>Data!$E$11</f>
        <v>AHH</v>
      </c>
      <c r="R402" s="343" t="str">
        <f>IF($F415="","",RANK(Q400,$Q400:$CL400))</f>
        <v/>
      </c>
      <c r="S402" s="466"/>
      <c r="T402" s="181"/>
      <c r="U402" s="182"/>
      <c r="V402" s="182"/>
      <c r="W402" s="182"/>
      <c r="X402" s="197">
        <f>COUNTIF(U404:W415,"&gt;0")</f>
        <v>0</v>
      </c>
      <c r="Y402" s="180"/>
      <c r="Z402" s="342" t="str">
        <f>Data!$E$12</f>
        <v>RB</v>
      </c>
      <c r="AA402" s="343" t="str">
        <f>IF($F415="","",RANK(Z400,$Q400:$CL400))</f>
        <v/>
      </c>
      <c r="AB402" s="466"/>
      <c r="AC402" s="181"/>
      <c r="AD402" s="182"/>
      <c r="AE402" s="182"/>
      <c r="AF402" s="182"/>
      <c r="AG402" s="197">
        <f>COUNTIF(AD404:AF415,"&gt;0")</f>
        <v>0</v>
      </c>
      <c r="AH402" s="180"/>
      <c r="AI402" s="342" t="str">
        <f>Data!$E$13</f>
        <v>EB</v>
      </c>
      <c r="AJ402" s="343" t="str">
        <f>IF($F415="","",RANK(AI400,$Q400:$CL400))</f>
        <v/>
      </c>
      <c r="AK402" s="466"/>
      <c r="AL402" s="181"/>
      <c r="AM402" s="182"/>
      <c r="AN402" s="182"/>
      <c r="AO402" s="182"/>
      <c r="AP402" s="197">
        <f>COUNTIF(AM404:AO415,"&gt;0")</f>
        <v>0</v>
      </c>
      <c r="AQ402" s="180"/>
      <c r="AR402" s="305" t="str">
        <f>Data!$E$14</f>
        <v>KAF</v>
      </c>
      <c r="AS402" s="343" t="str">
        <f>IF($F415="","",RANK(AR400,$Q400:$CL400))</f>
        <v/>
      </c>
      <c r="AT402" s="466"/>
      <c r="AU402" s="181"/>
      <c r="AV402" s="182"/>
      <c r="AW402" s="182"/>
      <c r="AX402" s="182"/>
      <c r="AY402" s="197">
        <f>COUNTIF(AV404:AX415,"&gt;0")</f>
        <v>0</v>
      </c>
      <c r="AZ402" s="180"/>
      <c r="BA402" s="305" t="str">
        <f>Data!$E$15</f>
        <v>ØG</v>
      </c>
      <c r="BB402" s="343" t="str">
        <f>IF($F415="","",RANK(BA400,$Q400:$CL400))</f>
        <v/>
      </c>
      <c r="BC402" s="466"/>
      <c r="BD402" s="181"/>
      <c r="BE402" s="182"/>
      <c r="BF402" s="182"/>
      <c r="BG402" s="182"/>
      <c r="BH402" s="197">
        <f>COUNTIF(BE404:BG415,"&gt;0")</f>
        <v>0</v>
      </c>
      <c r="BI402" s="180"/>
      <c r="BJ402" s="305" t="str">
        <f>Data!$E$16</f>
        <v>JH</v>
      </c>
      <c r="BK402" s="343" t="str">
        <f>IF($F415="","",RANK(BJ400,$Q400:$CL400))</f>
        <v/>
      </c>
      <c r="BL402" s="466"/>
      <c r="BM402" s="181"/>
      <c r="BN402" s="182"/>
      <c r="BO402" s="182"/>
      <c r="BP402" s="182"/>
      <c r="BQ402" s="197">
        <f>COUNTIF(BN404:BP415,"&gt;0")</f>
        <v>0</v>
      </c>
      <c r="BR402" s="188"/>
      <c r="BS402" s="305" t="str">
        <f>Data!$E$17</f>
        <v>TOH</v>
      </c>
      <c r="BT402" s="343" t="str">
        <f>IF($F415="","",RANK(BS400,$Q400:$CL400))</f>
        <v/>
      </c>
      <c r="BU402" s="466"/>
      <c r="BV402" s="180"/>
      <c r="BW402" s="182"/>
      <c r="BX402" s="182"/>
      <c r="BY402" s="182"/>
      <c r="BZ402" s="197">
        <f>COUNTIF(BW404:BY415,"&gt;0")</f>
        <v>0</v>
      </c>
      <c r="CA402" s="188"/>
      <c r="CB402" s="305" t="s">
        <v>26</v>
      </c>
      <c r="CC402" s="343" t="str">
        <f>IF($F415="","",RANK(CB400,$Q400:$CM400))</f>
        <v/>
      </c>
      <c r="CD402" s="467"/>
      <c r="CE402" s="180"/>
      <c r="CF402" s="182"/>
      <c r="CG402" s="182"/>
      <c r="CH402" s="182"/>
      <c r="CI402" s="197">
        <f>COUNTIF(CF404:CH415,"&gt;0")</f>
        <v>0</v>
      </c>
      <c r="CJ402" s="182"/>
      <c r="CK402" s="305" t="s">
        <v>27</v>
      </c>
      <c r="CL402" s="343" t="str">
        <f>IF($F415="","",RANK(CK400,$Q400:$CM400))</f>
        <v/>
      </c>
      <c r="CM402" s="669"/>
      <c r="CN402" s="180"/>
      <c r="CO402" s="182"/>
      <c r="CP402" s="182"/>
      <c r="CQ402" s="182"/>
      <c r="CR402" s="197">
        <f>COUNTIF(CO404:CQ415,"&gt;0")</f>
        <v>0</v>
      </c>
      <c r="CS402" s="182"/>
      <c r="CT402" s="182"/>
      <c r="CU402" s="255"/>
      <c r="CV402" s="209"/>
      <c r="CW402" s="218"/>
    </row>
    <row r="403" spans="1:101" ht="13.5" thickBot="1" x14ac:dyDescent="0.25">
      <c r="A403" s="227"/>
      <c r="B403" s="227"/>
      <c r="C403" s="168"/>
      <c r="D403" s="231"/>
      <c r="E403" s="189"/>
      <c r="F403" s="190"/>
      <c r="G403" s="191"/>
      <c r="H403" s="191"/>
      <c r="I403" s="192" t="s">
        <v>47</v>
      </c>
      <c r="J403" s="193" t="s">
        <v>48</v>
      </c>
      <c r="K403" s="194" t="s">
        <v>49</v>
      </c>
      <c r="L403" s="257"/>
      <c r="M403" s="331"/>
      <c r="N403" s="335"/>
      <c r="O403" s="195"/>
      <c r="P403" s="195"/>
      <c r="Q403" s="192" t="s">
        <v>47</v>
      </c>
      <c r="R403" s="193" t="s">
        <v>48</v>
      </c>
      <c r="S403" s="194" t="s">
        <v>49</v>
      </c>
      <c r="T403" s="196"/>
      <c r="U403" s="197"/>
      <c r="V403" s="197"/>
      <c r="W403" s="197"/>
      <c r="X403" s="197"/>
      <c r="Y403" s="195"/>
      <c r="Z403" s="192" t="s">
        <v>47</v>
      </c>
      <c r="AA403" s="193" t="s">
        <v>48</v>
      </c>
      <c r="AB403" s="194" t="s">
        <v>49</v>
      </c>
      <c r="AC403" s="196"/>
      <c r="AD403" s="197"/>
      <c r="AE403" s="197"/>
      <c r="AF403" s="197"/>
      <c r="AG403" s="197"/>
      <c r="AH403" s="195"/>
      <c r="AI403" s="192" t="s">
        <v>47</v>
      </c>
      <c r="AJ403" s="193" t="s">
        <v>48</v>
      </c>
      <c r="AK403" s="194" t="s">
        <v>49</v>
      </c>
      <c r="AL403" s="196"/>
      <c r="AM403" s="197"/>
      <c r="AN403" s="197"/>
      <c r="AO403" s="197"/>
      <c r="AP403" s="197"/>
      <c r="AQ403" s="195"/>
      <c r="AR403" s="192" t="s">
        <v>47</v>
      </c>
      <c r="AS403" s="193" t="s">
        <v>48</v>
      </c>
      <c r="AT403" s="194" t="s">
        <v>49</v>
      </c>
      <c r="AU403" s="196"/>
      <c r="AV403" s="197"/>
      <c r="AW403" s="197"/>
      <c r="AX403" s="197"/>
      <c r="AY403" s="197"/>
      <c r="AZ403" s="195"/>
      <c r="BA403" s="192" t="s">
        <v>47</v>
      </c>
      <c r="BB403" s="193" t="s">
        <v>48</v>
      </c>
      <c r="BC403" s="194" t="s">
        <v>49</v>
      </c>
      <c r="BD403" s="196"/>
      <c r="BE403" s="197"/>
      <c r="BF403" s="197"/>
      <c r="BG403" s="197"/>
      <c r="BH403" s="197"/>
      <c r="BI403" s="195"/>
      <c r="BJ403" s="192" t="s">
        <v>47</v>
      </c>
      <c r="BK403" s="193" t="s">
        <v>48</v>
      </c>
      <c r="BL403" s="194" t="s">
        <v>49</v>
      </c>
      <c r="BM403" s="196"/>
      <c r="BN403" s="197"/>
      <c r="BO403" s="197"/>
      <c r="BP403" s="197"/>
      <c r="BQ403" s="197"/>
      <c r="BR403" s="195"/>
      <c r="BS403" s="192" t="s">
        <v>47</v>
      </c>
      <c r="BT403" s="193" t="s">
        <v>48</v>
      </c>
      <c r="BU403" s="194" t="s">
        <v>49</v>
      </c>
      <c r="BV403" s="196"/>
      <c r="BW403" s="197"/>
      <c r="BX403" s="197"/>
      <c r="BY403" s="197"/>
      <c r="BZ403" s="197"/>
      <c r="CA403" s="195"/>
      <c r="CB403" s="192" t="s">
        <v>47</v>
      </c>
      <c r="CC403" s="193" t="s">
        <v>48</v>
      </c>
      <c r="CD403" s="194" t="s">
        <v>49</v>
      </c>
      <c r="CE403" s="196"/>
      <c r="CF403" s="197"/>
      <c r="CG403" s="197"/>
      <c r="CH403" s="197"/>
      <c r="CI403" s="197"/>
      <c r="CJ403" s="197"/>
      <c r="CK403" s="192" t="s">
        <v>47</v>
      </c>
      <c r="CL403" s="193" t="s">
        <v>48</v>
      </c>
      <c r="CM403" s="194" t="s">
        <v>49</v>
      </c>
      <c r="CN403" s="196"/>
      <c r="CO403" s="197"/>
      <c r="CP403" s="197"/>
      <c r="CQ403" s="197"/>
      <c r="CR403" s="197"/>
      <c r="CS403" s="197"/>
      <c r="CT403" s="198"/>
      <c r="CU403" s="255"/>
      <c r="CV403" s="209"/>
      <c r="CW403" s="228"/>
    </row>
    <row r="404" spans="1:101" x14ac:dyDescent="0.2">
      <c r="A404" s="227"/>
      <c r="B404" s="227"/>
      <c r="C404" s="168"/>
      <c r="D404" s="232"/>
      <c r="E404" s="134" t="s">
        <v>273</v>
      </c>
      <c r="F404" s="424"/>
      <c r="G404" s="428"/>
      <c r="H404" s="429"/>
      <c r="I404" s="138" t="str">
        <f t="shared" ref="I404:I415" si="590">IF($F404&gt;$H404,"x","")</f>
        <v/>
      </c>
      <c r="J404" s="344" t="str">
        <f t="shared" ref="J404:J415" si="591">IF(F404&lt;&gt;"",IF(H404&lt;&gt;"",IF(F404=H404,"x",""),""),"")</f>
        <v/>
      </c>
      <c r="K404" s="345" t="str">
        <f t="shared" ref="K404:K415" si="592">IF($F404&lt;$H404,"x","")</f>
        <v/>
      </c>
      <c r="L404" s="258"/>
      <c r="M404" s="332"/>
      <c r="N404" s="336"/>
      <c r="O404" s="200"/>
      <c r="P404" s="200"/>
      <c r="Q404" s="436"/>
      <c r="R404" s="437"/>
      <c r="S404" s="438" t="str">
        <f t="shared" ref="S404:S415" si="593">IF(Q404="","",100-SUM(Q404:R404))</f>
        <v/>
      </c>
      <c r="T404" s="328"/>
      <c r="U404" s="197" t="str">
        <f>IF(AND($I404="x",AND(MAX(Q404:S404)=Q404,Q404&gt;=0)),Data!$BI$2,"")</f>
        <v/>
      </c>
      <c r="V404" s="197" t="str">
        <f>IF(AND($J404="x",AND(MAX(Q404:S404)=R404,R404&gt;=0)),Data!$BJ$2,"")</f>
        <v/>
      </c>
      <c r="W404" s="197" t="str">
        <f>IF(AND($K404="x",AND(MAX(Q404:S404)=S404,S404&gt;=0)),Data!$BK$2,"")</f>
        <v/>
      </c>
      <c r="X404" s="197"/>
      <c r="Y404" s="328"/>
      <c r="Z404" s="451"/>
      <c r="AA404" s="452"/>
      <c r="AB404" s="438" t="str">
        <f t="shared" ref="AB404:AB415" si="594">IF(Z404="","",100-SUM(Z404:AA404))</f>
        <v/>
      </c>
      <c r="AC404" s="328"/>
      <c r="AD404" s="197" t="str">
        <f>IF(AND($I404="x",AND(MAX(Z404:AB404)=Z404,Z404&lt;&gt;"")),Data!$BI$2,"")</f>
        <v/>
      </c>
      <c r="AE404" s="197" t="str">
        <f>IF(AND($J404="x",AND(MAX(Z404:AB404)=AA404,AA404&lt;&gt;"")),Data!$BJ$2,"")</f>
        <v/>
      </c>
      <c r="AF404" s="197" t="str">
        <f>IF(AND($K404="x",AND(MAX(Z404:AB404)=AB404,AB404&lt;&gt;"")),Data!$BK$2,"")</f>
        <v/>
      </c>
      <c r="AG404" s="197"/>
      <c r="AH404" s="328"/>
      <c r="AI404" s="451"/>
      <c r="AJ404" s="452"/>
      <c r="AK404" s="438" t="str">
        <f t="shared" ref="AK404:AK415" si="595">IF(AI404="","",100-SUM(AI404:AJ404))</f>
        <v/>
      </c>
      <c r="AL404" s="328"/>
      <c r="AM404" s="197" t="str">
        <f>IF(AND($I404="x",AND(MAX(AI404:AK404)=AI404,AI404&lt;&gt;"")),Data!$BI$2,"")</f>
        <v/>
      </c>
      <c r="AN404" s="197" t="str">
        <f>IF(AND($J404="x",AND(MAX(AI404:AK404)=AJ404,AJ404&lt;&gt;"")),Data!$BJ$2,"")</f>
        <v/>
      </c>
      <c r="AO404" s="197" t="str">
        <f>IF(AND($K404="x",AND(MAX(AI404:AK404)=AK404,AK404&lt;&gt;"")),Data!$BK$2,"")</f>
        <v/>
      </c>
      <c r="AP404" s="197"/>
      <c r="AQ404" s="328"/>
      <c r="AR404" s="451"/>
      <c r="AS404" s="452"/>
      <c r="AT404" s="438" t="str">
        <f t="shared" ref="AT404:AT415" si="596">IF(AR404="","",100-SUM(AR404:AS404))</f>
        <v/>
      </c>
      <c r="AU404" s="328"/>
      <c r="AV404" s="197" t="str">
        <f>IF(AND($I404="x",AND(MAX(AR404:AT404)=AR404,AR404&lt;&gt;"")),Data!$BI$2,"")</f>
        <v/>
      </c>
      <c r="AW404" s="197" t="str">
        <f>IF(AND($J404="x",AND(MAX(AR404:AT404)=AS404,AS404&lt;&gt;"")),Data!$BJ$2,"")</f>
        <v/>
      </c>
      <c r="AX404" s="197" t="str">
        <f>IF(AND($K404="x",AND(MAX(AR404:AT404)=AT404,AT404&lt;&gt;"")),Data!$BK$2,"")</f>
        <v/>
      </c>
      <c r="AY404" s="197"/>
      <c r="AZ404" s="328"/>
      <c r="BA404" s="451"/>
      <c r="BB404" s="452"/>
      <c r="BC404" s="438" t="str">
        <f t="shared" ref="BC404:BC415" si="597">IF(BA404="","",100-SUM(BA404:BB404))</f>
        <v/>
      </c>
      <c r="BD404" s="328"/>
      <c r="BE404" s="197" t="str">
        <f>IF(AND($I404="x",AND(MAX(BA404:BC404)=BA404,BA404&lt;&gt;"")),Data!$BI$2,"")</f>
        <v/>
      </c>
      <c r="BF404" s="197" t="str">
        <f>IF(AND($J404="x",AND(MAX(BA404:BC404)=BB404,BB404&lt;&gt;"")),Data!$BJ$2,"")</f>
        <v/>
      </c>
      <c r="BG404" s="197" t="str">
        <f>IF(AND($K404="x",AND(MAX(BA404:BC404)=BC404,BC404&lt;&gt;"")),Data!$BK$2,"")</f>
        <v/>
      </c>
      <c r="BH404" s="197"/>
      <c r="BI404" s="328"/>
      <c r="BJ404" s="451"/>
      <c r="BK404" s="452"/>
      <c r="BL404" s="438" t="str">
        <f t="shared" ref="BL404:BL415" si="598">IF(BJ404="","",100-SUM(BJ404:BK404))</f>
        <v/>
      </c>
      <c r="BM404" s="328"/>
      <c r="BN404" s="197" t="str">
        <f>IF(AND($I404="x",AND(MAX(BJ404:BL404)=BJ404,BJ404&lt;&gt;"")),Data!$BI$2,"")</f>
        <v/>
      </c>
      <c r="BO404" s="197" t="str">
        <f>IF(AND($J404="x",AND(MAX(BJ404:BL404)=BK404,BK404&lt;&gt;"")),Data!$BJ$2,"")</f>
        <v/>
      </c>
      <c r="BP404" s="197" t="str">
        <f>IF(AND($K404="x",AND(MAX(BJ404:BL404)=BL404,BL404&lt;&gt;"")),Data!$BK$2,"")</f>
        <v/>
      </c>
      <c r="BQ404" s="197"/>
      <c r="BR404" s="328"/>
      <c r="BS404" s="451"/>
      <c r="BT404" s="452"/>
      <c r="BU404" s="438" t="str">
        <f t="shared" ref="BU404:BU415" si="599">IF(BS404="","",100-SUM(BS404:BT404))</f>
        <v/>
      </c>
      <c r="BV404" s="328"/>
      <c r="BW404" s="197" t="str">
        <f>IF(AND($I404="x",AND(MAX(BS404:BU404)=BS404,BS404&lt;&gt;"")),Data!$BI$2,"")</f>
        <v/>
      </c>
      <c r="BX404" s="197" t="str">
        <f>IF(AND($J404="x",AND(MAX(BS404:BU404)=BT404,BT404&lt;&gt;"")),Data!$BJ$2,"")</f>
        <v/>
      </c>
      <c r="BY404" s="197" t="str">
        <f>IF(AND($K404="x",AND(MAX(BS404:BU404)=BU404,BU404&lt;&gt;"")),Data!$BK$2,"")</f>
        <v/>
      </c>
      <c r="BZ404" s="197"/>
      <c r="CA404" s="328"/>
      <c r="CB404" s="457" t="str">
        <f t="shared" ref="CB404:CB415" si="600">IFERROR(ROUNDUP((SUM(Q404,Z404,AI404,AR404,BA404,BJ404,BS404)/SUM($Q404:$S404,$Z404:$AB404,$AI404:$AK404,$AR404:$AT404,$BA404:$BC404,$BJ404:$BL404,$BS404:$BU404))*100,-1),"")</f>
        <v/>
      </c>
      <c r="CC404" s="458" t="str">
        <f t="shared" ref="CC404:CC415" si="601">IFERROR(ROUNDDOWN((SUM(R404,AA404,AJ404,AS404,BB404,BK404,BT404)/SUM($Q404:$S404,$Z404:$AB404,$AI404:$AK404,$AR404:$AT404,$BA404:$BC404,$BJ404:$BL404,$BS404:$BU404))*100,-1),"")</f>
        <v/>
      </c>
      <c r="CD404" s="459" t="str">
        <f t="shared" ref="CD404:CD415" si="602">IF(CB404="","",100-SUM(CB404:CC404))</f>
        <v/>
      </c>
      <c r="CE404" s="328"/>
      <c r="CF404" s="197" t="str">
        <f>IF(AND($I404="x",AND(MAX(CB404:CD404)=CB404,CB404&lt;&gt;"")),Data!$BI$2,"")</f>
        <v/>
      </c>
      <c r="CG404" s="197" t="str">
        <f>IF(AND($J404="x",AND(MAX(CB404:CD404)=CC404,CC404&lt;&gt;"")),Data!$BJ$2,"")</f>
        <v/>
      </c>
      <c r="CH404" s="197" t="str">
        <f>IF(AND($K404="x",AND(MAX(CB404:CD404)=CD404,CD404&lt;&gt;"")),Data!$BK$2,"")</f>
        <v/>
      </c>
      <c r="CI404" s="197"/>
      <c r="CJ404" s="197"/>
      <c r="CK404" s="451"/>
      <c r="CL404" s="452"/>
      <c r="CM404" s="438" t="str">
        <f t="shared" ref="CM404:CM415" si="603">IF(CK404="","",100-SUM(CK404:CL404))</f>
        <v/>
      </c>
      <c r="CN404" s="328"/>
      <c r="CO404" s="197" t="str">
        <f>IF(AND($I404="x",AND(MAX(CK404:CM404)=CK404,CK404&lt;&gt;"")),Data!$BI$2,"")</f>
        <v/>
      </c>
      <c r="CP404" s="197" t="str">
        <f>IF(AND($J404="x",AND(MAX(CK404:CM404)=CL404,CL404&lt;&gt;"")),Data!$BJ$2,"")</f>
        <v/>
      </c>
      <c r="CQ404" s="197" t="str">
        <f>IF(AND($K404="x",AND(MAX(CK404:CM404)=CM404,CM404&lt;&gt;"")),Data!$BK$2,"")</f>
        <v/>
      </c>
      <c r="CR404" s="197"/>
      <c r="CS404" s="197"/>
      <c r="CT404" s="328"/>
      <c r="CU404" s="255"/>
      <c r="CV404" s="209"/>
      <c r="CW404" s="227"/>
    </row>
    <row r="405" spans="1:101" x14ac:dyDescent="0.2">
      <c r="A405" s="227"/>
      <c r="B405" s="227"/>
      <c r="C405" s="168"/>
      <c r="D405" s="232"/>
      <c r="E405" s="135" t="s">
        <v>274</v>
      </c>
      <c r="F405" s="425"/>
      <c r="G405" s="430"/>
      <c r="H405" s="431"/>
      <c r="I405" s="346" t="str">
        <f t="shared" si="590"/>
        <v/>
      </c>
      <c r="J405" s="347" t="str">
        <f t="shared" si="591"/>
        <v/>
      </c>
      <c r="K405" s="348" t="str">
        <f t="shared" si="592"/>
        <v/>
      </c>
      <c r="L405" s="258"/>
      <c r="M405" s="332"/>
      <c r="N405" s="336"/>
      <c r="O405" s="200"/>
      <c r="P405" s="200"/>
      <c r="Q405" s="439"/>
      <c r="R405" s="440"/>
      <c r="S405" s="441" t="str">
        <f t="shared" si="593"/>
        <v/>
      </c>
      <c r="T405" s="328"/>
      <c r="U405" s="197" t="str">
        <f>IF(AND($I405="x",AND(MAX(Q405:S405)=Q405,Q405&gt;=0)),Data!$BI$2,"")</f>
        <v/>
      </c>
      <c r="V405" s="197" t="str">
        <f>IF(AND($J405="x",AND(MAX(Q405:S405)=R405,R405&gt;=0)),Data!$BJ$2,"")</f>
        <v/>
      </c>
      <c r="W405" s="197" t="str">
        <f>IF(AND($K405="x",AND(MAX(Q405:S405)=S405,S405&gt;=0)),Data!$BK$2,"")</f>
        <v/>
      </c>
      <c r="X405" s="197"/>
      <c r="Y405" s="328"/>
      <c r="Z405" s="453"/>
      <c r="AA405" s="454"/>
      <c r="AB405" s="441" t="str">
        <f t="shared" si="594"/>
        <v/>
      </c>
      <c r="AC405" s="328"/>
      <c r="AD405" s="197" t="str">
        <f>IF(AND($I405="x",AND(MAX(Z405:AB405)=Z405,Z405&lt;&gt;"")),Data!$BI$2,"")</f>
        <v/>
      </c>
      <c r="AE405" s="197" t="str">
        <f>IF(AND($J405="x",AND(MAX(Z405:AB405)=AA405,AA405&lt;&gt;"")),Data!$BJ$2,"")</f>
        <v/>
      </c>
      <c r="AF405" s="197" t="str">
        <f>IF(AND($K405="x",AND(MAX(Z405:AB405)=AB405,AB405&lt;&gt;"")),Data!$BK$2,"")</f>
        <v/>
      </c>
      <c r="AG405" s="197"/>
      <c r="AH405" s="328"/>
      <c r="AI405" s="453"/>
      <c r="AJ405" s="454"/>
      <c r="AK405" s="441" t="str">
        <f t="shared" si="595"/>
        <v/>
      </c>
      <c r="AL405" s="328"/>
      <c r="AM405" s="197" t="str">
        <f>IF(AND($I405="x",AND(MAX(AI405:AK405)=AI405,AI405&lt;&gt;"")),Data!$BI$2,"")</f>
        <v/>
      </c>
      <c r="AN405" s="197" t="str">
        <f>IF(AND($J405="x",AND(MAX(AI405:AK405)=AJ405,AJ405&lt;&gt;"")),Data!$BJ$2,"")</f>
        <v/>
      </c>
      <c r="AO405" s="197" t="str">
        <f>IF(AND($K405="x",AND(MAX(AI405:AK405)=AK405,AK405&lt;&gt;"")),Data!$BK$2,"")</f>
        <v/>
      </c>
      <c r="AP405" s="197"/>
      <c r="AQ405" s="328"/>
      <c r="AR405" s="453"/>
      <c r="AS405" s="454"/>
      <c r="AT405" s="441" t="str">
        <f t="shared" si="596"/>
        <v/>
      </c>
      <c r="AU405" s="328"/>
      <c r="AV405" s="197" t="str">
        <f>IF(AND($I405="x",AND(MAX(AR405:AT405)=AR405,AR405&lt;&gt;"")),Data!$BI$2,"")</f>
        <v/>
      </c>
      <c r="AW405" s="197" t="str">
        <f>IF(AND($J405="x",AND(MAX(AR405:AT405)=AS405,AS405&lt;&gt;"")),Data!$BJ$2,"")</f>
        <v/>
      </c>
      <c r="AX405" s="197" t="str">
        <f>IF(AND($K405="x",AND(MAX(AR405:AT405)=AT405,AT405&lt;&gt;"")),Data!$BK$2,"")</f>
        <v/>
      </c>
      <c r="AY405" s="197"/>
      <c r="AZ405" s="328"/>
      <c r="BA405" s="453"/>
      <c r="BB405" s="454"/>
      <c r="BC405" s="441" t="str">
        <f t="shared" si="597"/>
        <v/>
      </c>
      <c r="BD405" s="328"/>
      <c r="BE405" s="197" t="str">
        <f>IF(AND($I405="x",AND(MAX(BA405:BC405)=BA405,BA405&lt;&gt;"")),Data!$BI$2,"")</f>
        <v/>
      </c>
      <c r="BF405" s="197" t="str">
        <f>IF(AND($J405="x",AND(MAX(BA405:BC405)=BB405,BB405&lt;&gt;"")),Data!$BJ$2,"")</f>
        <v/>
      </c>
      <c r="BG405" s="197" t="str">
        <f>IF(AND($K405="x",AND(MAX(BA405:BC405)=BC405,BC405&lt;&gt;"")),Data!$BK$2,"")</f>
        <v/>
      </c>
      <c r="BH405" s="197"/>
      <c r="BI405" s="328"/>
      <c r="BJ405" s="453"/>
      <c r="BK405" s="454"/>
      <c r="BL405" s="441" t="str">
        <f t="shared" si="598"/>
        <v/>
      </c>
      <c r="BM405" s="328"/>
      <c r="BN405" s="197" t="str">
        <f>IF(AND($I405="x",AND(MAX(BJ405:BL405)=BJ405,BJ405&lt;&gt;"")),Data!$BI$2,"")</f>
        <v/>
      </c>
      <c r="BO405" s="197" t="str">
        <f>IF(AND($J405="x",AND(MAX(BJ405:BL405)=BK405,BK405&lt;&gt;"")),Data!$BJ$2,"")</f>
        <v/>
      </c>
      <c r="BP405" s="197" t="str">
        <f>IF(AND($K405="x",AND(MAX(BJ405:BL405)=BL405,BL405&lt;&gt;"")),Data!$BK$2,"")</f>
        <v/>
      </c>
      <c r="BQ405" s="197"/>
      <c r="BR405" s="328"/>
      <c r="BS405" s="453"/>
      <c r="BT405" s="454"/>
      <c r="BU405" s="441" t="str">
        <f t="shared" si="599"/>
        <v/>
      </c>
      <c r="BV405" s="328"/>
      <c r="BW405" s="197" t="str">
        <f>IF(AND($I405="x",AND(MAX(BS405:BU405)=BS405,BS405&lt;&gt;"")),Data!$BI$2,"")</f>
        <v/>
      </c>
      <c r="BX405" s="197" t="str">
        <f>IF(AND($J405="x",AND(MAX(BS405:BU405)=BT405,BT405&lt;&gt;"")),Data!$BJ$2,"")</f>
        <v/>
      </c>
      <c r="BY405" s="197" t="str">
        <f>IF(AND($K405="x",AND(MAX(BS405:BU405)=BU405,BU405&lt;&gt;"")),Data!$BK$2,"")</f>
        <v/>
      </c>
      <c r="BZ405" s="197"/>
      <c r="CA405" s="328"/>
      <c r="CB405" s="460" t="str">
        <f t="shared" si="600"/>
        <v/>
      </c>
      <c r="CC405" s="461" t="str">
        <f t="shared" si="601"/>
        <v/>
      </c>
      <c r="CD405" s="462" t="str">
        <f t="shared" si="602"/>
        <v/>
      </c>
      <c r="CE405" s="328"/>
      <c r="CF405" s="197" t="str">
        <f>IF(AND($I405="x",AND(MAX(CB405:CD405)=CB405,CB405&lt;&gt;"")),Data!$BI$2,"")</f>
        <v/>
      </c>
      <c r="CG405" s="197" t="str">
        <f>IF(AND($J405="x",AND(MAX(CB405:CD405)=CC405,CC405&lt;&gt;"")),Data!$BJ$2,"")</f>
        <v/>
      </c>
      <c r="CH405" s="197" t="str">
        <f>IF(AND($K405="x",AND(MAX(CB405:CD405)=CD405,CD405&lt;&gt;"")),Data!$BK$2,"")</f>
        <v/>
      </c>
      <c r="CI405" s="197"/>
      <c r="CJ405" s="197"/>
      <c r="CK405" s="453"/>
      <c r="CL405" s="454"/>
      <c r="CM405" s="441" t="str">
        <f t="shared" si="603"/>
        <v/>
      </c>
      <c r="CN405" s="328"/>
      <c r="CO405" s="197" t="str">
        <f>IF(AND($I405="x",AND(MAX(CK405:CM405)=CK405,CK405&lt;&gt;"")),Data!$BI$2,"")</f>
        <v/>
      </c>
      <c r="CP405" s="197" t="str">
        <f>IF(AND($J405="x",AND(MAX(CK405:CM405)=CL405,CL405&lt;&gt;"")),Data!$BJ$2,"")</f>
        <v/>
      </c>
      <c r="CQ405" s="197" t="str">
        <f>IF(AND($K405="x",AND(MAX(CK405:CM405)=CM405,CM405&lt;&gt;"")),Data!$BK$2,"")</f>
        <v/>
      </c>
      <c r="CR405" s="197"/>
      <c r="CS405" s="197"/>
      <c r="CT405" s="328"/>
      <c r="CU405" s="255"/>
      <c r="CV405" s="209"/>
      <c r="CW405" s="227"/>
    </row>
    <row r="406" spans="1:101" x14ac:dyDescent="0.2">
      <c r="A406" s="227"/>
      <c r="B406" s="227"/>
      <c r="C406" s="168"/>
      <c r="D406" s="232"/>
      <c r="E406" s="136" t="s">
        <v>275</v>
      </c>
      <c r="F406" s="426"/>
      <c r="G406" s="432"/>
      <c r="H406" s="433"/>
      <c r="I406" s="349" t="str">
        <f t="shared" si="590"/>
        <v/>
      </c>
      <c r="J406" s="350" t="str">
        <f t="shared" si="591"/>
        <v/>
      </c>
      <c r="K406" s="351" t="str">
        <f t="shared" si="592"/>
        <v/>
      </c>
      <c r="L406" s="258"/>
      <c r="M406" s="332"/>
      <c r="N406" s="336"/>
      <c r="O406" s="200"/>
      <c r="P406" s="200"/>
      <c r="Q406" s="442"/>
      <c r="R406" s="443"/>
      <c r="S406" s="444" t="str">
        <f t="shared" si="593"/>
        <v/>
      </c>
      <c r="T406" s="328"/>
      <c r="U406" s="197" t="str">
        <f>IF(AND($I406="x",AND(MAX(Q406:S406)=Q406,Q406&gt;=0)),Data!$BI$2,"")</f>
        <v/>
      </c>
      <c r="V406" s="197" t="str">
        <f>IF(AND($J406="x",AND(MAX(Q406:S406)=R406,R406&gt;=0)),Data!$BJ$2,"")</f>
        <v/>
      </c>
      <c r="W406" s="197" t="str">
        <f>IF(AND($K406="x",AND(MAX(Q406:S406)=S406,S406&gt;=0)),Data!$BK$2,"")</f>
        <v/>
      </c>
      <c r="X406" s="197"/>
      <c r="Y406" s="328"/>
      <c r="Z406" s="455"/>
      <c r="AA406" s="456"/>
      <c r="AB406" s="444" t="str">
        <f t="shared" si="594"/>
        <v/>
      </c>
      <c r="AC406" s="328"/>
      <c r="AD406" s="197" t="str">
        <f>IF(AND($I406="x",AND(MAX(Z406:AB406)=Z406,Z406&lt;&gt;"")),Data!$BI$2,"")</f>
        <v/>
      </c>
      <c r="AE406" s="197" t="str">
        <f>IF(AND($J406="x",AND(MAX(Z406:AB406)=AA406,AA406&lt;&gt;"")),Data!$BJ$2,"")</f>
        <v/>
      </c>
      <c r="AF406" s="197" t="str">
        <f>IF(AND($K406="x",AND(MAX(Z406:AB406)=AB406,AB406&lt;&gt;"")),Data!$BK$2,"")</f>
        <v/>
      </c>
      <c r="AG406" s="197"/>
      <c r="AH406" s="328"/>
      <c r="AI406" s="455"/>
      <c r="AJ406" s="456"/>
      <c r="AK406" s="444" t="str">
        <f t="shared" si="595"/>
        <v/>
      </c>
      <c r="AL406" s="328"/>
      <c r="AM406" s="197" t="str">
        <f>IF(AND($I406="x",AND(MAX(AI406:AK406)=AI406,AI406&lt;&gt;"")),Data!$BI$2,"")</f>
        <v/>
      </c>
      <c r="AN406" s="197" t="str">
        <f>IF(AND($J406="x",AND(MAX(AI406:AK406)=AJ406,AJ406&lt;&gt;"")),Data!$BJ$2,"")</f>
        <v/>
      </c>
      <c r="AO406" s="197" t="str">
        <f>IF(AND($K406="x",AND(MAX(AI406:AK406)=AK406,AK406&lt;&gt;"")),Data!$BK$2,"")</f>
        <v/>
      </c>
      <c r="AP406" s="197"/>
      <c r="AQ406" s="328"/>
      <c r="AR406" s="455"/>
      <c r="AS406" s="456"/>
      <c r="AT406" s="444" t="str">
        <f t="shared" si="596"/>
        <v/>
      </c>
      <c r="AU406" s="328"/>
      <c r="AV406" s="197" t="str">
        <f>IF(AND($I406="x",AND(MAX(AR406:AT406)=AR406,AR406&lt;&gt;"")),Data!$BI$2,"")</f>
        <v/>
      </c>
      <c r="AW406" s="197" t="str">
        <f>IF(AND($J406="x",AND(MAX(AR406:AT406)=AS406,AS406&lt;&gt;"")),Data!$BJ$2,"")</f>
        <v/>
      </c>
      <c r="AX406" s="197" t="str">
        <f>IF(AND($K406="x",AND(MAX(AR406:AT406)=AT406,AT406&lt;&gt;"")),Data!$BK$2,"")</f>
        <v/>
      </c>
      <c r="AY406" s="197"/>
      <c r="AZ406" s="328"/>
      <c r="BA406" s="455"/>
      <c r="BB406" s="456"/>
      <c r="BC406" s="444" t="str">
        <f t="shared" si="597"/>
        <v/>
      </c>
      <c r="BD406" s="328"/>
      <c r="BE406" s="197" t="str">
        <f>IF(AND($I406="x",AND(MAX(BA406:BC406)=BA406,BA406&lt;&gt;"")),Data!$BI$2,"")</f>
        <v/>
      </c>
      <c r="BF406" s="197" t="str">
        <f>IF(AND($J406="x",AND(MAX(BA406:BC406)=BB406,BB406&lt;&gt;"")),Data!$BJ$2,"")</f>
        <v/>
      </c>
      <c r="BG406" s="197" t="str">
        <f>IF(AND($K406="x",AND(MAX(BA406:BC406)=BC406,BC406&lt;&gt;"")),Data!$BK$2,"")</f>
        <v/>
      </c>
      <c r="BH406" s="197"/>
      <c r="BI406" s="328"/>
      <c r="BJ406" s="455"/>
      <c r="BK406" s="456"/>
      <c r="BL406" s="444" t="str">
        <f t="shared" si="598"/>
        <v/>
      </c>
      <c r="BM406" s="328"/>
      <c r="BN406" s="197" t="str">
        <f>IF(AND($I406="x",AND(MAX(BJ406:BL406)=BJ406,BJ406&lt;&gt;"")),Data!$BI$2,"")</f>
        <v/>
      </c>
      <c r="BO406" s="197" t="str">
        <f>IF(AND($J406="x",AND(MAX(BJ406:BL406)=BK406,BK406&lt;&gt;"")),Data!$BJ$2,"")</f>
        <v/>
      </c>
      <c r="BP406" s="197" t="str">
        <f>IF(AND($K406="x",AND(MAX(BJ406:BL406)=BL406,BL406&lt;&gt;"")),Data!$BK$2,"")</f>
        <v/>
      </c>
      <c r="BQ406" s="197"/>
      <c r="BR406" s="328"/>
      <c r="BS406" s="455"/>
      <c r="BT406" s="456"/>
      <c r="BU406" s="444" t="str">
        <f t="shared" si="599"/>
        <v/>
      </c>
      <c r="BV406" s="328"/>
      <c r="BW406" s="197" t="str">
        <f>IF(AND($I406="x",AND(MAX(BS406:BU406)=BS406,BS406&lt;&gt;"")),Data!$BI$2,"")</f>
        <v/>
      </c>
      <c r="BX406" s="197" t="str">
        <f>IF(AND($J406="x",AND(MAX(BS406:BU406)=BT406,BT406&lt;&gt;"")),Data!$BJ$2,"")</f>
        <v/>
      </c>
      <c r="BY406" s="197" t="str">
        <f>IF(AND($K406="x",AND(MAX(BS406:BU406)=BU406,BU406&lt;&gt;"")),Data!$BK$2,"")</f>
        <v/>
      </c>
      <c r="BZ406" s="197"/>
      <c r="CA406" s="328"/>
      <c r="CB406" s="463" t="str">
        <f t="shared" si="600"/>
        <v/>
      </c>
      <c r="CC406" s="464" t="str">
        <f t="shared" si="601"/>
        <v/>
      </c>
      <c r="CD406" s="465" t="str">
        <f t="shared" si="602"/>
        <v/>
      </c>
      <c r="CE406" s="328"/>
      <c r="CF406" s="197" t="str">
        <f>IF(AND($I406="x",AND(MAX(CB406:CD406)=CB406,CB406&lt;&gt;"")),Data!$BI$2,"")</f>
        <v/>
      </c>
      <c r="CG406" s="197" t="str">
        <f>IF(AND($J406="x",AND(MAX(CB406:CD406)=CC406,CC406&lt;&gt;"")),Data!$BJ$2,"")</f>
        <v/>
      </c>
      <c r="CH406" s="197" t="str">
        <f>IF(AND($K406="x",AND(MAX(CB406:CD406)=CD406,CD406&lt;&gt;"")),Data!$BK$2,"")</f>
        <v/>
      </c>
      <c r="CI406" s="197"/>
      <c r="CJ406" s="197"/>
      <c r="CK406" s="455"/>
      <c r="CL406" s="456"/>
      <c r="CM406" s="444" t="str">
        <f t="shared" si="603"/>
        <v/>
      </c>
      <c r="CN406" s="328"/>
      <c r="CO406" s="197" t="str">
        <f>IF(AND($I406="x",AND(MAX(CK406:CM406)=CK406,CK406&lt;&gt;"")),Data!$BI$2,"")</f>
        <v/>
      </c>
      <c r="CP406" s="197" t="str">
        <f>IF(AND($J406="x",AND(MAX(CK406:CM406)=CL406,CL406&lt;&gt;"")),Data!$BJ$2,"")</f>
        <v/>
      </c>
      <c r="CQ406" s="197" t="str">
        <f>IF(AND($K406="x",AND(MAX(CK406:CM406)=CM406,CM406&lt;&gt;"")),Data!$BK$2,"")</f>
        <v/>
      </c>
      <c r="CR406" s="197"/>
      <c r="CS406" s="197"/>
      <c r="CT406" s="328"/>
      <c r="CU406" s="255"/>
      <c r="CV406" s="209"/>
      <c r="CW406" s="227"/>
    </row>
    <row r="407" spans="1:101" x14ac:dyDescent="0.2">
      <c r="A407" s="227"/>
      <c r="B407" s="227"/>
      <c r="C407" s="168"/>
      <c r="D407" s="232"/>
      <c r="E407" s="134" t="s">
        <v>276</v>
      </c>
      <c r="F407" s="424"/>
      <c r="G407" s="428"/>
      <c r="H407" s="429"/>
      <c r="I407" s="138" t="str">
        <f t="shared" si="590"/>
        <v/>
      </c>
      <c r="J407" s="344" t="str">
        <f t="shared" si="591"/>
        <v/>
      </c>
      <c r="K407" s="345" t="str">
        <f t="shared" si="592"/>
        <v/>
      </c>
      <c r="L407" s="258"/>
      <c r="M407" s="332"/>
      <c r="N407" s="336"/>
      <c r="O407" s="200"/>
      <c r="P407" s="200"/>
      <c r="Q407" s="436"/>
      <c r="R407" s="437"/>
      <c r="S407" s="438" t="str">
        <f t="shared" si="593"/>
        <v/>
      </c>
      <c r="T407" s="328"/>
      <c r="U407" s="197" t="str">
        <f>IF(AND($I407="x",AND(MAX(Q407:S407)=Q407,Q407&gt;=0)),Data!$BI$2,"")</f>
        <v/>
      </c>
      <c r="V407" s="197" t="str">
        <f>IF(AND($J407="x",AND(MAX(Q407:S407)=R407,R407&gt;=0)),Data!$BJ$2,"")</f>
        <v/>
      </c>
      <c r="W407" s="197" t="str">
        <f>IF(AND($K407="x",AND(MAX(Q407:S407)=S407,S407&gt;=0)),Data!$BK$2,"")</f>
        <v/>
      </c>
      <c r="X407" s="197"/>
      <c r="Y407" s="328"/>
      <c r="Z407" s="451"/>
      <c r="AA407" s="452"/>
      <c r="AB407" s="438" t="str">
        <f t="shared" si="594"/>
        <v/>
      </c>
      <c r="AC407" s="328"/>
      <c r="AD407" s="197" t="str">
        <f>IF(AND($I407="x",AND(MAX(Z407:AB407)=Z407,Z407&lt;&gt;"")),Data!$BI$2,"")</f>
        <v/>
      </c>
      <c r="AE407" s="197" t="str">
        <f>IF(AND($J407="x",AND(MAX(Z407:AB407)=AA407,AA407&lt;&gt;"")),Data!$BJ$2,"")</f>
        <v/>
      </c>
      <c r="AF407" s="197" t="str">
        <f>IF(AND($K407="x",AND(MAX(Z407:AB407)=AB407,AB407&lt;&gt;"")),Data!$BK$2,"")</f>
        <v/>
      </c>
      <c r="AG407" s="197"/>
      <c r="AH407" s="328"/>
      <c r="AI407" s="451"/>
      <c r="AJ407" s="452"/>
      <c r="AK407" s="438" t="str">
        <f t="shared" si="595"/>
        <v/>
      </c>
      <c r="AL407" s="328"/>
      <c r="AM407" s="197" t="str">
        <f>IF(AND($I407="x",AND(MAX(AI407:AK407)=AI407,AI407&lt;&gt;"")),Data!$BI$2,"")</f>
        <v/>
      </c>
      <c r="AN407" s="197" t="str">
        <f>IF(AND($J407="x",AND(MAX(AI407:AK407)=AJ407,AJ407&lt;&gt;"")),Data!$BJ$2,"")</f>
        <v/>
      </c>
      <c r="AO407" s="197" t="str">
        <f>IF(AND($K407="x",AND(MAX(AI407:AK407)=AK407,AK407&lt;&gt;"")),Data!$BK$2,"")</f>
        <v/>
      </c>
      <c r="AP407" s="197"/>
      <c r="AQ407" s="328"/>
      <c r="AR407" s="451"/>
      <c r="AS407" s="452"/>
      <c r="AT407" s="438" t="str">
        <f t="shared" si="596"/>
        <v/>
      </c>
      <c r="AU407" s="328"/>
      <c r="AV407" s="197" t="str">
        <f>IF(AND($I407="x",AND(MAX(AR407:AT407)=AR407,AR407&lt;&gt;"")),Data!$BI$2,"")</f>
        <v/>
      </c>
      <c r="AW407" s="197" t="str">
        <f>IF(AND($J407="x",AND(MAX(AR407:AT407)=AS407,AS407&lt;&gt;"")),Data!$BJ$2,"")</f>
        <v/>
      </c>
      <c r="AX407" s="197" t="str">
        <f>IF(AND($K407="x",AND(MAX(AR407:AT407)=AT407,AT407&lt;&gt;"")),Data!$BK$2,"")</f>
        <v/>
      </c>
      <c r="AY407" s="197"/>
      <c r="AZ407" s="328"/>
      <c r="BA407" s="451"/>
      <c r="BB407" s="452"/>
      <c r="BC407" s="438" t="str">
        <f t="shared" si="597"/>
        <v/>
      </c>
      <c r="BD407" s="328"/>
      <c r="BE407" s="197" t="str">
        <f>IF(AND($I407="x",AND(MAX(BA407:BC407)=BA407,BA407&lt;&gt;"")),Data!$BI$2,"")</f>
        <v/>
      </c>
      <c r="BF407" s="197" t="str">
        <f>IF(AND($J407="x",AND(MAX(BA407:BC407)=BB407,BB407&lt;&gt;"")),Data!$BJ$2,"")</f>
        <v/>
      </c>
      <c r="BG407" s="197" t="str">
        <f>IF(AND($K407="x",AND(MAX(BA407:BC407)=BC407,BC407&lt;&gt;"")),Data!$BK$2,"")</f>
        <v/>
      </c>
      <c r="BH407" s="197"/>
      <c r="BI407" s="328"/>
      <c r="BJ407" s="451"/>
      <c r="BK407" s="452"/>
      <c r="BL407" s="438" t="str">
        <f t="shared" si="598"/>
        <v/>
      </c>
      <c r="BM407" s="328"/>
      <c r="BN407" s="197" t="str">
        <f>IF(AND($I407="x",AND(MAX(BJ407:BL407)=BJ407,BJ407&lt;&gt;"")),Data!$BI$2,"")</f>
        <v/>
      </c>
      <c r="BO407" s="197" t="str">
        <f>IF(AND($J407="x",AND(MAX(BJ407:BL407)=BK407,BK407&lt;&gt;"")),Data!$BJ$2,"")</f>
        <v/>
      </c>
      <c r="BP407" s="197" t="str">
        <f>IF(AND($K407="x",AND(MAX(BJ407:BL407)=BL407,BL407&lt;&gt;"")),Data!$BK$2,"")</f>
        <v/>
      </c>
      <c r="BQ407" s="197"/>
      <c r="BR407" s="328"/>
      <c r="BS407" s="451"/>
      <c r="BT407" s="452"/>
      <c r="BU407" s="438" t="str">
        <f t="shared" si="599"/>
        <v/>
      </c>
      <c r="BV407" s="328"/>
      <c r="BW407" s="197" t="str">
        <f>IF(AND($I407="x",AND(MAX(BS407:BU407)=BS407,BS407&lt;&gt;"")),Data!$BI$2,"")</f>
        <v/>
      </c>
      <c r="BX407" s="197" t="str">
        <f>IF(AND($J407="x",AND(MAX(BS407:BU407)=BT407,BT407&lt;&gt;"")),Data!$BJ$2,"")</f>
        <v/>
      </c>
      <c r="BY407" s="197" t="str">
        <f>IF(AND($K407="x",AND(MAX(BS407:BU407)=BU407,BU407&lt;&gt;"")),Data!$BK$2,"")</f>
        <v/>
      </c>
      <c r="BZ407" s="197"/>
      <c r="CA407" s="328"/>
      <c r="CB407" s="457" t="str">
        <f t="shared" si="600"/>
        <v/>
      </c>
      <c r="CC407" s="458" t="str">
        <f t="shared" si="601"/>
        <v/>
      </c>
      <c r="CD407" s="459" t="str">
        <f t="shared" si="602"/>
        <v/>
      </c>
      <c r="CE407" s="328"/>
      <c r="CF407" s="197" t="str">
        <f>IF(AND($I407="x",AND(MAX(CB407:CD407)=CB407,CB407&lt;&gt;"")),Data!$BI$2,"")</f>
        <v/>
      </c>
      <c r="CG407" s="197" t="str">
        <f>IF(AND($J407="x",AND(MAX(CB407:CD407)=CC407,CC407&lt;&gt;"")),Data!$BJ$2,"")</f>
        <v/>
      </c>
      <c r="CH407" s="197" t="str">
        <f>IF(AND($K407="x",AND(MAX(CB407:CD407)=CD407,CD407&lt;&gt;"")),Data!$BK$2,"")</f>
        <v/>
      </c>
      <c r="CI407" s="197"/>
      <c r="CJ407" s="197"/>
      <c r="CK407" s="451"/>
      <c r="CL407" s="452"/>
      <c r="CM407" s="438" t="str">
        <f t="shared" si="603"/>
        <v/>
      </c>
      <c r="CN407" s="328"/>
      <c r="CO407" s="197" t="str">
        <f>IF(AND($I407="x",AND(MAX(CK407:CM407)=CK407,CK407&lt;&gt;"")),Data!$BI$2,"")</f>
        <v/>
      </c>
      <c r="CP407" s="197" t="str">
        <f>IF(AND($J407="x",AND(MAX(CK407:CM407)=CL407,CL407&lt;&gt;"")),Data!$BJ$2,"")</f>
        <v/>
      </c>
      <c r="CQ407" s="197" t="str">
        <f>IF(AND($K407="x",AND(MAX(CK407:CM407)=CM407,CM407&lt;&gt;"")),Data!$BK$2,"")</f>
        <v/>
      </c>
      <c r="CR407" s="197"/>
      <c r="CS407" s="197"/>
      <c r="CT407" s="328"/>
      <c r="CU407" s="255"/>
      <c r="CV407" s="209"/>
      <c r="CW407" s="227"/>
    </row>
    <row r="408" spans="1:101" x14ac:dyDescent="0.2">
      <c r="A408" s="227"/>
      <c r="B408" s="227"/>
      <c r="C408" s="168"/>
      <c r="D408" s="232"/>
      <c r="E408" s="135" t="s">
        <v>277</v>
      </c>
      <c r="F408" s="425"/>
      <c r="G408" s="430"/>
      <c r="H408" s="431"/>
      <c r="I408" s="346" t="str">
        <f t="shared" si="590"/>
        <v/>
      </c>
      <c r="J408" s="347" t="str">
        <f t="shared" si="591"/>
        <v/>
      </c>
      <c r="K408" s="348" t="str">
        <f t="shared" si="592"/>
        <v/>
      </c>
      <c r="L408" s="258"/>
      <c r="M408" s="332"/>
      <c r="N408" s="336"/>
      <c r="O408" s="200"/>
      <c r="P408" s="200"/>
      <c r="Q408" s="439"/>
      <c r="R408" s="440"/>
      <c r="S408" s="441" t="str">
        <f t="shared" si="593"/>
        <v/>
      </c>
      <c r="T408" s="328"/>
      <c r="U408" s="197" t="str">
        <f>IF(AND($I408="x",AND(MAX(Q408:S408)=Q408,Q408&gt;=0)),Data!$BI$2,"")</f>
        <v/>
      </c>
      <c r="V408" s="197" t="str">
        <f>IF(AND($J408="x",AND(MAX(Q408:S408)=R408,R408&gt;=0)),Data!$BJ$2,"")</f>
        <v/>
      </c>
      <c r="W408" s="197" t="str">
        <f>IF(AND($K408="x",AND(MAX(Q408:S408)=S408,S408&gt;=0)),Data!$BK$2,"")</f>
        <v/>
      </c>
      <c r="X408" s="197"/>
      <c r="Y408" s="328"/>
      <c r="Z408" s="453"/>
      <c r="AA408" s="454"/>
      <c r="AB408" s="441" t="str">
        <f t="shared" si="594"/>
        <v/>
      </c>
      <c r="AC408" s="328"/>
      <c r="AD408" s="197" t="str">
        <f>IF(AND($I408="x",AND(MAX(Z408:AB408)=Z408,Z408&lt;&gt;"")),Data!$BI$2,"")</f>
        <v/>
      </c>
      <c r="AE408" s="197" t="str">
        <f>IF(AND($J408="x",AND(MAX(Z408:AB408)=AA408,AA408&lt;&gt;"")),Data!$BJ$2,"")</f>
        <v/>
      </c>
      <c r="AF408" s="197" t="str">
        <f>IF(AND($K408="x",AND(MAX(Z408:AB408)=AB408,AB408&lt;&gt;"")),Data!$BK$2,"")</f>
        <v/>
      </c>
      <c r="AG408" s="197"/>
      <c r="AH408" s="328"/>
      <c r="AI408" s="453"/>
      <c r="AJ408" s="454"/>
      <c r="AK408" s="441" t="str">
        <f t="shared" si="595"/>
        <v/>
      </c>
      <c r="AL408" s="328"/>
      <c r="AM408" s="197" t="str">
        <f>IF(AND($I408="x",AND(MAX(AI408:AK408)=AI408,AI408&lt;&gt;"")),Data!$BI$2,"")</f>
        <v/>
      </c>
      <c r="AN408" s="197" t="str">
        <f>IF(AND($J408="x",AND(MAX(AI408:AK408)=AJ408,AJ408&lt;&gt;"")),Data!$BJ$2,"")</f>
        <v/>
      </c>
      <c r="AO408" s="197" t="str">
        <f>IF(AND($K408="x",AND(MAX(AI408:AK408)=AK408,AK408&lt;&gt;"")),Data!$BK$2,"")</f>
        <v/>
      </c>
      <c r="AP408" s="197"/>
      <c r="AQ408" s="328"/>
      <c r="AR408" s="453"/>
      <c r="AS408" s="454"/>
      <c r="AT408" s="441" t="str">
        <f t="shared" si="596"/>
        <v/>
      </c>
      <c r="AU408" s="328"/>
      <c r="AV408" s="197" t="str">
        <f>IF(AND($I408="x",AND(MAX(AR408:AT408)=AR408,AR408&lt;&gt;"")),Data!$BI$2,"")</f>
        <v/>
      </c>
      <c r="AW408" s="197" t="str">
        <f>IF(AND($J408="x",AND(MAX(AR408:AT408)=AS408,AS408&lt;&gt;"")),Data!$BJ$2,"")</f>
        <v/>
      </c>
      <c r="AX408" s="197" t="str">
        <f>IF(AND($K408="x",AND(MAX(AR408:AT408)=AT408,AT408&lt;&gt;"")),Data!$BK$2,"")</f>
        <v/>
      </c>
      <c r="AY408" s="197"/>
      <c r="AZ408" s="328"/>
      <c r="BA408" s="453"/>
      <c r="BB408" s="454"/>
      <c r="BC408" s="441" t="str">
        <f t="shared" si="597"/>
        <v/>
      </c>
      <c r="BD408" s="328"/>
      <c r="BE408" s="197" t="str">
        <f>IF(AND($I408="x",AND(MAX(BA408:BC408)=BA408,BA408&lt;&gt;"")),Data!$BI$2,"")</f>
        <v/>
      </c>
      <c r="BF408" s="197" t="str">
        <f>IF(AND($J408="x",AND(MAX(BA408:BC408)=BB408,BB408&lt;&gt;"")),Data!$BJ$2,"")</f>
        <v/>
      </c>
      <c r="BG408" s="197" t="str">
        <f>IF(AND($K408="x",AND(MAX(BA408:BC408)=BC408,BC408&lt;&gt;"")),Data!$BK$2,"")</f>
        <v/>
      </c>
      <c r="BH408" s="197"/>
      <c r="BI408" s="328"/>
      <c r="BJ408" s="453"/>
      <c r="BK408" s="454"/>
      <c r="BL408" s="441" t="str">
        <f t="shared" si="598"/>
        <v/>
      </c>
      <c r="BM408" s="328"/>
      <c r="BN408" s="197" t="str">
        <f>IF(AND($I408="x",AND(MAX(BJ408:BL408)=BJ408,BJ408&lt;&gt;"")),Data!$BI$2,"")</f>
        <v/>
      </c>
      <c r="BO408" s="197" t="str">
        <f>IF(AND($J408="x",AND(MAX(BJ408:BL408)=BK408,BK408&lt;&gt;"")),Data!$BJ$2,"")</f>
        <v/>
      </c>
      <c r="BP408" s="197" t="str">
        <f>IF(AND($K408="x",AND(MAX(BJ408:BL408)=BL408,BL408&lt;&gt;"")),Data!$BK$2,"")</f>
        <v/>
      </c>
      <c r="BQ408" s="197"/>
      <c r="BR408" s="328"/>
      <c r="BS408" s="453"/>
      <c r="BT408" s="454"/>
      <c r="BU408" s="441" t="str">
        <f t="shared" si="599"/>
        <v/>
      </c>
      <c r="BV408" s="328"/>
      <c r="BW408" s="197" t="str">
        <f>IF(AND($I408="x",AND(MAX(BS408:BU408)=BS408,BS408&lt;&gt;"")),Data!$BI$2,"")</f>
        <v/>
      </c>
      <c r="BX408" s="197" t="str">
        <f>IF(AND($J408="x",AND(MAX(BS408:BU408)=BT408,BT408&lt;&gt;"")),Data!$BJ$2,"")</f>
        <v/>
      </c>
      <c r="BY408" s="197" t="str">
        <f>IF(AND($K408="x",AND(MAX(BS408:BU408)=BU408,BU408&lt;&gt;"")),Data!$BK$2,"")</f>
        <v/>
      </c>
      <c r="BZ408" s="197"/>
      <c r="CA408" s="328"/>
      <c r="CB408" s="460" t="str">
        <f t="shared" si="600"/>
        <v/>
      </c>
      <c r="CC408" s="461" t="str">
        <f t="shared" si="601"/>
        <v/>
      </c>
      <c r="CD408" s="462" t="str">
        <f t="shared" si="602"/>
        <v/>
      </c>
      <c r="CE408" s="328"/>
      <c r="CF408" s="197" t="str">
        <f>IF(AND($I408="x",AND(MAX(CB408:CD408)=CB408,CB408&lt;&gt;"")),Data!$BI$2,"")</f>
        <v/>
      </c>
      <c r="CG408" s="197" t="str">
        <f>IF(AND($J408="x",AND(MAX(CB408:CD408)=CC408,CC408&lt;&gt;"")),Data!$BJ$2,"")</f>
        <v/>
      </c>
      <c r="CH408" s="197" t="str">
        <f>IF(AND($K408="x",AND(MAX(CB408:CD408)=CD408,CD408&lt;&gt;"")),Data!$BK$2,"")</f>
        <v/>
      </c>
      <c r="CI408" s="197"/>
      <c r="CJ408" s="197"/>
      <c r="CK408" s="453"/>
      <c r="CL408" s="454"/>
      <c r="CM408" s="441" t="str">
        <f t="shared" si="603"/>
        <v/>
      </c>
      <c r="CN408" s="328"/>
      <c r="CO408" s="197" t="str">
        <f>IF(AND($I408="x",AND(MAX(CK408:CM408)=CK408,CK408&lt;&gt;"")),Data!$BI$2,"")</f>
        <v/>
      </c>
      <c r="CP408" s="197" t="str">
        <f>IF(AND($J408="x",AND(MAX(CK408:CM408)=CL408,CL408&lt;&gt;"")),Data!$BJ$2,"")</f>
        <v/>
      </c>
      <c r="CQ408" s="197" t="str">
        <f>IF(AND($K408="x",AND(MAX(CK408:CM408)=CM408,CM408&lt;&gt;"")),Data!$BK$2,"")</f>
        <v/>
      </c>
      <c r="CR408" s="197"/>
      <c r="CS408" s="197"/>
      <c r="CT408" s="328"/>
      <c r="CU408" s="255"/>
      <c r="CV408" s="209"/>
      <c r="CW408" s="227"/>
    </row>
    <row r="409" spans="1:101" x14ac:dyDescent="0.2">
      <c r="A409" s="227"/>
      <c r="B409" s="227"/>
      <c r="C409" s="168"/>
      <c r="D409" s="232"/>
      <c r="E409" s="136" t="s">
        <v>278</v>
      </c>
      <c r="F409" s="426"/>
      <c r="G409" s="432"/>
      <c r="H409" s="433"/>
      <c r="I409" s="349" t="str">
        <f t="shared" si="590"/>
        <v/>
      </c>
      <c r="J409" s="350" t="str">
        <f t="shared" si="591"/>
        <v/>
      </c>
      <c r="K409" s="351" t="str">
        <f t="shared" si="592"/>
        <v/>
      </c>
      <c r="L409" s="258"/>
      <c r="M409" s="332"/>
      <c r="N409" s="336"/>
      <c r="O409" s="200"/>
      <c r="P409" s="200"/>
      <c r="Q409" s="445"/>
      <c r="R409" s="446"/>
      <c r="S409" s="447" t="str">
        <f t="shared" si="593"/>
        <v/>
      </c>
      <c r="T409" s="328"/>
      <c r="U409" s="197" t="str">
        <f>IF(AND($I409="x",AND(MAX(Q409:S409)=Q409,Q409&gt;=0)),Data!$BI$2,"")</f>
        <v/>
      </c>
      <c r="V409" s="197" t="str">
        <f>IF(AND($J409="x",AND(MAX(Q409:S409)=R409,R409&gt;=0)),Data!$BJ$2,"")</f>
        <v/>
      </c>
      <c r="W409" s="197" t="str">
        <f>IF(AND($K409="x",AND(MAX(Q409:S409)=S409,S409&gt;=0)),Data!$BK$2,"")</f>
        <v/>
      </c>
      <c r="X409" s="197"/>
      <c r="Y409" s="328"/>
      <c r="Z409" s="455"/>
      <c r="AA409" s="456"/>
      <c r="AB409" s="447" t="str">
        <f t="shared" si="594"/>
        <v/>
      </c>
      <c r="AC409" s="328"/>
      <c r="AD409" s="197" t="str">
        <f>IF(AND($I409="x",AND(MAX(Z409:AB409)=Z409,Z409&lt;&gt;"")),Data!$BI$2,"")</f>
        <v/>
      </c>
      <c r="AE409" s="197" t="str">
        <f>IF(AND($J409="x",AND(MAX(Z409:AB409)=AA409,AA409&lt;&gt;"")),Data!$BJ$2,"")</f>
        <v/>
      </c>
      <c r="AF409" s="197" t="str">
        <f>IF(AND($K409="x",AND(MAX(Z409:AB409)=AB409,AB409&lt;&gt;"")),Data!$BK$2,"")</f>
        <v/>
      </c>
      <c r="AG409" s="197"/>
      <c r="AH409" s="328"/>
      <c r="AI409" s="455"/>
      <c r="AJ409" s="456"/>
      <c r="AK409" s="447" t="str">
        <f t="shared" si="595"/>
        <v/>
      </c>
      <c r="AL409" s="328"/>
      <c r="AM409" s="197" t="str">
        <f>IF(AND($I409="x",AND(MAX(AI409:AK409)=AI409,AI409&lt;&gt;"")),Data!$BI$2,"")</f>
        <v/>
      </c>
      <c r="AN409" s="197" t="str">
        <f>IF(AND($J409="x",AND(MAX(AI409:AK409)=AJ409,AJ409&lt;&gt;"")),Data!$BJ$2,"")</f>
        <v/>
      </c>
      <c r="AO409" s="197" t="str">
        <f>IF(AND($K409="x",AND(MAX(AI409:AK409)=AK409,AK409&lt;&gt;"")),Data!$BK$2,"")</f>
        <v/>
      </c>
      <c r="AP409" s="197"/>
      <c r="AQ409" s="328"/>
      <c r="AR409" s="455"/>
      <c r="AS409" s="456"/>
      <c r="AT409" s="447" t="str">
        <f t="shared" si="596"/>
        <v/>
      </c>
      <c r="AU409" s="328"/>
      <c r="AV409" s="197" t="str">
        <f>IF(AND($I409="x",AND(MAX(AR409:AT409)=AR409,AR409&lt;&gt;"")),Data!$BI$2,"")</f>
        <v/>
      </c>
      <c r="AW409" s="197" t="str">
        <f>IF(AND($J409="x",AND(MAX(AR409:AT409)=AS409,AS409&lt;&gt;"")),Data!$BJ$2,"")</f>
        <v/>
      </c>
      <c r="AX409" s="197" t="str">
        <f>IF(AND($K409="x",AND(MAX(AR409:AT409)=AT409,AT409&lt;&gt;"")),Data!$BK$2,"")</f>
        <v/>
      </c>
      <c r="AY409" s="197"/>
      <c r="AZ409" s="328"/>
      <c r="BA409" s="455"/>
      <c r="BB409" s="456"/>
      <c r="BC409" s="447" t="str">
        <f t="shared" si="597"/>
        <v/>
      </c>
      <c r="BD409" s="328"/>
      <c r="BE409" s="197" t="str">
        <f>IF(AND($I409="x",AND(MAX(BA409:BC409)=BA409,BA409&lt;&gt;"")),Data!$BI$2,"")</f>
        <v/>
      </c>
      <c r="BF409" s="197" t="str">
        <f>IF(AND($J409="x",AND(MAX(BA409:BC409)=BB409,BB409&lt;&gt;"")),Data!$BJ$2,"")</f>
        <v/>
      </c>
      <c r="BG409" s="197" t="str">
        <f>IF(AND($K409="x",AND(MAX(BA409:BC409)=BC409,BC409&lt;&gt;"")),Data!$BK$2,"")</f>
        <v/>
      </c>
      <c r="BH409" s="197"/>
      <c r="BI409" s="328"/>
      <c r="BJ409" s="455"/>
      <c r="BK409" s="456"/>
      <c r="BL409" s="447" t="str">
        <f t="shared" si="598"/>
        <v/>
      </c>
      <c r="BM409" s="328"/>
      <c r="BN409" s="197" t="str">
        <f>IF(AND($I409="x",AND(MAX(BJ409:BL409)=BJ409,BJ409&lt;&gt;"")),Data!$BI$2,"")</f>
        <v/>
      </c>
      <c r="BO409" s="197" t="str">
        <f>IF(AND($J409="x",AND(MAX(BJ409:BL409)=BK409,BK409&lt;&gt;"")),Data!$BJ$2,"")</f>
        <v/>
      </c>
      <c r="BP409" s="197" t="str">
        <f>IF(AND($K409="x",AND(MAX(BJ409:BL409)=BL409,BL409&lt;&gt;"")),Data!$BK$2,"")</f>
        <v/>
      </c>
      <c r="BQ409" s="197"/>
      <c r="BR409" s="328"/>
      <c r="BS409" s="455"/>
      <c r="BT409" s="456"/>
      <c r="BU409" s="447" t="str">
        <f t="shared" si="599"/>
        <v/>
      </c>
      <c r="BV409" s="328"/>
      <c r="BW409" s="197" t="str">
        <f>IF(AND($I409="x",AND(MAX(BS409:BU409)=BS409,BS409&lt;&gt;"")),Data!$BI$2,"")</f>
        <v/>
      </c>
      <c r="BX409" s="197" t="str">
        <f>IF(AND($J409="x",AND(MAX(BS409:BU409)=BT409,BT409&lt;&gt;"")),Data!$BJ$2,"")</f>
        <v/>
      </c>
      <c r="BY409" s="197" t="str">
        <f>IF(AND($K409="x",AND(MAX(BS409:BU409)=BU409,BU409&lt;&gt;"")),Data!$BK$2,"")</f>
        <v/>
      </c>
      <c r="BZ409" s="197"/>
      <c r="CA409" s="328"/>
      <c r="CB409" s="463" t="str">
        <f t="shared" si="600"/>
        <v/>
      </c>
      <c r="CC409" s="464" t="str">
        <f t="shared" si="601"/>
        <v/>
      </c>
      <c r="CD409" s="465" t="str">
        <f t="shared" si="602"/>
        <v/>
      </c>
      <c r="CE409" s="328"/>
      <c r="CF409" s="197" t="str">
        <f>IF(AND($I409="x",AND(MAX(CB409:CD409)=CB409,CB409&lt;&gt;"")),Data!$BI$2,"")</f>
        <v/>
      </c>
      <c r="CG409" s="197" t="str">
        <f>IF(AND($J409="x",AND(MAX(CB409:CD409)=CC409,CC409&lt;&gt;"")),Data!$BJ$2,"")</f>
        <v/>
      </c>
      <c r="CH409" s="197" t="str">
        <f>IF(AND($K409="x",AND(MAX(CB409:CD409)=CD409,CD409&lt;&gt;"")),Data!$BK$2,"")</f>
        <v/>
      </c>
      <c r="CI409" s="197"/>
      <c r="CJ409" s="197"/>
      <c r="CK409" s="455"/>
      <c r="CL409" s="456"/>
      <c r="CM409" s="447" t="str">
        <f t="shared" si="603"/>
        <v/>
      </c>
      <c r="CN409" s="328"/>
      <c r="CO409" s="197" t="str">
        <f>IF(AND($I409="x",AND(MAX(CK409:CM409)=CK409,CK409&lt;&gt;"")),Data!$BI$2,"")</f>
        <v/>
      </c>
      <c r="CP409" s="197" t="str">
        <f>IF(AND($J409="x",AND(MAX(CK409:CM409)=CL409,CL409&lt;&gt;"")),Data!$BJ$2,"")</f>
        <v/>
      </c>
      <c r="CQ409" s="197" t="str">
        <f>IF(AND($K409="x",AND(MAX(CK409:CM409)=CM409,CM409&lt;&gt;"")),Data!$BK$2,"")</f>
        <v/>
      </c>
      <c r="CR409" s="197"/>
      <c r="CS409" s="197"/>
      <c r="CT409" s="328"/>
      <c r="CU409" s="255"/>
      <c r="CV409" s="209"/>
      <c r="CW409" s="227"/>
    </row>
    <row r="410" spans="1:101" x14ac:dyDescent="0.2">
      <c r="A410" s="227"/>
      <c r="B410" s="227"/>
      <c r="C410" s="168"/>
      <c r="D410" s="232"/>
      <c r="E410" s="134" t="s">
        <v>279</v>
      </c>
      <c r="F410" s="424"/>
      <c r="G410" s="428"/>
      <c r="H410" s="429"/>
      <c r="I410" s="138" t="str">
        <f t="shared" si="590"/>
        <v/>
      </c>
      <c r="J410" s="344" t="str">
        <f t="shared" si="591"/>
        <v/>
      </c>
      <c r="K410" s="345" t="str">
        <f t="shared" si="592"/>
        <v/>
      </c>
      <c r="L410" s="258"/>
      <c r="M410" s="332"/>
      <c r="N410" s="336"/>
      <c r="O410" s="200"/>
      <c r="P410" s="200"/>
      <c r="Q410" s="436"/>
      <c r="R410" s="437"/>
      <c r="S410" s="438" t="str">
        <f t="shared" si="593"/>
        <v/>
      </c>
      <c r="T410" s="328"/>
      <c r="U410" s="197" t="str">
        <f>IF(AND($I410="x",AND(MAX(Q410:S410)=Q410,Q410&gt;=0)),Data!$BI$2,"")</f>
        <v/>
      </c>
      <c r="V410" s="197" t="str">
        <f>IF(AND($J410="x",AND(MAX(Q410:S410)=R410,R410&gt;=0)),Data!$BJ$2,"")</f>
        <v/>
      </c>
      <c r="W410" s="197" t="str">
        <f>IF(AND($K410="x",AND(MAX(Q410:S410)=S410,S410&gt;=0)),Data!$BK$2,"")</f>
        <v/>
      </c>
      <c r="X410" s="197"/>
      <c r="Y410" s="328"/>
      <c r="Z410" s="451"/>
      <c r="AA410" s="452"/>
      <c r="AB410" s="438" t="str">
        <f t="shared" si="594"/>
        <v/>
      </c>
      <c r="AC410" s="328"/>
      <c r="AD410" s="197" t="str">
        <f>IF(AND($I410="x",AND(MAX(Z410:AB410)=Z410,Z410&lt;&gt;"")),Data!$BI$2,"")</f>
        <v/>
      </c>
      <c r="AE410" s="197" t="str">
        <f>IF(AND($J410="x",AND(MAX(Z410:AB410)=AA410,AA410&lt;&gt;"")),Data!$BJ$2,"")</f>
        <v/>
      </c>
      <c r="AF410" s="197" t="str">
        <f>IF(AND($K410="x",AND(MAX(Z410:AB410)=AB410,AB410&lt;&gt;"")),Data!$BK$2,"")</f>
        <v/>
      </c>
      <c r="AG410" s="197"/>
      <c r="AH410" s="328"/>
      <c r="AI410" s="451"/>
      <c r="AJ410" s="452"/>
      <c r="AK410" s="438" t="str">
        <f t="shared" si="595"/>
        <v/>
      </c>
      <c r="AL410" s="328"/>
      <c r="AM410" s="197" t="str">
        <f>IF(AND($I410="x",AND(MAX(AI410:AK410)=AI410,AI410&lt;&gt;"")),Data!$BI$2,"")</f>
        <v/>
      </c>
      <c r="AN410" s="197" t="str">
        <f>IF(AND($J410="x",AND(MAX(AI410:AK410)=AJ410,AJ410&lt;&gt;"")),Data!$BJ$2,"")</f>
        <v/>
      </c>
      <c r="AO410" s="197" t="str">
        <f>IF(AND($K410="x",AND(MAX(AI410:AK410)=AK410,AK410&lt;&gt;"")),Data!$BK$2,"")</f>
        <v/>
      </c>
      <c r="AP410" s="197"/>
      <c r="AQ410" s="328"/>
      <c r="AR410" s="451"/>
      <c r="AS410" s="452"/>
      <c r="AT410" s="438" t="str">
        <f t="shared" si="596"/>
        <v/>
      </c>
      <c r="AU410" s="328"/>
      <c r="AV410" s="197" t="str">
        <f>IF(AND($I410="x",AND(MAX(AR410:AT410)=AR410,AR410&lt;&gt;"")),Data!$BI$2,"")</f>
        <v/>
      </c>
      <c r="AW410" s="197" t="str">
        <f>IF(AND($J410="x",AND(MAX(AR410:AT410)=AS410,AS410&lt;&gt;"")),Data!$BJ$2,"")</f>
        <v/>
      </c>
      <c r="AX410" s="197" t="str">
        <f>IF(AND($K410="x",AND(MAX(AR410:AT410)=AT410,AT410&lt;&gt;"")),Data!$BK$2,"")</f>
        <v/>
      </c>
      <c r="AY410" s="197"/>
      <c r="AZ410" s="328"/>
      <c r="BA410" s="451"/>
      <c r="BB410" s="452"/>
      <c r="BC410" s="438" t="str">
        <f t="shared" si="597"/>
        <v/>
      </c>
      <c r="BD410" s="328"/>
      <c r="BE410" s="197" t="str">
        <f>IF(AND($I410="x",AND(MAX(BA410:BC410)=BA410,BA410&lt;&gt;"")),Data!$BI$2,"")</f>
        <v/>
      </c>
      <c r="BF410" s="197" t="str">
        <f>IF(AND($J410="x",AND(MAX(BA410:BC410)=BB410,BB410&lt;&gt;"")),Data!$BJ$2,"")</f>
        <v/>
      </c>
      <c r="BG410" s="197" t="str">
        <f>IF(AND($K410="x",AND(MAX(BA410:BC410)=BC410,BC410&lt;&gt;"")),Data!$BK$2,"")</f>
        <v/>
      </c>
      <c r="BH410" s="197"/>
      <c r="BI410" s="328"/>
      <c r="BJ410" s="451"/>
      <c r="BK410" s="452"/>
      <c r="BL410" s="438" t="str">
        <f t="shared" si="598"/>
        <v/>
      </c>
      <c r="BM410" s="328"/>
      <c r="BN410" s="197" t="str">
        <f>IF(AND($I410="x",AND(MAX(BJ410:BL410)=BJ410,BJ410&lt;&gt;"")),Data!$BI$2,"")</f>
        <v/>
      </c>
      <c r="BO410" s="197" t="str">
        <f>IF(AND($J410="x",AND(MAX(BJ410:BL410)=BK410,BK410&lt;&gt;"")),Data!$BJ$2,"")</f>
        <v/>
      </c>
      <c r="BP410" s="197" t="str">
        <f>IF(AND($K410="x",AND(MAX(BJ410:BL410)=BL410,BL410&lt;&gt;"")),Data!$BK$2,"")</f>
        <v/>
      </c>
      <c r="BQ410" s="197"/>
      <c r="BR410" s="328"/>
      <c r="BS410" s="451"/>
      <c r="BT410" s="452"/>
      <c r="BU410" s="438" t="str">
        <f t="shared" si="599"/>
        <v/>
      </c>
      <c r="BV410" s="328"/>
      <c r="BW410" s="197" t="str">
        <f>IF(AND($I410="x",AND(MAX(BS410:BU410)=BS410,BS410&lt;&gt;"")),Data!$BI$2,"")</f>
        <v/>
      </c>
      <c r="BX410" s="197" t="str">
        <f>IF(AND($J410="x",AND(MAX(BS410:BU410)=BT410,BT410&lt;&gt;"")),Data!$BJ$2,"")</f>
        <v/>
      </c>
      <c r="BY410" s="197" t="str">
        <f>IF(AND($K410="x",AND(MAX(BS410:BU410)=BU410,BU410&lt;&gt;"")),Data!$BK$2,"")</f>
        <v/>
      </c>
      <c r="BZ410" s="197"/>
      <c r="CA410" s="328"/>
      <c r="CB410" s="457" t="str">
        <f t="shared" si="600"/>
        <v/>
      </c>
      <c r="CC410" s="458" t="str">
        <f t="shared" si="601"/>
        <v/>
      </c>
      <c r="CD410" s="459" t="str">
        <f t="shared" si="602"/>
        <v/>
      </c>
      <c r="CE410" s="328"/>
      <c r="CF410" s="197" t="str">
        <f>IF(AND($I410="x",AND(MAX(CB410:CD410)=CB410,CB410&lt;&gt;"")),Data!$BI$2,"")</f>
        <v/>
      </c>
      <c r="CG410" s="197" t="str">
        <f>IF(AND($J410="x",AND(MAX(CB410:CD410)=CC410,CC410&lt;&gt;"")),Data!$BJ$2,"")</f>
        <v/>
      </c>
      <c r="CH410" s="197" t="str">
        <f>IF(AND($K410="x",AND(MAX(CB410:CD410)=CD410,CD410&lt;&gt;"")),Data!$BK$2,"")</f>
        <v/>
      </c>
      <c r="CI410" s="197"/>
      <c r="CJ410" s="197"/>
      <c r="CK410" s="451"/>
      <c r="CL410" s="452"/>
      <c r="CM410" s="438" t="str">
        <f t="shared" si="603"/>
        <v/>
      </c>
      <c r="CN410" s="328"/>
      <c r="CO410" s="197" t="str">
        <f>IF(AND($I410="x",AND(MAX(CK410:CM410)=CK410,CK410&lt;&gt;"")),Data!$BI$2,"")</f>
        <v/>
      </c>
      <c r="CP410" s="197" t="str">
        <f>IF(AND($J410="x",AND(MAX(CK410:CM410)=CL410,CL410&lt;&gt;"")),Data!$BJ$2,"")</f>
        <v/>
      </c>
      <c r="CQ410" s="197" t="str">
        <f>IF(AND($K410="x",AND(MAX(CK410:CM410)=CM410,CM410&lt;&gt;"")),Data!$BK$2,"")</f>
        <v/>
      </c>
      <c r="CR410" s="197"/>
      <c r="CS410" s="197"/>
      <c r="CT410" s="328"/>
      <c r="CU410" s="259"/>
      <c r="CV410" s="209"/>
      <c r="CW410" s="227"/>
    </row>
    <row r="411" spans="1:101" x14ac:dyDescent="0.2">
      <c r="A411" s="227"/>
      <c r="B411" s="227"/>
      <c r="C411" s="168"/>
      <c r="D411" s="232"/>
      <c r="E411" s="135" t="s">
        <v>280</v>
      </c>
      <c r="F411" s="425"/>
      <c r="G411" s="430"/>
      <c r="H411" s="431"/>
      <c r="I411" s="346" t="str">
        <f t="shared" si="590"/>
        <v/>
      </c>
      <c r="J411" s="347" t="str">
        <f t="shared" si="591"/>
        <v/>
      </c>
      <c r="K411" s="348" t="str">
        <f t="shared" si="592"/>
        <v/>
      </c>
      <c r="L411" s="258"/>
      <c r="M411" s="332"/>
      <c r="N411" s="336"/>
      <c r="O411" s="200"/>
      <c r="P411" s="200"/>
      <c r="Q411" s="439"/>
      <c r="R411" s="440"/>
      <c r="S411" s="441" t="str">
        <f t="shared" si="593"/>
        <v/>
      </c>
      <c r="T411" s="328"/>
      <c r="U411" s="197" t="str">
        <f>IF(AND($I411="x",AND(MAX(Q411:S411)=Q411,Q411&gt;=0)),Data!$BI$2,"")</f>
        <v/>
      </c>
      <c r="V411" s="197" t="str">
        <f>IF(AND($J411="x",AND(MAX(Q411:S411)=R411,R411&gt;=0)),Data!$BJ$2,"")</f>
        <v/>
      </c>
      <c r="W411" s="197" t="str">
        <f>IF(AND($K411="x",AND(MAX(Q411:S411)=S411,S411&gt;=0)),Data!$BK$2,"")</f>
        <v/>
      </c>
      <c r="X411" s="197"/>
      <c r="Y411" s="328"/>
      <c r="Z411" s="453"/>
      <c r="AA411" s="454"/>
      <c r="AB411" s="441" t="str">
        <f t="shared" si="594"/>
        <v/>
      </c>
      <c r="AC411" s="328"/>
      <c r="AD411" s="197" t="str">
        <f>IF(AND($I411="x",AND(MAX(Z411:AB411)=Z411,Z411&lt;&gt;"")),Data!$BI$2,"")</f>
        <v/>
      </c>
      <c r="AE411" s="197" t="str">
        <f>IF(AND($J411="x",AND(MAX(Z411:AB411)=AA411,AA411&lt;&gt;"")),Data!$BJ$2,"")</f>
        <v/>
      </c>
      <c r="AF411" s="197" t="str">
        <f>IF(AND($K411="x",AND(MAX(Z411:AB411)=AB411,AB411&lt;&gt;"")),Data!$BK$2,"")</f>
        <v/>
      </c>
      <c r="AG411" s="197"/>
      <c r="AH411" s="328"/>
      <c r="AI411" s="453"/>
      <c r="AJ411" s="454"/>
      <c r="AK411" s="441" t="str">
        <f t="shared" si="595"/>
        <v/>
      </c>
      <c r="AL411" s="328"/>
      <c r="AM411" s="197" t="str">
        <f>IF(AND($I411="x",AND(MAX(AI411:AK411)=AI411,AI411&lt;&gt;"")),Data!$BI$2,"")</f>
        <v/>
      </c>
      <c r="AN411" s="197" t="str">
        <f>IF(AND($J411="x",AND(MAX(AI411:AK411)=AJ411,AJ411&lt;&gt;"")),Data!$BJ$2,"")</f>
        <v/>
      </c>
      <c r="AO411" s="197" t="str">
        <f>IF(AND($K411="x",AND(MAX(AI411:AK411)=AK411,AK411&lt;&gt;"")),Data!$BK$2,"")</f>
        <v/>
      </c>
      <c r="AP411" s="197"/>
      <c r="AQ411" s="328"/>
      <c r="AR411" s="453"/>
      <c r="AS411" s="454"/>
      <c r="AT411" s="441" t="str">
        <f t="shared" si="596"/>
        <v/>
      </c>
      <c r="AU411" s="328"/>
      <c r="AV411" s="197" t="str">
        <f>IF(AND($I411="x",AND(MAX(AR411:AT411)=AR411,AR411&lt;&gt;"")),Data!$BI$2,"")</f>
        <v/>
      </c>
      <c r="AW411" s="197" t="str">
        <f>IF(AND($J411="x",AND(MAX(AR411:AT411)=AS411,AS411&lt;&gt;"")),Data!$BJ$2,"")</f>
        <v/>
      </c>
      <c r="AX411" s="197" t="str">
        <f>IF(AND($K411="x",AND(MAX(AR411:AT411)=AT411,AT411&lt;&gt;"")),Data!$BK$2,"")</f>
        <v/>
      </c>
      <c r="AY411" s="197"/>
      <c r="AZ411" s="328"/>
      <c r="BA411" s="453"/>
      <c r="BB411" s="454"/>
      <c r="BC411" s="441" t="str">
        <f t="shared" si="597"/>
        <v/>
      </c>
      <c r="BD411" s="328"/>
      <c r="BE411" s="197" t="str">
        <f>IF(AND($I411="x",AND(MAX(BA411:BC411)=BA411,BA411&lt;&gt;"")),Data!$BI$2,"")</f>
        <v/>
      </c>
      <c r="BF411" s="197" t="str">
        <f>IF(AND($J411="x",AND(MAX(BA411:BC411)=BB411,BB411&lt;&gt;"")),Data!$BJ$2,"")</f>
        <v/>
      </c>
      <c r="BG411" s="197" t="str">
        <f>IF(AND($K411="x",AND(MAX(BA411:BC411)=BC411,BC411&lt;&gt;"")),Data!$BK$2,"")</f>
        <v/>
      </c>
      <c r="BH411" s="197"/>
      <c r="BI411" s="328"/>
      <c r="BJ411" s="453"/>
      <c r="BK411" s="454"/>
      <c r="BL411" s="441" t="str">
        <f t="shared" si="598"/>
        <v/>
      </c>
      <c r="BM411" s="328"/>
      <c r="BN411" s="197" t="str">
        <f>IF(AND($I411="x",AND(MAX(BJ411:BL411)=BJ411,BJ411&lt;&gt;"")),Data!$BI$2,"")</f>
        <v/>
      </c>
      <c r="BO411" s="197" t="str">
        <f>IF(AND($J411="x",AND(MAX(BJ411:BL411)=BK411,BK411&lt;&gt;"")),Data!$BJ$2,"")</f>
        <v/>
      </c>
      <c r="BP411" s="197" t="str">
        <f>IF(AND($K411="x",AND(MAX(BJ411:BL411)=BL411,BL411&lt;&gt;"")),Data!$BK$2,"")</f>
        <v/>
      </c>
      <c r="BQ411" s="197"/>
      <c r="BR411" s="328"/>
      <c r="BS411" s="453"/>
      <c r="BT411" s="454"/>
      <c r="BU411" s="441" t="str">
        <f t="shared" si="599"/>
        <v/>
      </c>
      <c r="BV411" s="328"/>
      <c r="BW411" s="197" t="str">
        <f>IF(AND($I411="x",AND(MAX(BS411:BU411)=BS411,BS411&lt;&gt;"")),Data!$BI$2,"")</f>
        <v/>
      </c>
      <c r="BX411" s="197" t="str">
        <f>IF(AND($J411="x",AND(MAX(BS411:BU411)=BT411,BT411&lt;&gt;"")),Data!$BJ$2,"")</f>
        <v/>
      </c>
      <c r="BY411" s="197" t="str">
        <f>IF(AND($K411="x",AND(MAX(BS411:BU411)=BU411,BU411&lt;&gt;"")),Data!$BK$2,"")</f>
        <v/>
      </c>
      <c r="BZ411" s="197"/>
      <c r="CA411" s="328"/>
      <c r="CB411" s="460" t="str">
        <f t="shared" si="600"/>
        <v/>
      </c>
      <c r="CC411" s="461" t="str">
        <f t="shared" si="601"/>
        <v/>
      </c>
      <c r="CD411" s="462" t="str">
        <f t="shared" si="602"/>
        <v/>
      </c>
      <c r="CE411" s="328"/>
      <c r="CF411" s="197" t="str">
        <f>IF(AND($I411="x",AND(MAX(CB411:CD411)=CB411,CB411&lt;&gt;"")),Data!$BI$2,"")</f>
        <v/>
      </c>
      <c r="CG411" s="197" t="str">
        <f>IF(AND($J411="x",AND(MAX(CB411:CD411)=CC411,CC411&lt;&gt;"")),Data!$BJ$2,"")</f>
        <v/>
      </c>
      <c r="CH411" s="197" t="str">
        <f>IF(AND($K411="x",AND(MAX(CB411:CD411)=CD411,CD411&lt;&gt;"")),Data!$BK$2,"")</f>
        <v/>
      </c>
      <c r="CI411" s="197"/>
      <c r="CJ411" s="197"/>
      <c r="CK411" s="453"/>
      <c r="CL411" s="454"/>
      <c r="CM411" s="441" t="str">
        <f t="shared" si="603"/>
        <v/>
      </c>
      <c r="CN411" s="328"/>
      <c r="CO411" s="197" t="str">
        <f>IF(AND($I411="x",AND(MAX(CK411:CM411)=CK411,CK411&lt;&gt;"")),Data!$BI$2,"")</f>
        <v/>
      </c>
      <c r="CP411" s="197" t="str">
        <f>IF(AND($J411="x",AND(MAX(CK411:CM411)=CL411,CL411&lt;&gt;"")),Data!$BJ$2,"")</f>
        <v/>
      </c>
      <c r="CQ411" s="197" t="str">
        <f>IF(AND($K411="x",AND(MAX(CK411:CM411)=CM411,CM411&lt;&gt;"")),Data!$BK$2,"")</f>
        <v/>
      </c>
      <c r="CR411" s="197"/>
      <c r="CS411" s="197"/>
      <c r="CT411" s="328"/>
      <c r="CU411" s="259"/>
      <c r="CV411" s="209"/>
      <c r="CW411" s="227"/>
    </row>
    <row r="412" spans="1:101" x14ac:dyDescent="0.2">
      <c r="A412" s="227"/>
      <c r="B412" s="227"/>
      <c r="C412" s="168"/>
      <c r="D412" s="232"/>
      <c r="E412" s="136" t="s">
        <v>281</v>
      </c>
      <c r="F412" s="426"/>
      <c r="G412" s="432"/>
      <c r="H412" s="433"/>
      <c r="I412" s="349" t="str">
        <f t="shared" si="590"/>
        <v/>
      </c>
      <c r="J412" s="350" t="str">
        <f t="shared" si="591"/>
        <v/>
      </c>
      <c r="K412" s="351" t="str">
        <f t="shared" si="592"/>
        <v/>
      </c>
      <c r="L412" s="258"/>
      <c r="M412" s="332"/>
      <c r="N412" s="336"/>
      <c r="O412" s="200"/>
      <c r="P412" s="200"/>
      <c r="Q412" s="445"/>
      <c r="R412" s="446"/>
      <c r="S412" s="447" t="str">
        <f t="shared" si="593"/>
        <v/>
      </c>
      <c r="T412" s="328"/>
      <c r="U412" s="197" t="str">
        <f>IF(AND($I412="x",AND(MAX(Q412:S412)=Q412,Q412&gt;=0)),Data!$BI$2,"")</f>
        <v/>
      </c>
      <c r="V412" s="197" t="str">
        <f>IF(AND($J412="x",AND(MAX(Q412:S412)=R412,R412&gt;=0)),Data!$BJ$2,"")</f>
        <v/>
      </c>
      <c r="W412" s="197" t="str">
        <f>IF(AND($K412="x",AND(MAX(Q412:S412)=S412,S412&gt;=0)),Data!$BK$2,"")</f>
        <v/>
      </c>
      <c r="X412" s="197"/>
      <c r="Y412" s="328"/>
      <c r="Z412" s="455"/>
      <c r="AA412" s="456"/>
      <c r="AB412" s="447" t="str">
        <f t="shared" si="594"/>
        <v/>
      </c>
      <c r="AC412" s="328"/>
      <c r="AD412" s="197" t="str">
        <f>IF(AND($I412="x",AND(MAX(Z412:AB412)=Z412,Z412&lt;&gt;"")),Data!$BI$2,"")</f>
        <v/>
      </c>
      <c r="AE412" s="197" t="str">
        <f>IF(AND($J412="x",AND(MAX(Z412:AB412)=AA412,AA412&lt;&gt;"")),Data!$BJ$2,"")</f>
        <v/>
      </c>
      <c r="AF412" s="197" t="str">
        <f>IF(AND($K412="x",AND(MAX(Z412:AB412)=AB412,AB412&lt;&gt;"")),Data!$BK$2,"")</f>
        <v/>
      </c>
      <c r="AG412" s="197"/>
      <c r="AH412" s="328"/>
      <c r="AI412" s="455"/>
      <c r="AJ412" s="456"/>
      <c r="AK412" s="447" t="str">
        <f t="shared" si="595"/>
        <v/>
      </c>
      <c r="AL412" s="328"/>
      <c r="AM412" s="197" t="str">
        <f>IF(AND($I412="x",AND(MAX(AI412:AK412)=AI412,AI412&lt;&gt;"")),Data!$BI$2,"")</f>
        <v/>
      </c>
      <c r="AN412" s="197" t="str">
        <f>IF(AND($J412="x",AND(MAX(AI412:AK412)=AJ412,AJ412&lt;&gt;"")),Data!$BJ$2,"")</f>
        <v/>
      </c>
      <c r="AO412" s="197" t="str">
        <f>IF(AND($K412="x",AND(MAX(AI412:AK412)=AK412,AK412&lt;&gt;"")),Data!$BK$2,"")</f>
        <v/>
      </c>
      <c r="AP412" s="197"/>
      <c r="AQ412" s="328"/>
      <c r="AR412" s="455"/>
      <c r="AS412" s="456"/>
      <c r="AT412" s="447" t="str">
        <f t="shared" si="596"/>
        <v/>
      </c>
      <c r="AU412" s="328"/>
      <c r="AV412" s="197" t="str">
        <f>IF(AND($I412="x",AND(MAX(AR412:AT412)=AR412,AR412&lt;&gt;"")),Data!$BI$2,"")</f>
        <v/>
      </c>
      <c r="AW412" s="197" t="str">
        <f>IF(AND($J412="x",AND(MAX(AR412:AT412)=AS412,AS412&lt;&gt;"")),Data!$BJ$2,"")</f>
        <v/>
      </c>
      <c r="AX412" s="197" t="str">
        <f>IF(AND($K412="x",AND(MAX(AR412:AT412)=AT412,AT412&lt;&gt;"")),Data!$BK$2,"")</f>
        <v/>
      </c>
      <c r="AY412" s="197"/>
      <c r="AZ412" s="328"/>
      <c r="BA412" s="455"/>
      <c r="BB412" s="456"/>
      <c r="BC412" s="447" t="str">
        <f t="shared" si="597"/>
        <v/>
      </c>
      <c r="BD412" s="328"/>
      <c r="BE412" s="197" t="str">
        <f>IF(AND($I412="x",AND(MAX(BA412:BC412)=BA412,BA412&lt;&gt;"")),Data!$BI$2,"")</f>
        <v/>
      </c>
      <c r="BF412" s="197" t="str">
        <f>IF(AND($J412="x",AND(MAX(BA412:BC412)=BB412,BB412&lt;&gt;"")),Data!$BJ$2,"")</f>
        <v/>
      </c>
      <c r="BG412" s="197" t="str">
        <f>IF(AND($K412="x",AND(MAX(BA412:BC412)=BC412,BC412&lt;&gt;"")),Data!$BK$2,"")</f>
        <v/>
      </c>
      <c r="BH412" s="197"/>
      <c r="BI412" s="328"/>
      <c r="BJ412" s="455"/>
      <c r="BK412" s="456"/>
      <c r="BL412" s="447" t="str">
        <f t="shared" si="598"/>
        <v/>
      </c>
      <c r="BM412" s="328"/>
      <c r="BN412" s="197" t="str">
        <f>IF(AND($I412="x",AND(MAX(BJ412:BL412)=BJ412,BJ412&lt;&gt;"")),Data!$BI$2,"")</f>
        <v/>
      </c>
      <c r="BO412" s="197" t="str">
        <f>IF(AND($J412="x",AND(MAX(BJ412:BL412)=BK412,BK412&lt;&gt;"")),Data!$BJ$2,"")</f>
        <v/>
      </c>
      <c r="BP412" s="197" t="str">
        <f>IF(AND($K412="x",AND(MAX(BJ412:BL412)=BL412,BL412&lt;&gt;"")),Data!$BK$2,"")</f>
        <v/>
      </c>
      <c r="BQ412" s="197"/>
      <c r="BR412" s="328"/>
      <c r="BS412" s="455"/>
      <c r="BT412" s="456"/>
      <c r="BU412" s="447" t="str">
        <f t="shared" si="599"/>
        <v/>
      </c>
      <c r="BV412" s="328"/>
      <c r="BW412" s="197" t="str">
        <f>IF(AND($I412="x",AND(MAX(BS412:BU412)=BS412,BS412&lt;&gt;"")),Data!$BI$2,"")</f>
        <v/>
      </c>
      <c r="BX412" s="197" t="str">
        <f>IF(AND($J412="x",AND(MAX(BS412:BU412)=BT412,BT412&lt;&gt;"")),Data!$BJ$2,"")</f>
        <v/>
      </c>
      <c r="BY412" s="197" t="str">
        <f>IF(AND($K412="x",AND(MAX(BS412:BU412)=BU412,BU412&lt;&gt;"")),Data!$BK$2,"")</f>
        <v/>
      </c>
      <c r="BZ412" s="197"/>
      <c r="CA412" s="328"/>
      <c r="CB412" s="463" t="str">
        <f t="shared" si="600"/>
        <v/>
      </c>
      <c r="CC412" s="464" t="str">
        <f t="shared" si="601"/>
        <v/>
      </c>
      <c r="CD412" s="465" t="str">
        <f t="shared" si="602"/>
        <v/>
      </c>
      <c r="CE412" s="328"/>
      <c r="CF412" s="197" t="str">
        <f>IF(AND($I412="x",AND(MAX(CB412:CD412)=CB412,CB412&lt;&gt;"")),Data!$BI$2,"")</f>
        <v/>
      </c>
      <c r="CG412" s="197" t="str">
        <f>IF(AND($J412="x",AND(MAX(CB412:CD412)=CC412,CC412&lt;&gt;"")),Data!$BJ$2,"")</f>
        <v/>
      </c>
      <c r="CH412" s="197" t="str">
        <f>IF(AND($K412="x",AND(MAX(CB412:CD412)=CD412,CD412&lt;&gt;"")),Data!$BK$2,"")</f>
        <v/>
      </c>
      <c r="CI412" s="197"/>
      <c r="CJ412" s="197"/>
      <c r="CK412" s="455"/>
      <c r="CL412" s="456"/>
      <c r="CM412" s="447" t="str">
        <f t="shared" si="603"/>
        <v/>
      </c>
      <c r="CN412" s="328"/>
      <c r="CO412" s="197" t="str">
        <f>IF(AND($I412="x",AND(MAX(CK412:CM412)=CK412,CK412&lt;&gt;"")),Data!$BI$2,"")</f>
        <v/>
      </c>
      <c r="CP412" s="197" t="str">
        <f>IF(AND($J412="x",AND(MAX(CK412:CM412)=CL412,CL412&lt;&gt;"")),Data!$BJ$2,"")</f>
        <v/>
      </c>
      <c r="CQ412" s="197" t="str">
        <f>IF(AND($K412="x",AND(MAX(CK412:CM412)=CM412,CM412&lt;&gt;"")),Data!$BK$2,"")</f>
        <v/>
      </c>
      <c r="CR412" s="197"/>
      <c r="CS412" s="197"/>
      <c r="CT412" s="328"/>
      <c r="CU412" s="259"/>
      <c r="CV412" s="209"/>
      <c r="CW412" s="227"/>
    </row>
    <row r="413" spans="1:101" x14ac:dyDescent="0.2">
      <c r="A413" s="227"/>
      <c r="B413" s="227"/>
      <c r="C413" s="168"/>
      <c r="D413" s="232"/>
      <c r="E413" s="137" t="s">
        <v>282</v>
      </c>
      <c r="F413" s="427"/>
      <c r="G413" s="434"/>
      <c r="H413" s="435"/>
      <c r="I413" s="138" t="str">
        <f t="shared" si="590"/>
        <v/>
      </c>
      <c r="J413" s="344" t="str">
        <f t="shared" si="591"/>
        <v/>
      </c>
      <c r="K413" s="345" t="str">
        <f t="shared" si="592"/>
        <v/>
      </c>
      <c r="L413" s="258"/>
      <c r="M413" s="332"/>
      <c r="N413" s="336"/>
      <c r="O413" s="200"/>
      <c r="P413" s="200"/>
      <c r="Q413" s="448"/>
      <c r="R413" s="449"/>
      <c r="S413" s="450" t="str">
        <f t="shared" si="593"/>
        <v/>
      </c>
      <c r="T413" s="328"/>
      <c r="U413" s="197" t="str">
        <f>IF(AND($I413="x",AND(MAX(Q413:S413)=Q413,Q413&gt;=0)),Data!$BI$2,"")</f>
        <v/>
      </c>
      <c r="V413" s="197" t="str">
        <f>IF(AND($J413="x",AND(MAX(Q413:S413)=R413,R413&gt;=0)),Data!$BJ$2,"")</f>
        <v/>
      </c>
      <c r="W413" s="197" t="str">
        <f>IF(AND($K413="x",AND(MAX(Q413:S413)=S413,S413&gt;=0)),Data!$BK$2,"")</f>
        <v/>
      </c>
      <c r="X413" s="197"/>
      <c r="Y413" s="328"/>
      <c r="Z413" s="451"/>
      <c r="AA413" s="452"/>
      <c r="AB413" s="450" t="str">
        <f t="shared" si="594"/>
        <v/>
      </c>
      <c r="AC413" s="328"/>
      <c r="AD413" s="197" t="str">
        <f>IF(AND($I413="x",AND(MAX(Z413:AB413)=Z413,Z413&lt;&gt;"")),Data!$BI$2,"")</f>
        <v/>
      </c>
      <c r="AE413" s="197" t="str">
        <f>IF(AND($J413="x",AND(MAX(Z413:AB413)=AA413,AA413&lt;&gt;"")),Data!$BJ$2,"")</f>
        <v/>
      </c>
      <c r="AF413" s="197" t="str">
        <f>IF(AND($K413="x",AND(MAX(Z413:AB413)=AB413,AB413&lt;&gt;"")),Data!$BK$2,"")</f>
        <v/>
      </c>
      <c r="AG413" s="197"/>
      <c r="AH413" s="328"/>
      <c r="AI413" s="451"/>
      <c r="AJ413" s="452"/>
      <c r="AK413" s="450" t="str">
        <f t="shared" si="595"/>
        <v/>
      </c>
      <c r="AL413" s="328"/>
      <c r="AM413" s="197" t="str">
        <f>IF(AND($I413="x",AND(MAX(AI413:AK413)=AI413,AI413&lt;&gt;"")),Data!$BI$2,"")</f>
        <v/>
      </c>
      <c r="AN413" s="197" t="str">
        <f>IF(AND($J413="x",AND(MAX(AI413:AK413)=AJ413,AJ413&lt;&gt;"")),Data!$BJ$2,"")</f>
        <v/>
      </c>
      <c r="AO413" s="197" t="str">
        <f>IF(AND($K413="x",AND(MAX(AI413:AK413)=AK413,AK413&lt;&gt;"")),Data!$BK$2,"")</f>
        <v/>
      </c>
      <c r="AP413" s="197"/>
      <c r="AQ413" s="328"/>
      <c r="AR413" s="451"/>
      <c r="AS413" s="452"/>
      <c r="AT413" s="450" t="str">
        <f t="shared" si="596"/>
        <v/>
      </c>
      <c r="AU413" s="328"/>
      <c r="AV413" s="197" t="str">
        <f>IF(AND($I413="x",AND(MAX(AR413:AT413)=AR413,AR413&lt;&gt;"")),Data!$BI$2,"")</f>
        <v/>
      </c>
      <c r="AW413" s="197" t="str">
        <f>IF(AND($J413="x",AND(MAX(AR413:AT413)=AS413,AS413&lt;&gt;"")),Data!$BJ$2,"")</f>
        <v/>
      </c>
      <c r="AX413" s="197" t="str">
        <f>IF(AND($K413="x",AND(MAX(AR413:AT413)=AT413,AT413&lt;&gt;"")),Data!$BK$2,"")</f>
        <v/>
      </c>
      <c r="AY413" s="197"/>
      <c r="AZ413" s="328"/>
      <c r="BA413" s="451"/>
      <c r="BB413" s="452"/>
      <c r="BC413" s="450" t="str">
        <f t="shared" si="597"/>
        <v/>
      </c>
      <c r="BD413" s="328"/>
      <c r="BE413" s="197" t="str">
        <f>IF(AND($I413="x",AND(MAX(BA413:BC413)=BA413,BA413&lt;&gt;"")),Data!$BI$2,"")</f>
        <v/>
      </c>
      <c r="BF413" s="197" t="str">
        <f>IF(AND($J413="x",AND(MAX(BA413:BC413)=BB413,BB413&lt;&gt;"")),Data!$BJ$2,"")</f>
        <v/>
      </c>
      <c r="BG413" s="197" t="str">
        <f>IF(AND($K413="x",AND(MAX(BA413:BC413)=BC413,BC413&lt;&gt;"")),Data!$BK$2,"")</f>
        <v/>
      </c>
      <c r="BH413" s="197"/>
      <c r="BI413" s="328"/>
      <c r="BJ413" s="451"/>
      <c r="BK413" s="452"/>
      <c r="BL413" s="450" t="str">
        <f t="shared" si="598"/>
        <v/>
      </c>
      <c r="BM413" s="328"/>
      <c r="BN413" s="197" t="str">
        <f>IF(AND($I413="x",AND(MAX(BJ413:BL413)=BJ413,BJ413&lt;&gt;"")),Data!$BI$2,"")</f>
        <v/>
      </c>
      <c r="BO413" s="197" t="str">
        <f>IF(AND($J413="x",AND(MAX(BJ413:BL413)=BK413,BK413&lt;&gt;"")),Data!$BJ$2,"")</f>
        <v/>
      </c>
      <c r="BP413" s="197" t="str">
        <f>IF(AND($K413="x",AND(MAX(BJ413:BL413)=BL413,BL413&lt;&gt;"")),Data!$BK$2,"")</f>
        <v/>
      </c>
      <c r="BQ413" s="197"/>
      <c r="BR413" s="328"/>
      <c r="BS413" s="451"/>
      <c r="BT413" s="452"/>
      <c r="BU413" s="450" t="str">
        <f t="shared" si="599"/>
        <v/>
      </c>
      <c r="BV413" s="328"/>
      <c r="BW413" s="197" t="str">
        <f>IF(AND($I413="x",AND(MAX(BS413:BU413)=BS413,BS413&lt;&gt;"")),Data!$BI$2,"")</f>
        <v/>
      </c>
      <c r="BX413" s="197" t="str">
        <f>IF(AND($J413="x",AND(MAX(BS413:BU413)=BT413,BT413&lt;&gt;"")),Data!$BJ$2,"")</f>
        <v/>
      </c>
      <c r="BY413" s="197" t="str">
        <f>IF(AND($K413="x",AND(MAX(BS413:BU413)=BU413,BU413&lt;&gt;"")),Data!$BK$2,"")</f>
        <v/>
      </c>
      <c r="BZ413" s="197"/>
      <c r="CA413" s="328"/>
      <c r="CB413" s="457" t="str">
        <f t="shared" si="600"/>
        <v/>
      </c>
      <c r="CC413" s="458" t="str">
        <f t="shared" si="601"/>
        <v/>
      </c>
      <c r="CD413" s="459" t="str">
        <f t="shared" si="602"/>
        <v/>
      </c>
      <c r="CE413" s="328"/>
      <c r="CF413" s="197" t="str">
        <f>IF(AND($I413="x",AND(MAX(CB413:CD413)=CB413,CB413&lt;&gt;"")),Data!$BI$2,"")</f>
        <v/>
      </c>
      <c r="CG413" s="197" t="str">
        <f>IF(AND($J413="x",AND(MAX(CB413:CD413)=CC413,CC413&lt;&gt;"")),Data!$BJ$2,"")</f>
        <v/>
      </c>
      <c r="CH413" s="197" t="str">
        <f>IF(AND($K413="x",AND(MAX(CB413:CD413)=CD413,CD413&lt;&gt;"")),Data!$BK$2,"")</f>
        <v/>
      </c>
      <c r="CI413" s="197"/>
      <c r="CJ413" s="197"/>
      <c r="CK413" s="451"/>
      <c r="CL413" s="452"/>
      <c r="CM413" s="450" t="str">
        <f t="shared" si="603"/>
        <v/>
      </c>
      <c r="CN413" s="328"/>
      <c r="CO413" s="197" t="str">
        <f>IF(AND($I413="x",AND(MAX(CK413:CM413)=CK413,CK413&lt;&gt;"")),Data!$BI$2,"")</f>
        <v/>
      </c>
      <c r="CP413" s="197" t="str">
        <f>IF(AND($J413="x",AND(MAX(CK413:CM413)=CL413,CL413&lt;&gt;"")),Data!$BJ$2,"")</f>
        <v/>
      </c>
      <c r="CQ413" s="197" t="str">
        <f>IF(AND($K413="x",AND(MAX(CK413:CM413)=CM413,CM413&lt;&gt;"")),Data!$BK$2,"")</f>
        <v/>
      </c>
      <c r="CR413" s="197"/>
      <c r="CS413" s="197"/>
      <c r="CT413" s="328"/>
      <c r="CU413" s="259"/>
      <c r="CV413" s="209"/>
      <c r="CW413" s="227"/>
    </row>
    <row r="414" spans="1:101" x14ac:dyDescent="0.2">
      <c r="A414" s="227"/>
      <c r="B414" s="227"/>
      <c r="C414" s="168"/>
      <c r="D414" s="232"/>
      <c r="E414" s="135" t="s">
        <v>283</v>
      </c>
      <c r="F414" s="425"/>
      <c r="G414" s="430"/>
      <c r="H414" s="431"/>
      <c r="I414" s="346" t="str">
        <f t="shared" si="590"/>
        <v/>
      </c>
      <c r="J414" s="347" t="str">
        <f t="shared" si="591"/>
        <v/>
      </c>
      <c r="K414" s="348" t="str">
        <f t="shared" si="592"/>
        <v/>
      </c>
      <c r="L414" s="258"/>
      <c r="M414" s="332"/>
      <c r="N414" s="336"/>
      <c r="O414" s="200"/>
      <c r="P414" s="200"/>
      <c r="Q414" s="439"/>
      <c r="R414" s="440"/>
      <c r="S414" s="441" t="str">
        <f t="shared" si="593"/>
        <v/>
      </c>
      <c r="T414" s="328"/>
      <c r="U414" s="197" t="str">
        <f>IF(AND($I414="x",AND(MAX(Q414:S414)=Q414,Q414&gt;=0)),Data!$BI$2,"")</f>
        <v/>
      </c>
      <c r="V414" s="197" t="str">
        <f>IF(AND($J414="x",AND(MAX(Q414:S414)=R414,R414&gt;=0)),Data!$BJ$2,"")</f>
        <v/>
      </c>
      <c r="W414" s="197" t="str">
        <f>IF(AND($K414="x",AND(MAX(Q414:S414)=S414,S414&gt;=0)),Data!$BK$2,"")</f>
        <v/>
      </c>
      <c r="X414" s="197"/>
      <c r="Y414" s="328"/>
      <c r="Z414" s="453"/>
      <c r="AA414" s="454"/>
      <c r="AB414" s="441" t="str">
        <f t="shared" si="594"/>
        <v/>
      </c>
      <c r="AC414" s="328"/>
      <c r="AD414" s="197" t="str">
        <f>IF(AND($I414="x",AND(MAX(Z414:AB414)=Z414,Z414&lt;&gt;"")),Data!$BI$2,"")</f>
        <v/>
      </c>
      <c r="AE414" s="197" t="str">
        <f>IF(AND($J414="x",AND(MAX(Z414:AB414)=AA414,AA414&lt;&gt;"")),Data!$BJ$2,"")</f>
        <v/>
      </c>
      <c r="AF414" s="197" t="str">
        <f>IF(AND($K414="x",AND(MAX(Z414:AB414)=AB414,AB414&lt;&gt;"")),Data!$BK$2,"")</f>
        <v/>
      </c>
      <c r="AG414" s="197"/>
      <c r="AH414" s="328"/>
      <c r="AI414" s="453"/>
      <c r="AJ414" s="454"/>
      <c r="AK414" s="441" t="str">
        <f t="shared" si="595"/>
        <v/>
      </c>
      <c r="AL414" s="328"/>
      <c r="AM414" s="197" t="str">
        <f>IF(AND($I414="x",AND(MAX(AI414:AK414)=AI414,AI414&lt;&gt;"")),Data!$BI$2,"")</f>
        <v/>
      </c>
      <c r="AN414" s="197" t="str">
        <f>IF(AND($J414="x",AND(MAX(AI414:AK414)=AJ414,AJ414&lt;&gt;"")),Data!$BJ$2,"")</f>
        <v/>
      </c>
      <c r="AO414" s="197" t="str">
        <f>IF(AND($K414="x",AND(MAX(AI414:AK414)=AK414,AK414&lt;&gt;"")),Data!$BK$2,"")</f>
        <v/>
      </c>
      <c r="AP414" s="197"/>
      <c r="AQ414" s="328"/>
      <c r="AR414" s="453"/>
      <c r="AS414" s="454"/>
      <c r="AT414" s="441" t="str">
        <f t="shared" si="596"/>
        <v/>
      </c>
      <c r="AU414" s="328"/>
      <c r="AV414" s="197" t="str">
        <f>IF(AND($I414="x",AND(MAX(AR414:AT414)=AR414,AR414&lt;&gt;"")),Data!$BI$2,"")</f>
        <v/>
      </c>
      <c r="AW414" s="197" t="str">
        <f>IF(AND($J414="x",AND(MAX(AR414:AT414)=AS414,AS414&lt;&gt;"")),Data!$BJ$2,"")</f>
        <v/>
      </c>
      <c r="AX414" s="197" t="str">
        <f>IF(AND($K414="x",AND(MAX(AR414:AT414)=AT414,AT414&lt;&gt;"")),Data!$BK$2,"")</f>
        <v/>
      </c>
      <c r="AY414" s="197"/>
      <c r="AZ414" s="328"/>
      <c r="BA414" s="453"/>
      <c r="BB414" s="454"/>
      <c r="BC414" s="441" t="str">
        <f t="shared" si="597"/>
        <v/>
      </c>
      <c r="BD414" s="328"/>
      <c r="BE414" s="197" t="str">
        <f>IF(AND($I414="x",AND(MAX(BA414:BC414)=BA414,BA414&lt;&gt;"")),Data!$BI$2,"")</f>
        <v/>
      </c>
      <c r="BF414" s="197" t="str">
        <f>IF(AND($J414="x",AND(MAX(BA414:BC414)=BB414,BB414&lt;&gt;"")),Data!$BJ$2,"")</f>
        <v/>
      </c>
      <c r="BG414" s="197" t="str">
        <f>IF(AND($K414="x",AND(MAX(BA414:BC414)=BC414,BC414&lt;&gt;"")),Data!$BK$2,"")</f>
        <v/>
      </c>
      <c r="BH414" s="197"/>
      <c r="BI414" s="328"/>
      <c r="BJ414" s="453"/>
      <c r="BK414" s="454"/>
      <c r="BL414" s="441" t="str">
        <f t="shared" si="598"/>
        <v/>
      </c>
      <c r="BM414" s="328"/>
      <c r="BN414" s="197" t="str">
        <f>IF(AND($I414="x",AND(MAX(BJ414:BL414)=BJ414,BJ414&lt;&gt;"")),Data!$BI$2,"")</f>
        <v/>
      </c>
      <c r="BO414" s="197" t="str">
        <f>IF(AND($J414="x",AND(MAX(BJ414:BL414)=BK414,BK414&lt;&gt;"")),Data!$BJ$2,"")</f>
        <v/>
      </c>
      <c r="BP414" s="197" t="str">
        <f>IF(AND($K414="x",AND(MAX(BJ414:BL414)=BL414,BL414&lt;&gt;"")),Data!$BK$2,"")</f>
        <v/>
      </c>
      <c r="BQ414" s="197"/>
      <c r="BR414" s="328"/>
      <c r="BS414" s="453"/>
      <c r="BT414" s="454"/>
      <c r="BU414" s="441" t="str">
        <f t="shared" si="599"/>
        <v/>
      </c>
      <c r="BV414" s="328"/>
      <c r="BW414" s="197" t="str">
        <f>IF(AND($I414="x",AND(MAX(BS414:BU414)=BS414,BS414&lt;&gt;"")),Data!$BI$2,"")</f>
        <v/>
      </c>
      <c r="BX414" s="197" t="str">
        <f>IF(AND($J414="x",AND(MAX(BS414:BU414)=BT414,BT414&lt;&gt;"")),Data!$BJ$2,"")</f>
        <v/>
      </c>
      <c r="BY414" s="197" t="str">
        <f>IF(AND($K414="x",AND(MAX(BS414:BU414)=BU414,BU414&lt;&gt;"")),Data!$BK$2,"")</f>
        <v/>
      </c>
      <c r="BZ414" s="197"/>
      <c r="CA414" s="328"/>
      <c r="CB414" s="460" t="str">
        <f t="shared" si="600"/>
        <v/>
      </c>
      <c r="CC414" s="461" t="str">
        <f t="shared" si="601"/>
        <v/>
      </c>
      <c r="CD414" s="462" t="str">
        <f t="shared" si="602"/>
        <v/>
      </c>
      <c r="CE414" s="328"/>
      <c r="CF414" s="197" t="str">
        <f>IF(AND($I414="x",AND(MAX(CB414:CD414)=CB414,CB414&lt;&gt;"")),Data!$BI$2,"")</f>
        <v/>
      </c>
      <c r="CG414" s="197" t="str">
        <f>IF(AND($J414="x",AND(MAX(CB414:CD414)=CC414,CC414&lt;&gt;"")),Data!$BJ$2,"")</f>
        <v/>
      </c>
      <c r="CH414" s="197" t="str">
        <f>IF(AND($K414="x",AND(MAX(CB414:CD414)=CD414,CD414&lt;&gt;"")),Data!$BK$2,"")</f>
        <v/>
      </c>
      <c r="CI414" s="197"/>
      <c r="CJ414" s="197"/>
      <c r="CK414" s="453"/>
      <c r="CL414" s="454"/>
      <c r="CM414" s="441" t="str">
        <f t="shared" si="603"/>
        <v/>
      </c>
      <c r="CN414" s="328"/>
      <c r="CO414" s="197" t="str">
        <f>IF(AND($I414="x",AND(MAX(CK414:CM414)=CK414,CK414&lt;&gt;"")),Data!$BI$2,"")</f>
        <v/>
      </c>
      <c r="CP414" s="197" t="str">
        <f>IF(AND($J414="x",AND(MAX(CK414:CM414)=CL414,CL414&lt;&gt;"")),Data!$BJ$2,"")</f>
        <v/>
      </c>
      <c r="CQ414" s="197" t="str">
        <f>IF(AND($K414="x",AND(MAX(CK414:CM414)=CM414,CM414&lt;&gt;"")),Data!$BK$2,"")</f>
        <v/>
      </c>
      <c r="CR414" s="197"/>
      <c r="CS414" s="197"/>
      <c r="CT414" s="328"/>
      <c r="CU414" s="259"/>
      <c r="CV414" s="209"/>
      <c r="CW414" s="227"/>
    </row>
    <row r="415" spans="1:101" x14ac:dyDescent="0.2">
      <c r="A415" s="227"/>
      <c r="B415" s="227"/>
      <c r="C415" s="168"/>
      <c r="D415" s="232"/>
      <c r="E415" s="136" t="s">
        <v>284</v>
      </c>
      <c r="F415" s="426"/>
      <c r="G415" s="432"/>
      <c r="H415" s="433"/>
      <c r="I415" s="349" t="str">
        <f t="shared" si="590"/>
        <v/>
      </c>
      <c r="J415" s="350" t="str">
        <f t="shared" si="591"/>
        <v/>
      </c>
      <c r="K415" s="351" t="str">
        <f t="shared" si="592"/>
        <v/>
      </c>
      <c r="L415" s="258"/>
      <c r="M415" s="332"/>
      <c r="N415" s="336"/>
      <c r="O415" s="200"/>
      <c r="P415" s="200"/>
      <c r="Q415" s="445"/>
      <c r="R415" s="446"/>
      <c r="S415" s="447" t="str">
        <f t="shared" si="593"/>
        <v/>
      </c>
      <c r="T415" s="328"/>
      <c r="U415" s="197" t="str">
        <f>IF(AND($I415="x",AND(MAX(Q415:S415)=Q415,Q415&gt;=0)),Data!$BI$2,"")</f>
        <v/>
      </c>
      <c r="V415" s="197" t="str">
        <f>IF(AND($J415="x",AND(MAX(Q415:S415)=R415,R415&gt;=0)),Data!$BJ$2,"")</f>
        <v/>
      </c>
      <c r="W415" s="197" t="str">
        <f>IF(AND($K415="x",AND(MAX(Q415:S415)=S415,S415&gt;=0)),Data!$BK$2,"")</f>
        <v/>
      </c>
      <c r="X415" s="197"/>
      <c r="Y415" s="328"/>
      <c r="Z415" s="455"/>
      <c r="AA415" s="456"/>
      <c r="AB415" s="447" t="str">
        <f t="shared" si="594"/>
        <v/>
      </c>
      <c r="AC415" s="328"/>
      <c r="AD415" s="197" t="str">
        <f>IF(AND($I415="x",AND(MAX(Z415:AB415)=Z415,Z415&lt;&gt;"")),Data!$BI$2,"")</f>
        <v/>
      </c>
      <c r="AE415" s="197" t="str">
        <f>IF(AND($J415="x",AND(MAX(Z415:AB415)=AA415,AA415&lt;&gt;"")),Data!$BJ$2,"")</f>
        <v/>
      </c>
      <c r="AF415" s="197" t="str">
        <f>IF(AND($K415="x",AND(MAX(Z415:AB415)=AB415,AB415&lt;&gt;"")),Data!$BK$2,"")</f>
        <v/>
      </c>
      <c r="AG415" s="197"/>
      <c r="AH415" s="328"/>
      <c r="AI415" s="455"/>
      <c r="AJ415" s="456"/>
      <c r="AK415" s="447" t="str">
        <f t="shared" si="595"/>
        <v/>
      </c>
      <c r="AL415" s="328"/>
      <c r="AM415" s="197" t="str">
        <f>IF(AND($I415="x",AND(MAX(AI415:AK415)=AI415,AI415&lt;&gt;"")),Data!$BI$2,"")</f>
        <v/>
      </c>
      <c r="AN415" s="197" t="str">
        <f>IF(AND($J415="x",AND(MAX(AI415:AK415)=AJ415,AJ415&lt;&gt;"")),Data!$BJ$2,"")</f>
        <v/>
      </c>
      <c r="AO415" s="197" t="str">
        <f>IF(AND($K415="x",AND(MAX(AI415:AK415)=AK415,AK415&lt;&gt;"")),Data!$BK$2,"")</f>
        <v/>
      </c>
      <c r="AP415" s="197"/>
      <c r="AQ415" s="328"/>
      <c r="AR415" s="455"/>
      <c r="AS415" s="456"/>
      <c r="AT415" s="447" t="str">
        <f t="shared" si="596"/>
        <v/>
      </c>
      <c r="AU415" s="328"/>
      <c r="AV415" s="197" t="str">
        <f>IF(AND($I415="x",AND(MAX(AR415:AT415)=AR415,AR415&lt;&gt;"")),Data!$BI$2,"")</f>
        <v/>
      </c>
      <c r="AW415" s="197" t="str">
        <f>IF(AND($J415="x",AND(MAX(AR415:AT415)=AS415,AS415&lt;&gt;"")),Data!$BJ$2,"")</f>
        <v/>
      </c>
      <c r="AX415" s="197" t="str">
        <f>IF(AND($K415="x",AND(MAX(AR415:AT415)=AT415,AT415&lt;&gt;"")),Data!$BK$2,"")</f>
        <v/>
      </c>
      <c r="AY415" s="197"/>
      <c r="AZ415" s="328"/>
      <c r="BA415" s="455"/>
      <c r="BB415" s="456"/>
      <c r="BC415" s="447" t="str">
        <f t="shared" si="597"/>
        <v/>
      </c>
      <c r="BD415" s="328"/>
      <c r="BE415" s="197" t="str">
        <f>IF(AND($I415="x",AND(MAX(BA415:BC415)=BA415,BA415&lt;&gt;"")),Data!$BI$2,"")</f>
        <v/>
      </c>
      <c r="BF415" s="197" t="str">
        <f>IF(AND($J415="x",AND(MAX(BA415:BC415)=BB415,BB415&lt;&gt;"")),Data!$BJ$2,"")</f>
        <v/>
      </c>
      <c r="BG415" s="197" t="str">
        <f>IF(AND($K415="x",AND(MAX(BA415:BC415)=BC415,BC415&lt;&gt;"")),Data!$BK$2,"")</f>
        <v/>
      </c>
      <c r="BH415" s="197"/>
      <c r="BI415" s="328"/>
      <c r="BJ415" s="455"/>
      <c r="BK415" s="456"/>
      <c r="BL415" s="447" t="str">
        <f t="shared" si="598"/>
        <v/>
      </c>
      <c r="BM415" s="328"/>
      <c r="BN415" s="197" t="str">
        <f>IF(AND($I415="x",AND(MAX(BJ415:BL415)=BJ415,BJ415&lt;&gt;"")),Data!$BI$2,"")</f>
        <v/>
      </c>
      <c r="BO415" s="197" t="str">
        <f>IF(AND($J415="x",AND(MAX(BJ415:BL415)=BK415,BK415&lt;&gt;"")),Data!$BJ$2,"")</f>
        <v/>
      </c>
      <c r="BP415" s="197" t="str">
        <f>IF(AND($K415="x",AND(MAX(BJ415:BL415)=BL415,BL415&lt;&gt;"")),Data!$BK$2,"")</f>
        <v/>
      </c>
      <c r="BQ415" s="197"/>
      <c r="BR415" s="328"/>
      <c r="BS415" s="455"/>
      <c r="BT415" s="456"/>
      <c r="BU415" s="447" t="str">
        <f t="shared" si="599"/>
        <v/>
      </c>
      <c r="BV415" s="328"/>
      <c r="BW415" s="197" t="str">
        <f>IF(AND($I415="x",AND(MAX(BS415:BU415)=BS415,BS415&lt;&gt;"")),Data!$BI$2,"")</f>
        <v/>
      </c>
      <c r="BX415" s="197" t="str">
        <f>IF(AND($J415="x",AND(MAX(BS415:BU415)=BT415,BT415&lt;&gt;"")),Data!$BJ$2,"")</f>
        <v/>
      </c>
      <c r="BY415" s="197" t="str">
        <f>IF(AND($K415="x",AND(MAX(BS415:BU415)=BU415,BU415&lt;&gt;"")),Data!$BK$2,"")</f>
        <v/>
      </c>
      <c r="BZ415" s="197"/>
      <c r="CA415" s="328"/>
      <c r="CB415" s="463" t="str">
        <f t="shared" si="600"/>
        <v/>
      </c>
      <c r="CC415" s="464" t="str">
        <f t="shared" si="601"/>
        <v/>
      </c>
      <c r="CD415" s="465" t="str">
        <f t="shared" si="602"/>
        <v/>
      </c>
      <c r="CE415" s="328"/>
      <c r="CF415" s="197" t="str">
        <f>IF(AND($I415="x",AND(MAX(CB415:CD415)=CB415,CB415&lt;&gt;"")),Data!$BI$2,"")</f>
        <v/>
      </c>
      <c r="CG415" s="197" t="str">
        <f>IF(AND($J415="x",AND(MAX(CB415:CD415)=CC415,CC415&lt;&gt;"")),Data!$BJ$2,"")</f>
        <v/>
      </c>
      <c r="CH415" s="197" t="str">
        <f>IF(AND($K415="x",AND(MAX(CB415:CD415)=CD415,CD415&lt;&gt;"")),Data!$BK$2,"")</f>
        <v/>
      </c>
      <c r="CI415" s="197"/>
      <c r="CJ415" s="197"/>
      <c r="CK415" s="455"/>
      <c r="CL415" s="456"/>
      <c r="CM415" s="447" t="str">
        <f t="shared" si="603"/>
        <v/>
      </c>
      <c r="CN415" s="328"/>
      <c r="CO415" s="197" t="str">
        <f>IF(AND($I415="x",AND(MAX(CK415:CM415)=CK415,CK415&lt;&gt;"")),Data!$BI$2,"")</f>
        <v/>
      </c>
      <c r="CP415" s="197" t="str">
        <f>IF(AND($J415="x",AND(MAX(CK415:CM415)=CL415,CL415&lt;&gt;"")),Data!$BJ$2,"")</f>
        <v/>
      </c>
      <c r="CQ415" s="197" t="str">
        <f>IF(AND($K415="x",AND(MAX(CK415:CM415)=CM415,CM415&lt;&gt;"")),Data!$BK$2,"")</f>
        <v/>
      </c>
      <c r="CR415" s="197"/>
      <c r="CS415" s="197"/>
      <c r="CT415" s="328"/>
      <c r="CU415" s="259"/>
      <c r="CV415" s="209"/>
      <c r="CW415" s="227"/>
    </row>
    <row r="416" spans="1:101" x14ac:dyDescent="0.2">
      <c r="A416" s="227"/>
      <c r="B416" s="227"/>
      <c r="C416" s="168"/>
      <c r="D416" s="233"/>
      <c r="E416" s="199"/>
      <c r="F416" s="352" t="str">
        <f>IF(SUM(F404:F415)=0,"",SUM(F404:F415))</f>
        <v/>
      </c>
      <c r="G416" s="327" t="s">
        <v>51</v>
      </c>
      <c r="H416" s="353" t="str">
        <f>IF(SUM(H404:H415)=0,"",SUM(H404:H415))</f>
        <v/>
      </c>
      <c r="I416" s="354" t="str">
        <f>IF(COUNTIF(I404:I415,"=x")=0,"",COUNTIF(I404:I415,"=x"))</f>
        <v/>
      </c>
      <c r="J416" s="355" t="str">
        <f>IF(COUNTIF(J404:J415,"=x")=0,"",COUNTIF(J404:J415,"=x"))</f>
        <v/>
      </c>
      <c r="K416" s="356" t="str">
        <f>IF(COUNTIF(K404:K415,"=x")=0,"",COUNTIF(K404:K415,"=x"))</f>
        <v/>
      </c>
      <c r="L416" s="258"/>
      <c r="M416" s="332"/>
      <c r="N416" s="336"/>
      <c r="O416" s="200"/>
      <c r="P416" s="326"/>
      <c r="Q416" s="422">
        <f>SUM(U404:U415)</f>
        <v>0</v>
      </c>
      <c r="R416" s="422">
        <f t="shared" ref="R416:S416" si="604">SUM(V404:V415)</f>
        <v>0</v>
      </c>
      <c r="S416" s="422">
        <f t="shared" si="604"/>
        <v>0</v>
      </c>
      <c r="T416" s="325"/>
      <c r="U416" s="197">
        <f>SUM(U404:U415)</f>
        <v>0</v>
      </c>
      <c r="V416" s="197">
        <f t="shared" ref="V416:W416" si="605">SUM(V404:V415)</f>
        <v>0</v>
      </c>
      <c r="W416" s="197">
        <f t="shared" si="605"/>
        <v>0</v>
      </c>
      <c r="X416" s="197"/>
      <c r="Y416" s="324"/>
      <c r="Z416" s="422">
        <f>SUM(AD404:AD415)</f>
        <v>0</v>
      </c>
      <c r="AA416" s="422">
        <f t="shared" ref="AA416:AB416" si="606">SUM(AE404:AE415)</f>
        <v>0</v>
      </c>
      <c r="AB416" s="422">
        <f t="shared" si="606"/>
        <v>0</v>
      </c>
      <c r="AC416" s="325"/>
      <c r="AD416" s="197">
        <f>SUM(AD404:AD415)</f>
        <v>0</v>
      </c>
      <c r="AE416" s="197">
        <f t="shared" ref="AE416:AF416" si="607">SUM(AE404:AE415)</f>
        <v>0</v>
      </c>
      <c r="AF416" s="197">
        <f t="shared" si="607"/>
        <v>0</v>
      </c>
      <c r="AG416" s="197"/>
      <c r="AH416" s="324"/>
      <c r="AI416" s="422">
        <f>SUM(AM404:AM415)</f>
        <v>0</v>
      </c>
      <c r="AJ416" s="422">
        <f t="shared" ref="AJ416:AK416" si="608">SUM(AN404:AN415)</f>
        <v>0</v>
      </c>
      <c r="AK416" s="422">
        <f t="shared" si="608"/>
        <v>0</v>
      </c>
      <c r="AL416" s="325"/>
      <c r="AM416" s="197">
        <f>SUM(AM404:AM415)</f>
        <v>0</v>
      </c>
      <c r="AN416" s="197">
        <f t="shared" ref="AN416:AO416" si="609">SUM(AN404:AN415)</f>
        <v>0</v>
      </c>
      <c r="AO416" s="197">
        <f t="shared" si="609"/>
        <v>0</v>
      </c>
      <c r="AP416" s="197"/>
      <c r="AQ416" s="324"/>
      <c r="AR416" s="422">
        <f>SUM(AV404:AV415)</f>
        <v>0</v>
      </c>
      <c r="AS416" s="422">
        <f t="shared" ref="AS416:AT416" si="610">SUM(AW404:AW415)</f>
        <v>0</v>
      </c>
      <c r="AT416" s="422">
        <f t="shared" si="610"/>
        <v>0</v>
      </c>
      <c r="AU416" s="325"/>
      <c r="AV416" s="197">
        <f>SUM(AV404:AV415)</f>
        <v>0</v>
      </c>
      <c r="AW416" s="197">
        <f t="shared" ref="AW416:AX416" si="611">SUM(AW404:AW415)</f>
        <v>0</v>
      </c>
      <c r="AX416" s="197">
        <f t="shared" si="611"/>
        <v>0</v>
      </c>
      <c r="AY416" s="197"/>
      <c r="AZ416" s="324"/>
      <c r="BA416" s="422">
        <f>SUM(BE404:BE415)</f>
        <v>0</v>
      </c>
      <c r="BB416" s="422">
        <f t="shared" ref="BB416:BC416" si="612">SUM(BF404:BF415)</f>
        <v>0</v>
      </c>
      <c r="BC416" s="422">
        <f t="shared" si="612"/>
        <v>0</v>
      </c>
      <c r="BD416" s="325"/>
      <c r="BE416" s="197">
        <f>SUM(BE404:BE415)</f>
        <v>0</v>
      </c>
      <c r="BF416" s="197">
        <f t="shared" ref="BF416:BG416" si="613">SUM(BF404:BF415)</f>
        <v>0</v>
      </c>
      <c r="BG416" s="197">
        <f t="shared" si="613"/>
        <v>0</v>
      </c>
      <c r="BH416" s="197"/>
      <c r="BI416" s="324"/>
      <c r="BJ416" s="422">
        <f>SUM(BN404:BN415)</f>
        <v>0</v>
      </c>
      <c r="BK416" s="422">
        <f t="shared" ref="BK416" si="614">SUM(BO404:BO415)</f>
        <v>0</v>
      </c>
      <c r="BL416" s="422">
        <f t="shared" ref="BL416" si="615">SUM(BP404:BP415)</f>
        <v>0</v>
      </c>
      <c r="BM416" s="325"/>
      <c r="BN416" s="197">
        <f>SUM(BN404:BN415)</f>
        <v>0</v>
      </c>
      <c r="BO416" s="197">
        <f t="shared" ref="BO416:BP416" si="616">SUM(BO404:BO415)</f>
        <v>0</v>
      </c>
      <c r="BP416" s="197">
        <f t="shared" si="616"/>
        <v>0</v>
      </c>
      <c r="BQ416" s="197"/>
      <c r="BR416" s="324"/>
      <c r="BS416" s="422">
        <f>SUM(BW404:BW415)</f>
        <v>0</v>
      </c>
      <c r="BT416" s="422">
        <f t="shared" ref="BT416:BU416" si="617">SUM(BX404:BX415)</f>
        <v>0</v>
      </c>
      <c r="BU416" s="422">
        <f t="shared" si="617"/>
        <v>0</v>
      </c>
      <c r="BV416" s="325"/>
      <c r="BW416" s="197">
        <f>SUM(BW404:BW415)</f>
        <v>0</v>
      </c>
      <c r="BX416" s="197">
        <f t="shared" ref="BX416:BY416" si="618">SUM(BX404:BX415)</f>
        <v>0</v>
      </c>
      <c r="BY416" s="197">
        <f t="shared" si="618"/>
        <v>0</v>
      </c>
      <c r="BZ416" s="197"/>
      <c r="CA416" s="326"/>
      <c r="CB416" s="422">
        <f>SUM(CF404:CF415)</f>
        <v>0</v>
      </c>
      <c r="CC416" s="422">
        <f t="shared" ref="CC416:CD416" si="619">SUM(CG404:CG415)</f>
        <v>0</v>
      </c>
      <c r="CD416" s="422">
        <f t="shared" si="619"/>
        <v>0</v>
      </c>
      <c r="CE416" s="325"/>
      <c r="CF416" s="197">
        <f>SUM(CF404:CF415)</f>
        <v>0</v>
      </c>
      <c r="CG416" s="197">
        <f t="shared" ref="CG416:CH416" si="620">SUM(CG404:CG415)</f>
        <v>0</v>
      </c>
      <c r="CH416" s="197">
        <f t="shared" si="620"/>
        <v>0</v>
      </c>
      <c r="CI416" s="197"/>
      <c r="CJ416" s="197"/>
      <c r="CK416" s="422">
        <f>SUM(CO404:CO415)</f>
        <v>0</v>
      </c>
      <c r="CL416" s="422">
        <f t="shared" ref="CL416:CM416" si="621">SUM(CP404:CP415)</f>
        <v>0</v>
      </c>
      <c r="CM416" s="422">
        <f t="shared" si="621"/>
        <v>0</v>
      </c>
      <c r="CN416" s="325"/>
      <c r="CO416" s="197">
        <f>SUM(CO404:CO415)</f>
        <v>0</v>
      </c>
      <c r="CP416" s="197">
        <f t="shared" ref="CP416:CQ416" si="622">SUM(CP404:CP415)</f>
        <v>0</v>
      </c>
      <c r="CQ416" s="197">
        <f t="shared" si="622"/>
        <v>0</v>
      </c>
      <c r="CR416" s="197"/>
      <c r="CS416" s="197"/>
      <c r="CT416" s="197"/>
      <c r="CU416" s="259"/>
      <c r="CV416" s="209"/>
      <c r="CW416" s="228"/>
    </row>
    <row r="417" spans="1:101" x14ac:dyDescent="0.2">
      <c r="A417" s="227"/>
      <c r="B417" s="227"/>
      <c r="C417" s="168"/>
      <c r="D417" s="249"/>
      <c r="E417" s="242"/>
      <c r="F417" s="243"/>
      <c r="G417" s="242"/>
      <c r="H417" s="242"/>
      <c r="I417" s="242"/>
      <c r="J417" s="242"/>
      <c r="K417" s="242"/>
      <c r="L417" s="252"/>
      <c r="M417" s="260"/>
      <c r="N417" s="337"/>
      <c r="O417" s="333"/>
      <c r="P417" s="244"/>
      <c r="Q417" s="245"/>
      <c r="R417" s="245"/>
      <c r="S417" s="245"/>
      <c r="T417" s="246"/>
      <c r="U417" s="247"/>
      <c r="V417" s="247"/>
      <c r="W417" s="247"/>
      <c r="X417" s="247"/>
      <c r="Y417" s="244"/>
      <c r="Z417" s="245"/>
      <c r="AA417" s="245"/>
      <c r="AB417" s="245"/>
      <c r="AC417" s="246"/>
      <c r="AD417" s="247"/>
      <c r="AE417" s="247"/>
      <c r="AF417" s="247"/>
      <c r="AG417" s="247"/>
      <c r="AH417" s="244"/>
      <c r="AI417" s="245"/>
      <c r="AJ417" s="245"/>
      <c r="AK417" s="245"/>
      <c r="AL417" s="246"/>
      <c r="AM417" s="247"/>
      <c r="AN417" s="247"/>
      <c r="AO417" s="247"/>
      <c r="AP417" s="247"/>
      <c r="AQ417" s="244"/>
      <c r="AR417" s="245"/>
      <c r="AS417" s="245"/>
      <c r="AT417" s="245"/>
      <c r="AU417" s="246"/>
      <c r="AV417" s="247"/>
      <c r="AW417" s="247"/>
      <c r="AX417" s="247"/>
      <c r="AY417" s="247"/>
      <c r="AZ417" s="244"/>
      <c r="BA417" s="245"/>
      <c r="BB417" s="245"/>
      <c r="BC417" s="245"/>
      <c r="BD417" s="246"/>
      <c r="BE417" s="247"/>
      <c r="BF417" s="247"/>
      <c r="BG417" s="247"/>
      <c r="BH417" s="247"/>
      <c r="BI417" s="244"/>
      <c r="BJ417" s="244"/>
      <c r="BK417" s="244"/>
      <c r="BL417" s="244"/>
      <c r="BM417" s="244"/>
      <c r="BN417" s="247"/>
      <c r="BO417" s="247"/>
      <c r="BP417" s="247"/>
      <c r="BQ417" s="247"/>
      <c r="BR417" s="244"/>
      <c r="BS417" s="244"/>
      <c r="BT417" s="244"/>
      <c r="BU417" s="244"/>
      <c r="BV417" s="244"/>
      <c r="BW417" s="247"/>
      <c r="BX417" s="247"/>
      <c r="BY417" s="247"/>
      <c r="BZ417" s="247"/>
      <c r="CA417" s="244"/>
      <c r="CB417" s="244"/>
      <c r="CC417" s="244"/>
      <c r="CD417" s="244"/>
      <c r="CE417" s="244"/>
      <c r="CF417" s="247"/>
      <c r="CG417" s="247"/>
      <c r="CH417" s="247"/>
      <c r="CI417" s="247"/>
      <c r="CJ417" s="248"/>
      <c r="CK417" s="248"/>
      <c r="CL417" s="248"/>
      <c r="CM417" s="248"/>
      <c r="CN417" s="248"/>
      <c r="CO417" s="247"/>
      <c r="CP417" s="247"/>
      <c r="CQ417" s="247"/>
      <c r="CR417" s="247"/>
      <c r="CS417" s="248"/>
      <c r="CT417" s="242"/>
      <c r="CU417" s="253"/>
      <c r="CV417" s="209"/>
      <c r="CW417" s="228"/>
    </row>
    <row r="418" spans="1:101" x14ac:dyDescent="0.2">
      <c r="A418" s="219"/>
      <c r="B418" s="219"/>
      <c r="C418" s="175"/>
      <c r="D418" s="176"/>
      <c r="E418" s="210"/>
      <c r="F418" s="211"/>
      <c r="G418" s="210"/>
      <c r="H418" s="210"/>
      <c r="I418" s="210"/>
      <c r="J418" s="210"/>
      <c r="K418" s="210"/>
      <c r="L418" s="212"/>
      <c r="M418" s="213"/>
      <c r="N418" s="213"/>
      <c r="O418" s="213"/>
      <c r="P418" s="213"/>
      <c r="Q418" s="210"/>
      <c r="R418" s="210"/>
      <c r="S418" s="210"/>
      <c r="T418" s="214"/>
      <c r="U418" s="215"/>
      <c r="V418" s="215"/>
      <c r="W418" s="215"/>
      <c r="X418" s="215"/>
      <c r="Y418" s="213"/>
      <c r="Z418" s="210"/>
      <c r="AA418" s="210"/>
      <c r="AB418" s="210"/>
      <c r="AC418" s="214"/>
      <c r="AD418" s="215"/>
      <c r="AE418" s="215"/>
      <c r="AF418" s="215"/>
      <c r="AG418" s="215"/>
      <c r="AH418" s="213"/>
      <c r="AI418" s="210"/>
      <c r="AJ418" s="210"/>
      <c r="AK418" s="210"/>
      <c r="AL418" s="214"/>
      <c r="AM418" s="215"/>
      <c r="AN418" s="215"/>
      <c r="AO418" s="215"/>
      <c r="AP418" s="215"/>
      <c r="AQ418" s="213"/>
      <c r="AR418" s="210"/>
      <c r="AS418" s="210"/>
      <c r="AT418" s="210"/>
      <c r="AU418" s="214"/>
      <c r="AV418" s="215"/>
      <c r="AW418" s="215"/>
      <c r="AX418" s="215"/>
      <c r="AY418" s="215"/>
      <c r="AZ418" s="213"/>
      <c r="BA418" s="210"/>
      <c r="BB418" s="210"/>
      <c r="BC418" s="210"/>
      <c r="BD418" s="214"/>
      <c r="BE418" s="215"/>
      <c r="BF418" s="215"/>
      <c r="BG418" s="215"/>
      <c r="BH418" s="215"/>
      <c r="BI418" s="213"/>
      <c r="BJ418" s="210"/>
      <c r="BK418" s="210"/>
      <c r="BL418" s="210"/>
      <c r="BM418" s="214"/>
      <c r="BN418" s="215"/>
      <c r="BO418" s="215"/>
      <c r="BP418" s="215"/>
      <c r="BQ418" s="215"/>
      <c r="BR418" s="177"/>
      <c r="BS418" s="210"/>
      <c r="BT418" s="210"/>
      <c r="BU418" s="210"/>
      <c r="BV418" s="213"/>
      <c r="BW418" s="215"/>
      <c r="BX418" s="215"/>
      <c r="BY418" s="215"/>
      <c r="BZ418" s="215"/>
      <c r="CA418" s="210"/>
      <c r="CB418" s="216"/>
      <c r="CC418" s="216"/>
      <c r="CD418" s="216"/>
      <c r="CE418" s="216"/>
      <c r="CF418" s="215"/>
      <c r="CG418" s="215"/>
      <c r="CH418" s="215"/>
      <c r="CI418" s="215"/>
      <c r="CJ418" s="210"/>
      <c r="CK418" s="210"/>
      <c r="CL418" s="210"/>
      <c r="CM418" s="210"/>
      <c r="CN418" s="210"/>
      <c r="CO418" s="215"/>
      <c r="CP418" s="215"/>
      <c r="CQ418" s="215"/>
      <c r="CR418" s="215"/>
      <c r="CS418" s="210"/>
      <c r="CT418" s="210"/>
      <c r="CU418" s="210"/>
      <c r="CV418" s="217"/>
      <c r="CW418" s="218"/>
    </row>
    <row r="419" spans="1:101" ht="14.25" thickTop="1" thickBot="1" x14ac:dyDescent="0.25">
      <c r="A419" s="218"/>
      <c r="B419" s="218"/>
      <c r="C419" s="218"/>
      <c r="D419" s="218"/>
      <c r="E419" s="218"/>
      <c r="F419" s="218"/>
      <c r="G419" s="218"/>
      <c r="H419" s="218"/>
      <c r="I419" s="218"/>
      <c r="J419" s="218"/>
      <c r="K419" s="218"/>
      <c r="L419" s="218"/>
      <c r="M419" s="218"/>
      <c r="N419" s="218"/>
      <c r="O419" s="218"/>
      <c r="P419" s="218"/>
      <c r="Q419" s="218"/>
      <c r="R419" s="218"/>
      <c r="S419" s="218"/>
      <c r="T419" s="218"/>
      <c r="U419" s="218"/>
      <c r="V419" s="218"/>
      <c r="W419" s="218"/>
      <c r="X419" s="218"/>
      <c r="Y419" s="218"/>
      <c r="Z419" s="218"/>
      <c r="AA419" s="218"/>
      <c r="AB419" s="218"/>
      <c r="AC419" s="218"/>
      <c r="AD419" s="218"/>
      <c r="AE419" s="218"/>
      <c r="AF419" s="218"/>
      <c r="AG419" s="218"/>
      <c r="AH419" s="218"/>
      <c r="AI419" s="218"/>
      <c r="AJ419" s="218"/>
      <c r="AK419" s="218"/>
      <c r="AL419" s="218"/>
      <c r="AM419" s="218"/>
      <c r="AN419" s="218"/>
      <c r="AO419" s="218"/>
      <c r="AP419" s="218"/>
      <c r="AQ419" s="218"/>
      <c r="AR419" s="218"/>
      <c r="AS419" s="218"/>
      <c r="AT419" s="218"/>
      <c r="AU419" s="218"/>
      <c r="AV419" s="218"/>
      <c r="AW419" s="218"/>
      <c r="AX419" s="218"/>
      <c r="AY419" s="218"/>
      <c r="AZ419" s="218"/>
      <c r="BA419" s="218"/>
      <c r="BB419" s="218"/>
      <c r="BC419" s="218"/>
      <c r="BD419" s="218"/>
      <c r="BE419" s="218"/>
      <c r="BF419" s="218"/>
      <c r="BG419" s="218"/>
      <c r="BH419" s="218"/>
      <c r="BI419" s="218"/>
      <c r="BJ419" s="218"/>
      <c r="BK419" s="218"/>
      <c r="BL419" s="218"/>
      <c r="BM419" s="218"/>
      <c r="BN419" s="218"/>
      <c r="BO419" s="218"/>
      <c r="BP419" s="218"/>
      <c r="BQ419" s="218"/>
      <c r="BR419" s="218"/>
      <c r="BS419" s="218"/>
      <c r="BT419" s="218"/>
      <c r="BU419" s="218"/>
      <c r="BV419" s="218"/>
      <c r="BW419" s="218"/>
      <c r="BX419" s="218"/>
      <c r="BY419" s="218"/>
      <c r="BZ419" s="218"/>
      <c r="CA419" s="218"/>
      <c r="CB419" s="392"/>
      <c r="CC419" s="392"/>
      <c r="CD419" s="392"/>
      <c r="CE419" s="392"/>
      <c r="CF419" s="218"/>
      <c r="CG419" s="218"/>
      <c r="CH419" s="218"/>
      <c r="CI419" s="218"/>
      <c r="CJ419" s="218"/>
      <c r="CK419" s="218"/>
      <c r="CL419" s="218"/>
      <c r="CM419" s="218"/>
      <c r="CN419" s="218"/>
      <c r="CO419" s="218"/>
      <c r="CP419" s="218"/>
      <c r="CQ419" s="218"/>
      <c r="CR419" s="218"/>
      <c r="CS419" s="218"/>
      <c r="CT419" s="218"/>
      <c r="CU419" s="218"/>
      <c r="CV419" s="218"/>
      <c r="CW419" s="218"/>
    </row>
    <row r="420" spans="1:101" ht="21" thickTop="1" x14ac:dyDescent="0.3">
      <c r="A420" s="219"/>
      <c r="B420" s="219"/>
      <c r="C420" s="157"/>
      <c r="D420" s="158"/>
      <c r="E420" s="731" t="s">
        <v>44</v>
      </c>
      <c r="F420" s="229"/>
      <c r="G420" s="229"/>
      <c r="H420" s="229"/>
      <c r="I420" s="877" t="e" vm="1">
        <v>#VALUE!</v>
      </c>
      <c r="J420" s="877"/>
      <c r="K420" s="877"/>
      <c r="L420" s="877"/>
      <c r="M420" s="159"/>
      <c r="N420" s="159"/>
      <c r="O420" s="159"/>
      <c r="P420" s="160"/>
      <c r="Q420" s="159"/>
      <c r="R420" s="159"/>
      <c r="S420" s="159"/>
      <c r="T420" s="161"/>
      <c r="U420" s="162"/>
      <c r="V420" s="162"/>
      <c r="W420" s="162"/>
      <c r="X420" s="162"/>
      <c r="Y420" s="160"/>
      <c r="Z420" s="159"/>
      <c r="AA420" s="159"/>
      <c r="AB420" s="159"/>
      <c r="AC420" s="161"/>
      <c r="AD420" s="162"/>
      <c r="AE420" s="162"/>
      <c r="AF420" s="162"/>
      <c r="AG420" s="162"/>
      <c r="AH420" s="160"/>
      <c r="AI420" s="159"/>
      <c r="AJ420" s="201"/>
      <c r="AK420" s="201"/>
      <c r="AL420" s="164"/>
      <c r="AM420" s="162"/>
      <c r="AN420" s="162"/>
      <c r="AO420" s="162"/>
      <c r="AP420" s="162"/>
      <c r="AQ420" s="202"/>
      <c r="AR420" s="203"/>
      <c r="AS420" s="165"/>
      <c r="AT420" s="166"/>
      <c r="AU420" s="164"/>
      <c r="AV420" s="162"/>
      <c r="AW420" s="162"/>
      <c r="AX420" s="162"/>
      <c r="AY420" s="162"/>
      <c r="AZ420" s="202"/>
      <c r="BA420" s="203"/>
      <c r="BB420" s="166"/>
      <c r="BC420" s="201"/>
      <c r="BD420" s="204"/>
      <c r="BE420" s="162"/>
      <c r="BF420" s="162"/>
      <c r="BG420" s="162"/>
      <c r="BH420" s="162"/>
      <c r="BI420" s="205"/>
      <c r="BJ420" s="201"/>
      <c r="BK420" s="201"/>
      <c r="BL420" s="201"/>
      <c r="BM420" s="204"/>
      <c r="BN420" s="162"/>
      <c r="BO420" s="162"/>
      <c r="BP420" s="162"/>
      <c r="BQ420" s="162"/>
      <c r="BR420" s="167"/>
      <c r="BS420" s="201"/>
      <c r="BT420" s="201"/>
      <c r="BU420" s="201"/>
      <c r="BV420" s="205"/>
      <c r="BW420" s="162"/>
      <c r="BX420" s="162"/>
      <c r="BY420" s="162"/>
      <c r="BZ420" s="162"/>
      <c r="CA420" s="201"/>
      <c r="CB420" s="393"/>
      <c r="CC420" s="393"/>
      <c r="CD420" s="393"/>
      <c r="CE420" s="393"/>
      <c r="CF420" s="162"/>
      <c r="CG420" s="162"/>
      <c r="CH420" s="162"/>
      <c r="CI420" s="162"/>
      <c r="CJ420" s="163"/>
      <c r="CK420" s="163"/>
      <c r="CL420" s="163"/>
      <c r="CM420" s="163"/>
      <c r="CN420" s="163"/>
      <c r="CO420" s="162"/>
      <c r="CP420" s="162"/>
      <c r="CQ420" s="162"/>
      <c r="CR420" s="162"/>
      <c r="CS420" s="163"/>
      <c r="CT420" s="358"/>
      <c r="CU420" s="201"/>
      <c r="CV420" s="206"/>
      <c r="CW420" s="218"/>
    </row>
    <row r="421" spans="1:101" ht="15.75" thickBot="1" x14ac:dyDescent="0.25">
      <c r="A421" s="219"/>
      <c r="B421" s="219"/>
      <c r="C421" s="168"/>
      <c r="D421" s="785"/>
      <c r="E421" s="869" t="s">
        <v>45</v>
      </c>
      <c r="F421" s="363"/>
      <c r="G421" s="363"/>
      <c r="H421" s="363"/>
      <c r="I421" s="878"/>
      <c r="J421" s="878"/>
      <c r="K421" s="878"/>
      <c r="L421" s="878"/>
      <c r="M421" s="363"/>
      <c r="N421" s="363"/>
      <c r="O421" s="363"/>
      <c r="P421" s="363"/>
      <c r="Q421" s="363"/>
      <c r="R421" s="363"/>
      <c r="S421" s="363"/>
      <c r="T421" s="363"/>
      <c r="U421" s="363"/>
      <c r="V421" s="363"/>
      <c r="W421" s="363"/>
      <c r="X421" s="363"/>
      <c r="Y421" s="363"/>
      <c r="Z421" s="363"/>
      <c r="AA421" s="363"/>
      <c r="AB421" s="363"/>
      <c r="AC421" s="363"/>
      <c r="AD421" s="363"/>
      <c r="AE421" s="363"/>
      <c r="AF421" s="363"/>
      <c r="AG421" s="363"/>
      <c r="AH421" s="363"/>
      <c r="AI421" s="363"/>
      <c r="AJ421" s="363"/>
      <c r="AK421" s="363"/>
      <c r="AL421" s="363"/>
      <c r="AM421" s="363"/>
      <c r="AN421" s="363"/>
      <c r="AO421" s="363"/>
      <c r="AP421" s="363"/>
      <c r="AQ421" s="363"/>
      <c r="AR421" s="363"/>
      <c r="AS421" s="363"/>
      <c r="AT421" s="363"/>
      <c r="AU421" s="363"/>
      <c r="AV421" s="363"/>
      <c r="AW421" s="363"/>
      <c r="AX421" s="363"/>
      <c r="AY421" s="363"/>
      <c r="AZ421" s="363"/>
      <c r="BA421" s="363"/>
      <c r="BB421" s="363"/>
      <c r="BC421" s="363"/>
      <c r="BD421" s="363"/>
      <c r="BE421" s="363"/>
      <c r="BF421" s="363"/>
      <c r="BG421" s="363"/>
      <c r="BH421" s="363"/>
      <c r="BI421" s="363"/>
      <c r="BJ421" s="363"/>
      <c r="BK421" s="363"/>
      <c r="BL421" s="363"/>
      <c r="BM421" s="363"/>
      <c r="BN421" s="363"/>
      <c r="BO421" s="363"/>
      <c r="BP421" s="363"/>
      <c r="BQ421" s="363"/>
      <c r="BR421" s="363"/>
      <c r="BS421" s="363"/>
      <c r="BT421" s="363"/>
      <c r="BU421" s="363"/>
      <c r="BV421" s="363"/>
      <c r="BW421" s="363"/>
      <c r="BX421" s="363"/>
      <c r="BY421" s="363"/>
      <c r="BZ421" s="363"/>
      <c r="CA421" s="363"/>
      <c r="CB421" s="394"/>
      <c r="CC421" s="394"/>
      <c r="CD421" s="394"/>
      <c r="CE421" s="394"/>
      <c r="CF421" s="363"/>
      <c r="CG421" s="363"/>
      <c r="CH421" s="363"/>
      <c r="CI421" s="363"/>
      <c r="CJ421" s="363"/>
      <c r="CK421" s="363"/>
      <c r="CL421" s="363"/>
      <c r="CM421" s="363"/>
      <c r="CN421" s="323"/>
      <c r="CO421" s="363"/>
      <c r="CP421" s="363"/>
      <c r="CQ421" s="363"/>
      <c r="CR421" s="363"/>
      <c r="CS421" s="323"/>
      <c r="CT421" s="155"/>
      <c r="CU421" s="269"/>
      <c r="CV421" s="209"/>
      <c r="CW421" s="218"/>
    </row>
    <row r="422" spans="1:101" ht="18.75" thickTop="1" x14ac:dyDescent="0.2">
      <c r="A422" s="219"/>
      <c r="B422" s="219"/>
      <c r="C422" s="174"/>
      <c r="D422" s="778"/>
      <c r="E422" s="777"/>
      <c r="F422" s="235"/>
      <c r="G422" s="234"/>
      <c r="H422" s="234"/>
      <c r="I422" s="875">
        <f>WEEKNUM(E423)</f>
        <v>52</v>
      </c>
      <c r="J422" s="875"/>
      <c r="K422" s="875"/>
      <c r="L422" s="250"/>
      <c r="M422" s="261"/>
      <c r="N422" s="205"/>
      <c r="O422" s="236"/>
      <c r="P422" s="236"/>
      <c r="Q422" s="675" t="str">
        <f>IF($F426="","",SUM(Q438:S438)-S424)</f>
        <v/>
      </c>
      <c r="R422" s="675"/>
      <c r="S422" s="675"/>
      <c r="T422" s="237"/>
      <c r="U422" s="238"/>
      <c r="V422" s="238"/>
      <c r="W422" s="238"/>
      <c r="X422" s="238"/>
      <c r="Y422" s="236"/>
      <c r="Z422" s="675" t="str">
        <f>IF($F426="","",SUM(Z438:AB438)-AB424)</f>
        <v/>
      </c>
      <c r="AA422" s="675"/>
      <c r="AB422" s="675"/>
      <c r="AC422" s="237"/>
      <c r="AD422" s="238"/>
      <c r="AE422" s="238"/>
      <c r="AF422" s="238"/>
      <c r="AG422" s="238"/>
      <c r="AH422" s="236"/>
      <c r="AI422" s="675" t="str">
        <f>IF($F426="","",SUM(AI438:AK438)-AK424)</f>
        <v/>
      </c>
      <c r="AJ422" s="675"/>
      <c r="AK422" s="675"/>
      <c r="AL422" s="237"/>
      <c r="AM422" s="238"/>
      <c r="AN422" s="238"/>
      <c r="AO422" s="238"/>
      <c r="AP422" s="238"/>
      <c r="AQ422" s="236"/>
      <c r="AR422" s="675" t="str">
        <f>IF($F426="","",SUM(AR438:AT438)-AT424)</f>
        <v/>
      </c>
      <c r="AS422" s="675"/>
      <c r="AT422" s="675"/>
      <c r="AU422" s="239"/>
      <c r="AV422" s="238"/>
      <c r="AW422" s="238"/>
      <c r="AX422" s="238"/>
      <c r="AY422" s="238"/>
      <c r="AZ422" s="240"/>
      <c r="BA422" s="675" t="str">
        <f>IF($F426="","",SUM(BA438:BC438)-BC424)</f>
        <v/>
      </c>
      <c r="BB422" s="675"/>
      <c r="BC422" s="675"/>
      <c r="BD422" s="239"/>
      <c r="BE422" s="238"/>
      <c r="BF422" s="238"/>
      <c r="BG422" s="238"/>
      <c r="BH422" s="238"/>
      <c r="BI422" s="240"/>
      <c r="BJ422" s="675" t="str">
        <f>IF($F426="","",SUM(BJ438:BL438)-BL424)</f>
        <v/>
      </c>
      <c r="BK422" s="675"/>
      <c r="BL422" s="675"/>
      <c r="BM422" s="239"/>
      <c r="BN422" s="238"/>
      <c r="BO422" s="238"/>
      <c r="BP422" s="238"/>
      <c r="BQ422" s="238"/>
      <c r="BR422" s="241"/>
      <c r="BS422" s="675" t="str">
        <f>IF($F426="","",SUM(BS438:BU438)-BU424)</f>
        <v/>
      </c>
      <c r="BT422" s="675"/>
      <c r="BU422" s="675"/>
      <c r="BV422" s="240"/>
      <c r="BW422" s="238"/>
      <c r="BX422" s="238"/>
      <c r="BY422" s="238"/>
      <c r="BZ422" s="238"/>
      <c r="CA422" s="241"/>
      <c r="CB422" s="675" t="str">
        <f>IF($F426="","",SUM(CB438:CD438)-CD424)</f>
        <v/>
      </c>
      <c r="CC422" s="675"/>
      <c r="CD422" s="675"/>
      <c r="CE422" s="240"/>
      <c r="CF422" s="238"/>
      <c r="CG422" s="238"/>
      <c r="CH422" s="238"/>
      <c r="CI422" s="238"/>
      <c r="CJ422" s="234"/>
      <c r="CK422" s="675" t="str">
        <f>IF($F426="","",SUM(CK438:CM438))</f>
        <v/>
      </c>
      <c r="CL422" s="675"/>
      <c r="CM422" s="675"/>
      <c r="CN422" s="240"/>
      <c r="CO422" s="238"/>
      <c r="CP422" s="238"/>
      <c r="CQ422" s="238"/>
      <c r="CR422" s="238"/>
      <c r="CS422" s="234"/>
      <c r="CT422" s="234"/>
      <c r="CU422" s="251"/>
      <c r="CV422" s="209"/>
      <c r="CW422" s="218"/>
    </row>
    <row r="423" spans="1:101" x14ac:dyDescent="0.2">
      <c r="A423" s="219"/>
      <c r="B423" s="219"/>
      <c r="C423" s="174"/>
      <c r="D423" s="779"/>
      <c r="E423" s="543">
        <f>E401+7</f>
        <v>46382</v>
      </c>
      <c r="F423" s="178"/>
      <c r="G423" s="179"/>
      <c r="H423" s="179"/>
      <c r="I423" s="876"/>
      <c r="J423" s="876"/>
      <c r="K423" s="876"/>
      <c r="L423" s="254"/>
      <c r="M423" s="329"/>
      <c r="N423" s="208"/>
      <c r="O423" s="180"/>
      <c r="P423" s="180"/>
      <c r="Q423" s="584" t="str">
        <f>IF(Q422="","",Q422/Data!$X$1)</f>
        <v/>
      </c>
      <c r="R423" s="584"/>
      <c r="S423" s="585" t="str">
        <f>IF(SUM(X426:X437)=0,"",SUM(X426:X437))</f>
        <v/>
      </c>
      <c r="T423" s="181"/>
      <c r="U423" s="182"/>
      <c r="V423" s="182"/>
      <c r="W423" s="182"/>
      <c r="X423" s="182"/>
      <c r="Y423" s="180"/>
      <c r="Z423" s="584" t="str">
        <f>IF(Z422="","",Z422/Data!$X$1)</f>
        <v/>
      </c>
      <c r="AA423" s="584"/>
      <c r="AB423" s="585" t="str">
        <f>IF(SUM(AG426:AG437)=0,"",SUM(AG426:AG437))</f>
        <v/>
      </c>
      <c r="AC423" s="181"/>
      <c r="AD423" s="182"/>
      <c r="AE423" s="182"/>
      <c r="AF423" s="182"/>
      <c r="AG423" s="182"/>
      <c r="AH423" s="180"/>
      <c r="AI423" s="584" t="str">
        <f>IF(AI422="","",AI422/Data!$X$1)</f>
        <v/>
      </c>
      <c r="AJ423" s="584"/>
      <c r="AK423" s="585" t="str">
        <f>IF(SUM(AP426:AP437)=0,"",SUM(AP426:AP437))</f>
        <v/>
      </c>
      <c r="AL423" s="181"/>
      <c r="AM423" s="182"/>
      <c r="AN423" s="182"/>
      <c r="AO423" s="182"/>
      <c r="AP423" s="182"/>
      <c r="AQ423" s="180"/>
      <c r="AR423" s="584" t="str">
        <f>IF(AR422="","",AR422/Data!$X$1)</f>
        <v/>
      </c>
      <c r="AS423" s="584"/>
      <c r="AT423" s="585" t="str">
        <f>IF(SUM(AY426:AY437)=0,"",SUM(AY426:AY437))</f>
        <v/>
      </c>
      <c r="AU423" s="183"/>
      <c r="AV423" s="182"/>
      <c r="AW423" s="182"/>
      <c r="AX423" s="182"/>
      <c r="AY423" s="182"/>
      <c r="AZ423" s="184"/>
      <c r="BA423" s="584" t="str">
        <f>IF(BA422="","",BA422/Data!$X$1)</f>
        <v/>
      </c>
      <c r="BB423" s="584"/>
      <c r="BC423" s="585" t="str">
        <f>IF(SUM(BH426:BH437)=0,"",SUM(BH426:BH437))</f>
        <v/>
      </c>
      <c r="BD423" s="183"/>
      <c r="BE423" s="182"/>
      <c r="BF423" s="182"/>
      <c r="BG423" s="182"/>
      <c r="BH423" s="182"/>
      <c r="BI423" s="184"/>
      <c r="BJ423" s="584" t="str">
        <f>IF(BJ422="","",BJ422/Data!$X$1)</f>
        <v/>
      </c>
      <c r="BK423" s="584"/>
      <c r="BL423" s="585" t="str">
        <f>IF(SUM(BQ426:BQ437)=0,"",SUM(BQ426:BQ437))</f>
        <v/>
      </c>
      <c r="BM423" s="183"/>
      <c r="BN423" s="182"/>
      <c r="BO423" s="182"/>
      <c r="BP423" s="182"/>
      <c r="BQ423" s="182"/>
      <c r="BR423" s="185"/>
      <c r="BS423" s="584" t="str">
        <f>IF(BS422="","",BS422/Data!$X$1)</f>
        <v/>
      </c>
      <c r="BT423" s="584"/>
      <c r="BU423" s="585" t="str">
        <f>IF(SUM(BZ426:BZ437)=0,"",SUM(BZ426:BZ437))</f>
        <v/>
      </c>
      <c r="BV423" s="184"/>
      <c r="BW423" s="182"/>
      <c r="BX423" s="182"/>
      <c r="BY423" s="182"/>
      <c r="BZ423" s="182"/>
      <c r="CA423" s="185"/>
      <c r="CB423" s="584" t="str">
        <f>IF(CB422="","",CB422/Data!$X$1)</f>
        <v/>
      </c>
      <c r="CC423" s="584"/>
      <c r="CD423" s="585" t="str">
        <f>IF(SUM(CI426:CI437)=0,"",SUM(CI426:CI437))</f>
        <v/>
      </c>
      <c r="CE423" s="184"/>
      <c r="CF423" s="182"/>
      <c r="CG423" s="182"/>
      <c r="CH423" s="182"/>
      <c r="CI423" s="182"/>
      <c r="CJ423" s="182"/>
      <c r="CK423" s="584" t="str">
        <f>IF(CK422="","",CK422/Data!$X$1)</f>
        <v/>
      </c>
      <c r="CL423" s="584"/>
      <c r="CM423" s="585" t="str">
        <f>IF(SUM(CR426:CR437)=0,"",SUM(CR426:CR437))</f>
        <v/>
      </c>
      <c r="CN423" s="184"/>
      <c r="CO423" s="182"/>
      <c r="CP423" s="182"/>
      <c r="CQ423" s="182"/>
      <c r="CR423" s="182"/>
      <c r="CS423" s="182"/>
      <c r="CT423" s="182"/>
      <c r="CU423" s="255"/>
      <c r="CV423" s="209"/>
      <c r="CW423" s="218"/>
    </row>
    <row r="424" spans="1:101" ht="13.5" thickBot="1" x14ac:dyDescent="0.25">
      <c r="A424" s="219"/>
      <c r="B424" s="219"/>
      <c r="C424" s="174"/>
      <c r="D424" s="230"/>
      <c r="E424" s="359"/>
      <c r="F424" s="186"/>
      <c r="G424" s="187"/>
      <c r="H424" s="187"/>
      <c r="I424" s="673"/>
      <c r="J424" s="674"/>
      <c r="K424" s="674"/>
      <c r="L424" s="256"/>
      <c r="M424" s="330"/>
      <c r="N424" s="334"/>
      <c r="O424" s="187"/>
      <c r="P424" s="187"/>
      <c r="Q424" s="342" t="str">
        <f>Data!$E$11</f>
        <v>AHH</v>
      </c>
      <c r="R424" s="343" t="str">
        <f>IF($F437="","",RANK(Q422,$Q422:$CL422))</f>
        <v/>
      </c>
      <c r="S424" s="466"/>
      <c r="T424" s="181"/>
      <c r="U424" s="182"/>
      <c r="V424" s="182"/>
      <c r="W424" s="182"/>
      <c r="X424" s="197">
        <f>COUNTIF(U426:W437,"&gt;0")</f>
        <v>0</v>
      </c>
      <c r="Y424" s="180"/>
      <c r="Z424" s="342" t="str">
        <f>Data!$E$12</f>
        <v>RB</v>
      </c>
      <c r="AA424" s="343" t="str">
        <f>IF($F437="","",RANK(Z422,$Q422:$CL422))</f>
        <v/>
      </c>
      <c r="AB424" s="466"/>
      <c r="AC424" s="181"/>
      <c r="AD424" s="182"/>
      <c r="AE424" s="182"/>
      <c r="AF424" s="182"/>
      <c r="AG424" s="197">
        <f>COUNTIF(AD426:AF437,"&gt;0")</f>
        <v>0</v>
      </c>
      <c r="AH424" s="180"/>
      <c r="AI424" s="342" t="str">
        <f>Data!$E$13</f>
        <v>EB</v>
      </c>
      <c r="AJ424" s="343" t="str">
        <f>IF($F437="","",RANK(AI422,$Q422:$CL422))</f>
        <v/>
      </c>
      <c r="AK424" s="466"/>
      <c r="AL424" s="181"/>
      <c r="AM424" s="182"/>
      <c r="AN424" s="182"/>
      <c r="AO424" s="182"/>
      <c r="AP424" s="197">
        <f>COUNTIF(AM426:AO437,"&gt;0")</f>
        <v>0</v>
      </c>
      <c r="AQ424" s="180"/>
      <c r="AR424" s="305" t="str">
        <f>Data!$E$14</f>
        <v>KAF</v>
      </c>
      <c r="AS424" s="343" t="str">
        <f>IF($F437="","",RANK(AR422,$Q422:$CL422))</f>
        <v/>
      </c>
      <c r="AT424" s="466"/>
      <c r="AU424" s="181"/>
      <c r="AV424" s="182"/>
      <c r="AW424" s="182"/>
      <c r="AX424" s="182"/>
      <c r="AY424" s="197">
        <f>COUNTIF(AV426:AX437,"&gt;0")</f>
        <v>0</v>
      </c>
      <c r="AZ424" s="180"/>
      <c r="BA424" s="305" t="str">
        <f>Data!$E$15</f>
        <v>ØG</v>
      </c>
      <c r="BB424" s="343" t="str">
        <f>IF($F437="","",RANK(BA422,$Q422:$CL422))</f>
        <v/>
      </c>
      <c r="BC424" s="466"/>
      <c r="BD424" s="181"/>
      <c r="BE424" s="182"/>
      <c r="BF424" s="182"/>
      <c r="BG424" s="182"/>
      <c r="BH424" s="197">
        <f>COUNTIF(BE426:BG437,"&gt;0")</f>
        <v>0</v>
      </c>
      <c r="BI424" s="180"/>
      <c r="BJ424" s="305" t="str">
        <f>Data!$E$16</f>
        <v>JH</v>
      </c>
      <c r="BK424" s="343" t="str">
        <f>IF($F437="","",RANK(BJ422,$Q422:$CL422))</f>
        <v/>
      </c>
      <c r="BL424" s="466"/>
      <c r="BM424" s="181"/>
      <c r="BN424" s="182"/>
      <c r="BO424" s="182"/>
      <c r="BP424" s="182"/>
      <c r="BQ424" s="197">
        <f>COUNTIF(BN426:BP437,"&gt;0")</f>
        <v>0</v>
      </c>
      <c r="BR424" s="188"/>
      <c r="BS424" s="305" t="str">
        <f>Data!$E$17</f>
        <v>TOH</v>
      </c>
      <c r="BT424" s="343" t="str">
        <f>IF($F437="","",RANK(BS422,$Q422:$CL422))</f>
        <v/>
      </c>
      <c r="BU424" s="466"/>
      <c r="BV424" s="180"/>
      <c r="BW424" s="182"/>
      <c r="BX424" s="182"/>
      <c r="BY424" s="182"/>
      <c r="BZ424" s="197">
        <f>COUNTIF(BW426:BY437,"&gt;0")</f>
        <v>0</v>
      </c>
      <c r="CA424" s="188"/>
      <c r="CB424" s="305" t="s">
        <v>26</v>
      </c>
      <c r="CC424" s="343" t="str">
        <f>IF($F437="","",RANK(CB422,$Q422:$CM422))</f>
        <v/>
      </c>
      <c r="CD424" s="467"/>
      <c r="CE424" s="180"/>
      <c r="CF424" s="182"/>
      <c r="CG424" s="182"/>
      <c r="CH424" s="182"/>
      <c r="CI424" s="197">
        <f>COUNTIF(CF426:CH437,"&gt;0")</f>
        <v>0</v>
      </c>
      <c r="CJ424" s="182"/>
      <c r="CK424" s="305" t="s">
        <v>27</v>
      </c>
      <c r="CL424" s="343" t="str">
        <f>IF($F437="","",RANK(CK422,$Q422:$CM422))</f>
        <v/>
      </c>
      <c r="CM424" s="669"/>
      <c r="CN424" s="180"/>
      <c r="CO424" s="182"/>
      <c r="CP424" s="182"/>
      <c r="CQ424" s="182"/>
      <c r="CR424" s="197">
        <f>COUNTIF(CO426:CQ437,"&gt;0")</f>
        <v>0</v>
      </c>
      <c r="CS424" s="182"/>
      <c r="CT424" s="182"/>
      <c r="CU424" s="255"/>
      <c r="CV424" s="209"/>
      <c r="CW424" s="218"/>
    </row>
    <row r="425" spans="1:101" ht="13.5" thickBot="1" x14ac:dyDescent="0.25">
      <c r="A425" s="227"/>
      <c r="B425" s="227"/>
      <c r="C425" s="168"/>
      <c r="D425" s="231"/>
      <c r="E425" s="189"/>
      <c r="F425" s="190"/>
      <c r="G425" s="191"/>
      <c r="H425" s="191"/>
      <c r="I425" s="192" t="s">
        <v>47</v>
      </c>
      <c r="J425" s="193" t="s">
        <v>48</v>
      </c>
      <c r="K425" s="194" t="s">
        <v>49</v>
      </c>
      <c r="L425" s="257"/>
      <c r="M425" s="331"/>
      <c r="N425" s="335"/>
      <c r="O425" s="195"/>
      <c r="P425" s="195"/>
      <c r="Q425" s="192" t="s">
        <v>47</v>
      </c>
      <c r="R425" s="193" t="s">
        <v>48</v>
      </c>
      <c r="S425" s="194" t="s">
        <v>49</v>
      </c>
      <c r="T425" s="196"/>
      <c r="U425" s="197"/>
      <c r="V425" s="197"/>
      <c r="W425" s="197"/>
      <c r="X425" s="197"/>
      <c r="Y425" s="195"/>
      <c r="Z425" s="192" t="s">
        <v>47</v>
      </c>
      <c r="AA425" s="193" t="s">
        <v>48</v>
      </c>
      <c r="AB425" s="194" t="s">
        <v>49</v>
      </c>
      <c r="AC425" s="196"/>
      <c r="AD425" s="197"/>
      <c r="AE425" s="197"/>
      <c r="AF425" s="197"/>
      <c r="AG425" s="197"/>
      <c r="AH425" s="195"/>
      <c r="AI425" s="192" t="s">
        <v>47</v>
      </c>
      <c r="AJ425" s="193" t="s">
        <v>48</v>
      </c>
      <c r="AK425" s="194" t="s">
        <v>49</v>
      </c>
      <c r="AL425" s="196"/>
      <c r="AM425" s="197"/>
      <c r="AN425" s="197"/>
      <c r="AO425" s="197"/>
      <c r="AP425" s="197"/>
      <c r="AQ425" s="195"/>
      <c r="AR425" s="192" t="s">
        <v>47</v>
      </c>
      <c r="AS425" s="193" t="s">
        <v>48</v>
      </c>
      <c r="AT425" s="194" t="s">
        <v>49</v>
      </c>
      <c r="AU425" s="196"/>
      <c r="AV425" s="197"/>
      <c r="AW425" s="197"/>
      <c r="AX425" s="197"/>
      <c r="AY425" s="197"/>
      <c r="AZ425" s="195"/>
      <c r="BA425" s="192" t="s">
        <v>47</v>
      </c>
      <c r="BB425" s="193" t="s">
        <v>48</v>
      </c>
      <c r="BC425" s="194" t="s">
        <v>49</v>
      </c>
      <c r="BD425" s="196"/>
      <c r="BE425" s="197"/>
      <c r="BF425" s="197"/>
      <c r="BG425" s="197"/>
      <c r="BH425" s="197"/>
      <c r="BI425" s="195"/>
      <c r="BJ425" s="192" t="s">
        <v>47</v>
      </c>
      <c r="BK425" s="193" t="s">
        <v>48</v>
      </c>
      <c r="BL425" s="194" t="s">
        <v>49</v>
      </c>
      <c r="BM425" s="196"/>
      <c r="BN425" s="197"/>
      <c r="BO425" s="197"/>
      <c r="BP425" s="197"/>
      <c r="BQ425" s="197"/>
      <c r="BR425" s="195"/>
      <c r="BS425" s="192" t="s">
        <v>47</v>
      </c>
      <c r="BT425" s="193" t="s">
        <v>48</v>
      </c>
      <c r="BU425" s="194" t="s">
        <v>49</v>
      </c>
      <c r="BV425" s="196"/>
      <c r="BW425" s="197"/>
      <c r="BX425" s="197"/>
      <c r="BY425" s="197"/>
      <c r="BZ425" s="197"/>
      <c r="CA425" s="195"/>
      <c r="CB425" s="192" t="s">
        <v>47</v>
      </c>
      <c r="CC425" s="193" t="s">
        <v>48</v>
      </c>
      <c r="CD425" s="194" t="s">
        <v>49</v>
      </c>
      <c r="CE425" s="196"/>
      <c r="CF425" s="197"/>
      <c r="CG425" s="197"/>
      <c r="CH425" s="197"/>
      <c r="CI425" s="197"/>
      <c r="CJ425" s="197"/>
      <c r="CK425" s="192" t="s">
        <v>47</v>
      </c>
      <c r="CL425" s="193" t="s">
        <v>48</v>
      </c>
      <c r="CM425" s="194" t="s">
        <v>49</v>
      </c>
      <c r="CN425" s="196"/>
      <c r="CO425" s="197"/>
      <c r="CP425" s="197"/>
      <c r="CQ425" s="197"/>
      <c r="CR425" s="197"/>
      <c r="CS425" s="197"/>
      <c r="CT425" s="198"/>
      <c r="CU425" s="255"/>
      <c r="CV425" s="209"/>
      <c r="CW425" s="228"/>
    </row>
    <row r="426" spans="1:101" x14ac:dyDescent="0.2">
      <c r="A426" s="227"/>
      <c r="B426" s="227"/>
      <c r="C426" s="168"/>
      <c r="D426" s="232"/>
      <c r="E426" s="134" t="s">
        <v>285</v>
      </c>
      <c r="F426" s="424"/>
      <c r="G426" s="428" t="s">
        <v>51</v>
      </c>
      <c r="H426" s="429"/>
      <c r="I426" s="138" t="str">
        <f t="shared" ref="I426:I437" si="623">IF($F426&gt;$H426,"x","")</f>
        <v/>
      </c>
      <c r="J426" s="344" t="str">
        <f t="shared" ref="J426:J437" si="624">IF(F426&lt;&gt;"",IF(H426&lt;&gt;"",IF(F426=H426,"x",""),""),"")</f>
        <v/>
      </c>
      <c r="K426" s="345" t="str">
        <f t="shared" ref="K426:K437" si="625">IF($F426&lt;$H426,"x","")</f>
        <v/>
      </c>
      <c r="L426" s="258"/>
      <c r="M426" s="332"/>
      <c r="N426" s="336"/>
      <c r="O426" s="200"/>
      <c r="P426" s="200"/>
      <c r="Q426" s="436"/>
      <c r="R426" s="437"/>
      <c r="S426" s="438" t="str">
        <f t="shared" ref="S426:S437" si="626">IF(Q426="","",100-SUM(Q426:R426))</f>
        <v/>
      </c>
      <c r="T426" s="328"/>
      <c r="U426" s="197" t="str">
        <f>IF(AND($I426="x",AND(MAX(Q426:S426)=Q426,Q426&gt;=0)),Data!$BI$2,"")</f>
        <v/>
      </c>
      <c r="V426" s="197" t="str">
        <f>IF(AND($J426="x",AND(MAX(Q426:S426)=R426,R426&gt;=0)),Data!$BJ$2,"")</f>
        <v/>
      </c>
      <c r="W426" s="197" t="str">
        <f>IF(AND($K426="x",AND(MAX(Q426:S426)=S426,S426&gt;=0)),Data!$BK$2,"")</f>
        <v/>
      </c>
      <c r="X426" s="197"/>
      <c r="Y426" s="328"/>
      <c r="Z426" s="451"/>
      <c r="AA426" s="452"/>
      <c r="AB426" s="438" t="str">
        <f t="shared" ref="AB426:AB437" si="627">IF(Z426="","",100-SUM(Z426:AA426))</f>
        <v/>
      </c>
      <c r="AC426" s="328"/>
      <c r="AD426" s="197" t="str">
        <f>IF(AND($I426="x",AND(MAX(Z426:AB426)=Z426,Z426&lt;&gt;"")),Data!$BI$2,"")</f>
        <v/>
      </c>
      <c r="AE426" s="197" t="str">
        <f>IF(AND($J426="x",AND(MAX(Z426:AB426)=AA426,AA426&lt;&gt;"")),Data!$BJ$2,"")</f>
        <v/>
      </c>
      <c r="AF426" s="197" t="str">
        <f>IF(AND($K426="x",AND(MAX(Z426:AB426)=AB426,AB426&lt;&gt;"")),Data!$BK$2,"")</f>
        <v/>
      </c>
      <c r="AG426" s="197"/>
      <c r="AH426" s="328"/>
      <c r="AI426" s="451"/>
      <c r="AJ426" s="452"/>
      <c r="AK426" s="438" t="str">
        <f t="shared" ref="AK426:AK437" si="628">IF(AI426="","",100-SUM(AI426:AJ426))</f>
        <v/>
      </c>
      <c r="AL426" s="328"/>
      <c r="AM426" s="197" t="str">
        <f>IF(AND($I426="x",AND(MAX(AI426:AK426)=AI426,AI426&lt;&gt;"")),Data!$BI$2,"")</f>
        <v/>
      </c>
      <c r="AN426" s="197" t="str">
        <f>IF(AND($J426="x",AND(MAX(AI426:AK426)=AJ426,AJ426&lt;&gt;"")),Data!$BJ$2,"")</f>
        <v/>
      </c>
      <c r="AO426" s="197" t="str">
        <f>IF(AND($K426="x",AND(MAX(AI426:AK426)=AK426,AK426&lt;&gt;"")),Data!$BK$2,"")</f>
        <v/>
      </c>
      <c r="AP426" s="197"/>
      <c r="AQ426" s="328"/>
      <c r="AR426" s="451"/>
      <c r="AS426" s="452"/>
      <c r="AT426" s="438" t="str">
        <f t="shared" ref="AT426:AT437" si="629">IF(AR426="","",100-SUM(AR426:AS426))</f>
        <v/>
      </c>
      <c r="AU426" s="328"/>
      <c r="AV426" s="197" t="str">
        <f>IF(AND($I426="x",AND(MAX(AR426:AT426)=AR426,AR426&lt;&gt;"")),Data!$BI$2,"")</f>
        <v/>
      </c>
      <c r="AW426" s="197" t="str">
        <f>IF(AND($J426="x",AND(MAX(AR426:AT426)=AS426,AS426&lt;&gt;"")),Data!$BJ$2,"")</f>
        <v/>
      </c>
      <c r="AX426" s="197" t="str">
        <f>IF(AND($K426="x",AND(MAX(AR426:AT426)=AT426,AT426&lt;&gt;"")),Data!$BK$2,"")</f>
        <v/>
      </c>
      <c r="AY426" s="197"/>
      <c r="AZ426" s="328"/>
      <c r="BA426" s="451"/>
      <c r="BB426" s="452"/>
      <c r="BC426" s="438" t="str">
        <f t="shared" ref="BC426:BC437" si="630">IF(BA426="","",100-SUM(BA426:BB426))</f>
        <v/>
      </c>
      <c r="BD426" s="328"/>
      <c r="BE426" s="197" t="str">
        <f>IF(AND($I426="x",AND(MAX(BA426:BC426)=BA426,BA426&lt;&gt;"")),Data!$BI$2,"")</f>
        <v/>
      </c>
      <c r="BF426" s="197" t="str">
        <f>IF(AND($J426="x",AND(MAX(BA426:BC426)=BB426,BB426&lt;&gt;"")),Data!$BJ$2,"")</f>
        <v/>
      </c>
      <c r="BG426" s="197" t="str">
        <f>IF(AND($K426="x",AND(MAX(BA426:BC426)=BC426,BC426&lt;&gt;"")),Data!$BK$2,"")</f>
        <v/>
      </c>
      <c r="BH426" s="197"/>
      <c r="BI426" s="328"/>
      <c r="BJ426" s="451"/>
      <c r="BK426" s="452"/>
      <c r="BL426" s="438" t="str">
        <f t="shared" ref="BL426:BL437" si="631">IF(BJ426="","",100-SUM(BJ426:BK426))</f>
        <v/>
      </c>
      <c r="BM426" s="328"/>
      <c r="BN426" s="197" t="str">
        <f>IF(AND($I426="x",AND(MAX(BJ426:BL426)=BJ426,BJ426&lt;&gt;"")),Data!$BI$2,"")</f>
        <v/>
      </c>
      <c r="BO426" s="197" t="str">
        <f>IF(AND($J426="x",AND(MAX(BJ426:BL426)=BK426,BK426&lt;&gt;"")),Data!$BJ$2,"")</f>
        <v/>
      </c>
      <c r="BP426" s="197" t="str">
        <f>IF(AND($K426="x",AND(MAX(BJ426:BL426)=BL426,BL426&lt;&gt;"")),Data!$BK$2,"")</f>
        <v/>
      </c>
      <c r="BQ426" s="197"/>
      <c r="BR426" s="328"/>
      <c r="BS426" s="451"/>
      <c r="BT426" s="452"/>
      <c r="BU426" s="438" t="str">
        <f t="shared" ref="BU426:BU437" si="632">IF(BS426="","",100-SUM(BS426:BT426))</f>
        <v/>
      </c>
      <c r="BV426" s="328"/>
      <c r="BW426" s="197" t="str">
        <f>IF(AND($I426="x",AND(MAX(BS426:BU426)=BS426,BS426&lt;&gt;"")),Data!$BI$2,"")</f>
        <v/>
      </c>
      <c r="BX426" s="197" t="str">
        <f>IF(AND($J426="x",AND(MAX(BS426:BU426)=BT426,BT426&lt;&gt;"")),Data!$BJ$2,"")</f>
        <v/>
      </c>
      <c r="BY426" s="197" t="str">
        <f>IF(AND($K426="x",AND(MAX(BS426:BU426)=BU426,BU426&lt;&gt;"")),Data!$BK$2,"")</f>
        <v/>
      </c>
      <c r="BZ426" s="197"/>
      <c r="CA426" s="328"/>
      <c r="CB426" s="457" t="str">
        <f t="shared" ref="CB426:CB437" si="633">IFERROR(ROUNDUP((SUM(Q426,Z426,AI426,AR426,BA426,BJ426,BS426)/SUM($Q426:$S426,$Z426:$AB426,$AI426:$AK426,$AR426:$AT426,$BA426:$BC426,$BJ426:$BL426,$BS426:$BU426))*100,-1),"")</f>
        <v/>
      </c>
      <c r="CC426" s="458" t="str">
        <f t="shared" ref="CC426:CC437" si="634">IFERROR(ROUNDDOWN((SUM(R426,AA426,AJ426,AS426,BB426,BK426,BT426)/SUM($Q426:$S426,$Z426:$AB426,$AI426:$AK426,$AR426:$AT426,$BA426:$BC426,$BJ426:$BL426,$BS426:$BU426))*100,-1),"")</f>
        <v/>
      </c>
      <c r="CD426" s="459" t="str">
        <f t="shared" ref="CD426:CD437" si="635">IF(CB426="","",100-SUM(CB426:CC426))</f>
        <v/>
      </c>
      <c r="CE426" s="328"/>
      <c r="CF426" s="197" t="str">
        <f>IF(AND($I426="x",AND(MAX(CB426:CD426)=CB426,CB426&lt;&gt;"")),Data!$BI$2,"")</f>
        <v/>
      </c>
      <c r="CG426" s="197" t="str">
        <f>IF(AND($J426="x",AND(MAX(CB426:CD426)=CC426,CC426&lt;&gt;"")),Data!$BJ$2,"")</f>
        <v/>
      </c>
      <c r="CH426" s="197" t="str">
        <f>IF(AND($K426="x",AND(MAX(CB426:CD426)=CD426,CD426&lt;&gt;"")),Data!$BK$2,"")</f>
        <v/>
      </c>
      <c r="CI426" s="197"/>
      <c r="CJ426" s="197"/>
      <c r="CK426" s="451"/>
      <c r="CL426" s="452"/>
      <c r="CM426" s="438" t="str">
        <f t="shared" ref="CM426:CM437" si="636">IF(CK426="","",100-SUM(CK426:CL426))</f>
        <v/>
      </c>
      <c r="CN426" s="328"/>
      <c r="CO426" s="197" t="str">
        <f>IF(AND($I426="x",AND(MAX(CK426:CM426)=CK426,CK426&lt;&gt;"")),Data!$BI$2,"")</f>
        <v/>
      </c>
      <c r="CP426" s="197" t="str">
        <f>IF(AND($J426="x",AND(MAX(CK426:CM426)=CL426,CL426&lt;&gt;"")),Data!$BJ$2,"")</f>
        <v/>
      </c>
      <c r="CQ426" s="197" t="str">
        <f>IF(AND($K426="x",AND(MAX(CK426:CM426)=CM426,CM426&lt;&gt;"")),Data!$BK$2,"")</f>
        <v/>
      </c>
      <c r="CR426" s="197"/>
      <c r="CS426" s="197"/>
      <c r="CT426" s="328"/>
      <c r="CU426" s="255"/>
      <c r="CV426" s="209"/>
      <c r="CW426" s="227"/>
    </row>
    <row r="427" spans="1:101" x14ac:dyDescent="0.2">
      <c r="A427" s="227"/>
      <c r="B427" s="227"/>
      <c r="C427" s="168"/>
      <c r="D427" s="232"/>
      <c r="E427" s="135" t="s">
        <v>286</v>
      </c>
      <c r="F427" s="425"/>
      <c r="G427" s="430" t="s">
        <v>51</v>
      </c>
      <c r="H427" s="431"/>
      <c r="I427" s="346" t="str">
        <f t="shared" si="623"/>
        <v/>
      </c>
      <c r="J427" s="347" t="str">
        <f t="shared" si="624"/>
        <v/>
      </c>
      <c r="K427" s="348" t="str">
        <f t="shared" si="625"/>
        <v/>
      </c>
      <c r="L427" s="258"/>
      <c r="M427" s="332"/>
      <c r="N427" s="336"/>
      <c r="O427" s="200"/>
      <c r="P427" s="200"/>
      <c r="Q427" s="439"/>
      <c r="R427" s="440"/>
      <c r="S427" s="441" t="str">
        <f t="shared" si="626"/>
        <v/>
      </c>
      <c r="T427" s="328"/>
      <c r="U427" s="197" t="str">
        <f>IF(AND($I427="x",AND(MAX(Q427:S427)=Q427,Q427&gt;=0)),Data!$BI$2,"")</f>
        <v/>
      </c>
      <c r="V427" s="197" t="str">
        <f>IF(AND($J427="x",AND(MAX(Q427:S427)=R427,R427&gt;=0)),Data!$BJ$2,"")</f>
        <v/>
      </c>
      <c r="W427" s="197" t="str">
        <f>IF(AND($K427="x",AND(MAX(Q427:S427)=S427,S427&gt;=0)),Data!$BK$2,"")</f>
        <v/>
      </c>
      <c r="X427" s="197"/>
      <c r="Y427" s="328"/>
      <c r="Z427" s="453"/>
      <c r="AA427" s="454"/>
      <c r="AB427" s="441" t="str">
        <f t="shared" si="627"/>
        <v/>
      </c>
      <c r="AC427" s="328"/>
      <c r="AD427" s="197" t="str">
        <f>IF(AND($I427="x",AND(MAX(Z427:AB427)=Z427,Z427&lt;&gt;"")),Data!$BI$2,"")</f>
        <v/>
      </c>
      <c r="AE427" s="197" t="str">
        <f>IF(AND($J427="x",AND(MAX(Z427:AB427)=AA427,AA427&lt;&gt;"")),Data!$BJ$2,"")</f>
        <v/>
      </c>
      <c r="AF427" s="197" t="str">
        <f>IF(AND($K427="x",AND(MAX(Z427:AB427)=AB427,AB427&lt;&gt;"")),Data!$BK$2,"")</f>
        <v/>
      </c>
      <c r="AG427" s="197"/>
      <c r="AH427" s="328"/>
      <c r="AI427" s="453"/>
      <c r="AJ427" s="454"/>
      <c r="AK427" s="441" t="str">
        <f t="shared" si="628"/>
        <v/>
      </c>
      <c r="AL427" s="328"/>
      <c r="AM427" s="197" t="str">
        <f>IF(AND($I427="x",AND(MAX(AI427:AK427)=AI427,AI427&lt;&gt;"")),Data!$BI$2,"")</f>
        <v/>
      </c>
      <c r="AN427" s="197" t="str">
        <f>IF(AND($J427="x",AND(MAX(AI427:AK427)=AJ427,AJ427&lt;&gt;"")),Data!$BJ$2,"")</f>
        <v/>
      </c>
      <c r="AO427" s="197" t="str">
        <f>IF(AND($K427="x",AND(MAX(AI427:AK427)=AK427,AK427&lt;&gt;"")),Data!$BK$2,"")</f>
        <v/>
      </c>
      <c r="AP427" s="197"/>
      <c r="AQ427" s="328"/>
      <c r="AR427" s="453"/>
      <c r="AS427" s="454"/>
      <c r="AT427" s="441" t="str">
        <f t="shared" si="629"/>
        <v/>
      </c>
      <c r="AU427" s="328"/>
      <c r="AV427" s="197" t="str">
        <f>IF(AND($I427="x",AND(MAX(AR427:AT427)=AR427,AR427&lt;&gt;"")),Data!$BI$2,"")</f>
        <v/>
      </c>
      <c r="AW427" s="197" t="str">
        <f>IF(AND($J427="x",AND(MAX(AR427:AT427)=AS427,AS427&lt;&gt;"")),Data!$BJ$2,"")</f>
        <v/>
      </c>
      <c r="AX427" s="197" t="str">
        <f>IF(AND($K427="x",AND(MAX(AR427:AT427)=AT427,AT427&lt;&gt;"")),Data!$BK$2,"")</f>
        <v/>
      </c>
      <c r="AY427" s="197"/>
      <c r="AZ427" s="328"/>
      <c r="BA427" s="453"/>
      <c r="BB427" s="454"/>
      <c r="BC427" s="441" t="str">
        <f t="shared" si="630"/>
        <v/>
      </c>
      <c r="BD427" s="328"/>
      <c r="BE427" s="197" t="str">
        <f>IF(AND($I427="x",AND(MAX(BA427:BC427)=BA427,BA427&lt;&gt;"")),Data!$BI$2,"")</f>
        <v/>
      </c>
      <c r="BF427" s="197" t="str">
        <f>IF(AND($J427="x",AND(MAX(BA427:BC427)=BB427,BB427&lt;&gt;"")),Data!$BJ$2,"")</f>
        <v/>
      </c>
      <c r="BG427" s="197" t="str">
        <f>IF(AND($K427="x",AND(MAX(BA427:BC427)=BC427,BC427&lt;&gt;"")),Data!$BK$2,"")</f>
        <v/>
      </c>
      <c r="BH427" s="197"/>
      <c r="BI427" s="328"/>
      <c r="BJ427" s="453"/>
      <c r="BK427" s="454"/>
      <c r="BL427" s="441" t="str">
        <f t="shared" si="631"/>
        <v/>
      </c>
      <c r="BM427" s="328"/>
      <c r="BN427" s="197" t="str">
        <f>IF(AND($I427="x",AND(MAX(BJ427:BL427)=BJ427,BJ427&lt;&gt;"")),Data!$BI$2,"")</f>
        <v/>
      </c>
      <c r="BO427" s="197" t="str">
        <f>IF(AND($J427="x",AND(MAX(BJ427:BL427)=BK427,BK427&lt;&gt;"")),Data!$BJ$2,"")</f>
        <v/>
      </c>
      <c r="BP427" s="197" t="str">
        <f>IF(AND($K427="x",AND(MAX(BJ427:BL427)=BL427,BL427&lt;&gt;"")),Data!$BK$2,"")</f>
        <v/>
      </c>
      <c r="BQ427" s="197"/>
      <c r="BR427" s="328"/>
      <c r="BS427" s="453"/>
      <c r="BT427" s="454"/>
      <c r="BU427" s="441" t="str">
        <f t="shared" si="632"/>
        <v/>
      </c>
      <c r="BV427" s="328"/>
      <c r="BW427" s="197" t="str">
        <f>IF(AND($I427="x",AND(MAX(BS427:BU427)=BS427,BS427&lt;&gt;"")),Data!$BI$2,"")</f>
        <v/>
      </c>
      <c r="BX427" s="197" t="str">
        <f>IF(AND($J427="x",AND(MAX(BS427:BU427)=BT427,BT427&lt;&gt;"")),Data!$BJ$2,"")</f>
        <v/>
      </c>
      <c r="BY427" s="197" t="str">
        <f>IF(AND($K427="x",AND(MAX(BS427:BU427)=BU427,BU427&lt;&gt;"")),Data!$BK$2,"")</f>
        <v/>
      </c>
      <c r="BZ427" s="197"/>
      <c r="CA427" s="328"/>
      <c r="CB427" s="460" t="str">
        <f t="shared" si="633"/>
        <v/>
      </c>
      <c r="CC427" s="461" t="str">
        <f t="shared" si="634"/>
        <v/>
      </c>
      <c r="CD427" s="462" t="str">
        <f t="shared" si="635"/>
        <v/>
      </c>
      <c r="CE427" s="328"/>
      <c r="CF427" s="197" t="str">
        <f>IF(AND($I427="x",AND(MAX(CB427:CD427)=CB427,CB427&lt;&gt;"")),Data!$BI$2,"")</f>
        <v/>
      </c>
      <c r="CG427" s="197" t="str">
        <f>IF(AND($J427="x",AND(MAX(CB427:CD427)=CC427,CC427&lt;&gt;"")),Data!$BJ$2,"")</f>
        <v/>
      </c>
      <c r="CH427" s="197" t="str">
        <f>IF(AND($K427="x",AND(MAX(CB427:CD427)=CD427,CD427&lt;&gt;"")),Data!$BK$2,"")</f>
        <v/>
      </c>
      <c r="CI427" s="197"/>
      <c r="CJ427" s="197"/>
      <c r="CK427" s="453"/>
      <c r="CL427" s="454"/>
      <c r="CM427" s="441" t="str">
        <f t="shared" si="636"/>
        <v/>
      </c>
      <c r="CN427" s="328"/>
      <c r="CO427" s="197" t="str">
        <f>IF(AND($I427="x",AND(MAX(CK427:CM427)=CK427,CK427&lt;&gt;"")),Data!$BI$2,"")</f>
        <v/>
      </c>
      <c r="CP427" s="197" t="str">
        <f>IF(AND($J427="x",AND(MAX(CK427:CM427)=CL427,CL427&lt;&gt;"")),Data!$BJ$2,"")</f>
        <v/>
      </c>
      <c r="CQ427" s="197" t="str">
        <f>IF(AND($K427="x",AND(MAX(CK427:CM427)=CM427,CM427&lt;&gt;"")),Data!$BK$2,"")</f>
        <v/>
      </c>
      <c r="CR427" s="197"/>
      <c r="CS427" s="197"/>
      <c r="CT427" s="328"/>
      <c r="CU427" s="255"/>
      <c r="CV427" s="209"/>
      <c r="CW427" s="227"/>
    </row>
    <row r="428" spans="1:101" x14ac:dyDescent="0.2">
      <c r="A428" s="227"/>
      <c r="B428" s="227"/>
      <c r="C428" s="168"/>
      <c r="D428" s="232"/>
      <c r="E428" s="136" t="s">
        <v>287</v>
      </c>
      <c r="F428" s="426"/>
      <c r="G428" s="432" t="s">
        <v>51</v>
      </c>
      <c r="H428" s="433"/>
      <c r="I428" s="349" t="str">
        <f t="shared" si="623"/>
        <v/>
      </c>
      <c r="J428" s="350" t="str">
        <f t="shared" si="624"/>
        <v/>
      </c>
      <c r="K428" s="351" t="str">
        <f t="shared" si="625"/>
        <v/>
      </c>
      <c r="L428" s="258"/>
      <c r="M428" s="332"/>
      <c r="N428" s="336"/>
      <c r="O428" s="200"/>
      <c r="P428" s="200"/>
      <c r="Q428" s="442"/>
      <c r="R428" s="443"/>
      <c r="S428" s="444" t="str">
        <f t="shared" si="626"/>
        <v/>
      </c>
      <c r="T428" s="328"/>
      <c r="U428" s="197" t="str">
        <f>IF(AND($I428="x",AND(MAX(Q428:S428)=Q428,Q428&gt;=0)),Data!$BI$2,"")</f>
        <v/>
      </c>
      <c r="V428" s="197" t="str">
        <f>IF(AND($J428="x",AND(MAX(Q428:S428)=R428,R428&gt;=0)),Data!$BJ$2,"")</f>
        <v/>
      </c>
      <c r="W428" s="197" t="str">
        <f>IF(AND($K428="x",AND(MAX(Q428:S428)=S428,S428&gt;=0)),Data!$BK$2,"")</f>
        <v/>
      </c>
      <c r="X428" s="197"/>
      <c r="Y428" s="328"/>
      <c r="Z428" s="455"/>
      <c r="AA428" s="456"/>
      <c r="AB428" s="444" t="str">
        <f t="shared" si="627"/>
        <v/>
      </c>
      <c r="AC428" s="328"/>
      <c r="AD428" s="197" t="str">
        <f>IF(AND($I428="x",AND(MAX(Z428:AB428)=Z428,Z428&lt;&gt;"")),Data!$BI$2,"")</f>
        <v/>
      </c>
      <c r="AE428" s="197" t="str">
        <f>IF(AND($J428="x",AND(MAX(Z428:AB428)=AA428,AA428&lt;&gt;"")),Data!$BJ$2,"")</f>
        <v/>
      </c>
      <c r="AF428" s="197" t="str">
        <f>IF(AND($K428="x",AND(MAX(Z428:AB428)=AB428,AB428&lt;&gt;"")),Data!$BK$2,"")</f>
        <v/>
      </c>
      <c r="AG428" s="197"/>
      <c r="AH428" s="328"/>
      <c r="AI428" s="455"/>
      <c r="AJ428" s="456"/>
      <c r="AK428" s="444" t="str">
        <f t="shared" si="628"/>
        <v/>
      </c>
      <c r="AL428" s="328"/>
      <c r="AM428" s="197" t="str">
        <f>IF(AND($I428="x",AND(MAX(AI428:AK428)=AI428,AI428&lt;&gt;"")),Data!$BI$2,"")</f>
        <v/>
      </c>
      <c r="AN428" s="197" t="str">
        <f>IF(AND($J428="x",AND(MAX(AI428:AK428)=AJ428,AJ428&lt;&gt;"")),Data!$BJ$2,"")</f>
        <v/>
      </c>
      <c r="AO428" s="197" t="str">
        <f>IF(AND($K428="x",AND(MAX(AI428:AK428)=AK428,AK428&lt;&gt;"")),Data!$BK$2,"")</f>
        <v/>
      </c>
      <c r="AP428" s="197"/>
      <c r="AQ428" s="328"/>
      <c r="AR428" s="455"/>
      <c r="AS428" s="456"/>
      <c r="AT428" s="444" t="str">
        <f t="shared" si="629"/>
        <v/>
      </c>
      <c r="AU428" s="328"/>
      <c r="AV428" s="197" t="str">
        <f>IF(AND($I428="x",AND(MAX(AR428:AT428)=AR428,AR428&lt;&gt;"")),Data!$BI$2,"")</f>
        <v/>
      </c>
      <c r="AW428" s="197" t="str">
        <f>IF(AND($J428="x",AND(MAX(AR428:AT428)=AS428,AS428&lt;&gt;"")),Data!$BJ$2,"")</f>
        <v/>
      </c>
      <c r="AX428" s="197" t="str">
        <f>IF(AND($K428="x",AND(MAX(AR428:AT428)=AT428,AT428&lt;&gt;"")),Data!$BK$2,"")</f>
        <v/>
      </c>
      <c r="AY428" s="197"/>
      <c r="AZ428" s="328"/>
      <c r="BA428" s="455"/>
      <c r="BB428" s="456"/>
      <c r="BC428" s="444" t="str">
        <f t="shared" si="630"/>
        <v/>
      </c>
      <c r="BD428" s="328"/>
      <c r="BE428" s="197" t="str">
        <f>IF(AND($I428="x",AND(MAX(BA428:BC428)=BA428,BA428&lt;&gt;"")),Data!$BI$2,"")</f>
        <v/>
      </c>
      <c r="BF428" s="197" t="str">
        <f>IF(AND($J428="x",AND(MAX(BA428:BC428)=BB428,BB428&lt;&gt;"")),Data!$BJ$2,"")</f>
        <v/>
      </c>
      <c r="BG428" s="197" t="str">
        <f>IF(AND($K428="x",AND(MAX(BA428:BC428)=BC428,BC428&lt;&gt;"")),Data!$BK$2,"")</f>
        <v/>
      </c>
      <c r="BH428" s="197"/>
      <c r="BI428" s="328"/>
      <c r="BJ428" s="455"/>
      <c r="BK428" s="456"/>
      <c r="BL428" s="444" t="str">
        <f t="shared" si="631"/>
        <v/>
      </c>
      <c r="BM428" s="328"/>
      <c r="BN428" s="197" t="str">
        <f>IF(AND($I428="x",AND(MAX(BJ428:BL428)=BJ428,BJ428&lt;&gt;"")),Data!$BI$2,"")</f>
        <v/>
      </c>
      <c r="BO428" s="197" t="str">
        <f>IF(AND($J428="x",AND(MAX(BJ428:BL428)=BK428,BK428&lt;&gt;"")),Data!$BJ$2,"")</f>
        <v/>
      </c>
      <c r="BP428" s="197" t="str">
        <f>IF(AND($K428="x",AND(MAX(BJ428:BL428)=BL428,BL428&lt;&gt;"")),Data!$BK$2,"")</f>
        <v/>
      </c>
      <c r="BQ428" s="197"/>
      <c r="BR428" s="328"/>
      <c r="BS428" s="455"/>
      <c r="BT428" s="456"/>
      <c r="BU428" s="444" t="str">
        <f t="shared" si="632"/>
        <v/>
      </c>
      <c r="BV428" s="328"/>
      <c r="BW428" s="197" t="str">
        <f>IF(AND($I428="x",AND(MAX(BS428:BU428)=BS428,BS428&lt;&gt;"")),Data!$BI$2,"")</f>
        <v/>
      </c>
      <c r="BX428" s="197" t="str">
        <f>IF(AND($J428="x",AND(MAX(BS428:BU428)=BT428,BT428&lt;&gt;"")),Data!$BJ$2,"")</f>
        <v/>
      </c>
      <c r="BY428" s="197" t="str">
        <f>IF(AND($K428="x",AND(MAX(BS428:BU428)=BU428,BU428&lt;&gt;"")),Data!$BK$2,"")</f>
        <v/>
      </c>
      <c r="BZ428" s="197"/>
      <c r="CA428" s="328"/>
      <c r="CB428" s="463" t="str">
        <f t="shared" si="633"/>
        <v/>
      </c>
      <c r="CC428" s="464" t="str">
        <f t="shared" si="634"/>
        <v/>
      </c>
      <c r="CD428" s="465" t="str">
        <f t="shared" si="635"/>
        <v/>
      </c>
      <c r="CE428" s="328"/>
      <c r="CF428" s="197" t="str">
        <f>IF(AND($I428="x",AND(MAX(CB428:CD428)=CB428,CB428&lt;&gt;"")),Data!$BI$2,"")</f>
        <v/>
      </c>
      <c r="CG428" s="197" t="str">
        <f>IF(AND($J428="x",AND(MAX(CB428:CD428)=CC428,CC428&lt;&gt;"")),Data!$BJ$2,"")</f>
        <v/>
      </c>
      <c r="CH428" s="197" t="str">
        <f>IF(AND($K428="x",AND(MAX(CB428:CD428)=CD428,CD428&lt;&gt;"")),Data!$BK$2,"")</f>
        <v/>
      </c>
      <c r="CI428" s="197"/>
      <c r="CJ428" s="197"/>
      <c r="CK428" s="455"/>
      <c r="CL428" s="456"/>
      <c r="CM428" s="444" t="str">
        <f t="shared" si="636"/>
        <v/>
      </c>
      <c r="CN428" s="328"/>
      <c r="CO428" s="197" t="str">
        <f>IF(AND($I428="x",AND(MAX(CK428:CM428)=CK428,CK428&lt;&gt;"")),Data!$BI$2,"")</f>
        <v/>
      </c>
      <c r="CP428" s="197" t="str">
        <f>IF(AND($J428="x",AND(MAX(CK428:CM428)=CL428,CL428&lt;&gt;"")),Data!$BJ$2,"")</f>
        <v/>
      </c>
      <c r="CQ428" s="197" t="str">
        <f>IF(AND($K428="x",AND(MAX(CK428:CM428)=CM428,CM428&lt;&gt;"")),Data!$BK$2,"")</f>
        <v/>
      </c>
      <c r="CR428" s="197"/>
      <c r="CS428" s="197"/>
      <c r="CT428" s="328"/>
      <c r="CU428" s="255"/>
      <c r="CV428" s="209"/>
      <c r="CW428" s="227"/>
    </row>
    <row r="429" spans="1:101" x14ac:dyDescent="0.2">
      <c r="A429" s="227"/>
      <c r="B429" s="227"/>
      <c r="C429" s="168"/>
      <c r="D429" s="232"/>
      <c r="E429" s="134" t="s">
        <v>288</v>
      </c>
      <c r="F429" s="424"/>
      <c r="G429" s="428" t="s">
        <v>51</v>
      </c>
      <c r="H429" s="429"/>
      <c r="I429" s="138" t="str">
        <f t="shared" si="623"/>
        <v/>
      </c>
      <c r="J429" s="344" t="str">
        <f t="shared" si="624"/>
        <v/>
      </c>
      <c r="K429" s="345" t="str">
        <f t="shared" si="625"/>
        <v/>
      </c>
      <c r="L429" s="258"/>
      <c r="M429" s="332"/>
      <c r="N429" s="336"/>
      <c r="O429" s="200"/>
      <c r="P429" s="200"/>
      <c r="Q429" s="436"/>
      <c r="R429" s="437"/>
      <c r="S429" s="438" t="str">
        <f t="shared" si="626"/>
        <v/>
      </c>
      <c r="T429" s="328"/>
      <c r="U429" s="197" t="str">
        <f>IF(AND($I429="x",AND(MAX(Q429:S429)=Q429,Q429&gt;=0)),Data!$BI$2,"")</f>
        <v/>
      </c>
      <c r="V429" s="197" t="str">
        <f>IF(AND($J429="x",AND(MAX(Q429:S429)=R429,R429&gt;=0)),Data!$BJ$2,"")</f>
        <v/>
      </c>
      <c r="W429" s="197" t="str">
        <f>IF(AND($K429="x",AND(MAX(Q429:S429)=S429,S429&gt;=0)),Data!$BK$2,"")</f>
        <v/>
      </c>
      <c r="X429" s="197"/>
      <c r="Y429" s="328"/>
      <c r="Z429" s="451"/>
      <c r="AA429" s="452"/>
      <c r="AB429" s="438" t="str">
        <f t="shared" si="627"/>
        <v/>
      </c>
      <c r="AC429" s="328"/>
      <c r="AD429" s="197" t="str">
        <f>IF(AND($I429="x",AND(MAX(Z429:AB429)=Z429,Z429&lt;&gt;"")),Data!$BI$2,"")</f>
        <v/>
      </c>
      <c r="AE429" s="197" t="str">
        <f>IF(AND($J429="x",AND(MAX(Z429:AB429)=AA429,AA429&lt;&gt;"")),Data!$BJ$2,"")</f>
        <v/>
      </c>
      <c r="AF429" s="197" t="str">
        <f>IF(AND($K429="x",AND(MAX(Z429:AB429)=AB429,AB429&lt;&gt;"")),Data!$BK$2,"")</f>
        <v/>
      </c>
      <c r="AG429" s="197"/>
      <c r="AH429" s="328"/>
      <c r="AI429" s="451"/>
      <c r="AJ429" s="452"/>
      <c r="AK429" s="438" t="str">
        <f t="shared" si="628"/>
        <v/>
      </c>
      <c r="AL429" s="328"/>
      <c r="AM429" s="197" t="str">
        <f>IF(AND($I429="x",AND(MAX(AI429:AK429)=AI429,AI429&lt;&gt;"")),Data!$BI$2,"")</f>
        <v/>
      </c>
      <c r="AN429" s="197" t="str">
        <f>IF(AND($J429="x",AND(MAX(AI429:AK429)=AJ429,AJ429&lt;&gt;"")),Data!$BJ$2,"")</f>
        <v/>
      </c>
      <c r="AO429" s="197" t="str">
        <f>IF(AND($K429="x",AND(MAX(AI429:AK429)=AK429,AK429&lt;&gt;"")),Data!$BK$2,"")</f>
        <v/>
      </c>
      <c r="AP429" s="197"/>
      <c r="AQ429" s="328"/>
      <c r="AR429" s="451"/>
      <c r="AS429" s="452"/>
      <c r="AT429" s="438" t="str">
        <f t="shared" si="629"/>
        <v/>
      </c>
      <c r="AU429" s="328"/>
      <c r="AV429" s="197" t="str">
        <f>IF(AND($I429="x",AND(MAX(AR429:AT429)=AR429,AR429&lt;&gt;"")),Data!$BI$2,"")</f>
        <v/>
      </c>
      <c r="AW429" s="197" t="str">
        <f>IF(AND($J429="x",AND(MAX(AR429:AT429)=AS429,AS429&lt;&gt;"")),Data!$BJ$2,"")</f>
        <v/>
      </c>
      <c r="AX429" s="197" t="str">
        <f>IF(AND($K429="x",AND(MAX(AR429:AT429)=AT429,AT429&lt;&gt;"")),Data!$BK$2,"")</f>
        <v/>
      </c>
      <c r="AY429" s="197"/>
      <c r="AZ429" s="328"/>
      <c r="BA429" s="451"/>
      <c r="BB429" s="452"/>
      <c r="BC429" s="438" t="str">
        <f t="shared" si="630"/>
        <v/>
      </c>
      <c r="BD429" s="328"/>
      <c r="BE429" s="197" t="str">
        <f>IF(AND($I429="x",AND(MAX(BA429:BC429)=BA429,BA429&lt;&gt;"")),Data!$BI$2,"")</f>
        <v/>
      </c>
      <c r="BF429" s="197" t="str">
        <f>IF(AND($J429="x",AND(MAX(BA429:BC429)=BB429,BB429&lt;&gt;"")),Data!$BJ$2,"")</f>
        <v/>
      </c>
      <c r="BG429" s="197" t="str">
        <f>IF(AND($K429="x",AND(MAX(BA429:BC429)=BC429,BC429&lt;&gt;"")),Data!$BK$2,"")</f>
        <v/>
      </c>
      <c r="BH429" s="197"/>
      <c r="BI429" s="328"/>
      <c r="BJ429" s="451"/>
      <c r="BK429" s="452"/>
      <c r="BL429" s="438" t="str">
        <f t="shared" si="631"/>
        <v/>
      </c>
      <c r="BM429" s="328"/>
      <c r="BN429" s="197" t="str">
        <f>IF(AND($I429="x",AND(MAX(BJ429:BL429)=BJ429,BJ429&lt;&gt;"")),Data!$BI$2,"")</f>
        <v/>
      </c>
      <c r="BO429" s="197" t="str">
        <f>IF(AND($J429="x",AND(MAX(BJ429:BL429)=BK429,BK429&lt;&gt;"")),Data!$BJ$2,"")</f>
        <v/>
      </c>
      <c r="BP429" s="197" t="str">
        <f>IF(AND($K429="x",AND(MAX(BJ429:BL429)=BL429,BL429&lt;&gt;"")),Data!$BK$2,"")</f>
        <v/>
      </c>
      <c r="BQ429" s="197"/>
      <c r="BR429" s="328"/>
      <c r="BS429" s="451"/>
      <c r="BT429" s="452"/>
      <c r="BU429" s="438" t="str">
        <f t="shared" si="632"/>
        <v/>
      </c>
      <c r="BV429" s="328"/>
      <c r="BW429" s="197" t="str">
        <f>IF(AND($I429="x",AND(MAX(BS429:BU429)=BS429,BS429&lt;&gt;"")),Data!$BI$2,"")</f>
        <v/>
      </c>
      <c r="BX429" s="197" t="str">
        <f>IF(AND($J429="x",AND(MAX(BS429:BU429)=BT429,BT429&lt;&gt;"")),Data!$BJ$2,"")</f>
        <v/>
      </c>
      <c r="BY429" s="197" t="str">
        <f>IF(AND($K429="x",AND(MAX(BS429:BU429)=BU429,BU429&lt;&gt;"")),Data!$BK$2,"")</f>
        <v/>
      </c>
      <c r="BZ429" s="197"/>
      <c r="CA429" s="328"/>
      <c r="CB429" s="457" t="str">
        <f t="shared" si="633"/>
        <v/>
      </c>
      <c r="CC429" s="458" t="str">
        <f t="shared" si="634"/>
        <v/>
      </c>
      <c r="CD429" s="459" t="str">
        <f t="shared" si="635"/>
        <v/>
      </c>
      <c r="CE429" s="328"/>
      <c r="CF429" s="197" t="str">
        <f>IF(AND($I429="x",AND(MAX(CB429:CD429)=CB429,CB429&lt;&gt;"")),Data!$BI$2,"")</f>
        <v/>
      </c>
      <c r="CG429" s="197" t="str">
        <f>IF(AND($J429="x",AND(MAX(CB429:CD429)=CC429,CC429&lt;&gt;"")),Data!$BJ$2,"")</f>
        <v/>
      </c>
      <c r="CH429" s="197" t="str">
        <f>IF(AND($K429="x",AND(MAX(CB429:CD429)=CD429,CD429&lt;&gt;"")),Data!$BK$2,"")</f>
        <v/>
      </c>
      <c r="CI429" s="197"/>
      <c r="CJ429" s="197"/>
      <c r="CK429" s="451"/>
      <c r="CL429" s="452"/>
      <c r="CM429" s="438" t="str">
        <f t="shared" si="636"/>
        <v/>
      </c>
      <c r="CN429" s="328"/>
      <c r="CO429" s="197" t="str">
        <f>IF(AND($I429="x",AND(MAX(CK429:CM429)=CK429,CK429&lt;&gt;"")),Data!$BI$2,"")</f>
        <v/>
      </c>
      <c r="CP429" s="197" t="str">
        <f>IF(AND($J429="x",AND(MAX(CK429:CM429)=CL429,CL429&lt;&gt;"")),Data!$BJ$2,"")</f>
        <v/>
      </c>
      <c r="CQ429" s="197" t="str">
        <f>IF(AND($K429="x",AND(MAX(CK429:CM429)=CM429,CM429&lt;&gt;"")),Data!$BK$2,"")</f>
        <v/>
      </c>
      <c r="CR429" s="197"/>
      <c r="CS429" s="197"/>
      <c r="CT429" s="328"/>
      <c r="CU429" s="255"/>
      <c r="CV429" s="209"/>
      <c r="CW429" s="227"/>
    </row>
    <row r="430" spans="1:101" x14ac:dyDescent="0.2">
      <c r="A430" s="227"/>
      <c r="B430" s="227"/>
      <c r="C430" s="168"/>
      <c r="D430" s="232"/>
      <c r="E430" s="135" t="s">
        <v>289</v>
      </c>
      <c r="F430" s="425"/>
      <c r="G430" s="430" t="s">
        <v>51</v>
      </c>
      <c r="H430" s="431"/>
      <c r="I430" s="346" t="str">
        <f t="shared" si="623"/>
        <v/>
      </c>
      <c r="J430" s="347" t="str">
        <f t="shared" si="624"/>
        <v/>
      </c>
      <c r="K430" s="348" t="str">
        <f t="shared" si="625"/>
        <v/>
      </c>
      <c r="L430" s="258"/>
      <c r="M430" s="332"/>
      <c r="N430" s="336"/>
      <c r="O430" s="200"/>
      <c r="P430" s="200"/>
      <c r="Q430" s="439"/>
      <c r="R430" s="440"/>
      <c r="S430" s="441" t="str">
        <f t="shared" si="626"/>
        <v/>
      </c>
      <c r="T430" s="328"/>
      <c r="U430" s="197" t="str">
        <f>IF(AND($I430="x",AND(MAX(Q430:S430)=Q430,Q430&gt;=0)),Data!$BI$2,"")</f>
        <v/>
      </c>
      <c r="V430" s="197" t="str">
        <f>IF(AND($J430="x",AND(MAX(Q430:S430)=R430,R430&gt;=0)),Data!$BJ$2,"")</f>
        <v/>
      </c>
      <c r="W430" s="197" t="str">
        <f>IF(AND($K430="x",AND(MAX(Q430:S430)=S430,S430&gt;=0)),Data!$BK$2,"")</f>
        <v/>
      </c>
      <c r="X430" s="197"/>
      <c r="Y430" s="328"/>
      <c r="Z430" s="453"/>
      <c r="AA430" s="454"/>
      <c r="AB430" s="441" t="str">
        <f t="shared" si="627"/>
        <v/>
      </c>
      <c r="AC430" s="328"/>
      <c r="AD430" s="197" t="str">
        <f>IF(AND($I430="x",AND(MAX(Z430:AB430)=Z430,Z430&lt;&gt;"")),Data!$BI$2,"")</f>
        <v/>
      </c>
      <c r="AE430" s="197" t="str">
        <f>IF(AND($J430="x",AND(MAX(Z430:AB430)=AA430,AA430&lt;&gt;"")),Data!$BJ$2,"")</f>
        <v/>
      </c>
      <c r="AF430" s="197" t="str">
        <f>IF(AND($K430="x",AND(MAX(Z430:AB430)=AB430,AB430&lt;&gt;"")),Data!$BK$2,"")</f>
        <v/>
      </c>
      <c r="AG430" s="197"/>
      <c r="AH430" s="328"/>
      <c r="AI430" s="453"/>
      <c r="AJ430" s="454"/>
      <c r="AK430" s="441" t="str">
        <f t="shared" si="628"/>
        <v/>
      </c>
      <c r="AL430" s="328"/>
      <c r="AM430" s="197" t="str">
        <f>IF(AND($I430="x",AND(MAX(AI430:AK430)=AI430,AI430&lt;&gt;"")),Data!$BI$2,"")</f>
        <v/>
      </c>
      <c r="AN430" s="197" t="str">
        <f>IF(AND($J430="x",AND(MAX(AI430:AK430)=AJ430,AJ430&lt;&gt;"")),Data!$BJ$2,"")</f>
        <v/>
      </c>
      <c r="AO430" s="197" t="str">
        <f>IF(AND($K430="x",AND(MAX(AI430:AK430)=AK430,AK430&lt;&gt;"")),Data!$BK$2,"")</f>
        <v/>
      </c>
      <c r="AP430" s="197"/>
      <c r="AQ430" s="328"/>
      <c r="AR430" s="453"/>
      <c r="AS430" s="454"/>
      <c r="AT430" s="441" t="str">
        <f t="shared" si="629"/>
        <v/>
      </c>
      <c r="AU430" s="328"/>
      <c r="AV430" s="197" t="str">
        <f>IF(AND($I430="x",AND(MAX(AR430:AT430)=AR430,AR430&lt;&gt;"")),Data!$BI$2,"")</f>
        <v/>
      </c>
      <c r="AW430" s="197" t="str">
        <f>IF(AND($J430="x",AND(MAX(AR430:AT430)=AS430,AS430&lt;&gt;"")),Data!$BJ$2,"")</f>
        <v/>
      </c>
      <c r="AX430" s="197" t="str">
        <f>IF(AND($K430="x",AND(MAX(AR430:AT430)=AT430,AT430&lt;&gt;"")),Data!$BK$2,"")</f>
        <v/>
      </c>
      <c r="AY430" s="197"/>
      <c r="AZ430" s="328"/>
      <c r="BA430" s="453"/>
      <c r="BB430" s="454"/>
      <c r="BC430" s="441" t="str">
        <f t="shared" si="630"/>
        <v/>
      </c>
      <c r="BD430" s="328"/>
      <c r="BE430" s="197" t="str">
        <f>IF(AND($I430="x",AND(MAX(BA430:BC430)=BA430,BA430&lt;&gt;"")),Data!$BI$2,"")</f>
        <v/>
      </c>
      <c r="BF430" s="197" t="str">
        <f>IF(AND($J430="x",AND(MAX(BA430:BC430)=BB430,BB430&lt;&gt;"")),Data!$BJ$2,"")</f>
        <v/>
      </c>
      <c r="BG430" s="197" t="str">
        <f>IF(AND($K430="x",AND(MAX(BA430:BC430)=BC430,BC430&lt;&gt;"")),Data!$BK$2,"")</f>
        <v/>
      </c>
      <c r="BH430" s="197"/>
      <c r="BI430" s="328"/>
      <c r="BJ430" s="453"/>
      <c r="BK430" s="454"/>
      <c r="BL430" s="441" t="str">
        <f t="shared" si="631"/>
        <v/>
      </c>
      <c r="BM430" s="328"/>
      <c r="BN430" s="197" t="str">
        <f>IF(AND($I430="x",AND(MAX(BJ430:BL430)=BJ430,BJ430&lt;&gt;"")),Data!$BI$2,"")</f>
        <v/>
      </c>
      <c r="BO430" s="197" t="str">
        <f>IF(AND($J430="x",AND(MAX(BJ430:BL430)=BK430,BK430&lt;&gt;"")),Data!$BJ$2,"")</f>
        <v/>
      </c>
      <c r="BP430" s="197" t="str">
        <f>IF(AND($K430="x",AND(MAX(BJ430:BL430)=BL430,BL430&lt;&gt;"")),Data!$BK$2,"")</f>
        <v/>
      </c>
      <c r="BQ430" s="197"/>
      <c r="BR430" s="328"/>
      <c r="BS430" s="453"/>
      <c r="BT430" s="454"/>
      <c r="BU430" s="441" t="str">
        <f t="shared" si="632"/>
        <v/>
      </c>
      <c r="BV430" s="328"/>
      <c r="BW430" s="197" t="str">
        <f>IF(AND($I430="x",AND(MAX(BS430:BU430)=BS430,BS430&lt;&gt;"")),Data!$BI$2,"")</f>
        <v/>
      </c>
      <c r="BX430" s="197" t="str">
        <f>IF(AND($J430="x",AND(MAX(BS430:BU430)=BT430,BT430&lt;&gt;"")),Data!$BJ$2,"")</f>
        <v/>
      </c>
      <c r="BY430" s="197" t="str">
        <f>IF(AND($K430="x",AND(MAX(BS430:BU430)=BU430,BU430&lt;&gt;"")),Data!$BK$2,"")</f>
        <v/>
      </c>
      <c r="BZ430" s="197"/>
      <c r="CA430" s="328"/>
      <c r="CB430" s="460" t="str">
        <f t="shared" si="633"/>
        <v/>
      </c>
      <c r="CC430" s="461" t="str">
        <f t="shared" si="634"/>
        <v/>
      </c>
      <c r="CD430" s="462" t="str">
        <f t="shared" si="635"/>
        <v/>
      </c>
      <c r="CE430" s="328"/>
      <c r="CF430" s="197" t="str">
        <f>IF(AND($I430="x",AND(MAX(CB430:CD430)=CB430,CB430&lt;&gt;"")),Data!$BI$2,"")</f>
        <v/>
      </c>
      <c r="CG430" s="197" t="str">
        <f>IF(AND($J430="x",AND(MAX(CB430:CD430)=CC430,CC430&lt;&gt;"")),Data!$BJ$2,"")</f>
        <v/>
      </c>
      <c r="CH430" s="197" t="str">
        <f>IF(AND($K430="x",AND(MAX(CB430:CD430)=CD430,CD430&lt;&gt;"")),Data!$BK$2,"")</f>
        <v/>
      </c>
      <c r="CI430" s="197"/>
      <c r="CJ430" s="197"/>
      <c r="CK430" s="453"/>
      <c r="CL430" s="454"/>
      <c r="CM430" s="441" t="str">
        <f t="shared" si="636"/>
        <v/>
      </c>
      <c r="CN430" s="328"/>
      <c r="CO430" s="197" t="str">
        <f>IF(AND($I430="x",AND(MAX(CK430:CM430)=CK430,CK430&lt;&gt;"")),Data!$BI$2,"")</f>
        <v/>
      </c>
      <c r="CP430" s="197" t="str">
        <f>IF(AND($J430="x",AND(MAX(CK430:CM430)=CL430,CL430&lt;&gt;"")),Data!$BJ$2,"")</f>
        <v/>
      </c>
      <c r="CQ430" s="197" t="str">
        <f>IF(AND($K430="x",AND(MAX(CK430:CM430)=CM430,CM430&lt;&gt;"")),Data!$BK$2,"")</f>
        <v/>
      </c>
      <c r="CR430" s="197"/>
      <c r="CS430" s="197"/>
      <c r="CT430" s="328"/>
      <c r="CU430" s="255"/>
      <c r="CV430" s="209"/>
      <c r="CW430" s="227"/>
    </row>
    <row r="431" spans="1:101" x14ac:dyDescent="0.2">
      <c r="A431" s="227"/>
      <c r="B431" s="227"/>
      <c r="C431" s="168"/>
      <c r="D431" s="232"/>
      <c r="E431" s="136" t="s">
        <v>290</v>
      </c>
      <c r="F431" s="426"/>
      <c r="G431" s="432" t="s">
        <v>51</v>
      </c>
      <c r="H431" s="433"/>
      <c r="I431" s="349" t="str">
        <f t="shared" si="623"/>
        <v/>
      </c>
      <c r="J431" s="350" t="str">
        <f t="shared" si="624"/>
        <v/>
      </c>
      <c r="K431" s="351" t="str">
        <f t="shared" si="625"/>
        <v/>
      </c>
      <c r="L431" s="258"/>
      <c r="M431" s="332"/>
      <c r="N431" s="336"/>
      <c r="O431" s="200"/>
      <c r="P431" s="200"/>
      <c r="Q431" s="445"/>
      <c r="R431" s="446"/>
      <c r="S431" s="447" t="str">
        <f t="shared" si="626"/>
        <v/>
      </c>
      <c r="T431" s="328"/>
      <c r="U431" s="197" t="str">
        <f>IF(AND($I431="x",AND(MAX(Q431:S431)=Q431,Q431&gt;=0)),Data!$BI$2,"")</f>
        <v/>
      </c>
      <c r="V431" s="197" t="str">
        <f>IF(AND($J431="x",AND(MAX(Q431:S431)=R431,R431&gt;=0)),Data!$BJ$2,"")</f>
        <v/>
      </c>
      <c r="W431" s="197" t="str">
        <f>IF(AND($K431="x",AND(MAX(Q431:S431)=S431,S431&gt;=0)),Data!$BK$2,"")</f>
        <v/>
      </c>
      <c r="X431" s="197"/>
      <c r="Y431" s="328"/>
      <c r="Z431" s="455"/>
      <c r="AA431" s="456"/>
      <c r="AB431" s="447" t="str">
        <f t="shared" si="627"/>
        <v/>
      </c>
      <c r="AC431" s="328"/>
      <c r="AD431" s="197" t="str">
        <f>IF(AND($I431="x",AND(MAX(Z431:AB431)=Z431,Z431&lt;&gt;"")),Data!$BI$2,"")</f>
        <v/>
      </c>
      <c r="AE431" s="197" t="str">
        <f>IF(AND($J431="x",AND(MAX(Z431:AB431)=AA431,AA431&lt;&gt;"")),Data!$BJ$2,"")</f>
        <v/>
      </c>
      <c r="AF431" s="197" t="str">
        <f>IF(AND($K431="x",AND(MAX(Z431:AB431)=AB431,AB431&lt;&gt;"")),Data!$BK$2,"")</f>
        <v/>
      </c>
      <c r="AG431" s="197"/>
      <c r="AH431" s="328"/>
      <c r="AI431" s="455"/>
      <c r="AJ431" s="456"/>
      <c r="AK431" s="447" t="str">
        <f t="shared" si="628"/>
        <v/>
      </c>
      <c r="AL431" s="328"/>
      <c r="AM431" s="197" t="str">
        <f>IF(AND($I431="x",AND(MAX(AI431:AK431)=AI431,AI431&lt;&gt;"")),Data!$BI$2,"")</f>
        <v/>
      </c>
      <c r="AN431" s="197" t="str">
        <f>IF(AND($J431="x",AND(MAX(AI431:AK431)=AJ431,AJ431&lt;&gt;"")),Data!$BJ$2,"")</f>
        <v/>
      </c>
      <c r="AO431" s="197" t="str">
        <f>IF(AND($K431="x",AND(MAX(AI431:AK431)=AK431,AK431&lt;&gt;"")),Data!$BK$2,"")</f>
        <v/>
      </c>
      <c r="AP431" s="197"/>
      <c r="AQ431" s="328"/>
      <c r="AR431" s="455"/>
      <c r="AS431" s="456"/>
      <c r="AT431" s="447" t="str">
        <f t="shared" si="629"/>
        <v/>
      </c>
      <c r="AU431" s="328"/>
      <c r="AV431" s="197" t="str">
        <f>IF(AND($I431="x",AND(MAX(AR431:AT431)=AR431,AR431&lt;&gt;"")),Data!$BI$2,"")</f>
        <v/>
      </c>
      <c r="AW431" s="197" t="str">
        <f>IF(AND($J431="x",AND(MAX(AR431:AT431)=AS431,AS431&lt;&gt;"")),Data!$BJ$2,"")</f>
        <v/>
      </c>
      <c r="AX431" s="197" t="str">
        <f>IF(AND($K431="x",AND(MAX(AR431:AT431)=AT431,AT431&lt;&gt;"")),Data!$BK$2,"")</f>
        <v/>
      </c>
      <c r="AY431" s="197"/>
      <c r="AZ431" s="328"/>
      <c r="BA431" s="455"/>
      <c r="BB431" s="456"/>
      <c r="BC431" s="447" t="str">
        <f t="shared" si="630"/>
        <v/>
      </c>
      <c r="BD431" s="328"/>
      <c r="BE431" s="197" t="str">
        <f>IF(AND($I431="x",AND(MAX(BA431:BC431)=BA431,BA431&lt;&gt;"")),Data!$BI$2,"")</f>
        <v/>
      </c>
      <c r="BF431" s="197" t="str">
        <f>IF(AND($J431="x",AND(MAX(BA431:BC431)=BB431,BB431&lt;&gt;"")),Data!$BJ$2,"")</f>
        <v/>
      </c>
      <c r="BG431" s="197" t="str">
        <f>IF(AND($K431="x",AND(MAX(BA431:BC431)=BC431,BC431&lt;&gt;"")),Data!$BK$2,"")</f>
        <v/>
      </c>
      <c r="BH431" s="197"/>
      <c r="BI431" s="328"/>
      <c r="BJ431" s="455"/>
      <c r="BK431" s="456"/>
      <c r="BL431" s="447" t="str">
        <f t="shared" si="631"/>
        <v/>
      </c>
      <c r="BM431" s="328"/>
      <c r="BN431" s="197" t="str">
        <f>IF(AND($I431="x",AND(MAX(BJ431:BL431)=BJ431,BJ431&lt;&gt;"")),Data!$BI$2,"")</f>
        <v/>
      </c>
      <c r="BO431" s="197" t="str">
        <f>IF(AND($J431="x",AND(MAX(BJ431:BL431)=BK431,BK431&lt;&gt;"")),Data!$BJ$2,"")</f>
        <v/>
      </c>
      <c r="BP431" s="197" t="str">
        <f>IF(AND($K431="x",AND(MAX(BJ431:BL431)=BL431,BL431&lt;&gt;"")),Data!$BK$2,"")</f>
        <v/>
      </c>
      <c r="BQ431" s="197"/>
      <c r="BR431" s="328"/>
      <c r="BS431" s="455"/>
      <c r="BT431" s="456"/>
      <c r="BU431" s="447" t="str">
        <f t="shared" si="632"/>
        <v/>
      </c>
      <c r="BV431" s="328"/>
      <c r="BW431" s="197" t="str">
        <f>IF(AND($I431="x",AND(MAX(BS431:BU431)=BS431,BS431&lt;&gt;"")),Data!$BI$2,"")</f>
        <v/>
      </c>
      <c r="BX431" s="197" t="str">
        <f>IF(AND($J431="x",AND(MAX(BS431:BU431)=BT431,BT431&lt;&gt;"")),Data!$BJ$2,"")</f>
        <v/>
      </c>
      <c r="BY431" s="197" t="str">
        <f>IF(AND($K431="x",AND(MAX(BS431:BU431)=BU431,BU431&lt;&gt;"")),Data!$BK$2,"")</f>
        <v/>
      </c>
      <c r="BZ431" s="197"/>
      <c r="CA431" s="328"/>
      <c r="CB431" s="463" t="str">
        <f t="shared" si="633"/>
        <v/>
      </c>
      <c r="CC431" s="464" t="str">
        <f t="shared" si="634"/>
        <v/>
      </c>
      <c r="CD431" s="465" t="str">
        <f t="shared" si="635"/>
        <v/>
      </c>
      <c r="CE431" s="328"/>
      <c r="CF431" s="197" t="str">
        <f>IF(AND($I431="x",AND(MAX(CB431:CD431)=CB431,CB431&lt;&gt;"")),Data!$BI$2,"")</f>
        <v/>
      </c>
      <c r="CG431" s="197" t="str">
        <f>IF(AND($J431="x",AND(MAX(CB431:CD431)=CC431,CC431&lt;&gt;"")),Data!$BJ$2,"")</f>
        <v/>
      </c>
      <c r="CH431" s="197" t="str">
        <f>IF(AND($K431="x",AND(MAX(CB431:CD431)=CD431,CD431&lt;&gt;"")),Data!$BK$2,"")</f>
        <v/>
      </c>
      <c r="CI431" s="197"/>
      <c r="CJ431" s="197"/>
      <c r="CK431" s="455"/>
      <c r="CL431" s="456"/>
      <c r="CM431" s="447" t="str">
        <f t="shared" si="636"/>
        <v/>
      </c>
      <c r="CN431" s="328"/>
      <c r="CO431" s="197" t="str">
        <f>IF(AND($I431="x",AND(MAX(CK431:CM431)=CK431,CK431&lt;&gt;"")),Data!$BI$2,"")</f>
        <v/>
      </c>
      <c r="CP431" s="197" t="str">
        <f>IF(AND($J431="x",AND(MAX(CK431:CM431)=CL431,CL431&lt;&gt;"")),Data!$BJ$2,"")</f>
        <v/>
      </c>
      <c r="CQ431" s="197" t="str">
        <f>IF(AND($K431="x",AND(MAX(CK431:CM431)=CM431,CM431&lt;&gt;"")),Data!$BK$2,"")</f>
        <v/>
      </c>
      <c r="CR431" s="197"/>
      <c r="CS431" s="197"/>
      <c r="CT431" s="328"/>
      <c r="CU431" s="255"/>
      <c r="CV431" s="209"/>
      <c r="CW431" s="227"/>
    </row>
    <row r="432" spans="1:101" x14ac:dyDescent="0.2">
      <c r="A432" s="227"/>
      <c r="B432" s="227"/>
      <c r="C432" s="168"/>
      <c r="D432" s="232"/>
      <c r="E432" s="134" t="s">
        <v>291</v>
      </c>
      <c r="F432" s="424"/>
      <c r="G432" s="428" t="s">
        <v>51</v>
      </c>
      <c r="H432" s="429"/>
      <c r="I432" s="138" t="str">
        <f t="shared" si="623"/>
        <v/>
      </c>
      <c r="J432" s="344" t="str">
        <f t="shared" si="624"/>
        <v/>
      </c>
      <c r="K432" s="345" t="str">
        <f t="shared" si="625"/>
        <v/>
      </c>
      <c r="L432" s="258"/>
      <c r="M432" s="332"/>
      <c r="N432" s="336"/>
      <c r="O432" s="200"/>
      <c r="P432" s="200"/>
      <c r="Q432" s="436"/>
      <c r="R432" s="437"/>
      <c r="S432" s="438" t="str">
        <f t="shared" si="626"/>
        <v/>
      </c>
      <c r="T432" s="328"/>
      <c r="U432" s="197" t="str">
        <f>IF(AND($I432="x",AND(MAX(Q432:S432)=Q432,Q432&gt;=0)),Data!$BI$2,"")</f>
        <v/>
      </c>
      <c r="V432" s="197" t="str">
        <f>IF(AND($J432="x",AND(MAX(Q432:S432)=R432,R432&gt;=0)),Data!$BJ$2,"")</f>
        <v/>
      </c>
      <c r="W432" s="197" t="str">
        <f>IF(AND($K432="x",AND(MAX(Q432:S432)=S432,S432&gt;=0)),Data!$BK$2,"")</f>
        <v/>
      </c>
      <c r="X432" s="197"/>
      <c r="Y432" s="328"/>
      <c r="Z432" s="451"/>
      <c r="AA432" s="452"/>
      <c r="AB432" s="438" t="str">
        <f t="shared" si="627"/>
        <v/>
      </c>
      <c r="AC432" s="328"/>
      <c r="AD432" s="197" t="str">
        <f>IF(AND($I432="x",AND(MAX(Z432:AB432)=Z432,Z432&lt;&gt;"")),Data!$BI$2,"")</f>
        <v/>
      </c>
      <c r="AE432" s="197" t="str">
        <f>IF(AND($J432="x",AND(MAX(Z432:AB432)=AA432,AA432&lt;&gt;"")),Data!$BJ$2,"")</f>
        <v/>
      </c>
      <c r="AF432" s="197" t="str">
        <f>IF(AND($K432="x",AND(MAX(Z432:AB432)=AB432,AB432&lt;&gt;"")),Data!$BK$2,"")</f>
        <v/>
      </c>
      <c r="AG432" s="197"/>
      <c r="AH432" s="328"/>
      <c r="AI432" s="451"/>
      <c r="AJ432" s="452"/>
      <c r="AK432" s="438" t="str">
        <f t="shared" si="628"/>
        <v/>
      </c>
      <c r="AL432" s="328"/>
      <c r="AM432" s="197" t="str">
        <f>IF(AND($I432="x",AND(MAX(AI432:AK432)=AI432,AI432&lt;&gt;"")),Data!$BI$2,"")</f>
        <v/>
      </c>
      <c r="AN432" s="197" t="str">
        <f>IF(AND($J432="x",AND(MAX(AI432:AK432)=AJ432,AJ432&lt;&gt;"")),Data!$BJ$2,"")</f>
        <v/>
      </c>
      <c r="AO432" s="197" t="str">
        <f>IF(AND($K432="x",AND(MAX(AI432:AK432)=AK432,AK432&lt;&gt;"")),Data!$BK$2,"")</f>
        <v/>
      </c>
      <c r="AP432" s="197"/>
      <c r="AQ432" s="328"/>
      <c r="AR432" s="451"/>
      <c r="AS432" s="452"/>
      <c r="AT432" s="438" t="str">
        <f t="shared" si="629"/>
        <v/>
      </c>
      <c r="AU432" s="328"/>
      <c r="AV432" s="197" t="str">
        <f>IF(AND($I432="x",AND(MAX(AR432:AT432)=AR432,AR432&lt;&gt;"")),Data!$BI$2,"")</f>
        <v/>
      </c>
      <c r="AW432" s="197" t="str">
        <f>IF(AND($J432="x",AND(MAX(AR432:AT432)=AS432,AS432&lt;&gt;"")),Data!$BJ$2,"")</f>
        <v/>
      </c>
      <c r="AX432" s="197" t="str">
        <f>IF(AND($K432="x",AND(MAX(AR432:AT432)=AT432,AT432&lt;&gt;"")),Data!$BK$2,"")</f>
        <v/>
      </c>
      <c r="AY432" s="197"/>
      <c r="AZ432" s="328"/>
      <c r="BA432" s="451"/>
      <c r="BB432" s="452"/>
      <c r="BC432" s="438" t="str">
        <f t="shared" si="630"/>
        <v/>
      </c>
      <c r="BD432" s="328"/>
      <c r="BE432" s="197" t="str">
        <f>IF(AND($I432="x",AND(MAX(BA432:BC432)=BA432,BA432&lt;&gt;"")),Data!$BI$2,"")</f>
        <v/>
      </c>
      <c r="BF432" s="197" t="str">
        <f>IF(AND($J432="x",AND(MAX(BA432:BC432)=BB432,BB432&lt;&gt;"")),Data!$BJ$2,"")</f>
        <v/>
      </c>
      <c r="BG432" s="197" t="str">
        <f>IF(AND($K432="x",AND(MAX(BA432:BC432)=BC432,BC432&lt;&gt;"")),Data!$BK$2,"")</f>
        <v/>
      </c>
      <c r="BH432" s="197"/>
      <c r="BI432" s="328"/>
      <c r="BJ432" s="451"/>
      <c r="BK432" s="452"/>
      <c r="BL432" s="438" t="str">
        <f t="shared" si="631"/>
        <v/>
      </c>
      <c r="BM432" s="328"/>
      <c r="BN432" s="197" t="str">
        <f>IF(AND($I432="x",AND(MAX(BJ432:BL432)=BJ432,BJ432&lt;&gt;"")),Data!$BI$2,"")</f>
        <v/>
      </c>
      <c r="BO432" s="197" t="str">
        <f>IF(AND($J432="x",AND(MAX(BJ432:BL432)=BK432,BK432&lt;&gt;"")),Data!$BJ$2,"")</f>
        <v/>
      </c>
      <c r="BP432" s="197" t="str">
        <f>IF(AND($K432="x",AND(MAX(BJ432:BL432)=BL432,BL432&lt;&gt;"")),Data!$BK$2,"")</f>
        <v/>
      </c>
      <c r="BQ432" s="197"/>
      <c r="BR432" s="328"/>
      <c r="BS432" s="451"/>
      <c r="BT432" s="452"/>
      <c r="BU432" s="438" t="str">
        <f t="shared" si="632"/>
        <v/>
      </c>
      <c r="BV432" s="328"/>
      <c r="BW432" s="197" t="str">
        <f>IF(AND($I432="x",AND(MAX(BS432:BU432)=BS432,BS432&lt;&gt;"")),Data!$BI$2,"")</f>
        <v/>
      </c>
      <c r="BX432" s="197" t="str">
        <f>IF(AND($J432="x",AND(MAX(BS432:BU432)=BT432,BT432&lt;&gt;"")),Data!$BJ$2,"")</f>
        <v/>
      </c>
      <c r="BY432" s="197" t="str">
        <f>IF(AND($K432="x",AND(MAX(BS432:BU432)=BU432,BU432&lt;&gt;"")),Data!$BK$2,"")</f>
        <v/>
      </c>
      <c r="BZ432" s="197"/>
      <c r="CA432" s="328"/>
      <c r="CB432" s="457" t="str">
        <f t="shared" si="633"/>
        <v/>
      </c>
      <c r="CC432" s="458" t="str">
        <f t="shared" si="634"/>
        <v/>
      </c>
      <c r="CD432" s="459" t="str">
        <f t="shared" si="635"/>
        <v/>
      </c>
      <c r="CE432" s="328"/>
      <c r="CF432" s="197" t="str">
        <f>IF(AND($I432="x",AND(MAX(CB432:CD432)=CB432,CB432&lt;&gt;"")),Data!$BI$2,"")</f>
        <v/>
      </c>
      <c r="CG432" s="197" t="str">
        <f>IF(AND($J432="x",AND(MAX(CB432:CD432)=CC432,CC432&lt;&gt;"")),Data!$BJ$2,"")</f>
        <v/>
      </c>
      <c r="CH432" s="197" t="str">
        <f>IF(AND($K432="x",AND(MAX(CB432:CD432)=CD432,CD432&lt;&gt;"")),Data!$BK$2,"")</f>
        <v/>
      </c>
      <c r="CI432" s="197"/>
      <c r="CJ432" s="197"/>
      <c r="CK432" s="451"/>
      <c r="CL432" s="452"/>
      <c r="CM432" s="438" t="str">
        <f t="shared" si="636"/>
        <v/>
      </c>
      <c r="CN432" s="328"/>
      <c r="CO432" s="197" t="str">
        <f>IF(AND($I432="x",AND(MAX(CK432:CM432)=CK432,CK432&lt;&gt;"")),Data!$BI$2,"")</f>
        <v/>
      </c>
      <c r="CP432" s="197" t="str">
        <f>IF(AND($J432="x",AND(MAX(CK432:CM432)=CL432,CL432&lt;&gt;"")),Data!$BJ$2,"")</f>
        <v/>
      </c>
      <c r="CQ432" s="197" t="str">
        <f>IF(AND($K432="x",AND(MAX(CK432:CM432)=CM432,CM432&lt;&gt;"")),Data!$BK$2,"")</f>
        <v/>
      </c>
      <c r="CR432" s="197"/>
      <c r="CS432" s="197"/>
      <c r="CT432" s="328"/>
      <c r="CU432" s="259"/>
      <c r="CV432" s="209"/>
      <c r="CW432" s="227"/>
    </row>
    <row r="433" spans="1:101" x14ac:dyDescent="0.2">
      <c r="A433" s="227"/>
      <c r="B433" s="227"/>
      <c r="C433" s="168"/>
      <c r="D433" s="232"/>
      <c r="E433" s="135" t="s">
        <v>292</v>
      </c>
      <c r="F433" s="425"/>
      <c r="G433" s="430" t="s">
        <v>51</v>
      </c>
      <c r="H433" s="431"/>
      <c r="I433" s="346" t="str">
        <f t="shared" si="623"/>
        <v/>
      </c>
      <c r="J433" s="347" t="str">
        <f t="shared" si="624"/>
        <v/>
      </c>
      <c r="K433" s="348" t="str">
        <f t="shared" si="625"/>
        <v/>
      </c>
      <c r="L433" s="258"/>
      <c r="M433" s="332"/>
      <c r="N433" s="336"/>
      <c r="O433" s="200"/>
      <c r="P433" s="200"/>
      <c r="Q433" s="439"/>
      <c r="R433" s="440"/>
      <c r="S433" s="441" t="str">
        <f t="shared" si="626"/>
        <v/>
      </c>
      <c r="T433" s="328"/>
      <c r="U433" s="197" t="str">
        <f>IF(AND($I433="x",AND(MAX(Q433:S433)=Q433,Q433&gt;=0)),Data!$BI$2,"")</f>
        <v/>
      </c>
      <c r="V433" s="197" t="str">
        <f>IF(AND($J433="x",AND(MAX(Q433:S433)=R433,R433&gt;=0)),Data!$BJ$2,"")</f>
        <v/>
      </c>
      <c r="W433" s="197" t="str">
        <f>IF(AND($K433="x",AND(MAX(Q433:S433)=S433,S433&gt;=0)),Data!$BK$2,"")</f>
        <v/>
      </c>
      <c r="X433" s="197"/>
      <c r="Y433" s="328"/>
      <c r="Z433" s="453"/>
      <c r="AA433" s="454"/>
      <c r="AB433" s="441" t="str">
        <f t="shared" si="627"/>
        <v/>
      </c>
      <c r="AC433" s="328"/>
      <c r="AD433" s="197" t="str">
        <f>IF(AND($I433="x",AND(MAX(Z433:AB433)=Z433,Z433&lt;&gt;"")),Data!$BI$2,"")</f>
        <v/>
      </c>
      <c r="AE433" s="197" t="str">
        <f>IF(AND($J433="x",AND(MAX(Z433:AB433)=AA433,AA433&lt;&gt;"")),Data!$BJ$2,"")</f>
        <v/>
      </c>
      <c r="AF433" s="197" t="str">
        <f>IF(AND($K433="x",AND(MAX(Z433:AB433)=AB433,AB433&lt;&gt;"")),Data!$BK$2,"")</f>
        <v/>
      </c>
      <c r="AG433" s="197"/>
      <c r="AH433" s="328"/>
      <c r="AI433" s="453"/>
      <c r="AJ433" s="454"/>
      <c r="AK433" s="441" t="str">
        <f t="shared" si="628"/>
        <v/>
      </c>
      <c r="AL433" s="328"/>
      <c r="AM433" s="197" t="str">
        <f>IF(AND($I433="x",AND(MAX(AI433:AK433)=AI433,AI433&lt;&gt;"")),Data!$BI$2,"")</f>
        <v/>
      </c>
      <c r="AN433" s="197" t="str">
        <f>IF(AND($J433="x",AND(MAX(AI433:AK433)=AJ433,AJ433&lt;&gt;"")),Data!$BJ$2,"")</f>
        <v/>
      </c>
      <c r="AO433" s="197" t="str">
        <f>IF(AND($K433="x",AND(MAX(AI433:AK433)=AK433,AK433&lt;&gt;"")),Data!$BK$2,"")</f>
        <v/>
      </c>
      <c r="AP433" s="197"/>
      <c r="AQ433" s="328"/>
      <c r="AR433" s="453"/>
      <c r="AS433" s="454"/>
      <c r="AT433" s="441" t="str">
        <f t="shared" si="629"/>
        <v/>
      </c>
      <c r="AU433" s="328"/>
      <c r="AV433" s="197" t="str">
        <f>IF(AND($I433="x",AND(MAX(AR433:AT433)=AR433,AR433&lt;&gt;"")),Data!$BI$2,"")</f>
        <v/>
      </c>
      <c r="AW433" s="197" t="str">
        <f>IF(AND($J433="x",AND(MAX(AR433:AT433)=AS433,AS433&lt;&gt;"")),Data!$BJ$2,"")</f>
        <v/>
      </c>
      <c r="AX433" s="197" t="str">
        <f>IF(AND($K433="x",AND(MAX(AR433:AT433)=AT433,AT433&lt;&gt;"")),Data!$BK$2,"")</f>
        <v/>
      </c>
      <c r="AY433" s="197"/>
      <c r="AZ433" s="328"/>
      <c r="BA433" s="453"/>
      <c r="BB433" s="454"/>
      <c r="BC433" s="441" t="str">
        <f t="shared" si="630"/>
        <v/>
      </c>
      <c r="BD433" s="328"/>
      <c r="BE433" s="197" t="str">
        <f>IF(AND($I433="x",AND(MAX(BA433:BC433)=BA433,BA433&lt;&gt;"")),Data!$BI$2,"")</f>
        <v/>
      </c>
      <c r="BF433" s="197" t="str">
        <f>IF(AND($J433="x",AND(MAX(BA433:BC433)=BB433,BB433&lt;&gt;"")),Data!$BJ$2,"")</f>
        <v/>
      </c>
      <c r="BG433" s="197" t="str">
        <f>IF(AND($K433="x",AND(MAX(BA433:BC433)=BC433,BC433&lt;&gt;"")),Data!$BK$2,"")</f>
        <v/>
      </c>
      <c r="BH433" s="197"/>
      <c r="BI433" s="328"/>
      <c r="BJ433" s="453"/>
      <c r="BK433" s="454"/>
      <c r="BL433" s="441" t="str">
        <f t="shared" si="631"/>
        <v/>
      </c>
      <c r="BM433" s="328"/>
      <c r="BN433" s="197" t="str">
        <f>IF(AND($I433="x",AND(MAX(BJ433:BL433)=BJ433,BJ433&lt;&gt;"")),Data!$BI$2,"")</f>
        <v/>
      </c>
      <c r="BO433" s="197" t="str">
        <f>IF(AND($J433="x",AND(MAX(BJ433:BL433)=BK433,BK433&lt;&gt;"")),Data!$BJ$2,"")</f>
        <v/>
      </c>
      <c r="BP433" s="197" t="str">
        <f>IF(AND($K433="x",AND(MAX(BJ433:BL433)=BL433,BL433&lt;&gt;"")),Data!$BK$2,"")</f>
        <v/>
      </c>
      <c r="BQ433" s="197"/>
      <c r="BR433" s="328"/>
      <c r="BS433" s="453"/>
      <c r="BT433" s="454"/>
      <c r="BU433" s="441" t="str">
        <f t="shared" si="632"/>
        <v/>
      </c>
      <c r="BV433" s="328"/>
      <c r="BW433" s="197" t="str">
        <f>IF(AND($I433="x",AND(MAX(BS433:BU433)=BS433,BS433&lt;&gt;"")),Data!$BI$2,"")</f>
        <v/>
      </c>
      <c r="BX433" s="197" t="str">
        <f>IF(AND($J433="x",AND(MAX(BS433:BU433)=BT433,BT433&lt;&gt;"")),Data!$BJ$2,"")</f>
        <v/>
      </c>
      <c r="BY433" s="197" t="str">
        <f>IF(AND($K433="x",AND(MAX(BS433:BU433)=BU433,BU433&lt;&gt;"")),Data!$BK$2,"")</f>
        <v/>
      </c>
      <c r="BZ433" s="197"/>
      <c r="CA433" s="328"/>
      <c r="CB433" s="460" t="str">
        <f t="shared" si="633"/>
        <v/>
      </c>
      <c r="CC433" s="461" t="str">
        <f t="shared" si="634"/>
        <v/>
      </c>
      <c r="CD433" s="462" t="str">
        <f t="shared" si="635"/>
        <v/>
      </c>
      <c r="CE433" s="328"/>
      <c r="CF433" s="197" t="str">
        <f>IF(AND($I433="x",AND(MAX(CB433:CD433)=CB433,CB433&lt;&gt;"")),Data!$BI$2,"")</f>
        <v/>
      </c>
      <c r="CG433" s="197" t="str">
        <f>IF(AND($J433="x",AND(MAX(CB433:CD433)=CC433,CC433&lt;&gt;"")),Data!$BJ$2,"")</f>
        <v/>
      </c>
      <c r="CH433" s="197" t="str">
        <f>IF(AND($K433="x",AND(MAX(CB433:CD433)=CD433,CD433&lt;&gt;"")),Data!$BK$2,"")</f>
        <v/>
      </c>
      <c r="CI433" s="197"/>
      <c r="CJ433" s="197"/>
      <c r="CK433" s="453"/>
      <c r="CL433" s="454"/>
      <c r="CM433" s="441" t="str">
        <f t="shared" si="636"/>
        <v/>
      </c>
      <c r="CN433" s="328"/>
      <c r="CO433" s="197" t="str">
        <f>IF(AND($I433="x",AND(MAX(CK433:CM433)=CK433,CK433&lt;&gt;"")),Data!$BI$2,"")</f>
        <v/>
      </c>
      <c r="CP433" s="197" t="str">
        <f>IF(AND($J433="x",AND(MAX(CK433:CM433)=CL433,CL433&lt;&gt;"")),Data!$BJ$2,"")</f>
        <v/>
      </c>
      <c r="CQ433" s="197" t="str">
        <f>IF(AND($K433="x",AND(MAX(CK433:CM433)=CM433,CM433&lt;&gt;"")),Data!$BK$2,"")</f>
        <v/>
      </c>
      <c r="CR433" s="197"/>
      <c r="CS433" s="197"/>
      <c r="CT433" s="328"/>
      <c r="CU433" s="259"/>
      <c r="CV433" s="209"/>
      <c r="CW433" s="227"/>
    </row>
    <row r="434" spans="1:101" x14ac:dyDescent="0.2">
      <c r="A434" s="227"/>
      <c r="B434" s="227"/>
      <c r="C434" s="168"/>
      <c r="D434" s="232"/>
      <c r="E434" s="136" t="s">
        <v>293</v>
      </c>
      <c r="F434" s="426"/>
      <c r="G434" s="432" t="s">
        <v>51</v>
      </c>
      <c r="H434" s="433"/>
      <c r="I434" s="349" t="str">
        <f t="shared" si="623"/>
        <v/>
      </c>
      <c r="J434" s="350" t="str">
        <f t="shared" si="624"/>
        <v/>
      </c>
      <c r="K434" s="351" t="str">
        <f t="shared" si="625"/>
        <v/>
      </c>
      <c r="L434" s="258"/>
      <c r="M434" s="332"/>
      <c r="N434" s="336"/>
      <c r="O434" s="200"/>
      <c r="P434" s="200"/>
      <c r="Q434" s="445"/>
      <c r="R434" s="446"/>
      <c r="S434" s="447" t="str">
        <f t="shared" si="626"/>
        <v/>
      </c>
      <c r="T434" s="328"/>
      <c r="U434" s="197" t="str">
        <f>IF(AND($I434="x",AND(MAX(Q434:S434)=Q434,Q434&gt;=0)),Data!$BI$2,"")</f>
        <v/>
      </c>
      <c r="V434" s="197" t="str">
        <f>IF(AND($J434="x",AND(MAX(Q434:S434)=R434,R434&gt;=0)),Data!$BJ$2,"")</f>
        <v/>
      </c>
      <c r="W434" s="197" t="str">
        <f>IF(AND($K434="x",AND(MAX(Q434:S434)=S434,S434&gt;=0)),Data!$BK$2,"")</f>
        <v/>
      </c>
      <c r="X434" s="197"/>
      <c r="Y434" s="328"/>
      <c r="Z434" s="455"/>
      <c r="AA434" s="456"/>
      <c r="AB434" s="447" t="str">
        <f t="shared" si="627"/>
        <v/>
      </c>
      <c r="AC434" s="328"/>
      <c r="AD434" s="197" t="str">
        <f>IF(AND($I434="x",AND(MAX(Z434:AB434)=Z434,Z434&lt;&gt;"")),Data!$BI$2,"")</f>
        <v/>
      </c>
      <c r="AE434" s="197" t="str">
        <f>IF(AND($J434="x",AND(MAX(Z434:AB434)=AA434,AA434&lt;&gt;"")),Data!$BJ$2,"")</f>
        <v/>
      </c>
      <c r="AF434" s="197" t="str">
        <f>IF(AND($K434="x",AND(MAX(Z434:AB434)=AB434,AB434&lt;&gt;"")),Data!$BK$2,"")</f>
        <v/>
      </c>
      <c r="AG434" s="197"/>
      <c r="AH434" s="328"/>
      <c r="AI434" s="455"/>
      <c r="AJ434" s="456"/>
      <c r="AK434" s="447" t="str">
        <f t="shared" si="628"/>
        <v/>
      </c>
      <c r="AL434" s="328"/>
      <c r="AM434" s="197" t="str">
        <f>IF(AND($I434="x",AND(MAX(AI434:AK434)=AI434,AI434&lt;&gt;"")),Data!$BI$2,"")</f>
        <v/>
      </c>
      <c r="AN434" s="197" t="str">
        <f>IF(AND($J434="x",AND(MAX(AI434:AK434)=AJ434,AJ434&lt;&gt;"")),Data!$BJ$2,"")</f>
        <v/>
      </c>
      <c r="AO434" s="197" t="str">
        <f>IF(AND($K434="x",AND(MAX(AI434:AK434)=AK434,AK434&lt;&gt;"")),Data!$BK$2,"")</f>
        <v/>
      </c>
      <c r="AP434" s="197"/>
      <c r="AQ434" s="328"/>
      <c r="AR434" s="455"/>
      <c r="AS434" s="456"/>
      <c r="AT434" s="447" t="str">
        <f t="shared" si="629"/>
        <v/>
      </c>
      <c r="AU434" s="328"/>
      <c r="AV434" s="197" t="str">
        <f>IF(AND($I434="x",AND(MAX(AR434:AT434)=AR434,AR434&lt;&gt;"")),Data!$BI$2,"")</f>
        <v/>
      </c>
      <c r="AW434" s="197" t="str">
        <f>IF(AND($J434="x",AND(MAX(AR434:AT434)=AS434,AS434&lt;&gt;"")),Data!$BJ$2,"")</f>
        <v/>
      </c>
      <c r="AX434" s="197" t="str">
        <f>IF(AND($K434="x",AND(MAX(AR434:AT434)=AT434,AT434&lt;&gt;"")),Data!$BK$2,"")</f>
        <v/>
      </c>
      <c r="AY434" s="197"/>
      <c r="AZ434" s="328"/>
      <c r="BA434" s="455"/>
      <c r="BB434" s="456"/>
      <c r="BC434" s="447" t="str">
        <f t="shared" si="630"/>
        <v/>
      </c>
      <c r="BD434" s="328"/>
      <c r="BE434" s="197" t="str">
        <f>IF(AND($I434="x",AND(MAX(BA434:BC434)=BA434,BA434&lt;&gt;"")),Data!$BI$2,"")</f>
        <v/>
      </c>
      <c r="BF434" s="197" t="str">
        <f>IF(AND($J434="x",AND(MAX(BA434:BC434)=BB434,BB434&lt;&gt;"")),Data!$BJ$2,"")</f>
        <v/>
      </c>
      <c r="BG434" s="197" t="str">
        <f>IF(AND($K434="x",AND(MAX(BA434:BC434)=BC434,BC434&lt;&gt;"")),Data!$BK$2,"")</f>
        <v/>
      </c>
      <c r="BH434" s="197"/>
      <c r="BI434" s="328"/>
      <c r="BJ434" s="455"/>
      <c r="BK434" s="456"/>
      <c r="BL434" s="447" t="str">
        <f t="shared" si="631"/>
        <v/>
      </c>
      <c r="BM434" s="328"/>
      <c r="BN434" s="197" t="str">
        <f>IF(AND($I434="x",AND(MAX(BJ434:BL434)=BJ434,BJ434&lt;&gt;"")),Data!$BI$2,"")</f>
        <v/>
      </c>
      <c r="BO434" s="197" t="str">
        <f>IF(AND($J434="x",AND(MAX(BJ434:BL434)=BK434,BK434&lt;&gt;"")),Data!$BJ$2,"")</f>
        <v/>
      </c>
      <c r="BP434" s="197" t="str">
        <f>IF(AND($K434="x",AND(MAX(BJ434:BL434)=BL434,BL434&lt;&gt;"")),Data!$BK$2,"")</f>
        <v/>
      </c>
      <c r="BQ434" s="197"/>
      <c r="BR434" s="328"/>
      <c r="BS434" s="455"/>
      <c r="BT434" s="456"/>
      <c r="BU434" s="447" t="str">
        <f t="shared" si="632"/>
        <v/>
      </c>
      <c r="BV434" s="328"/>
      <c r="BW434" s="197" t="str">
        <f>IF(AND($I434="x",AND(MAX(BS434:BU434)=BS434,BS434&lt;&gt;"")),Data!$BI$2,"")</f>
        <v/>
      </c>
      <c r="BX434" s="197" t="str">
        <f>IF(AND($J434="x",AND(MAX(BS434:BU434)=BT434,BT434&lt;&gt;"")),Data!$BJ$2,"")</f>
        <v/>
      </c>
      <c r="BY434" s="197" t="str">
        <f>IF(AND($K434="x",AND(MAX(BS434:BU434)=BU434,BU434&lt;&gt;"")),Data!$BK$2,"")</f>
        <v/>
      </c>
      <c r="BZ434" s="197"/>
      <c r="CA434" s="328"/>
      <c r="CB434" s="463" t="str">
        <f t="shared" si="633"/>
        <v/>
      </c>
      <c r="CC434" s="464" t="str">
        <f t="shared" si="634"/>
        <v/>
      </c>
      <c r="CD434" s="465" t="str">
        <f t="shared" si="635"/>
        <v/>
      </c>
      <c r="CE434" s="328"/>
      <c r="CF434" s="197" t="str">
        <f>IF(AND($I434="x",AND(MAX(CB434:CD434)=CB434,CB434&lt;&gt;"")),Data!$BI$2,"")</f>
        <v/>
      </c>
      <c r="CG434" s="197" t="str">
        <f>IF(AND($J434="x",AND(MAX(CB434:CD434)=CC434,CC434&lt;&gt;"")),Data!$BJ$2,"")</f>
        <v/>
      </c>
      <c r="CH434" s="197" t="str">
        <f>IF(AND($K434="x",AND(MAX(CB434:CD434)=CD434,CD434&lt;&gt;"")),Data!$BK$2,"")</f>
        <v/>
      </c>
      <c r="CI434" s="197"/>
      <c r="CJ434" s="197"/>
      <c r="CK434" s="455"/>
      <c r="CL434" s="456"/>
      <c r="CM434" s="447" t="str">
        <f t="shared" si="636"/>
        <v/>
      </c>
      <c r="CN434" s="328"/>
      <c r="CO434" s="197" t="str">
        <f>IF(AND($I434="x",AND(MAX(CK434:CM434)=CK434,CK434&lt;&gt;"")),Data!$BI$2,"")</f>
        <v/>
      </c>
      <c r="CP434" s="197" t="str">
        <f>IF(AND($J434="x",AND(MAX(CK434:CM434)=CL434,CL434&lt;&gt;"")),Data!$BJ$2,"")</f>
        <v/>
      </c>
      <c r="CQ434" s="197" t="str">
        <f>IF(AND($K434="x",AND(MAX(CK434:CM434)=CM434,CM434&lt;&gt;"")),Data!$BK$2,"")</f>
        <v/>
      </c>
      <c r="CR434" s="197"/>
      <c r="CS434" s="197"/>
      <c r="CT434" s="328"/>
      <c r="CU434" s="259"/>
      <c r="CV434" s="209"/>
      <c r="CW434" s="227"/>
    </row>
    <row r="435" spans="1:101" x14ac:dyDescent="0.2">
      <c r="A435" s="227"/>
      <c r="B435" s="227"/>
      <c r="C435" s="168"/>
      <c r="D435" s="232"/>
      <c r="E435" s="137" t="s">
        <v>294</v>
      </c>
      <c r="F435" s="427"/>
      <c r="G435" s="434" t="s">
        <v>51</v>
      </c>
      <c r="H435" s="435"/>
      <c r="I435" s="138" t="str">
        <f t="shared" si="623"/>
        <v/>
      </c>
      <c r="J435" s="344" t="str">
        <f t="shared" si="624"/>
        <v/>
      </c>
      <c r="K435" s="345" t="str">
        <f t="shared" si="625"/>
        <v/>
      </c>
      <c r="L435" s="258"/>
      <c r="M435" s="332"/>
      <c r="N435" s="336"/>
      <c r="O435" s="200"/>
      <c r="P435" s="200"/>
      <c r="Q435" s="448"/>
      <c r="R435" s="449"/>
      <c r="S435" s="450" t="str">
        <f t="shared" si="626"/>
        <v/>
      </c>
      <c r="T435" s="328"/>
      <c r="U435" s="197" t="str">
        <f>IF(AND($I435="x",AND(MAX(Q435:S435)=Q435,Q435&gt;=0)),Data!$BI$2,"")</f>
        <v/>
      </c>
      <c r="V435" s="197" t="str">
        <f>IF(AND($J435="x",AND(MAX(Q435:S435)=R435,R435&gt;=0)),Data!$BJ$2,"")</f>
        <v/>
      </c>
      <c r="W435" s="197" t="str">
        <f>IF(AND($K435="x",AND(MAX(Q435:S435)=S435,S435&gt;=0)),Data!$BK$2,"")</f>
        <v/>
      </c>
      <c r="X435" s="197"/>
      <c r="Y435" s="328"/>
      <c r="Z435" s="451"/>
      <c r="AA435" s="452"/>
      <c r="AB435" s="450" t="str">
        <f t="shared" si="627"/>
        <v/>
      </c>
      <c r="AC435" s="328"/>
      <c r="AD435" s="197" t="str">
        <f>IF(AND($I435="x",AND(MAX(Z435:AB435)=Z435,Z435&lt;&gt;"")),Data!$BI$2,"")</f>
        <v/>
      </c>
      <c r="AE435" s="197" t="str">
        <f>IF(AND($J435="x",AND(MAX(Z435:AB435)=AA435,AA435&lt;&gt;"")),Data!$BJ$2,"")</f>
        <v/>
      </c>
      <c r="AF435" s="197" t="str">
        <f>IF(AND($K435="x",AND(MAX(Z435:AB435)=AB435,AB435&lt;&gt;"")),Data!$BK$2,"")</f>
        <v/>
      </c>
      <c r="AG435" s="197"/>
      <c r="AH435" s="328"/>
      <c r="AI435" s="451"/>
      <c r="AJ435" s="452"/>
      <c r="AK435" s="450" t="str">
        <f t="shared" si="628"/>
        <v/>
      </c>
      <c r="AL435" s="328"/>
      <c r="AM435" s="197" t="str">
        <f>IF(AND($I435="x",AND(MAX(AI435:AK435)=AI435,AI435&lt;&gt;"")),Data!$BI$2,"")</f>
        <v/>
      </c>
      <c r="AN435" s="197" t="str">
        <f>IF(AND($J435="x",AND(MAX(AI435:AK435)=AJ435,AJ435&lt;&gt;"")),Data!$BJ$2,"")</f>
        <v/>
      </c>
      <c r="AO435" s="197" t="str">
        <f>IF(AND($K435="x",AND(MAX(AI435:AK435)=AK435,AK435&lt;&gt;"")),Data!$BK$2,"")</f>
        <v/>
      </c>
      <c r="AP435" s="197"/>
      <c r="AQ435" s="328"/>
      <c r="AR435" s="451"/>
      <c r="AS435" s="452"/>
      <c r="AT435" s="450" t="str">
        <f t="shared" si="629"/>
        <v/>
      </c>
      <c r="AU435" s="328"/>
      <c r="AV435" s="197" t="str">
        <f>IF(AND($I435="x",AND(MAX(AR435:AT435)=AR435,AR435&lt;&gt;"")),Data!$BI$2,"")</f>
        <v/>
      </c>
      <c r="AW435" s="197" t="str">
        <f>IF(AND($J435="x",AND(MAX(AR435:AT435)=AS435,AS435&lt;&gt;"")),Data!$BJ$2,"")</f>
        <v/>
      </c>
      <c r="AX435" s="197" t="str">
        <f>IF(AND($K435="x",AND(MAX(AR435:AT435)=AT435,AT435&lt;&gt;"")),Data!$BK$2,"")</f>
        <v/>
      </c>
      <c r="AY435" s="197"/>
      <c r="AZ435" s="328"/>
      <c r="BA435" s="451"/>
      <c r="BB435" s="452"/>
      <c r="BC435" s="450" t="str">
        <f t="shared" si="630"/>
        <v/>
      </c>
      <c r="BD435" s="328"/>
      <c r="BE435" s="197" t="str">
        <f>IF(AND($I435="x",AND(MAX(BA435:BC435)=BA435,BA435&lt;&gt;"")),Data!$BI$2,"")</f>
        <v/>
      </c>
      <c r="BF435" s="197" t="str">
        <f>IF(AND($J435="x",AND(MAX(BA435:BC435)=BB435,BB435&lt;&gt;"")),Data!$BJ$2,"")</f>
        <v/>
      </c>
      <c r="BG435" s="197" t="str">
        <f>IF(AND($K435="x",AND(MAX(BA435:BC435)=BC435,BC435&lt;&gt;"")),Data!$BK$2,"")</f>
        <v/>
      </c>
      <c r="BH435" s="197"/>
      <c r="BI435" s="328"/>
      <c r="BJ435" s="451"/>
      <c r="BK435" s="452"/>
      <c r="BL435" s="450" t="str">
        <f t="shared" si="631"/>
        <v/>
      </c>
      <c r="BM435" s="328"/>
      <c r="BN435" s="197" t="str">
        <f>IF(AND($I435="x",AND(MAX(BJ435:BL435)=BJ435,BJ435&lt;&gt;"")),Data!$BI$2,"")</f>
        <v/>
      </c>
      <c r="BO435" s="197" t="str">
        <f>IF(AND($J435="x",AND(MAX(BJ435:BL435)=BK435,BK435&lt;&gt;"")),Data!$BJ$2,"")</f>
        <v/>
      </c>
      <c r="BP435" s="197" t="str">
        <f>IF(AND($K435="x",AND(MAX(BJ435:BL435)=BL435,BL435&lt;&gt;"")),Data!$BK$2,"")</f>
        <v/>
      </c>
      <c r="BQ435" s="197"/>
      <c r="BR435" s="328"/>
      <c r="BS435" s="451"/>
      <c r="BT435" s="452"/>
      <c r="BU435" s="450" t="str">
        <f t="shared" si="632"/>
        <v/>
      </c>
      <c r="BV435" s="328"/>
      <c r="BW435" s="197" t="str">
        <f>IF(AND($I435="x",AND(MAX(BS435:BU435)=BS435,BS435&lt;&gt;"")),Data!$BI$2,"")</f>
        <v/>
      </c>
      <c r="BX435" s="197" t="str">
        <f>IF(AND($J435="x",AND(MAX(BS435:BU435)=BT435,BT435&lt;&gt;"")),Data!$BJ$2,"")</f>
        <v/>
      </c>
      <c r="BY435" s="197" t="str">
        <f>IF(AND($K435="x",AND(MAX(BS435:BU435)=BU435,BU435&lt;&gt;"")),Data!$BK$2,"")</f>
        <v/>
      </c>
      <c r="BZ435" s="197"/>
      <c r="CA435" s="328"/>
      <c r="CB435" s="457" t="str">
        <f t="shared" si="633"/>
        <v/>
      </c>
      <c r="CC435" s="458" t="str">
        <f t="shared" si="634"/>
        <v/>
      </c>
      <c r="CD435" s="459" t="str">
        <f t="shared" si="635"/>
        <v/>
      </c>
      <c r="CE435" s="328"/>
      <c r="CF435" s="197" t="str">
        <f>IF(AND($I435="x",AND(MAX(CB435:CD435)=CB435,CB435&lt;&gt;"")),Data!$BI$2,"")</f>
        <v/>
      </c>
      <c r="CG435" s="197" t="str">
        <f>IF(AND($J435="x",AND(MAX(CB435:CD435)=CC435,CC435&lt;&gt;"")),Data!$BJ$2,"")</f>
        <v/>
      </c>
      <c r="CH435" s="197" t="str">
        <f>IF(AND($K435="x",AND(MAX(CB435:CD435)=CD435,CD435&lt;&gt;"")),Data!$BK$2,"")</f>
        <v/>
      </c>
      <c r="CI435" s="197"/>
      <c r="CJ435" s="197"/>
      <c r="CK435" s="451"/>
      <c r="CL435" s="452"/>
      <c r="CM435" s="450" t="str">
        <f t="shared" si="636"/>
        <v/>
      </c>
      <c r="CN435" s="328"/>
      <c r="CO435" s="197" t="str">
        <f>IF(AND($I435="x",AND(MAX(CK435:CM435)=CK435,CK435&lt;&gt;"")),Data!$BI$2,"")</f>
        <v/>
      </c>
      <c r="CP435" s="197" t="str">
        <f>IF(AND($J435="x",AND(MAX(CK435:CM435)=CL435,CL435&lt;&gt;"")),Data!$BJ$2,"")</f>
        <v/>
      </c>
      <c r="CQ435" s="197" t="str">
        <f>IF(AND($K435="x",AND(MAX(CK435:CM435)=CM435,CM435&lt;&gt;"")),Data!$BK$2,"")</f>
        <v/>
      </c>
      <c r="CR435" s="197"/>
      <c r="CS435" s="197"/>
      <c r="CT435" s="328"/>
      <c r="CU435" s="259"/>
      <c r="CV435" s="209"/>
      <c r="CW435" s="227"/>
    </row>
    <row r="436" spans="1:101" x14ac:dyDescent="0.2">
      <c r="A436" s="227"/>
      <c r="B436" s="227"/>
      <c r="C436" s="168"/>
      <c r="D436" s="232"/>
      <c r="E436" s="135" t="s">
        <v>295</v>
      </c>
      <c r="F436" s="425"/>
      <c r="G436" s="430" t="s">
        <v>51</v>
      </c>
      <c r="H436" s="431"/>
      <c r="I436" s="346" t="str">
        <f t="shared" si="623"/>
        <v/>
      </c>
      <c r="J436" s="347" t="str">
        <f t="shared" si="624"/>
        <v/>
      </c>
      <c r="K436" s="348" t="str">
        <f t="shared" si="625"/>
        <v/>
      </c>
      <c r="L436" s="258"/>
      <c r="M436" s="332"/>
      <c r="N436" s="336"/>
      <c r="O436" s="200"/>
      <c r="P436" s="200"/>
      <c r="Q436" s="439"/>
      <c r="R436" s="440"/>
      <c r="S436" s="441" t="str">
        <f t="shared" si="626"/>
        <v/>
      </c>
      <c r="T436" s="328"/>
      <c r="U436" s="197" t="str">
        <f>IF(AND($I436="x",AND(MAX(Q436:S436)=Q436,Q436&gt;=0)),Data!$BI$2,"")</f>
        <v/>
      </c>
      <c r="V436" s="197" t="str">
        <f>IF(AND($J436="x",AND(MAX(Q436:S436)=R436,R436&gt;=0)),Data!$BJ$2,"")</f>
        <v/>
      </c>
      <c r="W436" s="197" t="str">
        <f>IF(AND($K436="x",AND(MAX(Q436:S436)=S436,S436&gt;=0)),Data!$BK$2,"")</f>
        <v/>
      </c>
      <c r="X436" s="197"/>
      <c r="Y436" s="328"/>
      <c r="Z436" s="453"/>
      <c r="AA436" s="454"/>
      <c r="AB436" s="441" t="str">
        <f t="shared" si="627"/>
        <v/>
      </c>
      <c r="AC436" s="328"/>
      <c r="AD436" s="197" t="str">
        <f>IF(AND($I436="x",AND(MAX(Z436:AB436)=Z436,Z436&lt;&gt;"")),Data!$BI$2,"")</f>
        <v/>
      </c>
      <c r="AE436" s="197" t="str">
        <f>IF(AND($J436="x",AND(MAX(Z436:AB436)=AA436,AA436&lt;&gt;"")),Data!$BJ$2,"")</f>
        <v/>
      </c>
      <c r="AF436" s="197" t="str">
        <f>IF(AND($K436="x",AND(MAX(Z436:AB436)=AB436,AB436&lt;&gt;"")),Data!$BK$2,"")</f>
        <v/>
      </c>
      <c r="AG436" s="197"/>
      <c r="AH436" s="328"/>
      <c r="AI436" s="453"/>
      <c r="AJ436" s="454"/>
      <c r="AK436" s="441" t="str">
        <f t="shared" si="628"/>
        <v/>
      </c>
      <c r="AL436" s="328"/>
      <c r="AM436" s="197" t="str">
        <f>IF(AND($I436="x",AND(MAX(AI436:AK436)=AI436,AI436&lt;&gt;"")),Data!$BI$2,"")</f>
        <v/>
      </c>
      <c r="AN436" s="197" t="str">
        <f>IF(AND($J436="x",AND(MAX(AI436:AK436)=AJ436,AJ436&lt;&gt;"")),Data!$BJ$2,"")</f>
        <v/>
      </c>
      <c r="AO436" s="197" t="str">
        <f>IF(AND($K436="x",AND(MAX(AI436:AK436)=AK436,AK436&lt;&gt;"")),Data!$BK$2,"")</f>
        <v/>
      </c>
      <c r="AP436" s="197"/>
      <c r="AQ436" s="328"/>
      <c r="AR436" s="453"/>
      <c r="AS436" s="454"/>
      <c r="AT436" s="441" t="str">
        <f t="shared" si="629"/>
        <v/>
      </c>
      <c r="AU436" s="328"/>
      <c r="AV436" s="197" t="str">
        <f>IF(AND($I436="x",AND(MAX(AR436:AT436)=AR436,AR436&lt;&gt;"")),Data!$BI$2,"")</f>
        <v/>
      </c>
      <c r="AW436" s="197" t="str">
        <f>IF(AND($J436="x",AND(MAX(AR436:AT436)=AS436,AS436&lt;&gt;"")),Data!$BJ$2,"")</f>
        <v/>
      </c>
      <c r="AX436" s="197" t="str">
        <f>IF(AND($K436="x",AND(MAX(AR436:AT436)=AT436,AT436&lt;&gt;"")),Data!$BK$2,"")</f>
        <v/>
      </c>
      <c r="AY436" s="197"/>
      <c r="AZ436" s="328"/>
      <c r="BA436" s="453"/>
      <c r="BB436" s="454"/>
      <c r="BC436" s="441" t="str">
        <f t="shared" si="630"/>
        <v/>
      </c>
      <c r="BD436" s="328"/>
      <c r="BE436" s="197" t="str">
        <f>IF(AND($I436="x",AND(MAX(BA436:BC436)=BA436,BA436&lt;&gt;"")),Data!$BI$2,"")</f>
        <v/>
      </c>
      <c r="BF436" s="197" t="str">
        <f>IF(AND($J436="x",AND(MAX(BA436:BC436)=BB436,BB436&lt;&gt;"")),Data!$BJ$2,"")</f>
        <v/>
      </c>
      <c r="BG436" s="197" t="str">
        <f>IF(AND($K436="x",AND(MAX(BA436:BC436)=BC436,BC436&lt;&gt;"")),Data!$BK$2,"")</f>
        <v/>
      </c>
      <c r="BH436" s="197"/>
      <c r="BI436" s="328"/>
      <c r="BJ436" s="453"/>
      <c r="BK436" s="454"/>
      <c r="BL436" s="441" t="str">
        <f t="shared" si="631"/>
        <v/>
      </c>
      <c r="BM436" s="328"/>
      <c r="BN436" s="197" t="str">
        <f>IF(AND($I436="x",AND(MAX(BJ436:BL436)=BJ436,BJ436&lt;&gt;"")),Data!$BI$2,"")</f>
        <v/>
      </c>
      <c r="BO436" s="197" t="str">
        <f>IF(AND($J436="x",AND(MAX(BJ436:BL436)=BK436,BK436&lt;&gt;"")),Data!$BJ$2,"")</f>
        <v/>
      </c>
      <c r="BP436" s="197" t="str">
        <f>IF(AND($K436="x",AND(MAX(BJ436:BL436)=BL436,BL436&lt;&gt;"")),Data!$BK$2,"")</f>
        <v/>
      </c>
      <c r="BQ436" s="197"/>
      <c r="BR436" s="328"/>
      <c r="BS436" s="453"/>
      <c r="BT436" s="454"/>
      <c r="BU436" s="441" t="str">
        <f t="shared" si="632"/>
        <v/>
      </c>
      <c r="BV436" s="328"/>
      <c r="BW436" s="197" t="str">
        <f>IF(AND($I436="x",AND(MAX(BS436:BU436)=BS436,BS436&lt;&gt;"")),Data!$BI$2,"")</f>
        <v/>
      </c>
      <c r="BX436" s="197" t="str">
        <f>IF(AND($J436="x",AND(MAX(BS436:BU436)=BT436,BT436&lt;&gt;"")),Data!$BJ$2,"")</f>
        <v/>
      </c>
      <c r="BY436" s="197" t="str">
        <f>IF(AND($K436="x",AND(MAX(BS436:BU436)=BU436,BU436&lt;&gt;"")),Data!$BK$2,"")</f>
        <v/>
      </c>
      <c r="BZ436" s="197"/>
      <c r="CA436" s="328"/>
      <c r="CB436" s="460" t="str">
        <f t="shared" si="633"/>
        <v/>
      </c>
      <c r="CC436" s="461" t="str">
        <f t="shared" si="634"/>
        <v/>
      </c>
      <c r="CD436" s="462" t="str">
        <f t="shared" si="635"/>
        <v/>
      </c>
      <c r="CE436" s="328"/>
      <c r="CF436" s="197" t="str">
        <f>IF(AND($I436="x",AND(MAX(CB436:CD436)=CB436,CB436&lt;&gt;"")),Data!$BI$2,"")</f>
        <v/>
      </c>
      <c r="CG436" s="197" t="str">
        <f>IF(AND($J436="x",AND(MAX(CB436:CD436)=CC436,CC436&lt;&gt;"")),Data!$BJ$2,"")</f>
        <v/>
      </c>
      <c r="CH436" s="197" t="str">
        <f>IF(AND($K436="x",AND(MAX(CB436:CD436)=CD436,CD436&lt;&gt;"")),Data!$BK$2,"")</f>
        <v/>
      </c>
      <c r="CI436" s="197"/>
      <c r="CJ436" s="197"/>
      <c r="CK436" s="453"/>
      <c r="CL436" s="454"/>
      <c r="CM436" s="441" t="str">
        <f t="shared" si="636"/>
        <v/>
      </c>
      <c r="CN436" s="328"/>
      <c r="CO436" s="197" t="str">
        <f>IF(AND($I436="x",AND(MAX(CK436:CM436)=CK436,CK436&lt;&gt;"")),Data!$BI$2,"")</f>
        <v/>
      </c>
      <c r="CP436" s="197" t="str">
        <f>IF(AND($J436="x",AND(MAX(CK436:CM436)=CL436,CL436&lt;&gt;"")),Data!$BJ$2,"")</f>
        <v/>
      </c>
      <c r="CQ436" s="197" t="str">
        <f>IF(AND($K436="x",AND(MAX(CK436:CM436)=CM436,CM436&lt;&gt;"")),Data!$BK$2,"")</f>
        <v/>
      </c>
      <c r="CR436" s="197"/>
      <c r="CS436" s="197"/>
      <c r="CT436" s="328"/>
      <c r="CU436" s="259"/>
      <c r="CV436" s="209"/>
      <c r="CW436" s="227"/>
    </row>
    <row r="437" spans="1:101" x14ac:dyDescent="0.2">
      <c r="A437" s="227"/>
      <c r="B437" s="227"/>
      <c r="C437" s="168"/>
      <c r="D437" s="232"/>
      <c r="E437" s="136" t="s">
        <v>296</v>
      </c>
      <c r="F437" s="426"/>
      <c r="G437" s="432" t="s">
        <v>51</v>
      </c>
      <c r="H437" s="433"/>
      <c r="I437" s="349" t="str">
        <f t="shared" si="623"/>
        <v/>
      </c>
      <c r="J437" s="350" t="str">
        <f t="shared" si="624"/>
        <v/>
      </c>
      <c r="K437" s="351" t="str">
        <f t="shared" si="625"/>
        <v/>
      </c>
      <c r="L437" s="258"/>
      <c r="M437" s="332"/>
      <c r="N437" s="336"/>
      <c r="O437" s="200"/>
      <c r="P437" s="200"/>
      <c r="Q437" s="445"/>
      <c r="R437" s="446"/>
      <c r="S437" s="447" t="str">
        <f t="shared" si="626"/>
        <v/>
      </c>
      <c r="T437" s="328"/>
      <c r="U437" s="197" t="str">
        <f>IF(AND($I437="x",AND(MAX(Q437:S437)=Q437,Q437&gt;=0)),Data!$BI$2,"")</f>
        <v/>
      </c>
      <c r="V437" s="197" t="str">
        <f>IF(AND($J437="x",AND(MAX(Q437:S437)=R437,R437&gt;=0)),Data!$BJ$2,"")</f>
        <v/>
      </c>
      <c r="W437" s="197" t="str">
        <f>IF(AND($K437="x",AND(MAX(Q437:S437)=S437,S437&gt;=0)),Data!$BK$2,"")</f>
        <v/>
      </c>
      <c r="X437" s="197"/>
      <c r="Y437" s="328"/>
      <c r="Z437" s="455"/>
      <c r="AA437" s="456"/>
      <c r="AB437" s="447" t="str">
        <f t="shared" si="627"/>
        <v/>
      </c>
      <c r="AC437" s="328"/>
      <c r="AD437" s="197" t="str">
        <f>IF(AND($I437="x",AND(MAX(Z437:AB437)=Z437,Z437&lt;&gt;"")),Data!$BI$2,"")</f>
        <v/>
      </c>
      <c r="AE437" s="197" t="str">
        <f>IF(AND($J437="x",AND(MAX(Z437:AB437)=AA437,AA437&lt;&gt;"")),Data!$BJ$2,"")</f>
        <v/>
      </c>
      <c r="AF437" s="197" t="str">
        <f>IF(AND($K437="x",AND(MAX(Z437:AB437)=AB437,AB437&lt;&gt;"")),Data!$BK$2,"")</f>
        <v/>
      </c>
      <c r="AG437" s="197"/>
      <c r="AH437" s="328"/>
      <c r="AI437" s="455"/>
      <c r="AJ437" s="456"/>
      <c r="AK437" s="447" t="str">
        <f t="shared" si="628"/>
        <v/>
      </c>
      <c r="AL437" s="328"/>
      <c r="AM437" s="197" t="str">
        <f>IF(AND($I437="x",AND(MAX(AI437:AK437)=AI437,AI437&lt;&gt;"")),Data!$BI$2,"")</f>
        <v/>
      </c>
      <c r="AN437" s="197" t="str">
        <f>IF(AND($J437="x",AND(MAX(AI437:AK437)=AJ437,AJ437&lt;&gt;"")),Data!$BJ$2,"")</f>
        <v/>
      </c>
      <c r="AO437" s="197" t="str">
        <f>IF(AND($K437="x",AND(MAX(AI437:AK437)=AK437,AK437&lt;&gt;"")),Data!$BK$2,"")</f>
        <v/>
      </c>
      <c r="AP437" s="197"/>
      <c r="AQ437" s="328"/>
      <c r="AR437" s="455"/>
      <c r="AS437" s="456"/>
      <c r="AT437" s="447" t="str">
        <f t="shared" si="629"/>
        <v/>
      </c>
      <c r="AU437" s="328"/>
      <c r="AV437" s="197" t="str">
        <f>IF(AND($I437="x",AND(MAX(AR437:AT437)=AR437,AR437&lt;&gt;"")),Data!$BI$2,"")</f>
        <v/>
      </c>
      <c r="AW437" s="197" t="str">
        <f>IF(AND($J437="x",AND(MAX(AR437:AT437)=AS437,AS437&lt;&gt;"")),Data!$BJ$2,"")</f>
        <v/>
      </c>
      <c r="AX437" s="197" t="str">
        <f>IF(AND($K437="x",AND(MAX(AR437:AT437)=AT437,AT437&lt;&gt;"")),Data!$BK$2,"")</f>
        <v/>
      </c>
      <c r="AY437" s="197"/>
      <c r="AZ437" s="328"/>
      <c r="BA437" s="455"/>
      <c r="BB437" s="456"/>
      <c r="BC437" s="447" t="str">
        <f t="shared" si="630"/>
        <v/>
      </c>
      <c r="BD437" s="328"/>
      <c r="BE437" s="197" t="str">
        <f>IF(AND($I437="x",AND(MAX(BA437:BC437)=BA437,BA437&lt;&gt;"")),Data!$BI$2,"")</f>
        <v/>
      </c>
      <c r="BF437" s="197" t="str">
        <f>IF(AND($J437="x",AND(MAX(BA437:BC437)=BB437,BB437&lt;&gt;"")),Data!$BJ$2,"")</f>
        <v/>
      </c>
      <c r="BG437" s="197" t="str">
        <f>IF(AND($K437="x",AND(MAX(BA437:BC437)=BC437,BC437&lt;&gt;"")),Data!$BK$2,"")</f>
        <v/>
      </c>
      <c r="BH437" s="197"/>
      <c r="BI437" s="328"/>
      <c r="BJ437" s="455"/>
      <c r="BK437" s="456"/>
      <c r="BL437" s="447" t="str">
        <f t="shared" si="631"/>
        <v/>
      </c>
      <c r="BM437" s="328"/>
      <c r="BN437" s="197" t="str">
        <f>IF(AND($I437="x",AND(MAX(BJ437:BL437)=BJ437,BJ437&lt;&gt;"")),Data!$BI$2,"")</f>
        <v/>
      </c>
      <c r="BO437" s="197" t="str">
        <f>IF(AND($J437="x",AND(MAX(BJ437:BL437)=BK437,BK437&lt;&gt;"")),Data!$BJ$2,"")</f>
        <v/>
      </c>
      <c r="BP437" s="197" t="str">
        <f>IF(AND($K437="x",AND(MAX(BJ437:BL437)=BL437,BL437&lt;&gt;"")),Data!$BK$2,"")</f>
        <v/>
      </c>
      <c r="BQ437" s="197"/>
      <c r="BR437" s="328"/>
      <c r="BS437" s="455"/>
      <c r="BT437" s="456"/>
      <c r="BU437" s="447" t="str">
        <f t="shared" si="632"/>
        <v/>
      </c>
      <c r="BV437" s="328"/>
      <c r="BW437" s="197" t="str">
        <f>IF(AND($I437="x",AND(MAX(BS437:BU437)=BS437,BS437&lt;&gt;"")),Data!$BI$2,"")</f>
        <v/>
      </c>
      <c r="BX437" s="197" t="str">
        <f>IF(AND($J437="x",AND(MAX(BS437:BU437)=BT437,BT437&lt;&gt;"")),Data!$BJ$2,"")</f>
        <v/>
      </c>
      <c r="BY437" s="197" t="str">
        <f>IF(AND($K437="x",AND(MAX(BS437:BU437)=BU437,BU437&lt;&gt;"")),Data!$BK$2,"")</f>
        <v/>
      </c>
      <c r="BZ437" s="197"/>
      <c r="CA437" s="328"/>
      <c r="CB437" s="463" t="str">
        <f t="shared" si="633"/>
        <v/>
      </c>
      <c r="CC437" s="464" t="str">
        <f t="shared" si="634"/>
        <v/>
      </c>
      <c r="CD437" s="465" t="str">
        <f t="shared" si="635"/>
        <v/>
      </c>
      <c r="CE437" s="328"/>
      <c r="CF437" s="197" t="str">
        <f>IF(AND($I437="x",AND(MAX(CB437:CD437)=CB437,CB437&lt;&gt;"")),Data!$BI$2,"")</f>
        <v/>
      </c>
      <c r="CG437" s="197" t="str">
        <f>IF(AND($J437="x",AND(MAX(CB437:CD437)=CC437,CC437&lt;&gt;"")),Data!$BJ$2,"")</f>
        <v/>
      </c>
      <c r="CH437" s="197" t="str">
        <f>IF(AND($K437="x",AND(MAX(CB437:CD437)=CD437,CD437&lt;&gt;"")),Data!$BK$2,"")</f>
        <v/>
      </c>
      <c r="CI437" s="197"/>
      <c r="CJ437" s="197"/>
      <c r="CK437" s="455"/>
      <c r="CL437" s="456"/>
      <c r="CM437" s="447" t="str">
        <f t="shared" si="636"/>
        <v/>
      </c>
      <c r="CN437" s="328"/>
      <c r="CO437" s="197" t="str">
        <f>IF(AND($I437="x",AND(MAX(CK437:CM437)=CK437,CK437&lt;&gt;"")),Data!$BI$2,"")</f>
        <v/>
      </c>
      <c r="CP437" s="197" t="str">
        <f>IF(AND($J437="x",AND(MAX(CK437:CM437)=CL437,CL437&lt;&gt;"")),Data!$BJ$2,"")</f>
        <v/>
      </c>
      <c r="CQ437" s="197" t="str">
        <f>IF(AND($K437="x",AND(MAX(CK437:CM437)=CM437,CM437&lt;&gt;"")),Data!$BK$2,"")</f>
        <v/>
      </c>
      <c r="CR437" s="197"/>
      <c r="CS437" s="197"/>
      <c r="CT437" s="328"/>
      <c r="CU437" s="259"/>
      <c r="CV437" s="209"/>
      <c r="CW437" s="227"/>
    </row>
    <row r="438" spans="1:101" x14ac:dyDescent="0.2">
      <c r="A438" s="227"/>
      <c r="B438" s="227"/>
      <c r="C438" s="168"/>
      <c r="D438" s="233"/>
      <c r="E438" s="199"/>
      <c r="F438" s="352" t="str">
        <f>IF(SUM(F426:F437)=0,"",SUM(F426:F437))</f>
        <v/>
      </c>
      <c r="G438" s="327" t="s">
        <v>51</v>
      </c>
      <c r="H438" s="353" t="str">
        <f>IF(SUM(H426:H437)=0,"",SUM(H426:H437))</f>
        <v/>
      </c>
      <c r="I438" s="354" t="str">
        <f>IF(COUNTIF(I426:I437,"=x")=0,"",COUNTIF(I426:I437,"=x"))</f>
        <v/>
      </c>
      <c r="J438" s="355" t="str">
        <f>IF(COUNTIF(J426:J437,"=x")=0,"",COUNTIF(J426:J437,"=x"))</f>
        <v/>
      </c>
      <c r="K438" s="356" t="str">
        <f>IF(COUNTIF(K426:K437,"=x")=0,"",COUNTIF(K426:K437,"=x"))</f>
        <v/>
      </c>
      <c r="L438" s="258"/>
      <c r="M438" s="332"/>
      <c r="N438" s="336"/>
      <c r="O438" s="200"/>
      <c r="P438" s="326"/>
      <c r="Q438" s="422">
        <f>SUM(U426:U437)</f>
        <v>0</v>
      </c>
      <c r="R438" s="422">
        <f t="shared" ref="R438:S438" si="637">SUM(V426:V437)</f>
        <v>0</v>
      </c>
      <c r="S438" s="422">
        <f t="shared" si="637"/>
        <v>0</v>
      </c>
      <c r="T438" s="325"/>
      <c r="U438" s="197">
        <f>SUM(U426:U437)</f>
        <v>0</v>
      </c>
      <c r="V438" s="197">
        <f t="shared" ref="V438:W438" si="638">SUM(V426:V437)</f>
        <v>0</v>
      </c>
      <c r="W438" s="197">
        <f t="shared" si="638"/>
        <v>0</v>
      </c>
      <c r="X438" s="197"/>
      <c r="Y438" s="324"/>
      <c r="Z438" s="422">
        <f>SUM(AD426:AD437)</f>
        <v>0</v>
      </c>
      <c r="AA438" s="422">
        <f t="shared" ref="AA438:AB438" si="639">SUM(AE426:AE437)</f>
        <v>0</v>
      </c>
      <c r="AB438" s="422">
        <f t="shared" si="639"/>
        <v>0</v>
      </c>
      <c r="AC438" s="325"/>
      <c r="AD438" s="197">
        <f>SUM(AD426:AD437)</f>
        <v>0</v>
      </c>
      <c r="AE438" s="197">
        <f t="shared" ref="AE438:AF438" si="640">SUM(AE426:AE437)</f>
        <v>0</v>
      </c>
      <c r="AF438" s="197">
        <f t="shared" si="640"/>
        <v>0</v>
      </c>
      <c r="AG438" s="197"/>
      <c r="AH438" s="324"/>
      <c r="AI438" s="422">
        <f>SUM(AM426:AM437)</f>
        <v>0</v>
      </c>
      <c r="AJ438" s="422">
        <f t="shared" ref="AJ438:AK438" si="641">SUM(AN426:AN437)</f>
        <v>0</v>
      </c>
      <c r="AK438" s="422">
        <f t="shared" si="641"/>
        <v>0</v>
      </c>
      <c r="AL438" s="325"/>
      <c r="AM438" s="197">
        <f>SUM(AM426:AM437)</f>
        <v>0</v>
      </c>
      <c r="AN438" s="197">
        <f t="shared" ref="AN438:AO438" si="642">SUM(AN426:AN437)</f>
        <v>0</v>
      </c>
      <c r="AO438" s="197">
        <f t="shared" si="642"/>
        <v>0</v>
      </c>
      <c r="AP438" s="197"/>
      <c r="AQ438" s="324"/>
      <c r="AR438" s="422">
        <f>SUM(AV426:AV437)</f>
        <v>0</v>
      </c>
      <c r="AS438" s="422">
        <f t="shared" ref="AS438:AT438" si="643">SUM(AW426:AW437)</f>
        <v>0</v>
      </c>
      <c r="AT438" s="422">
        <f t="shared" si="643"/>
        <v>0</v>
      </c>
      <c r="AU438" s="325"/>
      <c r="AV438" s="197">
        <f>SUM(AV426:AV437)</f>
        <v>0</v>
      </c>
      <c r="AW438" s="197">
        <f t="shared" ref="AW438:AX438" si="644">SUM(AW426:AW437)</f>
        <v>0</v>
      </c>
      <c r="AX438" s="197">
        <f t="shared" si="644"/>
        <v>0</v>
      </c>
      <c r="AY438" s="197"/>
      <c r="AZ438" s="324"/>
      <c r="BA438" s="422">
        <f>SUM(BE426:BE437)</f>
        <v>0</v>
      </c>
      <c r="BB438" s="422">
        <f t="shared" ref="BB438:BC438" si="645">SUM(BF426:BF437)</f>
        <v>0</v>
      </c>
      <c r="BC438" s="422">
        <f t="shared" si="645"/>
        <v>0</v>
      </c>
      <c r="BD438" s="325"/>
      <c r="BE438" s="197">
        <f>SUM(BE426:BE437)</f>
        <v>0</v>
      </c>
      <c r="BF438" s="197">
        <f t="shared" ref="BF438:BG438" si="646">SUM(BF426:BF437)</f>
        <v>0</v>
      </c>
      <c r="BG438" s="197">
        <f t="shared" si="646"/>
        <v>0</v>
      </c>
      <c r="BH438" s="197"/>
      <c r="BI438" s="324"/>
      <c r="BJ438" s="422">
        <f>SUM(BN426:BN437)</f>
        <v>0</v>
      </c>
      <c r="BK438" s="422">
        <f t="shared" ref="BK438" si="647">SUM(BO426:BO437)</f>
        <v>0</v>
      </c>
      <c r="BL438" s="422">
        <f t="shared" ref="BL438" si="648">SUM(BP426:BP437)</f>
        <v>0</v>
      </c>
      <c r="BM438" s="325"/>
      <c r="BN438" s="197">
        <f>SUM(BN426:BN437)</f>
        <v>0</v>
      </c>
      <c r="BO438" s="197">
        <f t="shared" ref="BO438:BP438" si="649">SUM(BO426:BO437)</f>
        <v>0</v>
      </c>
      <c r="BP438" s="197">
        <f t="shared" si="649"/>
        <v>0</v>
      </c>
      <c r="BQ438" s="197"/>
      <c r="BR438" s="324"/>
      <c r="BS438" s="422">
        <f>SUM(BW426:BW437)</f>
        <v>0</v>
      </c>
      <c r="BT438" s="422">
        <f t="shared" ref="BT438:BU438" si="650">SUM(BX426:BX437)</f>
        <v>0</v>
      </c>
      <c r="BU438" s="422">
        <f t="shared" si="650"/>
        <v>0</v>
      </c>
      <c r="BV438" s="325"/>
      <c r="BW438" s="197">
        <f>SUM(BW426:BW437)</f>
        <v>0</v>
      </c>
      <c r="BX438" s="197">
        <f t="shared" ref="BX438:BY438" si="651">SUM(BX426:BX437)</f>
        <v>0</v>
      </c>
      <c r="BY438" s="197">
        <f t="shared" si="651"/>
        <v>0</v>
      </c>
      <c r="BZ438" s="197"/>
      <c r="CA438" s="326"/>
      <c r="CB438" s="422">
        <f>SUM(CF426:CF437)</f>
        <v>0</v>
      </c>
      <c r="CC438" s="422">
        <f t="shared" ref="CC438:CD438" si="652">SUM(CG426:CG437)</f>
        <v>0</v>
      </c>
      <c r="CD438" s="422">
        <f t="shared" si="652"/>
        <v>0</v>
      </c>
      <c r="CE438" s="325"/>
      <c r="CF438" s="197">
        <f>SUM(CF426:CF437)</f>
        <v>0</v>
      </c>
      <c r="CG438" s="197">
        <f t="shared" ref="CG438:CH438" si="653">SUM(CG426:CG437)</f>
        <v>0</v>
      </c>
      <c r="CH438" s="197">
        <f t="shared" si="653"/>
        <v>0</v>
      </c>
      <c r="CI438" s="197"/>
      <c r="CJ438" s="197"/>
      <c r="CK438" s="422">
        <f>SUM(CO426:CO437)</f>
        <v>0</v>
      </c>
      <c r="CL438" s="422">
        <f t="shared" ref="CL438:CM438" si="654">SUM(CP426:CP437)</f>
        <v>0</v>
      </c>
      <c r="CM438" s="422">
        <f t="shared" si="654"/>
        <v>0</v>
      </c>
      <c r="CN438" s="325"/>
      <c r="CO438" s="197">
        <f>SUM(CO426:CO437)</f>
        <v>0</v>
      </c>
      <c r="CP438" s="197">
        <f t="shared" ref="CP438:CQ438" si="655">SUM(CP426:CP437)</f>
        <v>0</v>
      </c>
      <c r="CQ438" s="197">
        <f t="shared" si="655"/>
        <v>0</v>
      </c>
      <c r="CR438" s="197"/>
      <c r="CS438" s="197"/>
      <c r="CT438" s="197"/>
      <c r="CU438" s="259"/>
      <c r="CV438" s="209"/>
      <c r="CW438" s="228"/>
    </row>
    <row r="439" spans="1:101" x14ac:dyDescent="0.2">
      <c r="A439" s="227"/>
      <c r="B439" s="227"/>
      <c r="C439" s="168"/>
      <c r="D439" s="249"/>
      <c r="E439" s="242"/>
      <c r="F439" s="243"/>
      <c r="G439" s="242"/>
      <c r="H439" s="242"/>
      <c r="I439" s="242"/>
      <c r="J439" s="242"/>
      <c r="K439" s="242"/>
      <c r="L439" s="252"/>
      <c r="M439" s="260"/>
      <c r="N439" s="337"/>
      <c r="O439" s="333"/>
      <c r="P439" s="244"/>
      <c r="Q439" s="245"/>
      <c r="R439" s="245"/>
      <c r="S439" s="245"/>
      <c r="T439" s="246"/>
      <c r="U439" s="247"/>
      <c r="V439" s="247"/>
      <c r="W439" s="247"/>
      <c r="X439" s="247"/>
      <c r="Y439" s="244"/>
      <c r="Z439" s="245"/>
      <c r="AA439" s="245"/>
      <c r="AB439" s="245"/>
      <c r="AC439" s="246"/>
      <c r="AD439" s="247"/>
      <c r="AE439" s="247"/>
      <c r="AF439" s="247"/>
      <c r="AG439" s="247"/>
      <c r="AH439" s="244"/>
      <c r="AI439" s="245"/>
      <c r="AJ439" s="245"/>
      <c r="AK439" s="245"/>
      <c r="AL439" s="246"/>
      <c r="AM439" s="247"/>
      <c r="AN439" s="247"/>
      <c r="AO439" s="247"/>
      <c r="AP439" s="247"/>
      <c r="AQ439" s="244"/>
      <c r="AR439" s="245"/>
      <c r="AS439" s="245"/>
      <c r="AT439" s="245"/>
      <c r="AU439" s="246"/>
      <c r="AV439" s="247"/>
      <c r="AW439" s="247"/>
      <c r="AX439" s="247"/>
      <c r="AY439" s="247"/>
      <c r="AZ439" s="244"/>
      <c r="BA439" s="245"/>
      <c r="BB439" s="245"/>
      <c r="BC439" s="245"/>
      <c r="BD439" s="246"/>
      <c r="BE439" s="247"/>
      <c r="BF439" s="247"/>
      <c r="BG439" s="247"/>
      <c r="BH439" s="247"/>
      <c r="BI439" s="244"/>
      <c r="BJ439" s="244"/>
      <c r="BK439" s="244"/>
      <c r="BL439" s="244"/>
      <c r="BM439" s="244"/>
      <c r="BN439" s="247"/>
      <c r="BO439" s="247"/>
      <c r="BP439" s="247"/>
      <c r="BQ439" s="247"/>
      <c r="BR439" s="244"/>
      <c r="BS439" s="244"/>
      <c r="BT439" s="244"/>
      <c r="BU439" s="244"/>
      <c r="BV439" s="244"/>
      <c r="BW439" s="247"/>
      <c r="BX439" s="247"/>
      <c r="BY439" s="247"/>
      <c r="BZ439" s="247"/>
      <c r="CA439" s="244"/>
      <c r="CB439" s="244"/>
      <c r="CC439" s="244"/>
      <c r="CD439" s="244"/>
      <c r="CE439" s="244"/>
      <c r="CF439" s="247"/>
      <c r="CG439" s="247"/>
      <c r="CH439" s="247"/>
      <c r="CI439" s="247"/>
      <c r="CJ439" s="248"/>
      <c r="CK439" s="248"/>
      <c r="CL439" s="248"/>
      <c r="CM439" s="248"/>
      <c r="CN439" s="248"/>
      <c r="CO439" s="247"/>
      <c r="CP439" s="247"/>
      <c r="CQ439" s="247"/>
      <c r="CR439" s="247"/>
      <c r="CS439" s="248"/>
      <c r="CT439" s="242"/>
      <c r="CU439" s="253"/>
      <c r="CV439" s="209"/>
      <c r="CW439" s="228"/>
    </row>
    <row r="440" spans="1:101" x14ac:dyDescent="0.2">
      <c r="A440" s="219"/>
      <c r="B440" s="219"/>
      <c r="C440" s="175"/>
      <c r="D440" s="176"/>
      <c r="E440" s="210"/>
      <c r="F440" s="211"/>
      <c r="G440" s="210"/>
      <c r="H440" s="210"/>
      <c r="I440" s="210"/>
      <c r="J440" s="210"/>
      <c r="K440" s="210"/>
      <c r="L440" s="212"/>
      <c r="M440" s="213"/>
      <c r="N440" s="213"/>
      <c r="O440" s="213"/>
      <c r="P440" s="213"/>
      <c r="Q440" s="210"/>
      <c r="R440" s="210"/>
      <c r="S440" s="210"/>
      <c r="T440" s="214"/>
      <c r="U440" s="215"/>
      <c r="V440" s="215"/>
      <c r="W440" s="215"/>
      <c r="X440" s="215"/>
      <c r="Y440" s="213"/>
      <c r="Z440" s="210"/>
      <c r="AA440" s="210"/>
      <c r="AB440" s="210"/>
      <c r="AC440" s="214"/>
      <c r="AD440" s="215"/>
      <c r="AE440" s="215"/>
      <c r="AF440" s="215"/>
      <c r="AG440" s="215"/>
      <c r="AH440" s="213"/>
      <c r="AI440" s="210"/>
      <c r="AJ440" s="210"/>
      <c r="AK440" s="210"/>
      <c r="AL440" s="214"/>
      <c r="AM440" s="215"/>
      <c r="AN440" s="215"/>
      <c r="AO440" s="215"/>
      <c r="AP440" s="215"/>
      <c r="AQ440" s="213"/>
      <c r="AR440" s="210"/>
      <c r="AS440" s="210"/>
      <c r="AT440" s="210"/>
      <c r="AU440" s="214"/>
      <c r="AV440" s="215"/>
      <c r="AW440" s="215"/>
      <c r="AX440" s="215"/>
      <c r="AY440" s="215"/>
      <c r="AZ440" s="213"/>
      <c r="BA440" s="210"/>
      <c r="BB440" s="210"/>
      <c r="BC440" s="210"/>
      <c r="BD440" s="214"/>
      <c r="BE440" s="215"/>
      <c r="BF440" s="215"/>
      <c r="BG440" s="215"/>
      <c r="BH440" s="215"/>
      <c r="BI440" s="213"/>
      <c r="BJ440" s="210"/>
      <c r="BK440" s="210"/>
      <c r="BL440" s="210"/>
      <c r="BM440" s="214"/>
      <c r="BN440" s="215"/>
      <c r="BO440" s="215"/>
      <c r="BP440" s="215"/>
      <c r="BQ440" s="215"/>
      <c r="BR440" s="177"/>
      <c r="BS440" s="210"/>
      <c r="BT440" s="210"/>
      <c r="BU440" s="210"/>
      <c r="BV440" s="213"/>
      <c r="BW440" s="215"/>
      <c r="BX440" s="215"/>
      <c r="BY440" s="215"/>
      <c r="BZ440" s="215"/>
      <c r="CA440" s="210"/>
      <c r="CB440" s="216"/>
      <c r="CC440" s="216"/>
      <c r="CD440" s="216"/>
      <c r="CE440" s="216"/>
      <c r="CF440" s="215"/>
      <c r="CG440" s="215"/>
      <c r="CH440" s="215"/>
      <c r="CI440" s="215"/>
      <c r="CJ440" s="210"/>
      <c r="CK440" s="210"/>
      <c r="CL440" s="210"/>
      <c r="CM440" s="210"/>
      <c r="CN440" s="210"/>
      <c r="CO440" s="215"/>
      <c r="CP440" s="215"/>
      <c r="CQ440" s="215"/>
      <c r="CR440" s="215"/>
      <c r="CS440" s="210"/>
      <c r="CT440" s="210"/>
      <c r="CU440" s="210"/>
      <c r="CV440" s="217"/>
      <c r="CW440" s="218"/>
    </row>
    <row r="441" spans="1:101" ht="14.25" thickTop="1" thickBot="1" x14ac:dyDescent="0.25">
      <c r="A441" s="218"/>
      <c r="B441" s="218"/>
      <c r="C441" s="218"/>
      <c r="D441" s="218"/>
      <c r="E441" s="218"/>
      <c r="F441" s="218"/>
      <c r="G441" s="218"/>
      <c r="H441" s="218"/>
      <c r="I441" s="218"/>
      <c r="J441" s="218"/>
      <c r="K441" s="218"/>
      <c r="L441" s="218"/>
      <c r="M441" s="218"/>
      <c r="N441" s="218"/>
      <c r="O441" s="218"/>
      <c r="P441" s="218"/>
      <c r="Q441" s="218"/>
      <c r="R441" s="218"/>
      <c r="S441" s="218"/>
      <c r="T441" s="218"/>
      <c r="U441" s="218"/>
      <c r="V441" s="218"/>
      <c r="W441" s="218"/>
      <c r="X441" s="218"/>
      <c r="Y441" s="218"/>
      <c r="Z441" s="218"/>
      <c r="AA441" s="218"/>
      <c r="AB441" s="218"/>
      <c r="AC441" s="218"/>
      <c r="AD441" s="218"/>
      <c r="AE441" s="218"/>
      <c r="AF441" s="218"/>
      <c r="AG441" s="218"/>
      <c r="AH441" s="218"/>
      <c r="AI441" s="218"/>
      <c r="AJ441" s="218"/>
      <c r="AK441" s="218"/>
      <c r="AL441" s="218"/>
      <c r="AM441" s="218"/>
      <c r="AN441" s="218"/>
      <c r="AO441" s="218"/>
      <c r="AP441" s="218"/>
      <c r="AQ441" s="218"/>
      <c r="AR441" s="218"/>
      <c r="AS441" s="218"/>
      <c r="AT441" s="218"/>
      <c r="AU441" s="218"/>
      <c r="AV441" s="218"/>
      <c r="AW441" s="218"/>
      <c r="AX441" s="218"/>
      <c r="AY441" s="218"/>
      <c r="AZ441" s="218"/>
      <c r="BA441" s="218"/>
      <c r="BB441" s="218"/>
      <c r="BC441" s="218"/>
      <c r="BD441" s="218"/>
      <c r="BE441" s="218"/>
      <c r="BF441" s="218"/>
      <c r="BG441" s="218"/>
      <c r="BH441" s="218"/>
      <c r="BI441" s="218"/>
      <c r="BJ441" s="218"/>
      <c r="BK441" s="218"/>
      <c r="BL441" s="218"/>
      <c r="BM441" s="218"/>
      <c r="BN441" s="218"/>
      <c r="BO441" s="218"/>
      <c r="BP441" s="218"/>
      <c r="BQ441" s="218"/>
      <c r="BR441" s="218"/>
      <c r="BS441" s="218"/>
      <c r="BT441" s="218"/>
      <c r="BU441" s="218"/>
      <c r="BV441" s="218"/>
      <c r="BW441" s="218"/>
      <c r="BX441" s="218"/>
      <c r="BY441" s="218"/>
      <c r="BZ441" s="218"/>
      <c r="CA441" s="218"/>
      <c r="CB441" s="392"/>
      <c r="CC441" s="392"/>
      <c r="CD441" s="392"/>
      <c r="CE441" s="392"/>
      <c r="CF441" s="218"/>
      <c r="CG441" s="218"/>
      <c r="CH441" s="218"/>
      <c r="CI441" s="218"/>
      <c r="CJ441" s="218"/>
      <c r="CK441" s="218"/>
      <c r="CL441" s="218"/>
      <c r="CM441" s="218"/>
      <c r="CN441" s="218"/>
      <c r="CO441" s="218"/>
      <c r="CP441" s="218"/>
      <c r="CQ441" s="218"/>
      <c r="CR441" s="218"/>
      <c r="CS441" s="218"/>
      <c r="CT441" s="218"/>
      <c r="CU441" s="218"/>
      <c r="CV441" s="218"/>
      <c r="CW441" s="218"/>
    </row>
    <row r="442" spans="1:101" ht="21" thickTop="1" x14ac:dyDescent="0.3">
      <c r="A442" s="219"/>
      <c r="B442" s="219"/>
      <c r="C442" s="157"/>
      <c r="D442" s="158"/>
      <c r="E442" s="731" t="s">
        <v>44</v>
      </c>
      <c r="F442" s="229"/>
      <c r="G442" s="229"/>
      <c r="H442" s="229"/>
      <c r="I442" s="877" t="e" vm="1">
        <v>#VALUE!</v>
      </c>
      <c r="J442" s="877"/>
      <c r="K442" s="877"/>
      <c r="L442" s="877"/>
      <c r="M442" s="159"/>
      <c r="N442" s="159"/>
      <c r="O442" s="159"/>
      <c r="P442" s="160"/>
      <c r="Q442" s="159"/>
      <c r="R442" s="159"/>
      <c r="S442" s="159"/>
      <c r="T442" s="161"/>
      <c r="U442" s="162"/>
      <c r="V442" s="162"/>
      <c r="W442" s="162"/>
      <c r="X442" s="162"/>
      <c r="Y442" s="160"/>
      <c r="Z442" s="159"/>
      <c r="AA442" s="159"/>
      <c r="AB442" s="159"/>
      <c r="AC442" s="161"/>
      <c r="AD442" s="162"/>
      <c r="AE442" s="162"/>
      <c r="AF442" s="162"/>
      <c r="AG442" s="162"/>
      <c r="AH442" s="160"/>
      <c r="AI442" s="159"/>
      <c r="AJ442" s="201"/>
      <c r="AK442" s="201"/>
      <c r="AL442" s="164"/>
      <c r="AM442" s="162"/>
      <c r="AN442" s="162"/>
      <c r="AO442" s="162"/>
      <c r="AP442" s="162"/>
      <c r="AQ442" s="202"/>
      <c r="AR442" s="203"/>
      <c r="AS442" s="165"/>
      <c r="AT442" s="166"/>
      <c r="AU442" s="164"/>
      <c r="AV442" s="162"/>
      <c r="AW442" s="162"/>
      <c r="AX442" s="162"/>
      <c r="AY442" s="162"/>
      <c r="AZ442" s="202"/>
      <c r="BA442" s="203"/>
      <c r="BB442" s="166"/>
      <c r="BC442" s="201"/>
      <c r="BD442" s="204"/>
      <c r="BE442" s="162"/>
      <c r="BF442" s="162"/>
      <c r="BG442" s="162"/>
      <c r="BH442" s="162"/>
      <c r="BI442" s="205"/>
      <c r="BJ442" s="201"/>
      <c r="BK442" s="201"/>
      <c r="BL442" s="201"/>
      <c r="BM442" s="204"/>
      <c r="BN442" s="162"/>
      <c r="BO442" s="162"/>
      <c r="BP442" s="162"/>
      <c r="BQ442" s="162"/>
      <c r="BR442" s="167"/>
      <c r="BS442" s="201"/>
      <c r="BT442" s="201"/>
      <c r="BU442" s="201"/>
      <c r="BV442" s="205"/>
      <c r="BW442" s="162"/>
      <c r="BX442" s="162"/>
      <c r="BY442" s="162"/>
      <c r="BZ442" s="162"/>
      <c r="CA442" s="201"/>
      <c r="CB442" s="393"/>
      <c r="CC442" s="393"/>
      <c r="CD442" s="393"/>
      <c r="CE442" s="393"/>
      <c r="CF442" s="162"/>
      <c r="CG442" s="162"/>
      <c r="CH442" s="162"/>
      <c r="CI442" s="162"/>
      <c r="CJ442" s="163"/>
      <c r="CK442" s="163"/>
      <c r="CL442" s="163"/>
      <c r="CM442" s="163"/>
      <c r="CN442" s="163"/>
      <c r="CO442" s="162"/>
      <c r="CP442" s="162"/>
      <c r="CQ442" s="162"/>
      <c r="CR442" s="162"/>
      <c r="CS442" s="163"/>
      <c r="CT442" s="358"/>
      <c r="CU442" s="201"/>
      <c r="CV442" s="206"/>
      <c r="CW442" s="218"/>
    </row>
    <row r="443" spans="1:101" ht="15.75" thickBot="1" x14ac:dyDescent="0.25">
      <c r="A443" s="219"/>
      <c r="B443" s="219"/>
      <c r="C443" s="168"/>
      <c r="D443" s="785"/>
      <c r="E443" s="869" t="s">
        <v>45</v>
      </c>
      <c r="F443" s="363"/>
      <c r="G443" s="363"/>
      <c r="H443" s="363"/>
      <c r="I443" s="878"/>
      <c r="J443" s="878"/>
      <c r="K443" s="878"/>
      <c r="L443" s="878"/>
      <c r="M443" s="363"/>
      <c r="N443" s="363"/>
      <c r="O443" s="363"/>
      <c r="P443" s="363"/>
      <c r="Q443" s="363"/>
      <c r="R443" s="363"/>
      <c r="S443" s="363"/>
      <c r="T443" s="363"/>
      <c r="U443" s="363"/>
      <c r="V443" s="363"/>
      <c r="W443" s="363"/>
      <c r="X443" s="363"/>
      <c r="Y443" s="363"/>
      <c r="Z443" s="363"/>
      <c r="AA443" s="363"/>
      <c r="AB443" s="363"/>
      <c r="AC443" s="363"/>
      <c r="AD443" s="363"/>
      <c r="AE443" s="363"/>
      <c r="AF443" s="363"/>
      <c r="AG443" s="363"/>
      <c r="AH443" s="363"/>
      <c r="AI443" s="363"/>
      <c r="AJ443" s="363"/>
      <c r="AK443" s="363"/>
      <c r="AL443" s="363"/>
      <c r="AM443" s="363"/>
      <c r="AN443" s="363"/>
      <c r="AO443" s="363"/>
      <c r="AP443" s="363"/>
      <c r="AQ443" s="363"/>
      <c r="AR443" s="363"/>
      <c r="AS443" s="363"/>
      <c r="AT443" s="363"/>
      <c r="AU443" s="363"/>
      <c r="AV443" s="363"/>
      <c r="AW443" s="363"/>
      <c r="AX443" s="363"/>
      <c r="AY443" s="363"/>
      <c r="AZ443" s="363"/>
      <c r="BA443" s="363"/>
      <c r="BB443" s="363"/>
      <c r="BC443" s="363"/>
      <c r="BD443" s="363"/>
      <c r="BE443" s="363"/>
      <c r="BF443" s="363"/>
      <c r="BG443" s="363"/>
      <c r="BH443" s="363"/>
      <c r="BI443" s="363"/>
      <c r="BJ443" s="363"/>
      <c r="BK443" s="363"/>
      <c r="BL443" s="363"/>
      <c r="BM443" s="363"/>
      <c r="BN443" s="363"/>
      <c r="BO443" s="363"/>
      <c r="BP443" s="363"/>
      <c r="BQ443" s="363"/>
      <c r="BR443" s="363"/>
      <c r="BS443" s="363"/>
      <c r="BT443" s="363"/>
      <c r="BU443" s="363"/>
      <c r="BV443" s="363"/>
      <c r="BW443" s="363"/>
      <c r="BX443" s="363"/>
      <c r="BY443" s="363"/>
      <c r="BZ443" s="363"/>
      <c r="CA443" s="363"/>
      <c r="CB443" s="394"/>
      <c r="CC443" s="394"/>
      <c r="CD443" s="394"/>
      <c r="CE443" s="394"/>
      <c r="CF443" s="363"/>
      <c r="CG443" s="363"/>
      <c r="CH443" s="363"/>
      <c r="CI443" s="363"/>
      <c r="CJ443" s="363"/>
      <c r="CK443" s="363"/>
      <c r="CL443" s="363"/>
      <c r="CM443" s="363"/>
      <c r="CN443" s="323"/>
      <c r="CO443" s="363"/>
      <c r="CP443" s="363"/>
      <c r="CQ443" s="363"/>
      <c r="CR443" s="363"/>
      <c r="CS443" s="323"/>
      <c r="CT443" s="155"/>
      <c r="CU443" s="269"/>
      <c r="CV443" s="209"/>
      <c r="CW443" s="218"/>
    </row>
    <row r="444" spans="1:101" ht="18.75" thickTop="1" x14ac:dyDescent="0.2">
      <c r="A444" s="219"/>
      <c r="B444" s="219"/>
      <c r="C444" s="174"/>
      <c r="D444" s="778"/>
      <c r="E444" s="777"/>
      <c r="F444" s="235"/>
      <c r="G444" s="234"/>
      <c r="H444" s="234"/>
      <c r="I444" s="875">
        <f>WEEKNUM(E445)</f>
        <v>1</v>
      </c>
      <c r="J444" s="875"/>
      <c r="K444" s="875"/>
      <c r="L444" s="250"/>
      <c r="M444" s="261"/>
      <c r="N444" s="205"/>
      <c r="O444" s="236"/>
      <c r="P444" s="236"/>
      <c r="Q444" s="675" t="str">
        <f>IF($F448="","",SUM(Q460:S460)-S446)</f>
        <v/>
      </c>
      <c r="R444" s="675"/>
      <c r="S444" s="675"/>
      <c r="T444" s="237"/>
      <c r="U444" s="238"/>
      <c r="V444" s="238"/>
      <c r="W444" s="238"/>
      <c r="X444" s="238"/>
      <c r="Y444" s="236"/>
      <c r="Z444" s="675" t="str">
        <f>IF($F448="","",SUM(Z460:AB460)-AB446)</f>
        <v/>
      </c>
      <c r="AA444" s="675"/>
      <c r="AB444" s="675"/>
      <c r="AC444" s="237"/>
      <c r="AD444" s="238"/>
      <c r="AE444" s="238"/>
      <c r="AF444" s="238"/>
      <c r="AG444" s="238"/>
      <c r="AH444" s="236"/>
      <c r="AI444" s="675" t="str">
        <f>IF($F448="","",SUM(AI460:AK460)-AK446)</f>
        <v/>
      </c>
      <c r="AJ444" s="675"/>
      <c r="AK444" s="675"/>
      <c r="AL444" s="237"/>
      <c r="AM444" s="238"/>
      <c r="AN444" s="238"/>
      <c r="AO444" s="238"/>
      <c r="AP444" s="238"/>
      <c r="AQ444" s="236"/>
      <c r="AR444" s="675" t="str">
        <f>IF($F448="","",SUM(AR460:AT460)-AT446)</f>
        <v/>
      </c>
      <c r="AS444" s="675"/>
      <c r="AT444" s="675"/>
      <c r="AU444" s="239"/>
      <c r="AV444" s="238"/>
      <c r="AW444" s="238"/>
      <c r="AX444" s="238"/>
      <c r="AY444" s="238"/>
      <c r="AZ444" s="240"/>
      <c r="BA444" s="675" t="str">
        <f>IF($F448="","",SUM(BA460:BC460)-BC446)</f>
        <v/>
      </c>
      <c r="BB444" s="675"/>
      <c r="BC444" s="675"/>
      <c r="BD444" s="239"/>
      <c r="BE444" s="238"/>
      <c r="BF444" s="238"/>
      <c r="BG444" s="238"/>
      <c r="BH444" s="238"/>
      <c r="BI444" s="240"/>
      <c r="BJ444" s="675" t="str">
        <f>IF($F448="","",SUM(BJ460:BL460)-BL446)</f>
        <v/>
      </c>
      <c r="BK444" s="675"/>
      <c r="BL444" s="675"/>
      <c r="BM444" s="239"/>
      <c r="BN444" s="238"/>
      <c r="BO444" s="238"/>
      <c r="BP444" s="238"/>
      <c r="BQ444" s="238"/>
      <c r="BR444" s="241"/>
      <c r="BS444" s="675" t="str">
        <f>IF($F448="","",SUM(BS460:BU460)-BU446)</f>
        <v/>
      </c>
      <c r="BT444" s="675"/>
      <c r="BU444" s="675"/>
      <c r="BV444" s="240"/>
      <c r="BW444" s="238"/>
      <c r="BX444" s="238"/>
      <c r="BY444" s="238"/>
      <c r="BZ444" s="238"/>
      <c r="CA444" s="241"/>
      <c r="CB444" s="675" t="str">
        <f>IF($F448="","",SUM(CB460:CD460)-CD446)</f>
        <v/>
      </c>
      <c r="CC444" s="675"/>
      <c r="CD444" s="675"/>
      <c r="CE444" s="240"/>
      <c r="CF444" s="238"/>
      <c r="CG444" s="238"/>
      <c r="CH444" s="238"/>
      <c r="CI444" s="238"/>
      <c r="CJ444" s="234"/>
      <c r="CK444" s="675" t="str">
        <f>IF($F448="","",SUM(CK460:CM460))</f>
        <v/>
      </c>
      <c r="CL444" s="675"/>
      <c r="CM444" s="675"/>
      <c r="CN444" s="240"/>
      <c r="CO444" s="238"/>
      <c r="CP444" s="238"/>
      <c r="CQ444" s="238"/>
      <c r="CR444" s="238"/>
      <c r="CS444" s="234"/>
      <c r="CT444" s="234"/>
      <c r="CU444" s="251"/>
      <c r="CV444" s="209"/>
      <c r="CW444" s="218"/>
    </row>
    <row r="445" spans="1:101" x14ac:dyDescent="0.2">
      <c r="A445" s="219"/>
      <c r="B445" s="219"/>
      <c r="C445" s="174"/>
      <c r="D445" s="779"/>
      <c r="E445" s="543">
        <f>E423+7</f>
        <v>46389</v>
      </c>
      <c r="F445" s="178"/>
      <c r="G445" s="179"/>
      <c r="H445" s="179"/>
      <c r="I445" s="876"/>
      <c r="J445" s="876"/>
      <c r="K445" s="876"/>
      <c r="L445" s="254"/>
      <c r="M445" s="329"/>
      <c r="N445" s="208"/>
      <c r="O445" s="180"/>
      <c r="P445" s="180"/>
      <c r="Q445" s="584" t="str">
        <f>IF(Q444="","",Q444/Data!$X$1)</f>
        <v/>
      </c>
      <c r="R445" s="584"/>
      <c r="S445" s="585" t="str">
        <f>IF(SUM(X448:X459)=0,"",SUM(X448:X459))</f>
        <v/>
      </c>
      <c r="T445" s="181"/>
      <c r="U445" s="182"/>
      <c r="V445" s="182"/>
      <c r="W445" s="182"/>
      <c r="X445" s="182"/>
      <c r="Y445" s="180"/>
      <c r="Z445" s="584" t="str">
        <f>IF(Z444="","",Z444/Data!$X$1)</f>
        <v/>
      </c>
      <c r="AA445" s="584"/>
      <c r="AB445" s="585" t="str">
        <f>IF(SUM(AG448:AG459)=0,"",SUM(AG448:AG459))</f>
        <v/>
      </c>
      <c r="AC445" s="181"/>
      <c r="AD445" s="182"/>
      <c r="AE445" s="182"/>
      <c r="AF445" s="182"/>
      <c r="AG445" s="182"/>
      <c r="AH445" s="180"/>
      <c r="AI445" s="584" t="str">
        <f>IF(AI444="","",AI444/Data!$X$1)</f>
        <v/>
      </c>
      <c r="AJ445" s="584"/>
      <c r="AK445" s="585" t="str">
        <f>IF(SUM(AP448:AP459)=0,"",SUM(AP448:AP459))</f>
        <v/>
      </c>
      <c r="AL445" s="181"/>
      <c r="AM445" s="182"/>
      <c r="AN445" s="182"/>
      <c r="AO445" s="182"/>
      <c r="AP445" s="182"/>
      <c r="AQ445" s="180"/>
      <c r="AR445" s="584" t="str">
        <f>IF(AR444="","",AR444/Data!$X$1)</f>
        <v/>
      </c>
      <c r="AS445" s="584"/>
      <c r="AT445" s="585" t="str">
        <f>IF(SUM(AY448:AY459)=0,"",SUM(AY448:AY459))</f>
        <v/>
      </c>
      <c r="AU445" s="183"/>
      <c r="AV445" s="182"/>
      <c r="AW445" s="182"/>
      <c r="AX445" s="182"/>
      <c r="AY445" s="182"/>
      <c r="AZ445" s="184"/>
      <c r="BA445" s="584" t="str">
        <f>IF(BA444="","",BA444/Data!$X$1)</f>
        <v/>
      </c>
      <c r="BB445" s="584"/>
      <c r="BC445" s="585" t="str">
        <f>IF(SUM(BH448:BH459)=0,"",SUM(BH448:BH459))</f>
        <v/>
      </c>
      <c r="BD445" s="183"/>
      <c r="BE445" s="182"/>
      <c r="BF445" s="182"/>
      <c r="BG445" s="182"/>
      <c r="BH445" s="182"/>
      <c r="BI445" s="184"/>
      <c r="BJ445" s="584" t="str">
        <f>IF(BJ444="","",BJ444/Data!$X$1)</f>
        <v/>
      </c>
      <c r="BK445" s="584"/>
      <c r="BL445" s="585" t="str">
        <f>IF(SUM(BQ448:BQ459)=0,"",SUM(BQ448:BQ459))</f>
        <v/>
      </c>
      <c r="BM445" s="183"/>
      <c r="BN445" s="182"/>
      <c r="BO445" s="182"/>
      <c r="BP445" s="182"/>
      <c r="BQ445" s="182"/>
      <c r="BR445" s="185"/>
      <c r="BS445" s="584" t="str">
        <f>IF(BS444="","",BS444/Data!$X$1)</f>
        <v/>
      </c>
      <c r="BT445" s="584"/>
      <c r="BU445" s="585" t="str">
        <f>IF(SUM(BZ448:BZ459)=0,"",SUM(BZ448:BZ459))</f>
        <v/>
      </c>
      <c r="BV445" s="184"/>
      <c r="BW445" s="182"/>
      <c r="BX445" s="182"/>
      <c r="BY445" s="182"/>
      <c r="BZ445" s="182"/>
      <c r="CA445" s="185"/>
      <c r="CB445" s="584" t="str">
        <f>IF(CB444="","",CB444/Data!$X$1)</f>
        <v/>
      </c>
      <c r="CC445" s="584"/>
      <c r="CD445" s="585" t="str">
        <f>IF(SUM(CI448:CI459)=0,"",SUM(CI448:CI459))</f>
        <v/>
      </c>
      <c r="CE445" s="184"/>
      <c r="CF445" s="182"/>
      <c r="CG445" s="182"/>
      <c r="CH445" s="182"/>
      <c r="CI445" s="182"/>
      <c r="CJ445" s="182"/>
      <c r="CK445" s="584" t="str">
        <f>IF(CK444="","",CK444/Data!$X$1)</f>
        <v/>
      </c>
      <c r="CL445" s="584"/>
      <c r="CM445" s="585" t="str">
        <f>IF(SUM(CR448:CR459)=0,"",SUM(CR448:CR459))</f>
        <v/>
      </c>
      <c r="CN445" s="184"/>
      <c r="CO445" s="182"/>
      <c r="CP445" s="182"/>
      <c r="CQ445" s="182"/>
      <c r="CR445" s="182"/>
      <c r="CS445" s="182"/>
      <c r="CT445" s="182"/>
      <c r="CU445" s="255"/>
      <c r="CV445" s="209"/>
      <c r="CW445" s="218"/>
    </row>
    <row r="446" spans="1:101" ht="13.5" thickBot="1" x14ac:dyDescent="0.25">
      <c r="A446" s="219"/>
      <c r="B446" s="219"/>
      <c r="C446" s="174"/>
      <c r="D446" s="230"/>
      <c r="E446" s="359"/>
      <c r="F446" s="186"/>
      <c r="G446" s="187"/>
      <c r="H446" s="187"/>
      <c r="I446" s="673"/>
      <c r="J446" s="674"/>
      <c r="K446" s="674"/>
      <c r="L446" s="256"/>
      <c r="M446" s="330"/>
      <c r="N446" s="334"/>
      <c r="O446" s="187"/>
      <c r="P446" s="187"/>
      <c r="Q446" s="342" t="str">
        <f>Data!$E$11</f>
        <v>AHH</v>
      </c>
      <c r="R446" s="343" t="str">
        <f>IF($F459="","",RANK(Q444,$Q444:$CL444))</f>
        <v/>
      </c>
      <c r="S446" s="466"/>
      <c r="T446" s="181"/>
      <c r="U446" s="182"/>
      <c r="V446" s="182"/>
      <c r="W446" s="182"/>
      <c r="X446" s="197">
        <f>COUNTIF(U448:W459,"&gt;0")</f>
        <v>0</v>
      </c>
      <c r="Y446" s="180"/>
      <c r="Z446" s="342" t="str">
        <f>Data!$E$12</f>
        <v>RB</v>
      </c>
      <c r="AA446" s="343" t="str">
        <f>IF($F459="","",RANK(Z444,$Q444:$CL444))</f>
        <v/>
      </c>
      <c r="AB446" s="466"/>
      <c r="AC446" s="181"/>
      <c r="AD446" s="182"/>
      <c r="AE446" s="182"/>
      <c r="AF446" s="182"/>
      <c r="AG446" s="197">
        <f>COUNTIF(AD448:AF459,"&gt;0")</f>
        <v>0</v>
      </c>
      <c r="AH446" s="180"/>
      <c r="AI446" s="342" t="str">
        <f>Data!$E$13</f>
        <v>EB</v>
      </c>
      <c r="AJ446" s="343" t="str">
        <f>IF($F459="","",RANK(AI444,$Q444:$CL444))</f>
        <v/>
      </c>
      <c r="AK446" s="466"/>
      <c r="AL446" s="181"/>
      <c r="AM446" s="182"/>
      <c r="AN446" s="182"/>
      <c r="AO446" s="182"/>
      <c r="AP446" s="197">
        <f>COUNTIF(AM448:AO459,"&gt;0")</f>
        <v>0</v>
      </c>
      <c r="AQ446" s="180"/>
      <c r="AR446" s="305" t="str">
        <f>Data!$E$14</f>
        <v>KAF</v>
      </c>
      <c r="AS446" s="343" t="str">
        <f>IF($F459="","",RANK(AR444,$Q444:$CL444))</f>
        <v/>
      </c>
      <c r="AT446" s="466"/>
      <c r="AU446" s="181"/>
      <c r="AV446" s="182"/>
      <c r="AW446" s="182"/>
      <c r="AX446" s="182"/>
      <c r="AY446" s="197">
        <f>COUNTIF(AV448:AX459,"&gt;0")</f>
        <v>0</v>
      </c>
      <c r="AZ446" s="180"/>
      <c r="BA446" s="305" t="str">
        <f>Data!$E$15</f>
        <v>ØG</v>
      </c>
      <c r="BB446" s="343" t="str">
        <f>IF($F459="","",RANK(BA444,$Q444:$CL444))</f>
        <v/>
      </c>
      <c r="BC446" s="466"/>
      <c r="BD446" s="181"/>
      <c r="BE446" s="182"/>
      <c r="BF446" s="182"/>
      <c r="BG446" s="182"/>
      <c r="BH446" s="197">
        <f>COUNTIF(BE448:BG459,"&gt;0")</f>
        <v>0</v>
      </c>
      <c r="BI446" s="180"/>
      <c r="BJ446" s="305" t="str">
        <f>Data!$E$16</f>
        <v>JH</v>
      </c>
      <c r="BK446" s="343" t="str">
        <f>IF($F459="","",RANK(BJ444,$Q444:$CL444))</f>
        <v/>
      </c>
      <c r="BL446" s="466"/>
      <c r="BM446" s="181"/>
      <c r="BN446" s="182"/>
      <c r="BO446" s="182"/>
      <c r="BP446" s="182"/>
      <c r="BQ446" s="197">
        <f>COUNTIF(BN448:BP459,"&gt;0")</f>
        <v>0</v>
      </c>
      <c r="BR446" s="188"/>
      <c r="BS446" s="305" t="str">
        <f>Data!$E$17</f>
        <v>TOH</v>
      </c>
      <c r="BT446" s="343" t="str">
        <f>IF($F459="","",RANK(BS444,$Q444:$CL444))</f>
        <v/>
      </c>
      <c r="BU446" s="466"/>
      <c r="BV446" s="180"/>
      <c r="BW446" s="182"/>
      <c r="BX446" s="182"/>
      <c r="BY446" s="182"/>
      <c r="BZ446" s="197">
        <f>COUNTIF(BW448:BY459,"&gt;0")</f>
        <v>0</v>
      </c>
      <c r="CA446" s="188"/>
      <c r="CB446" s="305" t="s">
        <v>26</v>
      </c>
      <c r="CC446" s="343" t="str">
        <f>IF($F459="","",RANK(CB444,$Q444:$CM444))</f>
        <v/>
      </c>
      <c r="CD446" s="467"/>
      <c r="CE446" s="180"/>
      <c r="CF446" s="182"/>
      <c r="CG446" s="182"/>
      <c r="CH446" s="182"/>
      <c r="CI446" s="197">
        <f>COUNTIF(CF448:CH459,"&gt;0")</f>
        <v>0</v>
      </c>
      <c r="CJ446" s="182"/>
      <c r="CK446" s="305" t="s">
        <v>27</v>
      </c>
      <c r="CL446" s="343" t="str">
        <f>IF($F459="","",RANK(CK444,$Q444:$CM444))</f>
        <v/>
      </c>
      <c r="CM446" s="669"/>
      <c r="CN446" s="180"/>
      <c r="CO446" s="182"/>
      <c r="CP446" s="182"/>
      <c r="CQ446" s="182"/>
      <c r="CR446" s="197">
        <f>COUNTIF(CO448:CQ459,"&gt;0")</f>
        <v>0</v>
      </c>
      <c r="CS446" s="182"/>
      <c r="CT446" s="182"/>
      <c r="CU446" s="255"/>
      <c r="CV446" s="209"/>
      <c r="CW446" s="218"/>
    </row>
    <row r="447" spans="1:101" ht="13.5" thickBot="1" x14ac:dyDescent="0.25">
      <c r="A447" s="227"/>
      <c r="B447" s="227"/>
      <c r="C447" s="168"/>
      <c r="D447" s="231"/>
      <c r="E447" s="189"/>
      <c r="F447" s="190"/>
      <c r="G447" s="191"/>
      <c r="H447" s="191"/>
      <c r="I447" s="192" t="s">
        <v>47</v>
      </c>
      <c r="J447" s="193" t="s">
        <v>48</v>
      </c>
      <c r="K447" s="194" t="s">
        <v>49</v>
      </c>
      <c r="L447" s="257"/>
      <c r="M447" s="331"/>
      <c r="N447" s="335"/>
      <c r="O447" s="195"/>
      <c r="P447" s="195"/>
      <c r="Q447" s="192" t="s">
        <v>47</v>
      </c>
      <c r="R447" s="193" t="s">
        <v>48</v>
      </c>
      <c r="S447" s="194" t="s">
        <v>49</v>
      </c>
      <c r="T447" s="196"/>
      <c r="U447" s="197"/>
      <c r="V447" s="197"/>
      <c r="W447" s="197"/>
      <c r="X447" s="197"/>
      <c r="Y447" s="195"/>
      <c r="Z447" s="192" t="s">
        <v>47</v>
      </c>
      <c r="AA447" s="193" t="s">
        <v>48</v>
      </c>
      <c r="AB447" s="194" t="s">
        <v>49</v>
      </c>
      <c r="AC447" s="196"/>
      <c r="AD447" s="197"/>
      <c r="AE447" s="197"/>
      <c r="AF447" s="197"/>
      <c r="AG447" s="197"/>
      <c r="AH447" s="195"/>
      <c r="AI447" s="192" t="s">
        <v>47</v>
      </c>
      <c r="AJ447" s="193" t="s">
        <v>48</v>
      </c>
      <c r="AK447" s="194" t="s">
        <v>49</v>
      </c>
      <c r="AL447" s="196"/>
      <c r="AM447" s="197"/>
      <c r="AN447" s="197"/>
      <c r="AO447" s="197"/>
      <c r="AP447" s="197"/>
      <c r="AQ447" s="195"/>
      <c r="AR447" s="192" t="s">
        <v>47</v>
      </c>
      <c r="AS447" s="193" t="s">
        <v>48</v>
      </c>
      <c r="AT447" s="194" t="s">
        <v>49</v>
      </c>
      <c r="AU447" s="196"/>
      <c r="AV447" s="197"/>
      <c r="AW447" s="197"/>
      <c r="AX447" s="197"/>
      <c r="AY447" s="197"/>
      <c r="AZ447" s="195"/>
      <c r="BA447" s="192" t="s">
        <v>47</v>
      </c>
      <c r="BB447" s="193" t="s">
        <v>48</v>
      </c>
      <c r="BC447" s="194" t="s">
        <v>49</v>
      </c>
      <c r="BD447" s="196"/>
      <c r="BE447" s="197"/>
      <c r="BF447" s="197"/>
      <c r="BG447" s="197"/>
      <c r="BH447" s="197"/>
      <c r="BI447" s="195"/>
      <c r="BJ447" s="192" t="s">
        <v>47</v>
      </c>
      <c r="BK447" s="193" t="s">
        <v>48</v>
      </c>
      <c r="BL447" s="194" t="s">
        <v>49</v>
      </c>
      <c r="BM447" s="196"/>
      <c r="BN447" s="197"/>
      <c r="BO447" s="197"/>
      <c r="BP447" s="197"/>
      <c r="BQ447" s="197"/>
      <c r="BR447" s="195"/>
      <c r="BS447" s="192" t="s">
        <v>47</v>
      </c>
      <c r="BT447" s="193" t="s">
        <v>48</v>
      </c>
      <c r="BU447" s="194" t="s">
        <v>49</v>
      </c>
      <c r="BV447" s="196"/>
      <c r="BW447" s="197"/>
      <c r="BX447" s="197"/>
      <c r="BY447" s="197"/>
      <c r="BZ447" s="197"/>
      <c r="CA447" s="195"/>
      <c r="CB447" s="192" t="s">
        <v>47</v>
      </c>
      <c r="CC447" s="193" t="s">
        <v>48</v>
      </c>
      <c r="CD447" s="194" t="s">
        <v>49</v>
      </c>
      <c r="CE447" s="196"/>
      <c r="CF447" s="197"/>
      <c r="CG447" s="197"/>
      <c r="CH447" s="197"/>
      <c r="CI447" s="197"/>
      <c r="CJ447" s="197"/>
      <c r="CK447" s="192" t="s">
        <v>47</v>
      </c>
      <c r="CL447" s="193" t="s">
        <v>48</v>
      </c>
      <c r="CM447" s="194" t="s">
        <v>49</v>
      </c>
      <c r="CN447" s="196"/>
      <c r="CO447" s="197"/>
      <c r="CP447" s="197"/>
      <c r="CQ447" s="197"/>
      <c r="CR447" s="197"/>
      <c r="CS447" s="197"/>
      <c r="CT447" s="198"/>
      <c r="CU447" s="255"/>
      <c r="CV447" s="209"/>
      <c r="CW447" s="228"/>
    </row>
    <row r="448" spans="1:101" x14ac:dyDescent="0.2">
      <c r="A448" s="227"/>
      <c r="B448" s="227"/>
      <c r="C448" s="168"/>
      <c r="D448" s="232"/>
      <c r="E448" s="134" t="s">
        <v>225</v>
      </c>
      <c r="F448" s="424"/>
      <c r="G448" s="428" t="s">
        <v>51</v>
      </c>
      <c r="H448" s="429"/>
      <c r="I448" s="138" t="str">
        <f t="shared" ref="I448:I459" si="656">IF($F448&gt;$H448,"x","")</f>
        <v/>
      </c>
      <c r="J448" s="344" t="str">
        <f t="shared" ref="J448:J459" si="657">IF(F448&lt;&gt;"",IF(H448&lt;&gt;"",IF(F448=H448,"x",""),""),"")</f>
        <v/>
      </c>
      <c r="K448" s="345" t="str">
        <f t="shared" ref="K448:K459" si="658">IF($F448&lt;$H448,"x","")</f>
        <v/>
      </c>
      <c r="L448" s="258"/>
      <c r="M448" s="332"/>
      <c r="N448" s="336"/>
      <c r="O448" s="200"/>
      <c r="P448" s="200"/>
      <c r="Q448" s="436"/>
      <c r="R448" s="437"/>
      <c r="S448" s="438" t="str">
        <f t="shared" ref="S448:S459" si="659">IF(Q448="","",100-SUM(Q448:R448))</f>
        <v/>
      </c>
      <c r="T448" s="328"/>
      <c r="U448" s="197" t="str">
        <f>IF(AND($I448="x",AND(MAX(Q448:S448)=Q448,Q448&gt;=0)),Data!$BI$2,"")</f>
        <v/>
      </c>
      <c r="V448" s="197" t="str">
        <f>IF(AND($J448="x",AND(MAX(Q448:S448)=R448,R448&gt;=0)),Data!$BJ$2,"")</f>
        <v/>
      </c>
      <c r="W448" s="197" t="str">
        <f>IF(AND($K448="x",AND(MAX(Q448:S448)=S448,S448&gt;=0)),Data!$BK$2,"")</f>
        <v/>
      </c>
      <c r="X448" s="197"/>
      <c r="Y448" s="328"/>
      <c r="Z448" s="451"/>
      <c r="AA448" s="452"/>
      <c r="AB448" s="438" t="str">
        <f t="shared" ref="AB448:AB459" si="660">IF(Z448="","",100-SUM(Z448:AA448))</f>
        <v/>
      </c>
      <c r="AC448" s="328"/>
      <c r="AD448" s="197" t="str">
        <f>IF(AND($I448="x",AND(MAX(Z448:AB448)=Z448,Z448&lt;&gt;"")),Data!$BI$2,"")</f>
        <v/>
      </c>
      <c r="AE448" s="197" t="str">
        <f>IF(AND($J448="x",AND(MAX(Z448:AB448)=AA448,AA448&lt;&gt;"")),Data!$BJ$2,"")</f>
        <v/>
      </c>
      <c r="AF448" s="197" t="str">
        <f>IF(AND($K448="x",AND(MAX(Z448:AB448)=AB448,AB448&lt;&gt;"")),Data!$BK$2,"")</f>
        <v/>
      </c>
      <c r="AG448" s="197"/>
      <c r="AH448" s="328"/>
      <c r="AI448" s="451"/>
      <c r="AJ448" s="452"/>
      <c r="AK448" s="438" t="str">
        <f t="shared" ref="AK448:AK459" si="661">IF(AI448="","",100-SUM(AI448:AJ448))</f>
        <v/>
      </c>
      <c r="AL448" s="328"/>
      <c r="AM448" s="197" t="str">
        <f>IF(AND($I448="x",AND(MAX(AI448:AK448)=AI448,AI448&lt;&gt;"")),Data!$BI$2,"")</f>
        <v/>
      </c>
      <c r="AN448" s="197" t="str">
        <f>IF(AND($J448="x",AND(MAX(AI448:AK448)=AJ448,AJ448&lt;&gt;"")),Data!$BJ$2,"")</f>
        <v/>
      </c>
      <c r="AO448" s="197" t="str">
        <f>IF(AND($K448="x",AND(MAX(AI448:AK448)=AK448,AK448&lt;&gt;"")),Data!$BK$2,"")</f>
        <v/>
      </c>
      <c r="AP448" s="197"/>
      <c r="AQ448" s="328"/>
      <c r="AR448" s="451"/>
      <c r="AS448" s="452"/>
      <c r="AT448" s="438" t="str">
        <f t="shared" ref="AT448:AT459" si="662">IF(AR448="","",100-SUM(AR448:AS448))</f>
        <v/>
      </c>
      <c r="AU448" s="328"/>
      <c r="AV448" s="197" t="str">
        <f>IF(AND($I448="x",AND(MAX(AR448:AT448)=AR448,AR448&lt;&gt;"")),Data!$BI$2,"")</f>
        <v/>
      </c>
      <c r="AW448" s="197" t="str">
        <f>IF(AND($J448="x",AND(MAX(AR448:AT448)=AS448,AS448&lt;&gt;"")),Data!$BJ$2,"")</f>
        <v/>
      </c>
      <c r="AX448" s="197" t="str">
        <f>IF(AND($K448="x",AND(MAX(AR448:AT448)=AT448,AT448&lt;&gt;"")),Data!$BK$2,"")</f>
        <v/>
      </c>
      <c r="AY448" s="197"/>
      <c r="AZ448" s="328"/>
      <c r="BA448" s="451"/>
      <c r="BB448" s="452"/>
      <c r="BC448" s="438" t="str">
        <f t="shared" ref="BC448:BC459" si="663">IF(BA448="","",100-SUM(BA448:BB448))</f>
        <v/>
      </c>
      <c r="BD448" s="328"/>
      <c r="BE448" s="197" t="str">
        <f>IF(AND($I448="x",AND(MAX(BA448:BC448)=BA448,BA448&lt;&gt;"")),Data!$BI$2,"")</f>
        <v/>
      </c>
      <c r="BF448" s="197" t="str">
        <f>IF(AND($J448="x",AND(MAX(BA448:BC448)=BB448,BB448&lt;&gt;"")),Data!$BJ$2,"")</f>
        <v/>
      </c>
      <c r="BG448" s="197" t="str">
        <f>IF(AND($K448="x",AND(MAX(BA448:BC448)=BC448,BC448&lt;&gt;"")),Data!$BK$2,"")</f>
        <v/>
      </c>
      <c r="BH448" s="197"/>
      <c r="BI448" s="328"/>
      <c r="BJ448" s="451"/>
      <c r="BK448" s="452"/>
      <c r="BL448" s="438" t="str">
        <f t="shared" ref="BL448:BL459" si="664">IF(BJ448="","",100-SUM(BJ448:BK448))</f>
        <v/>
      </c>
      <c r="BM448" s="328"/>
      <c r="BN448" s="197" t="str">
        <f>IF(AND($I448="x",AND(MAX(BJ448:BL448)=BJ448,BJ448&lt;&gt;"")),Data!$BI$2,"")</f>
        <v/>
      </c>
      <c r="BO448" s="197" t="str">
        <f>IF(AND($J448="x",AND(MAX(BJ448:BL448)=BK448,BK448&lt;&gt;"")),Data!$BJ$2,"")</f>
        <v/>
      </c>
      <c r="BP448" s="197" t="str">
        <f>IF(AND($K448="x",AND(MAX(BJ448:BL448)=BL448,BL448&lt;&gt;"")),Data!$BK$2,"")</f>
        <v/>
      </c>
      <c r="BQ448" s="197"/>
      <c r="BR448" s="328"/>
      <c r="BS448" s="451"/>
      <c r="BT448" s="452"/>
      <c r="BU448" s="438" t="str">
        <f t="shared" ref="BU448:BU459" si="665">IF(BS448="","",100-SUM(BS448:BT448))</f>
        <v/>
      </c>
      <c r="BV448" s="328"/>
      <c r="BW448" s="197" t="str">
        <f>IF(AND($I448="x",AND(MAX(BS448:BU448)=BS448,BS448&lt;&gt;"")),Data!$BI$2,"")</f>
        <v/>
      </c>
      <c r="BX448" s="197" t="str">
        <f>IF(AND($J448="x",AND(MAX(BS448:BU448)=BT448,BT448&lt;&gt;"")),Data!$BJ$2,"")</f>
        <v/>
      </c>
      <c r="BY448" s="197" t="str">
        <f>IF(AND($K448="x",AND(MAX(BS448:BU448)=BU448,BU448&lt;&gt;"")),Data!$BK$2,"")</f>
        <v/>
      </c>
      <c r="BZ448" s="197"/>
      <c r="CA448" s="328"/>
      <c r="CB448" s="457" t="str">
        <f t="shared" ref="CB448:CB459" si="666">IFERROR(ROUNDUP((SUM(Q448,Z448,AI448,AR448,BA448,BJ448,BS448)/SUM($Q448:$S448,$Z448:$AB448,$AI448:$AK448,$AR448:$AT448,$BA448:$BC448,$BJ448:$BL448,$BS448:$BU448))*100,-1),"")</f>
        <v/>
      </c>
      <c r="CC448" s="458" t="str">
        <f t="shared" ref="CC448:CC459" si="667">IFERROR(ROUNDDOWN((SUM(R448,AA448,AJ448,AS448,BB448,BK448,BT448)/SUM($Q448:$S448,$Z448:$AB448,$AI448:$AK448,$AR448:$AT448,$BA448:$BC448,$BJ448:$BL448,$BS448:$BU448))*100,-1),"")</f>
        <v/>
      </c>
      <c r="CD448" s="459" t="str">
        <f t="shared" ref="CD448:CD459" si="668">IF(CB448="","",100-SUM(CB448:CC448))</f>
        <v/>
      </c>
      <c r="CE448" s="328"/>
      <c r="CF448" s="197" t="str">
        <f>IF(AND($I448="x",AND(MAX(CB448:CD448)=CB448,CB448&lt;&gt;"")),Data!$BI$2,"")</f>
        <v/>
      </c>
      <c r="CG448" s="197" t="str">
        <f>IF(AND($J448="x",AND(MAX(CB448:CD448)=CC448,CC448&lt;&gt;"")),Data!$BJ$2,"")</f>
        <v/>
      </c>
      <c r="CH448" s="197" t="str">
        <f>IF(AND($K448="x",AND(MAX(CB448:CD448)=CD448,CD448&lt;&gt;"")),Data!$BK$2,"")</f>
        <v/>
      </c>
      <c r="CI448" s="197"/>
      <c r="CJ448" s="197"/>
      <c r="CK448" s="451"/>
      <c r="CL448" s="452"/>
      <c r="CM448" s="438" t="str">
        <f t="shared" ref="CM448:CM459" si="669">IF(CK448="","",100-SUM(CK448:CL448))</f>
        <v/>
      </c>
      <c r="CN448" s="328"/>
      <c r="CO448" s="197" t="str">
        <f>IF(AND($I448="x",AND(MAX(CK448:CM448)=CK448,CK448&lt;&gt;"")),Data!$BI$2,"")</f>
        <v/>
      </c>
      <c r="CP448" s="197" t="str">
        <f>IF(AND($J448="x",AND(MAX(CK448:CM448)=CL448,CL448&lt;&gt;"")),Data!$BJ$2,"")</f>
        <v/>
      </c>
      <c r="CQ448" s="197" t="str">
        <f>IF(AND($K448="x",AND(MAX(CK448:CM448)=CM448,CM448&lt;&gt;"")),Data!$BK$2,"")</f>
        <v/>
      </c>
      <c r="CR448" s="197"/>
      <c r="CS448" s="197"/>
      <c r="CT448" s="328"/>
      <c r="CU448" s="255"/>
      <c r="CV448" s="209"/>
      <c r="CW448" s="227"/>
    </row>
    <row r="449" spans="1:101" x14ac:dyDescent="0.2">
      <c r="A449" s="227"/>
      <c r="B449" s="227"/>
      <c r="C449" s="168"/>
      <c r="D449" s="232"/>
      <c r="E449" s="135" t="s">
        <v>297</v>
      </c>
      <c r="F449" s="425"/>
      <c r="G449" s="430" t="s">
        <v>51</v>
      </c>
      <c r="H449" s="431"/>
      <c r="I449" s="346" t="str">
        <f t="shared" si="656"/>
        <v/>
      </c>
      <c r="J449" s="347" t="str">
        <f t="shared" si="657"/>
        <v/>
      </c>
      <c r="K449" s="348" t="str">
        <f t="shared" si="658"/>
        <v/>
      </c>
      <c r="L449" s="258"/>
      <c r="M449" s="332"/>
      <c r="N449" s="336"/>
      <c r="O449" s="200"/>
      <c r="P449" s="200"/>
      <c r="Q449" s="439"/>
      <c r="R449" s="440"/>
      <c r="S449" s="441" t="str">
        <f t="shared" si="659"/>
        <v/>
      </c>
      <c r="T449" s="328"/>
      <c r="U449" s="197" t="str">
        <f>IF(AND($I449="x",AND(MAX(Q449:S449)=Q449,Q449&gt;=0)),Data!$BI$2,"")</f>
        <v/>
      </c>
      <c r="V449" s="197" t="str">
        <f>IF(AND($J449="x",AND(MAX(Q449:S449)=R449,R449&gt;=0)),Data!$BJ$2,"")</f>
        <v/>
      </c>
      <c r="W449" s="197" t="str">
        <f>IF(AND($K449="x",AND(MAX(Q449:S449)=S449,S449&gt;=0)),Data!$BK$2,"")</f>
        <v/>
      </c>
      <c r="X449" s="197"/>
      <c r="Y449" s="328"/>
      <c r="Z449" s="453"/>
      <c r="AA449" s="454"/>
      <c r="AB449" s="441" t="str">
        <f t="shared" si="660"/>
        <v/>
      </c>
      <c r="AC449" s="328"/>
      <c r="AD449" s="197" t="str">
        <f>IF(AND($I449="x",AND(MAX(Z449:AB449)=Z449,Z449&lt;&gt;"")),Data!$BI$2,"")</f>
        <v/>
      </c>
      <c r="AE449" s="197" t="str">
        <f>IF(AND($J449="x",AND(MAX(Z449:AB449)=AA449,AA449&lt;&gt;"")),Data!$BJ$2,"")</f>
        <v/>
      </c>
      <c r="AF449" s="197" t="str">
        <f>IF(AND($K449="x",AND(MAX(Z449:AB449)=AB449,AB449&lt;&gt;"")),Data!$BK$2,"")</f>
        <v/>
      </c>
      <c r="AG449" s="197"/>
      <c r="AH449" s="328"/>
      <c r="AI449" s="453"/>
      <c r="AJ449" s="454"/>
      <c r="AK449" s="441" t="str">
        <f t="shared" si="661"/>
        <v/>
      </c>
      <c r="AL449" s="328"/>
      <c r="AM449" s="197" t="str">
        <f>IF(AND($I449="x",AND(MAX(AI449:AK449)=AI449,AI449&lt;&gt;"")),Data!$BI$2,"")</f>
        <v/>
      </c>
      <c r="AN449" s="197" t="str">
        <f>IF(AND($J449="x",AND(MAX(AI449:AK449)=AJ449,AJ449&lt;&gt;"")),Data!$BJ$2,"")</f>
        <v/>
      </c>
      <c r="AO449" s="197" t="str">
        <f>IF(AND($K449="x",AND(MAX(AI449:AK449)=AK449,AK449&lt;&gt;"")),Data!$BK$2,"")</f>
        <v/>
      </c>
      <c r="AP449" s="197"/>
      <c r="AQ449" s="328"/>
      <c r="AR449" s="453"/>
      <c r="AS449" s="454"/>
      <c r="AT449" s="441" t="str">
        <f t="shared" si="662"/>
        <v/>
      </c>
      <c r="AU449" s="328"/>
      <c r="AV449" s="197" t="str">
        <f>IF(AND($I449="x",AND(MAX(AR449:AT449)=AR449,AR449&lt;&gt;"")),Data!$BI$2,"")</f>
        <v/>
      </c>
      <c r="AW449" s="197" t="str">
        <f>IF(AND($J449="x",AND(MAX(AR449:AT449)=AS449,AS449&lt;&gt;"")),Data!$BJ$2,"")</f>
        <v/>
      </c>
      <c r="AX449" s="197" t="str">
        <f>IF(AND($K449="x",AND(MAX(AR449:AT449)=AT449,AT449&lt;&gt;"")),Data!$BK$2,"")</f>
        <v/>
      </c>
      <c r="AY449" s="197"/>
      <c r="AZ449" s="328"/>
      <c r="BA449" s="453"/>
      <c r="BB449" s="454"/>
      <c r="BC449" s="441" t="str">
        <f t="shared" si="663"/>
        <v/>
      </c>
      <c r="BD449" s="328"/>
      <c r="BE449" s="197" t="str">
        <f>IF(AND($I449="x",AND(MAX(BA449:BC449)=BA449,BA449&lt;&gt;"")),Data!$BI$2,"")</f>
        <v/>
      </c>
      <c r="BF449" s="197" t="str">
        <f>IF(AND($J449="x",AND(MAX(BA449:BC449)=BB449,BB449&lt;&gt;"")),Data!$BJ$2,"")</f>
        <v/>
      </c>
      <c r="BG449" s="197" t="str">
        <f>IF(AND($K449="x",AND(MAX(BA449:BC449)=BC449,BC449&lt;&gt;"")),Data!$BK$2,"")</f>
        <v/>
      </c>
      <c r="BH449" s="197"/>
      <c r="BI449" s="328"/>
      <c r="BJ449" s="453"/>
      <c r="BK449" s="454"/>
      <c r="BL449" s="441" t="str">
        <f t="shared" si="664"/>
        <v/>
      </c>
      <c r="BM449" s="328"/>
      <c r="BN449" s="197" t="str">
        <f>IF(AND($I449="x",AND(MAX(BJ449:BL449)=BJ449,BJ449&lt;&gt;"")),Data!$BI$2,"")</f>
        <v/>
      </c>
      <c r="BO449" s="197" t="str">
        <f>IF(AND($J449="x",AND(MAX(BJ449:BL449)=BK449,BK449&lt;&gt;"")),Data!$BJ$2,"")</f>
        <v/>
      </c>
      <c r="BP449" s="197" t="str">
        <f>IF(AND($K449="x",AND(MAX(BJ449:BL449)=BL449,BL449&lt;&gt;"")),Data!$BK$2,"")</f>
        <v/>
      </c>
      <c r="BQ449" s="197"/>
      <c r="BR449" s="328"/>
      <c r="BS449" s="453"/>
      <c r="BT449" s="454"/>
      <c r="BU449" s="441" t="str">
        <f t="shared" si="665"/>
        <v/>
      </c>
      <c r="BV449" s="328"/>
      <c r="BW449" s="197" t="str">
        <f>IF(AND($I449="x",AND(MAX(BS449:BU449)=BS449,BS449&lt;&gt;"")),Data!$BI$2,"")</f>
        <v/>
      </c>
      <c r="BX449" s="197" t="str">
        <f>IF(AND($J449="x",AND(MAX(BS449:BU449)=BT449,BT449&lt;&gt;"")),Data!$BJ$2,"")</f>
        <v/>
      </c>
      <c r="BY449" s="197" t="str">
        <f>IF(AND($K449="x",AND(MAX(BS449:BU449)=BU449,BU449&lt;&gt;"")),Data!$BK$2,"")</f>
        <v/>
      </c>
      <c r="BZ449" s="197"/>
      <c r="CA449" s="328"/>
      <c r="CB449" s="460" t="str">
        <f t="shared" si="666"/>
        <v/>
      </c>
      <c r="CC449" s="461" t="str">
        <f t="shared" si="667"/>
        <v/>
      </c>
      <c r="CD449" s="462" t="str">
        <f t="shared" si="668"/>
        <v/>
      </c>
      <c r="CE449" s="328"/>
      <c r="CF449" s="197" t="str">
        <f>IF(AND($I449="x",AND(MAX(CB449:CD449)=CB449,CB449&lt;&gt;"")),Data!$BI$2,"")</f>
        <v/>
      </c>
      <c r="CG449" s="197" t="str">
        <f>IF(AND($J449="x",AND(MAX(CB449:CD449)=CC449,CC449&lt;&gt;"")),Data!$BJ$2,"")</f>
        <v/>
      </c>
      <c r="CH449" s="197" t="str">
        <f>IF(AND($K449="x",AND(MAX(CB449:CD449)=CD449,CD449&lt;&gt;"")),Data!$BK$2,"")</f>
        <v/>
      </c>
      <c r="CI449" s="197"/>
      <c r="CJ449" s="197"/>
      <c r="CK449" s="453"/>
      <c r="CL449" s="454"/>
      <c r="CM449" s="441" t="str">
        <f t="shared" si="669"/>
        <v/>
      </c>
      <c r="CN449" s="328"/>
      <c r="CO449" s="197" t="str">
        <f>IF(AND($I449="x",AND(MAX(CK449:CM449)=CK449,CK449&lt;&gt;"")),Data!$BI$2,"")</f>
        <v/>
      </c>
      <c r="CP449" s="197" t="str">
        <f>IF(AND($J449="x",AND(MAX(CK449:CM449)=CL449,CL449&lt;&gt;"")),Data!$BJ$2,"")</f>
        <v/>
      </c>
      <c r="CQ449" s="197" t="str">
        <f>IF(AND($K449="x",AND(MAX(CK449:CM449)=CM449,CM449&lt;&gt;"")),Data!$BK$2,"")</f>
        <v/>
      </c>
      <c r="CR449" s="197"/>
      <c r="CS449" s="197"/>
      <c r="CT449" s="328"/>
      <c r="CU449" s="255"/>
      <c r="CV449" s="209"/>
      <c r="CW449" s="227"/>
    </row>
    <row r="450" spans="1:101" x14ac:dyDescent="0.2">
      <c r="A450" s="227"/>
      <c r="B450" s="227"/>
      <c r="C450" s="168"/>
      <c r="D450" s="232"/>
      <c r="E450" s="136" t="s">
        <v>298</v>
      </c>
      <c r="F450" s="426"/>
      <c r="G450" s="432" t="s">
        <v>51</v>
      </c>
      <c r="H450" s="433"/>
      <c r="I450" s="349" t="str">
        <f t="shared" si="656"/>
        <v/>
      </c>
      <c r="J450" s="350" t="str">
        <f t="shared" si="657"/>
        <v/>
      </c>
      <c r="K450" s="351" t="str">
        <f t="shared" si="658"/>
        <v/>
      </c>
      <c r="L450" s="258"/>
      <c r="M450" s="332"/>
      <c r="N450" s="336"/>
      <c r="O450" s="200"/>
      <c r="P450" s="200"/>
      <c r="Q450" s="442"/>
      <c r="R450" s="443"/>
      <c r="S450" s="444" t="str">
        <f t="shared" si="659"/>
        <v/>
      </c>
      <c r="T450" s="328"/>
      <c r="U450" s="197" t="str">
        <f>IF(AND($I450="x",AND(MAX(Q450:S450)=Q450,Q450&gt;=0)),Data!$BI$2,"")</f>
        <v/>
      </c>
      <c r="V450" s="197" t="str">
        <f>IF(AND($J450="x",AND(MAX(Q450:S450)=R450,R450&gt;=0)),Data!$BJ$2,"")</f>
        <v/>
      </c>
      <c r="W450" s="197" t="str">
        <f>IF(AND($K450="x",AND(MAX(Q450:S450)=S450,S450&gt;=0)),Data!$BK$2,"")</f>
        <v/>
      </c>
      <c r="X450" s="197"/>
      <c r="Y450" s="328"/>
      <c r="Z450" s="455"/>
      <c r="AA450" s="456"/>
      <c r="AB450" s="444" t="str">
        <f t="shared" si="660"/>
        <v/>
      </c>
      <c r="AC450" s="328"/>
      <c r="AD450" s="197" t="str">
        <f>IF(AND($I450="x",AND(MAX(Z450:AB450)=Z450,Z450&lt;&gt;"")),Data!$BI$2,"")</f>
        <v/>
      </c>
      <c r="AE450" s="197" t="str">
        <f>IF(AND($J450="x",AND(MAX(Z450:AB450)=AA450,AA450&lt;&gt;"")),Data!$BJ$2,"")</f>
        <v/>
      </c>
      <c r="AF450" s="197" t="str">
        <f>IF(AND($K450="x",AND(MAX(Z450:AB450)=AB450,AB450&lt;&gt;"")),Data!$BK$2,"")</f>
        <v/>
      </c>
      <c r="AG450" s="197"/>
      <c r="AH450" s="328"/>
      <c r="AI450" s="455"/>
      <c r="AJ450" s="456"/>
      <c r="AK450" s="444" t="str">
        <f t="shared" si="661"/>
        <v/>
      </c>
      <c r="AL450" s="328"/>
      <c r="AM450" s="197" t="str">
        <f>IF(AND($I450="x",AND(MAX(AI450:AK450)=AI450,AI450&lt;&gt;"")),Data!$BI$2,"")</f>
        <v/>
      </c>
      <c r="AN450" s="197" t="str">
        <f>IF(AND($J450="x",AND(MAX(AI450:AK450)=AJ450,AJ450&lt;&gt;"")),Data!$BJ$2,"")</f>
        <v/>
      </c>
      <c r="AO450" s="197" t="str">
        <f>IF(AND($K450="x",AND(MAX(AI450:AK450)=AK450,AK450&lt;&gt;"")),Data!$BK$2,"")</f>
        <v/>
      </c>
      <c r="AP450" s="197"/>
      <c r="AQ450" s="328"/>
      <c r="AR450" s="455"/>
      <c r="AS450" s="456"/>
      <c r="AT450" s="444" t="str">
        <f t="shared" si="662"/>
        <v/>
      </c>
      <c r="AU450" s="328"/>
      <c r="AV450" s="197" t="str">
        <f>IF(AND($I450="x",AND(MAX(AR450:AT450)=AR450,AR450&lt;&gt;"")),Data!$BI$2,"")</f>
        <v/>
      </c>
      <c r="AW450" s="197" t="str">
        <f>IF(AND($J450="x",AND(MAX(AR450:AT450)=AS450,AS450&lt;&gt;"")),Data!$BJ$2,"")</f>
        <v/>
      </c>
      <c r="AX450" s="197" t="str">
        <f>IF(AND($K450="x",AND(MAX(AR450:AT450)=AT450,AT450&lt;&gt;"")),Data!$BK$2,"")</f>
        <v/>
      </c>
      <c r="AY450" s="197"/>
      <c r="AZ450" s="328"/>
      <c r="BA450" s="455"/>
      <c r="BB450" s="456"/>
      <c r="BC450" s="444" t="str">
        <f t="shared" si="663"/>
        <v/>
      </c>
      <c r="BD450" s="328"/>
      <c r="BE450" s="197" t="str">
        <f>IF(AND($I450="x",AND(MAX(BA450:BC450)=BA450,BA450&lt;&gt;"")),Data!$BI$2,"")</f>
        <v/>
      </c>
      <c r="BF450" s="197" t="str">
        <f>IF(AND($J450="x",AND(MAX(BA450:BC450)=BB450,BB450&lt;&gt;"")),Data!$BJ$2,"")</f>
        <v/>
      </c>
      <c r="BG450" s="197" t="str">
        <f>IF(AND($K450="x",AND(MAX(BA450:BC450)=BC450,BC450&lt;&gt;"")),Data!$BK$2,"")</f>
        <v/>
      </c>
      <c r="BH450" s="197"/>
      <c r="BI450" s="328"/>
      <c r="BJ450" s="455"/>
      <c r="BK450" s="456"/>
      <c r="BL450" s="444" t="str">
        <f t="shared" si="664"/>
        <v/>
      </c>
      <c r="BM450" s="328"/>
      <c r="BN450" s="197" t="str">
        <f>IF(AND($I450="x",AND(MAX(BJ450:BL450)=BJ450,BJ450&lt;&gt;"")),Data!$BI$2,"")</f>
        <v/>
      </c>
      <c r="BO450" s="197" t="str">
        <f>IF(AND($J450="x",AND(MAX(BJ450:BL450)=BK450,BK450&lt;&gt;"")),Data!$BJ$2,"")</f>
        <v/>
      </c>
      <c r="BP450" s="197" t="str">
        <f>IF(AND($K450="x",AND(MAX(BJ450:BL450)=BL450,BL450&lt;&gt;"")),Data!$BK$2,"")</f>
        <v/>
      </c>
      <c r="BQ450" s="197"/>
      <c r="BR450" s="328"/>
      <c r="BS450" s="455"/>
      <c r="BT450" s="456"/>
      <c r="BU450" s="444" t="str">
        <f t="shared" si="665"/>
        <v/>
      </c>
      <c r="BV450" s="328"/>
      <c r="BW450" s="197" t="str">
        <f>IF(AND($I450="x",AND(MAX(BS450:BU450)=BS450,BS450&lt;&gt;"")),Data!$BI$2,"")</f>
        <v/>
      </c>
      <c r="BX450" s="197" t="str">
        <f>IF(AND($J450="x",AND(MAX(BS450:BU450)=BT450,BT450&lt;&gt;"")),Data!$BJ$2,"")</f>
        <v/>
      </c>
      <c r="BY450" s="197" t="str">
        <f>IF(AND($K450="x",AND(MAX(BS450:BU450)=BU450,BU450&lt;&gt;"")),Data!$BK$2,"")</f>
        <v/>
      </c>
      <c r="BZ450" s="197"/>
      <c r="CA450" s="328"/>
      <c r="CB450" s="463" t="str">
        <f t="shared" si="666"/>
        <v/>
      </c>
      <c r="CC450" s="464" t="str">
        <f t="shared" si="667"/>
        <v/>
      </c>
      <c r="CD450" s="465" t="str">
        <f t="shared" si="668"/>
        <v/>
      </c>
      <c r="CE450" s="328"/>
      <c r="CF450" s="197" t="str">
        <f>IF(AND($I450="x",AND(MAX(CB450:CD450)=CB450,CB450&lt;&gt;"")),Data!$BI$2,"")</f>
        <v/>
      </c>
      <c r="CG450" s="197" t="str">
        <f>IF(AND($J450="x",AND(MAX(CB450:CD450)=CC450,CC450&lt;&gt;"")),Data!$BJ$2,"")</f>
        <v/>
      </c>
      <c r="CH450" s="197" t="str">
        <f>IF(AND($K450="x",AND(MAX(CB450:CD450)=CD450,CD450&lt;&gt;"")),Data!$BK$2,"")</f>
        <v/>
      </c>
      <c r="CI450" s="197"/>
      <c r="CJ450" s="197"/>
      <c r="CK450" s="455"/>
      <c r="CL450" s="456"/>
      <c r="CM450" s="444" t="str">
        <f t="shared" si="669"/>
        <v/>
      </c>
      <c r="CN450" s="328"/>
      <c r="CO450" s="197" t="str">
        <f>IF(AND($I450="x",AND(MAX(CK450:CM450)=CK450,CK450&lt;&gt;"")),Data!$BI$2,"")</f>
        <v/>
      </c>
      <c r="CP450" s="197" t="str">
        <f>IF(AND($J450="x",AND(MAX(CK450:CM450)=CL450,CL450&lt;&gt;"")),Data!$BJ$2,"")</f>
        <v/>
      </c>
      <c r="CQ450" s="197" t="str">
        <f>IF(AND($K450="x",AND(MAX(CK450:CM450)=CM450,CM450&lt;&gt;"")),Data!$BK$2,"")</f>
        <v/>
      </c>
      <c r="CR450" s="197"/>
      <c r="CS450" s="197"/>
      <c r="CT450" s="328"/>
      <c r="CU450" s="255"/>
      <c r="CV450" s="209"/>
      <c r="CW450" s="227"/>
    </row>
    <row r="451" spans="1:101" x14ac:dyDescent="0.2">
      <c r="A451" s="227"/>
      <c r="B451" s="227"/>
      <c r="C451" s="168"/>
      <c r="D451" s="232"/>
      <c r="E451" s="134" t="s">
        <v>299</v>
      </c>
      <c r="F451" s="424"/>
      <c r="G451" s="428" t="s">
        <v>51</v>
      </c>
      <c r="H451" s="429"/>
      <c r="I451" s="138" t="str">
        <f t="shared" si="656"/>
        <v/>
      </c>
      <c r="J451" s="344" t="str">
        <f t="shared" si="657"/>
        <v/>
      </c>
      <c r="K451" s="345" t="str">
        <f t="shared" si="658"/>
        <v/>
      </c>
      <c r="L451" s="258"/>
      <c r="M451" s="332"/>
      <c r="N451" s="336"/>
      <c r="O451" s="200"/>
      <c r="P451" s="200"/>
      <c r="Q451" s="436"/>
      <c r="R451" s="437"/>
      <c r="S451" s="438" t="str">
        <f t="shared" si="659"/>
        <v/>
      </c>
      <c r="T451" s="328"/>
      <c r="U451" s="197" t="str">
        <f>IF(AND($I451="x",AND(MAX(Q451:S451)=Q451,Q451&gt;=0)),Data!$BI$2,"")</f>
        <v/>
      </c>
      <c r="V451" s="197" t="str">
        <f>IF(AND($J451="x",AND(MAX(Q451:S451)=R451,R451&gt;=0)),Data!$BJ$2,"")</f>
        <v/>
      </c>
      <c r="W451" s="197" t="str">
        <f>IF(AND($K451="x",AND(MAX(Q451:S451)=S451,S451&gt;=0)),Data!$BK$2,"")</f>
        <v/>
      </c>
      <c r="X451" s="197"/>
      <c r="Y451" s="328"/>
      <c r="Z451" s="451"/>
      <c r="AA451" s="452"/>
      <c r="AB451" s="438" t="str">
        <f t="shared" si="660"/>
        <v/>
      </c>
      <c r="AC451" s="328"/>
      <c r="AD451" s="197" t="str">
        <f>IF(AND($I451="x",AND(MAX(Z451:AB451)=Z451,Z451&lt;&gt;"")),Data!$BI$2,"")</f>
        <v/>
      </c>
      <c r="AE451" s="197" t="str">
        <f>IF(AND($J451="x",AND(MAX(Z451:AB451)=AA451,AA451&lt;&gt;"")),Data!$BJ$2,"")</f>
        <v/>
      </c>
      <c r="AF451" s="197" t="str">
        <f>IF(AND($K451="x",AND(MAX(Z451:AB451)=AB451,AB451&lt;&gt;"")),Data!$BK$2,"")</f>
        <v/>
      </c>
      <c r="AG451" s="197"/>
      <c r="AH451" s="328"/>
      <c r="AI451" s="451"/>
      <c r="AJ451" s="452"/>
      <c r="AK451" s="438" t="str">
        <f t="shared" si="661"/>
        <v/>
      </c>
      <c r="AL451" s="328"/>
      <c r="AM451" s="197" t="str">
        <f>IF(AND($I451="x",AND(MAX(AI451:AK451)=AI451,AI451&lt;&gt;"")),Data!$BI$2,"")</f>
        <v/>
      </c>
      <c r="AN451" s="197" t="str">
        <f>IF(AND($J451="x",AND(MAX(AI451:AK451)=AJ451,AJ451&lt;&gt;"")),Data!$BJ$2,"")</f>
        <v/>
      </c>
      <c r="AO451" s="197" t="str">
        <f>IF(AND($K451="x",AND(MAX(AI451:AK451)=AK451,AK451&lt;&gt;"")),Data!$BK$2,"")</f>
        <v/>
      </c>
      <c r="AP451" s="197"/>
      <c r="AQ451" s="328"/>
      <c r="AR451" s="451"/>
      <c r="AS451" s="452"/>
      <c r="AT451" s="438" t="str">
        <f t="shared" si="662"/>
        <v/>
      </c>
      <c r="AU451" s="328"/>
      <c r="AV451" s="197" t="str">
        <f>IF(AND($I451="x",AND(MAX(AR451:AT451)=AR451,AR451&lt;&gt;"")),Data!$BI$2,"")</f>
        <v/>
      </c>
      <c r="AW451" s="197" t="str">
        <f>IF(AND($J451="x",AND(MAX(AR451:AT451)=AS451,AS451&lt;&gt;"")),Data!$BJ$2,"")</f>
        <v/>
      </c>
      <c r="AX451" s="197" t="str">
        <f>IF(AND($K451="x",AND(MAX(AR451:AT451)=AT451,AT451&lt;&gt;"")),Data!$BK$2,"")</f>
        <v/>
      </c>
      <c r="AY451" s="197"/>
      <c r="AZ451" s="328"/>
      <c r="BA451" s="451"/>
      <c r="BB451" s="452"/>
      <c r="BC451" s="438" t="str">
        <f t="shared" si="663"/>
        <v/>
      </c>
      <c r="BD451" s="328"/>
      <c r="BE451" s="197" t="str">
        <f>IF(AND($I451="x",AND(MAX(BA451:BC451)=BA451,BA451&lt;&gt;"")),Data!$BI$2,"")</f>
        <v/>
      </c>
      <c r="BF451" s="197" t="str">
        <f>IF(AND($J451="x",AND(MAX(BA451:BC451)=BB451,BB451&lt;&gt;"")),Data!$BJ$2,"")</f>
        <v/>
      </c>
      <c r="BG451" s="197" t="str">
        <f>IF(AND($K451="x",AND(MAX(BA451:BC451)=BC451,BC451&lt;&gt;"")),Data!$BK$2,"")</f>
        <v/>
      </c>
      <c r="BH451" s="197"/>
      <c r="BI451" s="328"/>
      <c r="BJ451" s="451"/>
      <c r="BK451" s="452"/>
      <c r="BL451" s="438" t="str">
        <f t="shared" si="664"/>
        <v/>
      </c>
      <c r="BM451" s="328"/>
      <c r="BN451" s="197" t="str">
        <f>IF(AND($I451="x",AND(MAX(BJ451:BL451)=BJ451,BJ451&lt;&gt;"")),Data!$BI$2,"")</f>
        <v/>
      </c>
      <c r="BO451" s="197" t="str">
        <f>IF(AND($J451="x",AND(MAX(BJ451:BL451)=BK451,BK451&lt;&gt;"")),Data!$BJ$2,"")</f>
        <v/>
      </c>
      <c r="BP451" s="197" t="str">
        <f>IF(AND($K451="x",AND(MAX(BJ451:BL451)=BL451,BL451&lt;&gt;"")),Data!$BK$2,"")</f>
        <v/>
      </c>
      <c r="BQ451" s="197"/>
      <c r="BR451" s="328"/>
      <c r="BS451" s="451"/>
      <c r="BT451" s="452"/>
      <c r="BU451" s="438" t="str">
        <f t="shared" si="665"/>
        <v/>
      </c>
      <c r="BV451" s="328"/>
      <c r="BW451" s="197" t="str">
        <f>IF(AND($I451="x",AND(MAX(BS451:BU451)=BS451,BS451&lt;&gt;"")),Data!$BI$2,"")</f>
        <v/>
      </c>
      <c r="BX451" s="197" t="str">
        <f>IF(AND($J451="x",AND(MAX(BS451:BU451)=BT451,BT451&lt;&gt;"")),Data!$BJ$2,"")</f>
        <v/>
      </c>
      <c r="BY451" s="197" t="str">
        <f>IF(AND($K451="x",AND(MAX(BS451:BU451)=BU451,BU451&lt;&gt;"")),Data!$BK$2,"")</f>
        <v/>
      </c>
      <c r="BZ451" s="197"/>
      <c r="CA451" s="328"/>
      <c r="CB451" s="457" t="str">
        <f t="shared" si="666"/>
        <v/>
      </c>
      <c r="CC451" s="458" t="str">
        <f t="shared" si="667"/>
        <v/>
      </c>
      <c r="CD451" s="459" t="str">
        <f t="shared" si="668"/>
        <v/>
      </c>
      <c r="CE451" s="328"/>
      <c r="CF451" s="197" t="str">
        <f>IF(AND($I451="x",AND(MAX(CB451:CD451)=CB451,CB451&lt;&gt;"")),Data!$BI$2,"")</f>
        <v/>
      </c>
      <c r="CG451" s="197" t="str">
        <f>IF(AND($J451="x",AND(MAX(CB451:CD451)=CC451,CC451&lt;&gt;"")),Data!$BJ$2,"")</f>
        <v/>
      </c>
      <c r="CH451" s="197" t="str">
        <f>IF(AND($K451="x",AND(MAX(CB451:CD451)=CD451,CD451&lt;&gt;"")),Data!$BK$2,"")</f>
        <v/>
      </c>
      <c r="CI451" s="197"/>
      <c r="CJ451" s="197"/>
      <c r="CK451" s="451"/>
      <c r="CL451" s="452"/>
      <c r="CM451" s="438" t="str">
        <f t="shared" si="669"/>
        <v/>
      </c>
      <c r="CN451" s="328"/>
      <c r="CO451" s="197" t="str">
        <f>IF(AND($I451="x",AND(MAX(CK451:CM451)=CK451,CK451&lt;&gt;"")),Data!$BI$2,"")</f>
        <v/>
      </c>
      <c r="CP451" s="197" t="str">
        <f>IF(AND($J451="x",AND(MAX(CK451:CM451)=CL451,CL451&lt;&gt;"")),Data!$BJ$2,"")</f>
        <v/>
      </c>
      <c r="CQ451" s="197" t="str">
        <f>IF(AND($K451="x",AND(MAX(CK451:CM451)=CM451,CM451&lt;&gt;"")),Data!$BK$2,"")</f>
        <v/>
      </c>
      <c r="CR451" s="197"/>
      <c r="CS451" s="197"/>
      <c r="CT451" s="328"/>
      <c r="CU451" s="255"/>
      <c r="CV451" s="209"/>
      <c r="CW451" s="227"/>
    </row>
    <row r="452" spans="1:101" x14ac:dyDescent="0.2">
      <c r="A452" s="227"/>
      <c r="B452" s="227"/>
      <c r="C452" s="168"/>
      <c r="D452" s="232"/>
      <c r="E452" s="135" t="s">
        <v>300</v>
      </c>
      <c r="F452" s="425"/>
      <c r="G452" s="430" t="s">
        <v>51</v>
      </c>
      <c r="H452" s="431"/>
      <c r="I452" s="346" t="str">
        <f t="shared" si="656"/>
        <v/>
      </c>
      <c r="J452" s="347" t="str">
        <f t="shared" si="657"/>
        <v/>
      </c>
      <c r="K452" s="348" t="str">
        <f t="shared" si="658"/>
        <v/>
      </c>
      <c r="L452" s="258"/>
      <c r="M452" s="332"/>
      <c r="N452" s="336"/>
      <c r="O452" s="200"/>
      <c r="P452" s="200"/>
      <c r="Q452" s="439"/>
      <c r="R452" s="440"/>
      <c r="S452" s="441" t="str">
        <f t="shared" si="659"/>
        <v/>
      </c>
      <c r="T452" s="328"/>
      <c r="U452" s="197" t="str">
        <f>IF(AND($I452="x",AND(MAX(Q452:S452)=Q452,Q452&gt;=0)),Data!$BI$2,"")</f>
        <v/>
      </c>
      <c r="V452" s="197" t="str">
        <f>IF(AND($J452="x",AND(MAX(Q452:S452)=R452,R452&gt;=0)),Data!$BJ$2,"")</f>
        <v/>
      </c>
      <c r="W452" s="197" t="str">
        <f>IF(AND($K452="x",AND(MAX(Q452:S452)=S452,S452&gt;=0)),Data!$BK$2,"")</f>
        <v/>
      </c>
      <c r="X452" s="197"/>
      <c r="Y452" s="328"/>
      <c r="Z452" s="453"/>
      <c r="AA452" s="454"/>
      <c r="AB452" s="441" t="str">
        <f t="shared" si="660"/>
        <v/>
      </c>
      <c r="AC452" s="328"/>
      <c r="AD452" s="197" t="str">
        <f>IF(AND($I452="x",AND(MAX(Z452:AB452)=Z452,Z452&lt;&gt;"")),Data!$BI$2,"")</f>
        <v/>
      </c>
      <c r="AE452" s="197" t="str">
        <f>IF(AND($J452="x",AND(MAX(Z452:AB452)=AA452,AA452&lt;&gt;"")),Data!$BJ$2,"")</f>
        <v/>
      </c>
      <c r="AF452" s="197" t="str">
        <f>IF(AND($K452="x",AND(MAX(Z452:AB452)=AB452,AB452&lt;&gt;"")),Data!$BK$2,"")</f>
        <v/>
      </c>
      <c r="AG452" s="197"/>
      <c r="AH452" s="328"/>
      <c r="AI452" s="453"/>
      <c r="AJ452" s="454"/>
      <c r="AK452" s="441" t="str">
        <f t="shared" si="661"/>
        <v/>
      </c>
      <c r="AL452" s="328"/>
      <c r="AM452" s="197" t="str">
        <f>IF(AND($I452="x",AND(MAX(AI452:AK452)=AI452,AI452&lt;&gt;"")),Data!$BI$2,"")</f>
        <v/>
      </c>
      <c r="AN452" s="197" t="str">
        <f>IF(AND($J452="x",AND(MAX(AI452:AK452)=AJ452,AJ452&lt;&gt;"")),Data!$BJ$2,"")</f>
        <v/>
      </c>
      <c r="AO452" s="197" t="str">
        <f>IF(AND($K452="x",AND(MAX(AI452:AK452)=AK452,AK452&lt;&gt;"")),Data!$BK$2,"")</f>
        <v/>
      </c>
      <c r="AP452" s="197"/>
      <c r="AQ452" s="328"/>
      <c r="AR452" s="453"/>
      <c r="AS452" s="454"/>
      <c r="AT452" s="441" t="str">
        <f t="shared" si="662"/>
        <v/>
      </c>
      <c r="AU452" s="328"/>
      <c r="AV452" s="197" t="str">
        <f>IF(AND($I452="x",AND(MAX(AR452:AT452)=AR452,AR452&lt;&gt;"")),Data!$BI$2,"")</f>
        <v/>
      </c>
      <c r="AW452" s="197" t="str">
        <f>IF(AND($J452="x",AND(MAX(AR452:AT452)=AS452,AS452&lt;&gt;"")),Data!$BJ$2,"")</f>
        <v/>
      </c>
      <c r="AX452" s="197" t="str">
        <f>IF(AND($K452="x",AND(MAX(AR452:AT452)=AT452,AT452&lt;&gt;"")),Data!$BK$2,"")</f>
        <v/>
      </c>
      <c r="AY452" s="197"/>
      <c r="AZ452" s="328"/>
      <c r="BA452" s="453"/>
      <c r="BB452" s="454"/>
      <c r="BC452" s="441" t="str">
        <f t="shared" si="663"/>
        <v/>
      </c>
      <c r="BD452" s="328"/>
      <c r="BE452" s="197" t="str">
        <f>IF(AND($I452="x",AND(MAX(BA452:BC452)=BA452,BA452&lt;&gt;"")),Data!$BI$2,"")</f>
        <v/>
      </c>
      <c r="BF452" s="197" t="str">
        <f>IF(AND($J452="x",AND(MAX(BA452:BC452)=BB452,BB452&lt;&gt;"")),Data!$BJ$2,"")</f>
        <v/>
      </c>
      <c r="BG452" s="197" t="str">
        <f>IF(AND($K452="x",AND(MAX(BA452:BC452)=BC452,BC452&lt;&gt;"")),Data!$BK$2,"")</f>
        <v/>
      </c>
      <c r="BH452" s="197"/>
      <c r="BI452" s="328"/>
      <c r="BJ452" s="453"/>
      <c r="BK452" s="454"/>
      <c r="BL452" s="441" t="str">
        <f t="shared" si="664"/>
        <v/>
      </c>
      <c r="BM452" s="328"/>
      <c r="BN452" s="197" t="str">
        <f>IF(AND($I452="x",AND(MAX(BJ452:BL452)=BJ452,BJ452&lt;&gt;"")),Data!$BI$2,"")</f>
        <v/>
      </c>
      <c r="BO452" s="197" t="str">
        <f>IF(AND($J452="x",AND(MAX(BJ452:BL452)=BK452,BK452&lt;&gt;"")),Data!$BJ$2,"")</f>
        <v/>
      </c>
      <c r="BP452" s="197" t="str">
        <f>IF(AND($K452="x",AND(MAX(BJ452:BL452)=BL452,BL452&lt;&gt;"")),Data!$BK$2,"")</f>
        <v/>
      </c>
      <c r="BQ452" s="197"/>
      <c r="BR452" s="328"/>
      <c r="BS452" s="453"/>
      <c r="BT452" s="454"/>
      <c r="BU452" s="441" t="str">
        <f t="shared" si="665"/>
        <v/>
      </c>
      <c r="BV452" s="328"/>
      <c r="BW452" s="197" t="str">
        <f>IF(AND($I452="x",AND(MAX(BS452:BU452)=BS452,BS452&lt;&gt;"")),Data!$BI$2,"")</f>
        <v/>
      </c>
      <c r="BX452" s="197" t="str">
        <f>IF(AND($J452="x",AND(MAX(BS452:BU452)=BT452,BT452&lt;&gt;"")),Data!$BJ$2,"")</f>
        <v/>
      </c>
      <c r="BY452" s="197" t="str">
        <f>IF(AND($K452="x",AND(MAX(BS452:BU452)=BU452,BU452&lt;&gt;"")),Data!$BK$2,"")</f>
        <v/>
      </c>
      <c r="BZ452" s="197"/>
      <c r="CA452" s="328"/>
      <c r="CB452" s="460" t="str">
        <f t="shared" si="666"/>
        <v/>
      </c>
      <c r="CC452" s="461" t="str">
        <f t="shared" si="667"/>
        <v/>
      </c>
      <c r="CD452" s="462" t="str">
        <f t="shared" si="668"/>
        <v/>
      </c>
      <c r="CE452" s="328"/>
      <c r="CF452" s="197" t="str">
        <f>IF(AND($I452="x",AND(MAX(CB452:CD452)=CB452,CB452&lt;&gt;"")),Data!$BI$2,"")</f>
        <v/>
      </c>
      <c r="CG452" s="197" t="str">
        <f>IF(AND($J452="x",AND(MAX(CB452:CD452)=CC452,CC452&lt;&gt;"")),Data!$BJ$2,"")</f>
        <v/>
      </c>
      <c r="CH452" s="197" t="str">
        <f>IF(AND($K452="x",AND(MAX(CB452:CD452)=CD452,CD452&lt;&gt;"")),Data!$BK$2,"")</f>
        <v/>
      </c>
      <c r="CI452" s="197"/>
      <c r="CJ452" s="197"/>
      <c r="CK452" s="453"/>
      <c r="CL452" s="454"/>
      <c r="CM452" s="441" t="str">
        <f t="shared" si="669"/>
        <v/>
      </c>
      <c r="CN452" s="328"/>
      <c r="CO452" s="197" t="str">
        <f>IF(AND($I452="x",AND(MAX(CK452:CM452)=CK452,CK452&lt;&gt;"")),Data!$BI$2,"")</f>
        <v/>
      </c>
      <c r="CP452" s="197" t="str">
        <f>IF(AND($J452="x",AND(MAX(CK452:CM452)=CL452,CL452&lt;&gt;"")),Data!$BJ$2,"")</f>
        <v/>
      </c>
      <c r="CQ452" s="197" t="str">
        <f>IF(AND($K452="x",AND(MAX(CK452:CM452)=CM452,CM452&lt;&gt;"")),Data!$BK$2,"")</f>
        <v/>
      </c>
      <c r="CR452" s="197"/>
      <c r="CS452" s="197"/>
      <c r="CT452" s="328"/>
      <c r="CU452" s="255"/>
      <c r="CV452" s="209"/>
      <c r="CW452" s="227"/>
    </row>
    <row r="453" spans="1:101" x14ac:dyDescent="0.2">
      <c r="A453" s="227"/>
      <c r="B453" s="227"/>
      <c r="C453" s="168"/>
      <c r="D453" s="232"/>
      <c r="E453" s="136" t="s">
        <v>301</v>
      </c>
      <c r="F453" s="426"/>
      <c r="G453" s="432" t="s">
        <v>51</v>
      </c>
      <c r="H453" s="433"/>
      <c r="I453" s="349" t="str">
        <f t="shared" si="656"/>
        <v/>
      </c>
      <c r="J453" s="350" t="str">
        <f t="shared" si="657"/>
        <v/>
      </c>
      <c r="K453" s="351" t="str">
        <f t="shared" si="658"/>
        <v/>
      </c>
      <c r="L453" s="258"/>
      <c r="M453" s="332"/>
      <c r="N453" s="336"/>
      <c r="O453" s="200"/>
      <c r="P453" s="200"/>
      <c r="Q453" s="445"/>
      <c r="R453" s="446"/>
      <c r="S453" s="447" t="str">
        <f t="shared" si="659"/>
        <v/>
      </c>
      <c r="T453" s="328"/>
      <c r="U453" s="197" t="str">
        <f>IF(AND($I453="x",AND(MAX(Q453:S453)=Q453,Q453&gt;=0)),Data!$BI$2,"")</f>
        <v/>
      </c>
      <c r="V453" s="197" t="str">
        <f>IF(AND($J453="x",AND(MAX(Q453:S453)=R453,R453&gt;=0)),Data!$BJ$2,"")</f>
        <v/>
      </c>
      <c r="W453" s="197" t="str">
        <f>IF(AND($K453="x",AND(MAX(Q453:S453)=S453,S453&gt;=0)),Data!$BK$2,"")</f>
        <v/>
      </c>
      <c r="X453" s="197"/>
      <c r="Y453" s="328"/>
      <c r="Z453" s="455"/>
      <c r="AA453" s="456"/>
      <c r="AB453" s="447" t="str">
        <f t="shared" si="660"/>
        <v/>
      </c>
      <c r="AC453" s="328"/>
      <c r="AD453" s="197" t="str">
        <f>IF(AND($I453="x",AND(MAX(Z453:AB453)=Z453,Z453&lt;&gt;"")),Data!$BI$2,"")</f>
        <v/>
      </c>
      <c r="AE453" s="197" t="str">
        <f>IF(AND($J453="x",AND(MAX(Z453:AB453)=AA453,AA453&lt;&gt;"")),Data!$BJ$2,"")</f>
        <v/>
      </c>
      <c r="AF453" s="197" t="str">
        <f>IF(AND($K453="x",AND(MAX(Z453:AB453)=AB453,AB453&lt;&gt;"")),Data!$BK$2,"")</f>
        <v/>
      </c>
      <c r="AG453" s="197"/>
      <c r="AH453" s="328"/>
      <c r="AI453" s="455"/>
      <c r="AJ453" s="456"/>
      <c r="AK453" s="447" t="str">
        <f t="shared" si="661"/>
        <v/>
      </c>
      <c r="AL453" s="328"/>
      <c r="AM453" s="197" t="str">
        <f>IF(AND($I453="x",AND(MAX(AI453:AK453)=AI453,AI453&lt;&gt;"")),Data!$BI$2,"")</f>
        <v/>
      </c>
      <c r="AN453" s="197" t="str">
        <f>IF(AND($J453="x",AND(MAX(AI453:AK453)=AJ453,AJ453&lt;&gt;"")),Data!$BJ$2,"")</f>
        <v/>
      </c>
      <c r="AO453" s="197" t="str">
        <f>IF(AND($K453="x",AND(MAX(AI453:AK453)=AK453,AK453&lt;&gt;"")),Data!$BK$2,"")</f>
        <v/>
      </c>
      <c r="AP453" s="197"/>
      <c r="AQ453" s="328"/>
      <c r="AR453" s="455"/>
      <c r="AS453" s="456"/>
      <c r="AT453" s="447" t="str">
        <f t="shared" si="662"/>
        <v/>
      </c>
      <c r="AU453" s="328"/>
      <c r="AV453" s="197" t="str">
        <f>IF(AND($I453="x",AND(MAX(AR453:AT453)=AR453,AR453&lt;&gt;"")),Data!$BI$2,"")</f>
        <v/>
      </c>
      <c r="AW453" s="197" t="str">
        <f>IF(AND($J453="x",AND(MAX(AR453:AT453)=AS453,AS453&lt;&gt;"")),Data!$BJ$2,"")</f>
        <v/>
      </c>
      <c r="AX453" s="197" t="str">
        <f>IF(AND($K453="x",AND(MAX(AR453:AT453)=AT453,AT453&lt;&gt;"")),Data!$BK$2,"")</f>
        <v/>
      </c>
      <c r="AY453" s="197"/>
      <c r="AZ453" s="328"/>
      <c r="BA453" s="455"/>
      <c r="BB453" s="456"/>
      <c r="BC453" s="447" t="str">
        <f t="shared" si="663"/>
        <v/>
      </c>
      <c r="BD453" s="328"/>
      <c r="BE453" s="197" t="str">
        <f>IF(AND($I453="x",AND(MAX(BA453:BC453)=BA453,BA453&lt;&gt;"")),Data!$BI$2,"")</f>
        <v/>
      </c>
      <c r="BF453" s="197" t="str">
        <f>IF(AND($J453="x",AND(MAX(BA453:BC453)=BB453,BB453&lt;&gt;"")),Data!$BJ$2,"")</f>
        <v/>
      </c>
      <c r="BG453" s="197" t="str">
        <f>IF(AND($K453="x",AND(MAX(BA453:BC453)=BC453,BC453&lt;&gt;"")),Data!$BK$2,"")</f>
        <v/>
      </c>
      <c r="BH453" s="197"/>
      <c r="BI453" s="328"/>
      <c r="BJ453" s="455"/>
      <c r="BK453" s="456"/>
      <c r="BL453" s="447" t="str">
        <f t="shared" si="664"/>
        <v/>
      </c>
      <c r="BM453" s="328"/>
      <c r="BN453" s="197" t="str">
        <f>IF(AND($I453="x",AND(MAX(BJ453:BL453)=BJ453,BJ453&lt;&gt;"")),Data!$BI$2,"")</f>
        <v/>
      </c>
      <c r="BO453" s="197" t="str">
        <f>IF(AND($J453="x",AND(MAX(BJ453:BL453)=BK453,BK453&lt;&gt;"")),Data!$BJ$2,"")</f>
        <v/>
      </c>
      <c r="BP453" s="197" t="str">
        <f>IF(AND($K453="x",AND(MAX(BJ453:BL453)=BL453,BL453&lt;&gt;"")),Data!$BK$2,"")</f>
        <v/>
      </c>
      <c r="BQ453" s="197"/>
      <c r="BR453" s="328"/>
      <c r="BS453" s="455"/>
      <c r="BT453" s="456"/>
      <c r="BU453" s="447" t="str">
        <f t="shared" si="665"/>
        <v/>
      </c>
      <c r="BV453" s="328"/>
      <c r="BW453" s="197" t="str">
        <f>IF(AND($I453="x",AND(MAX(BS453:BU453)=BS453,BS453&lt;&gt;"")),Data!$BI$2,"")</f>
        <v/>
      </c>
      <c r="BX453" s="197" t="str">
        <f>IF(AND($J453="x",AND(MAX(BS453:BU453)=BT453,BT453&lt;&gt;"")),Data!$BJ$2,"")</f>
        <v/>
      </c>
      <c r="BY453" s="197" t="str">
        <f>IF(AND($K453="x",AND(MAX(BS453:BU453)=BU453,BU453&lt;&gt;"")),Data!$BK$2,"")</f>
        <v/>
      </c>
      <c r="BZ453" s="197"/>
      <c r="CA453" s="328"/>
      <c r="CB453" s="463" t="str">
        <f t="shared" si="666"/>
        <v/>
      </c>
      <c r="CC453" s="464" t="str">
        <f t="shared" si="667"/>
        <v/>
      </c>
      <c r="CD453" s="465" t="str">
        <f t="shared" si="668"/>
        <v/>
      </c>
      <c r="CE453" s="328"/>
      <c r="CF453" s="197" t="str">
        <f>IF(AND($I453="x",AND(MAX(CB453:CD453)=CB453,CB453&lt;&gt;"")),Data!$BI$2,"")</f>
        <v/>
      </c>
      <c r="CG453" s="197" t="str">
        <f>IF(AND($J453="x",AND(MAX(CB453:CD453)=CC453,CC453&lt;&gt;"")),Data!$BJ$2,"")</f>
        <v/>
      </c>
      <c r="CH453" s="197" t="str">
        <f>IF(AND($K453="x",AND(MAX(CB453:CD453)=CD453,CD453&lt;&gt;"")),Data!$BK$2,"")</f>
        <v/>
      </c>
      <c r="CI453" s="197"/>
      <c r="CJ453" s="197"/>
      <c r="CK453" s="455"/>
      <c r="CL453" s="456"/>
      <c r="CM453" s="447" t="str">
        <f t="shared" si="669"/>
        <v/>
      </c>
      <c r="CN453" s="328"/>
      <c r="CO453" s="197" t="str">
        <f>IF(AND($I453="x",AND(MAX(CK453:CM453)=CK453,CK453&lt;&gt;"")),Data!$BI$2,"")</f>
        <v/>
      </c>
      <c r="CP453" s="197" t="str">
        <f>IF(AND($J453="x",AND(MAX(CK453:CM453)=CL453,CL453&lt;&gt;"")),Data!$BJ$2,"")</f>
        <v/>
      </c>
      <c r="CQ453" s="197" t="str">
        <f>IF(AND($K453="x",AND(MAX(CK453:CM453)=CM453,CM453&lt;&gt;"")),Data!$BK$2,"")</f>
        <v/>
      </c>
      <c r="CR453" s="197"/>
      <c r="CS453" s="197"/>
      <c r="CT453" s="328"/>
      <c r="CU453" s="255"/>
      <c r="CV453" s="209"/>
      <c r="CW453" s="227"/>
    </row>
    <row r="454" spans="1:101" x14ac:dyDescent="0.2">
      <c r="A454" s="227"/>
      <c r="B454" s="227"/>
      <c r="C454" s="168"/>
      <c r="D454" s="232"/>
      <c r="E454" s="134" t="s">
        <v>302</v>
      </c>
      <c r="F454" s="424"/>
      <c r="G454" s="428" t="s">
        <v>51</v>
      </c>
      <c r="H454" s="429"/>
      <c r="I454" s="138" t="str">
        <f t="shared" si="656"/>
        <v/>
      </c>
      <c r="J454" s="344" t="str">
        <f t="shared" si="657"/>
        <v/>
      </c>
      <c r="K454" s="345" t="str">
        <f t="shared" si="658"/>
        <v/>
      </c>
      <c r="L454" s="258"/>
      <c r="M454" s="332"/>
      <c r="N454" s="336"/>
      <c r="O454" s="200"/>
      <c r="P454" s="200"/>
      <c r="Q454" s="436"/>
      <c r="R454" s="437"/>
      <c r="S454" s="438" t="str">
        <f t="shared" si="659"/>
        <v/>
      </c>
      <c r="T454" s="328"/>
      <c r="U454" s="197" t="str">
        <f>IF(AND($I454="x",AND(MAX(Q454:S454)=Q454,Q454&gt;=0)),Data!$BI$2,"")</f>
        <v/>
      </c>
      <c r="V454" s="197" t="str">
        <f>IF(AND($J454="x",AND(MAX(Q454:S454)=R454,R454&gt;=0)),Data!$BJ$2,"")</f>
        <v/>
      </c>
      <c r="W454" s="197" t="str">
        <f>IF(AND($K454="x",AND(MAX(Q454:S454)=S454,S454&gt;=0)),Data!$BK$2,"")</f>
        <v/>
      </c>
      <c r="X454" s="197"/>
      <c r="Y454" s="328"/>
      <c r="Z454" s="451"/>
      <c r="AA454" s="452"/>
      <c r="AB454" s="438" t="str">
        <f t="shared" si="660"/>
        <v/>
      </c>
      <c r="AC454" s="328"/>
      <c r="AD454" s="197" t="str">
        <f>IF(AND($I454="x",AND(MAX(Z454:AB454)=Z454,Z454&lt;&gt;"")),Data!$BI$2,"")</f>
        <v/>
      </c>
      <c r="AE454" s="197" t="str">
        <f>IF(AND($J454="x",AND(MAX(Z454:AB454)=AA454,AA454&lt;&gt;"")),Data!$BJ$2,"")</f>
        <v/>
      </c>
      <c r="AF454" s="197" t="str">
        <f>IF(AND($K454="x",AND(MAX(Z454:AB454)=AB454,AB454&lt;&gt;"")),Data!$BK$2,"")</f>
        <v/>
      </c>
      <c r="AG454" s="197"/>
      <c r="AH454" s="328"/>
      <c r="AI454" s="451"/>
      <c r="AJ454" s="452"/>
      <c r="AK454" s="438" t="str">
        <f t="shared" si="661"/>
        <v/>
      </c>
      <c r="AL454" s="328"/>
      <c r="AM454" s="197" t="str">
        <f>IF(AND($I454="x",AND(MAX(AI454:AK454)=AI454,AI454&lt;&gt;"")),Data!$BI$2,"")</f>
        <v/>
      </c>
      <c r="AN454" s="197" t="str">
        <f>IF(AND($J454="x",AND(MAX(AI454:AK454)=AJ454,AJ454&lt;&gt;"")),Data!$BJ$2,"")</f>
        <v/>
      </c>
      <c r="AO454" s="197" t="str">
        <f>IF(AND($K454="x",AND(MAX(AI454:AK454)=AK454,AK454&lt;&gt;"")),Data!$BK$2,"")</f>
        <v/>
      </c>
      <c r="AP454" s="197"/>
      <c r="AQ454" s="328"/>
      <c r="AR454" s="451"/>
      <c r="AS454" s="452"/>
      <c r="AT454" s="438" t="str">
        <f t="shared" si="662"/>
        <v/>
      </c>
      <c r="AU454" s="328"/>
      <c r="AV454" s="197" t="str">
        <f>IF(AND($I454="x",AND(MAX(AR454:AT454)=AR454,AR454&lt;&gt;"")),Data!$BI$2,"")</f>
        <v/>
      </c>
      <c r="AW454" s="197" t="str">
        <f>IF(AND($J454="x",AND(MAX(AR454:AT454)=AS454,AS454&lt;&gt;"")),Data!$BJ$2,"")</f>
        <v/>
      </c>
      <c r="AX454" s="197" t="str">
        <f>IF(AND($K454="x",AND(MAX(AR454:AT454)=AT454,AT454&lt;&gt;"")),Data!$BK$2,"")</f>
        <v/>
      </c>
      <c r="AY454" s="197"/>
      <c r="AZ454" s="328"/>
      <c r="BA454" s="451"/>
      <c r="BB454" s="452"/>
      <c r="BC454" s="438" t="str">
        <f t="shared" si="663"/>
        <v/>
      </c>
      <c r="BD454" s="328"/>
      <c r="BE454" s="197" t="str">
        <f>IF(AND($I454="x",AND(MAX(BA454:BC454)=BA454,BA454&lt;&gt;"")),Data!$BI$2,"")</f>
        <v/>
      </c>
      <c r="BF454" s="197" t="str">
        <f>IF(AND($J454="x",AND(MAX(BA454:BC454)=BB454,BB454&lt;&gt;"")),Data!$BJ$2,"")</f>
        <v/>
      </c>
      <c r="BG454" s="197" t="str">
        <f>IF(AND($K454="x",AND(MAX(BA454:BC454)=BC454,BC454&lt;&gt;"")),Data!$BK$2,"")</f>
        <v/>
      </c>
      <c r="BH454" s="197"/>
      <c r="BI454" s="328"/>
      <c r="BJ454" s="451"/>
      <c r="BK454" s="452"/>
      <c r="BL454" s="438" t="str">
        <f t="shared" si="664"/>
        <v/>
      </c>
      <c r="BM454" s="328"/>
      <c r="BN454" s="197" t="str">
        <f>IF(AND($I454="x",AND(MAX(BJ454:BL454)=BJ454,BJ454&lt;&gt;"")),Data!$BI$2,"")</f>
        <v/>
      </c>
      <c r="BO454" s="197" t="str">
        <f>IF(AND($J454="x",AND(MAX(BJ454:BL454)=BK454,BK454&lt;&gt;"")),Data!$BJ$2,"")</f>
        <v/>
      </c>
      <c r="BP454" s="197" t="str">
        <f>IF(AND($K454="x",AND(MAX(BJ454:BL454)=BL454,BL454&lt;&gt;"")),Data!$BK$2,"")</f>
        <v/>
      </c>
      <c r="BQ454" s="197"/>
      <c r="BR454" s="328"/>
      <c r="BS454" s="451"/>
      <c r="BT454" s="452"/>
      <c r="BU454" s="438" t="str">
        <f t="shared" si="665"/>
        <v/>
      </c>
      <c r="BV454" s="328"/>
      <c r="BW454" s="197" t="str">
        <f>IF(AND($I454="x",AND(MAX(BS454:BU454)=BS454,BS454&lt;&gt;"")),Data!$BI$2,"")</f>
        <v/>
      </c>
      <c r="BX454" s="197" t="str">
        <f>IF(AND($J454="x",AND(MAX(BS454:BU454)=BT454,BT454&lt;&gt;"")),Data!$BJ$2,"")</f>
        <v/>
      </c>
      <c r="BY454" s="197" t="str">
        <f>IF(AND($K454="x",AND(MAX(BS454:BU454)=BU454,BU454&lt;&gt;"")),Data!$BK$2,"")</f>
        <v/>
      </c>
      <c r="BZ454" s="197"/>
      <c r="CA454" s="328"/>
      <c r="CB454" s="457" t="str">
        <f t="shared" si="666"/>
        <v/>
      </c>
      <c r="CC454" s="458" t="str">
        <f t="shared" si="667"/>
        <v/>
      </c>
      <c r="CD454" s="459" t="str">
        <f t="shared" si="668"/>
        <v/>
      </c>
      <c r="CE454" s="328"/>
      <c r="CF454" s="197" t="str">
        <f>IF(AND($I454="x",AND(MAX(CB454:CD454)=CB454,CB454&lt;&gt;"")),Data!$BI$2,"")</f>
        <v/>
      </c>
      <c r="CG454" s="197" t="str">
        <f>IF(AND($J454="x",AND(MAX(CB454:CD454)=CC454,CC454&lt;&gt;"")),Data!$BJ$2,"")</f>
        <v/>
      </c>
      <c r="CH454" s="197" t="str">
        <f>IF(AND($K454="x",AND(MAX(CB454:CD454)=CD454,CD454&lt;&gt;"")),Data!$BK$2,"")</f>
        <v/>
      </c>
      <c r="CI454" s="197"/>
      <c r="CJ454" s="197"/>
      <c r="CK454" s="451"/>
      <c r="CL454" s="452"/>
      <c r="CM454" s="438" t="str">
        <f t="shared" si="669"/>
        <v/>
      </c>
      <c r="CN454" s="328"/>
      <c r="CO454" s="197" t="str">
        <f>IF(AND($I454="x",AND(MAX(CK454:CM454)=CK454,CK454&lt;&gt;"")),Data!$BI$2,"")</f>
        <v/>
      </c>
      <c r="CP454" s="197" t="str">
        <f>IF(AND($J454="x",AND(MAX(CK454:CM454)=CL454,CL454&lt;&gt;"")),Data!$BJ$2,"")</f>
        <v/>
      </c>
      <c r="CQ454" s="197" t="str">
        <f>IF(AND($K454="x",AND(MAX(CK454:CM454)=CM454,CM454&lt;&gt;"")),Data!$BK$2,"")</f>
        <v/>
      </c>
      <c r="CR454" s="197"/>
      <c r="CS454" s="197"/>
      <c r="CT454" s="328"/>
      <c r="CU454" s="259"/>
      <c r="CV454" s="209"/>
      <c r="CW454" s="227"/>
    </row>
    <row r="455" spans="1:101" x14ac:dyDescent="0.2">
      <c r="A455" s="227"/>
      <c r="B455" s="227"/>
      <c r="C455" s="168"/>
      <c r="D455" s="232"/>
      <c r="E455" s="135" t="s">
        <v>303</v>
      </c>
      <c r="F455" s="425"/>
      <c r="G455" s="430" t="s">
        <v>51</v>
      </c>
      <c r="H455" s="431"/>
      <c r="I455" s="346" t="str">
        <f t="shared" si="656"/>
        <v/>
      </c>
      <c r="J455" s="347" t="str">
        <f t="shared" si="657"/>
        <v/>
      </c>
      <c r="K455" s="348" t="str">
        <f t="shared" si="658"/>
        <v/>
      </c>
      <c r="L455" s="258"/>
      <c r="M455" s="332"/>
      <c r="N455" s="336"/>
      <c r="O455" s="200"/>
      <c r="P455" s="200"/>
      <c r="Q455" s="439"/>
      <c r="R455" s="440"/>
      <c r="S455" s="441" t="str">
        <f t="shared" si="659"/>
        <v/>
      </c>
      <c r="T455" s="328"/>
      <c r="U455" s="197" t="str">
        <f>IF(AND($I455="x",AND(MAX(Q455:S455)=Q455,Q455&gt;=0)),Data!$BI$2,"")</f>
        <v/>
      </c>
      <c r="V455" s="197" t="str">
        <f>IF(AND($J455="x",AND(MAX(Q455:S455)=R455,R455&gt;=0)),Data!$BJ$2,"")</f>
        <v/>
      </c>
      <c r="W455" s="197" t="str">
        <f>IF(AND($K455="x",AND(MAX(Q455:S455)=S455,S455&gt;=0)),Data!$BK$2,"")</f>
        <v/>
      </c>
      <c r="X455" s="197"/>
      <c r="Y455" s="328"/>
      <c r="Z455" s="453"/>
      <c r="AA455" s="454"/>
      <c r="AB455" s="441" t="str">
        <f t="shared" si="660"/>
        <v/>
      </c>
      <c r="AC455" s="328"/>
      <c r="AD455" s="197" t="str">
        <f>IF(AND($I455="x",AND(MAX(Z455:AB455)=Z455,Z455&lt;&gt;"")),Data!$BI$2,"")</f>
        <v/>
      </c>
      <c r="AE455" s="197" t="str">
        <f>IF(AND($J455="x",AND(MAX(Z455:AB455)=AA455,AA455&lt;&gt;"")),Data!$BJ$2,"")</f>
        <v/>
      </c>
      <c r="AF455" s="197" t="str">
        <f>IF(AND($K455="x",AND(MAX(Z455:AB455)=AB455,AB455&lt;&gt;"")),Data!$BK$2,"")</f>
        <v/>
      </c>
      <c r="AG455" s="197"/>
      <c r="AH455" s="328"/>
      <c r="AI455" s="453"/>
      <c r="AJ455" s="454"/>
      <c r="AK455" s="441" t="str">
        <f t="shared" si="661"/>
        <v/>
      </c>
      <c r="AL455" s="328"/>
      <c r="AM455" s="197" t="str">
        <f>IF(AND($I455="x",AND(MAX(AI455:AK455)=AI455,AI455&lt;&gt;"")),Data!$BI$2,"")</f>
        <v/>
      </c>
      <c r="AN455" s="197" t="str">
        <f>IF(AND($J455="x",AND(MAX(AI455:AK455)=AJ455,AJ455&lt;&gt;"")),Data!$BJ$2,"")</f>
        <v/>
      </c>
      <c r="AO455" s="197" t="str">
        <f>IF(AND($K455="x",AND(MAX(AI455:AK455)=AK455,AK455&lt;&gt;"")),Data!$BK$2,"")</f>
        <v/>
      </c>
      <c r="AP455" s="197"/>
      <c r="AQ455" s="328"/>
      <c r="AR455" s="453"/>
      <c r="AS455" s="454"/>
      <c r="AT455" s="441" t="str">
        <f t="shared" si="662"/>
        <v/>
      </c>
      <c r="AU455" s="328"/>
      <c r="AV455" s="197" t="str">
        <f>IF(AND($I455="x",AND(MAX(AR455:AT455)=AR455,AR455&lt;&gt;"")),Data!$BI$2,"")</f>
        <v/>
      </c>
      <c r="AW455" s="197" t="str">
        <f>IF(AND($J455="x",AND(MAX(AR455:AT455)=AS455,AS455&lt;&gt;"")),Data!$BJ$2,"")</f>
        <v/>
      </c>
      <c r="AX455" s="197" t="str">
        <f>IF(AND($K455="x",AND(MAX(AR455:AT455)=AT455,AT455&lt;&gt;"")),Data!$BK$2,"")</f>
        <v/>
      </c>
      <c r="AY455" s="197"/>
      <c r="AZ455" s="328"/>
      <c r="BA455" s="453"/>
      <c r="BB455" s="454"/>
      <c r="BC455" s="441" t="str">
        <f t="shared" si="663"/>
        <v/>
      </c>
      <c r="BD455" s="328"/>
      <c r="BE455" s="197" t="str">
        <f>IF(AND($I455="x",AND(MAX(BA455:BC455)=BA455,BA455&lt;&gt;"")),Data!$BI$2,"")</f>
        <v/>
      </c>
      <c r="BF455" s="197" t="str">
        <f>IF(AND($J455="x",AND(MAX(BA455:BC455)=BB455,BB455&lt;&gt;"")),Data!$BJ$2,"")</f>
        <v/>
      </c>
      <c r="BG455" s="197" t="str">
        <f>IF(AND($K455="x",AND(MAX(BA455:BC455)=BC455,BC455&lt;&gt;"")),Data!$BK$2,"")</f>
        <v/>
      </c>
      <c r="BH455" s="197"/>
      <c r="BI455" s="328"/>
      <c r="BJ455" s="453"/>
      <c r="BK455" s="454"/>
      <c r="BL455" s="441" t="str">
        <f t="shared" si="664"/>
        <v/>
      </c>
      <c r="BM455" s="328"/>
      <c r="BN455" s="197" t="str">
        <f>IF(AND($I455="x",AND(MAX(BJ455:BL455)=BJ455,BJ455&lt;&gt;"")),Data!$BI$2,"")</f>
        <v/>
      </c>
      <c r="BO455" s="197" t="str">
        <f>IF(AND($J455="x",AND(MAX(BJ455:BL455)=BK455,BK455&lt;&gt;"")),Data!$BJ$2,"")</f>
        <v/>
      </c>
      <c r="BP455" s="197" t="str">
        <f>IF(AND($K455="x",AND(MAX(BJ455:BL455)=BL455,BL455&lt;&gt;"")),Data!$BK$2,"")</f>
        <v/>
      </c>
      <c r="BQ455" s="197"/>
      <c r="BR455" s="328"/>
      <c r="BS455" s="453"/>
      <c r="BT455" s="454"/>
      <c r="BU455" s="441" t="str">
        <f t="shared" si="665"/>
        <v/>
      </c>
      <c r="BV455" s="328"/>
      <c r="BW455" s="197" t="str">
        <f>IF(AND($I455="x",AND(MAX(BS455:BU455)=BS455,BS455&lt;&gt;"")),Data!$BI$2,"")</f>
        <v/>
      </c>
      <c r="BX455" s="197" t="str">
        <f>IF(AND($J455="x",AND(MAX(BS455:BU455)=BT455,BT455&lt;&gt;"")),Data!$BJ$2,"")</f>
        <v/>
      </c>
      <c r="BY455" s="197" t="str">
        <f>IF(AND($K455="x",AND(MAX(BS455:BU455)=BU455,BU455&lt;&gt;"")),Data!$BK$2,"")</f>
        <v/>
      </c>
      <c r="BZ455" s="197"/>
      <c r="CA455" s="328"/>
      <c r="CB455" s="460" t="str">
        <f t="shared" si="666"/>
        <v/>
      </c>
      <c r="CC455" s="461" t="str">
        <f t="shared" si="667"/>
        <v/>
      </c>
      <c r="CD455" s="462" t="str">
        <f t="shared" si="668"/>
        <v/>
      </c>
      <c r="CE455" s="328"/>
      <c r="CF455" s="197" t="str">
        <f>IF(AND($I455="x",AND(MAX(CB455:CD455)=CB455,CB455&lt;&gt;"")),Data!$BI$2,"")</f>
        <v/>
      </c>
      <c r="CG455" s="197" t="str">
        <f>IF(AND($J455="x",AND(MAX(CB455:CD455)=CC455,CC455&lt;&gt;"")),Data!$BJ$2,"")</f>
        <v/>
      </c>
      <c r="CH455" s="197" t="str">
        <f>IF(AND($K455="x",AND(MAX(CB455:CD455)=CD455,CD455&lt;&gt;"")),Data!$BK$2,"")</f>
        <v/>
      </c>
      <c r="CI455" s="197"/>
      <c r="CJ455" s="197"/>
      <c r="CK455" s="453"/>
      <c r="CL455" s="454"/>
      <c r="CM455" s="441" t="str">
        <f t="shared" si="669"/>
        <v/>
      </c>
      <c r="CN455" s="328"/>
      <c r="CO455" s="197" t="str">
        <f>IF(AND($I455="x",AND(MAX(CK455:CM455)=CK455,CK455&lt;&gt;"")),Data!$BI$2,"")</f>
        <v/>
      </c>
      <c r="CP455" s="197" t="str">
        <f>IF(AND($J455="x",AND(MAX(CK455:CM455)=CL455,CL455&lt;&gt;"")),Data!$BJ$2,"")</f>
        <v/>
      </c>
      <c r="CQ455" s="197" t="str">
        <f>IF(AND($K455="x",AND(MAX(CK455:CM455)=CM455,CM455&lt;&gt;"")),Data!$BK$2,"")</f>
        <v/>
      </c>
      <c r="CR455" s="197"/>
      <c r="CS455" s="197"/>
      <c r="CT455" s="328"/>
      <c r="CU455" s="259"/>
      <c r="CV455" s="209"/>
      <c r="CW455" s="227"/>
    </row>
    <row r="456" spans="1:101" x14ac:dyDescent="0.2">
      <c r="A456" s="227"/>
      <c r="B456" s="227"/>
      <c r="C456" s="168"/>
      <c r="D456" s="232"/>
      <c r="E456" s="136" t="s">
        <v>304</v>
      </c>
      <c r="F456" s="426"/>
      <c r="G456" s="432" t="s">
        <v>51</v>
      </c>
      <c r="H456" s="433"/>
      <c r="I456" s="349" t="str">
        <f t="shared" si="656"/>
        <v/>
      </c>
      <c r="J456" s="350" t="str">
        <f t="shared" si="657"/>
        <v/>
      </c>
      <c r="K456" s="351" t="str">
        <f t="shared" si="658"/>
        <v/>
      </c>
      <c r="L456" s="258"/>
      <c r="M456" s="332"/>
      <c r="N456" s="336"/>
      <c r="O456" s="200"/>
      <c r="P456" s="200"/>
      <c r="Q456" s="445"/>
      <c r="R456" s="446"/>
      <c r="S456" s="447" t="str">
        <f t="shared" si="659"/>
        <v/>
      </c>
      <c r="T456" s="328"/>
      <c r="U456" s="197" t="str">
        <f>IF(AND($I456="x",AND(MAX(Q456:S456)=Q456,Q456&gt;=0)),Data!$BI$2,"")</f>
        <v/>
      </c>
      <c r="V456" s="197" t="str">
        <f>IF(AND($J456="x",AND(MAX(Q456:S456)=R456,R456&gt;=0)),Data!$BJ$2,"")</f>
        <v/>
      </c>
      <c r="W456" s="197" t="str">
        <f>IF(AND($K456="x",AND(MAX(Q456:S456)=S456,S456&gt;=0)),Data!$BK$2,"")</f>
        <v/>
      </c>
      <c r="X456" s="197"/>
      <c r="Y456" s="328"/>
      <c r="Z456" s="455"/>
      <c r="AA456" s="456"/>
      <c r="AB456" s="447" t="str">
        <f t="shared" si="660"/>
        <v/>
      </c>
      <c r="AC456" s="328"/>
      <c r="AD456" s="197" t="str">
        <f>IF(AND($I456="x",AND(MAX(Z456:AB456)=Z456,Z456&lt;&gt;"")),Data!$BI$2,"")</f>
        <v/>
      </c>
      <c r="AE456" s="197" t="str">
        <f>IF(AND($J456="x",AND(MAX(Z456:AB456)=AA456,AA456&lt;&gt;"")),Data!$BJ$2,"")</f>
        <v/>
      </c>
      <c r="AF456" s="197" t="str">
        <f>IF(AND($K456="x",AND(MAX(Z456:AB456)=AB456,AB456&lt;&gt;"")),Data!$BK$2,"")</f>
        <v/>
      </c>
      <c r="AG456" s="197"/>
      <c r="AH456" s="328"/>
      <c r="AI456" s="455"/>
      <c r="AJ456" s="456"/>
      <c r="AK456" s="447" t="str">
        <f t="shared" si="661"/>
        <v/>
      </c>
      <c r="AL456" s="328"/>
      <c r="AM456" s="197" t="str">
        <f>IF(AND($I456="x",AND(MAX(AI456:AK456)=AI456,AI456&lt;&gt;"")),Data!$BI$2,"")</f>
        <v/>
      </c>
      <c r="AN456" s="197" t="str">
        <f>IF(AND($J456="x",AND(MAX(AI456:AK456)=AJ456,AJ456&lt;&gt;"")),Data!$BJ$2,"")</f>
        <v/>
      </c>
      <c r="AO456" s="197" t="str">
        <f>IF(AND($K456="x",AND(MAX(AI456:AK456)=AK456,AK456&lt;&gt;"")),Data!$BK$2,"")</f>
        <v/>
      </c>
      <c r="AP456" s="197"/>
      <c r="AQ456" s="328"/>
      <c r="AR456" s="455"/>
      <c r="AS456" s="456"/>
      <c r="AT456" s="447" t="str">
        <f t="shared" si="662"/>
        <v/>
      </c>
      <c r="AU456" s="328"/>
      <c r="AV456" s="197" t="str">
        <f>IF(AND($I456="x",AND(MAX(AR456:AT456)=AR456,AR456&lt;&gt;"")),Data!$BI$2,"")</f>
        <v/>
      </c>
      <c r="AW456" s="197" t="str">
        <f>IF(AND($J456="x",AND(MAX(AR456:AT456)=AS456,AS456&lt;&gt;"")),Data!$BJ$2,"")</f>
        <v/>
      </c>
      <c r="AX456" s="197" t="str">
        <f>IF(AND($K456="x",AND(MAX(AR456:AT456)=AT456,AT456&lt;&gt;"")),Data!$BK$2,"")</f>
        <v/>
      </c>
      <c r="AY456" s="197"/>
      <c r="AZ456" s="328"/>
      <c r="BA456" s="455"/>
      <c r="BB456" s="456"/>
      <c r="BC456" s="447" t="str">
        <f t="shared" si="663"/>
        <v/>
      </c>
      <c r="BD456" s="328"/>
      <c r="BE456" s="197" t="str">
        <f>IF(AND($I456="x",AND(MAX(BA456:BC456)=BA456,BA456&lt;&gt;"")),Data!$BI$2,"")</f>
        <v/>
      </c>
      <c r="BF456" s="197" t="str">
        <f>IF(AND($J456="x",AND(MAX(BA456:BC456)=BB456,BB456&lt;&gt;"")),Data!$BJ$2,"")</f>
        <v/>
      </c>
      <c r="BG456" s="197" t="str">
        <f>IF(AND($K456="x",AND(MAX(BA456:BC456)=BC456,BC456&lt;&gt;"")),Data!$BK$2,"")</f>
        <v/>
      </c>
      <c r="BH456" s="197"/>
      <c r="BI456" s="328"/>
      <c r="BJ456" s="455"/>
      <c r="BK456" s="456"/>
      <c r="BL456" s="447" t="str">
        <f t="shared" si="664"/>
        <v/>
      </c>
      <c r="BM456" s="328"/>
      <c r="BN456" s="197" t="str">
        <f>IF(AND($I456="x",AND(MAX(BJ456:BL456)=BJ456,BJ456&lt;&gt;"")),Data!$BI$2,"")</f>
        <v/>
      </c>
      <c r="BO456" s="197" t="str">
        <f>IF(AND($J456="x",AND(MAX(BJ456:BL456)=BK456,BK456&lt;&gt;"")),Data!$BJ$2,"")</f>
        <v/>
      </c>
      <c r="BP456" s="197" t="str">
        <f>IF(AND($K456="x",AND(MAX(BJ456:BL456)=BL456,BL456&lt;&gt;"")),Data!$BK$2,"")</f>
        <v/>
      </c>
      <c r="BQ456" s="197"/>
      <c r="BR456" s="328"/>
      <c r="BS456" s="455"/>
      <c r="BT456" s="456"/>
      <c r="BU456" s="447" t="str">
        <f t="shared" si="665"/>
        <v/>
      </c>
      <c r="BV456" s="328"/>
      <c r="BW456" s="197" t="str">
        <f>IF(AND($I456="x",AND(MAX(BS456:BU456)=BS456,BS456&lt;&gt;"")),Data!$BI$2,"")</f>
        <v/>
      </c>
      <c r="BX456" s="197" t="str">
        <f>IF(AND($J456="x",AND(MAX(BS456:BU456)=BT456,BT456&lt;&gt;"")),Data!$BJ$2,"")</f>
        <v/>
      </c>
      <c r="BY456" s="197" t="str">
        <f>IF(AND($K456="x",AND(MAX(BS456:BU456)=BU456,BU456&lt;&gt;"")),Data!$BK$2,"")</f>
        <v/>
      </c>
      <c r="BZ456" s="197"/>
      <c r="CA456" s="328"/>
      <c r="CB456" s="463" t="str">
        <f t="shared" si="666"/>
        <v/>
      </c>
      <c r="CC456" s="464" t="str">
        <f t="shared" si="667"/>
        <v/>
      </c>
      <c r="CD456" s="465" t="str">
        <f t="shared" si="668"/>
        <v/>
      </c>
      <c r="CE456" s="328"/>
      <c r="CF456" s="197" t="str">
        <f>IF(AND($I456="x",AND(MAX(CB456:CD456)=CB456,CB456&lt;&gt;"")),Data!$BI$2,"")</f>
        <v/>
      </c>
      <c r="CG456" s="197" t="str">
        <f>IF(AND($J456="x",AND(MAX(CB456:CD456)=CC456,CC456&lt;&gt;"")),Data!$BJ$2,"")</f>
        <v/>
      </c>
      <c r="CH456" s="197" t="str">
        <f>IF(AND($K456="x",AND(MAX(CB456:CD456)=CD456,CD456&lt;&gt;"")),Data!$BK$2,"")</f>
        <v/>
      </c>
      <c r="CI456" s="197"/>
      <c r="CJ456" s="197"/>
      <c r="CK456" s="455"/>
      <c r="CL456" s="456"/>
      <c r="CM456" s="447" t="str">
        <f t="shared" si="669"/>
        <v/>
      </c>
      <c r="CN456" s="328"/>
      <c r="CO456" s="197" t="str">
        <f>IF(AND($I456="x",AND(MAX(CK456:CM456)=CK456,CK456&lt;&gt;"")),Data!$BI$2,"")</f>
        <v/>
      </c>
      <c r="CP456" s="197" t="str">
        <f>IF(AND($J456="x",AND(MAX(CK456:CM456)=CL456,CL456&lt;&gt;"")),Data!$BJ$2,"")</f>
        <v/>
      </c>
      <c r="CQ456" s="197" t="str">
        <f>IF(AND($K456="x",AND(MAX(CK456:CM456)=CM456,CM456&lt;&gt;"")),Data!$BK$2,"")</f>
        <v/>
      </c>
      <c r="CR456" s="197"/>
      <c r="CS456" s="197"/>
      <c r="CT456" s="328"/>
      <c r="CU456" s="259"/>
      <c r="CV456" s="209"/>
      <c r="CW456" s="227"/>
    </row>
    <row r="457" spans="1:101" x14ac:dyDescent="0.2">
      <c r="A457" s="227"/>
      <c r="B457" s="227"/>
      <c r="C457" s="168"/>
      <c r="D457" s="232"/>
      <c r="E457" s="137" t="s">
        <v>305</v>
      </c>
      <c r="F457" s="427"/>
      <c r="G457" s="434" t="s">
        <v>51</v>
      </c>
      <c r="H457" s="435"/>
      <c r="I457" s="138" t="str">
        <f t="shared" si="656"/>
        <v/>
      </c>
      <c r="J457" s="344" t="str">
        <f t="shared" si="657"/>
        <v/>
      </c>
      <c r="K457" s="345" t="str">
        <f t="shared" si="658"/>
        <v/>
      </c>
      <c r="L457" s="258"/>
      <c r="M457" s="332"/>
      <c r="N457" s="336"/>
      <c r="O457" s="200"/>
      <c r="P457" s="200"/>
      <c r="Q457" s="448"/>
      <c r="R457" s="449"/>
      <c r="S457" s="450" t="str">
        <f t="shared" si="659"/>
        <v/>
      </c>
      <c r="T457" s="328"/>
      <c r="U457" s="197" t="str">
        <f>IF(AND($I457="x",AND(MAX(Q457:S457)=Q457,Q457&gt;=0)),Data!$BI$2,"")</f>
        <v/>
      </c>
      <c r="V457" s="197" t="str">
        <f>IF(AND($J457="x",AND(MAX(Q457:S457)=R457,R457&gt;=0)),Data!$BJ$2,"")</f>
        <v/>
      </c>
      <c r="W457" s="197" t="str">
        <f>IF(AND($K457="x",AND(MAX(Q457:S457)=S457,S457&gt;=0)),Data!$BK$2,"")</f>
        <v/>
      </c>
      <c r="X457" s="197"/>
      <c r="Y457" s="328"/>
      <c r="Z457" s="451"/>
      <c r="AA457" s="452"/>
      <c r="AB457" s="450" t="str">
        <f t="shared" si="660"/>
        <v/>
      </c>
      <c r="AC457" s="328"/>
      <c r="AD457" s="197" t="str">
        <f>IF(AND($I457="x",AND(MAX(Z457:AB457)=Z457,Z457&lt;&gt;"")),Data!$BI$2,"")</f>
        <v/>
      </c>
      <c r="AE457" s="197" t="str">
        <f>IF(AND($J457="x",AND(MAX(Z457:AB457)=AA457,AA457&lt;&gt;"")),Data!$BJ$2,"")</f>
        <v/>
      </c>
      <c r="AF457" s="197" t="str">
        <f>IF(AND($K457="x",AND(MAX(Z457:AB457)=AB457,AB457&lt;&gt;"")),Data!$BK$2,"")</f>
        <v/>
      </c>
      <c r="AG457" s="197"/>
      <c r="AH457" s="328"/>
      <c r="AI457" s="451"/>
      <c r="AJ457" s="452"/>
      <c r="AK457" s="450" t="str">
        <f t="shared" si="661"/>
        <v/>
      </c>
      <c r="AL457" s="328"/>
      <c r="AM457" s="197" t="str">
        <f>IF(AND($I457="x",AND(MAX(AI457:AK457)=AI457,AI457&lt;&gt;"")),Data!$BI$2,"")</f>
        <v/>
      </c>
      <c r="AN457" s="197" t="str">
        <f>IF(AND($J457="x",AND(MAX(AI457:AK457)=AJ457,AJ457&lt;&gt;"")),Data!$BJ$2,"")</f>
        <v/>
      </c>
      <c r="AO457" s="197" t="str">
        <f>IF(AND($K457="x",AND(MAX(AI457:AK457)=AK457,AK457&lt;&gt;"")),Data!$BK$2,"")</f>
        <v/>
      </c>
      <c r="AP457" s="197"/>
      <c r="AQ457" s="328"/>
      <c r="AR457" s="451"/>
      <c r="AS457" s="452"/>
      <c r="AT457" s="450" t="str">
        <f t="shared" si="662"/>
        <v/>
      </c>
      <c r="AU457" s="328"/>
      <c r="AV457" s="197" t="str">
        <f>IF(AND($I457="x",AND(MAX(AR457:AT457)=AR457,AR457&lt;&gt;"")),Data!$BI$2,"")</f>
        <v/>
      </c>
      <c r="AW457" s="197" t="str">
        <f>IF(AND($J457="x",AND(MAX(AR457:AT457)=AS457,AS457&lt;&gt;"")),Data!$BJ$2,"")</f>
        <v/>
      </c>
      <c r="AX457" s="197" t="str">
        <f>IF(AND($K457="x",AND(MAX(AR457:AT457)=AT457,AT457&lt;&gt;"")),Data!$BK$2,"")</f>
        <v/>
      </c>
      <c r="AY457" s="197"/>
      <c r="AZ457" s="328"/>
      <c r="BA457" s="451"/>
      <c r="BB457" s="452"/>
      <c r="BC457" s="450" t="str">
        <f t="shared" si="663"/>
        <v/>
      </c>
      <c r="BD457" s="328"/>
      <c r="BE457" s="197" t="str">
        <f>IF(AND($I457="x",AND(MAX(BA457:BC457)=BA457,BA457&lt;&gt;"")),Data!$BI$2,"")</f>
        <v/>
      </c>
      <c r="BF457" s="197" t="str">
        <f>IF(AND($J457="x",AND(MAX(BA457:BC457)=BB457,BB457&lt;&gt;"")),Data!$BJ$2,"")</f>
        <v/>
      </c>
      <c r="BG457" s="197" t="str">
        <f>IF(AND($K457="x",AND(MAX(BA457:BC457)=BC457,BC457&lt;&gt;"")),Data!$BK$2,"")</f>
        <v/>
      </c>
      <c r="BH457" s="197"/>
      <c r="BI457" s="328"/>
      <c r="BJ457" s="451"/>
      <c r="BK457" s="452"/>
      <c r="BL457" s="450" t="str">
        <f t="shared" si="664"/>
        <v/>
      </c>
      <c r="BM457" s="328"/>
      <c r="BN457" s="197" t="str">
        <f>IF(AND($I457="x",AND(MAX(BJ457:BL457)=BJ457,BJ457&lt;&gt;"")),Data!$BI$2,"")</f>
        <v/>
      </c>
      <c r="BO457" s="197" t="str">
        <f>IF(AND($J457="x",AND(MAX(BJ457:BL457)=BK457,BK457&lt;&gt;"")),Data!$BJ$2,"")</f>
        <v/>
      </c>
      <c r="BP457" s="197" t="str">
        <f>IF(AND($K457="x",AND(MAX(BJ457:BL457)=BL457,BL457&lt;&gt;"")),Data!$BK$2,"")</f>
        <v/>
      </c>
      <c r="BQ457" s="197"/>
      <c r="BR457" s="328"/>
      <c r="BS457" s="451"/>
      <c r="BT457" s="452"/>
      <c r="BU457" s="450" t="str">
        <f t="shared" si="665"/>
        <v/>
      </c>
      <c r="BV457" s="328"/>
      <c r="BW457" s="197" t="str">
        <f>IF(AND($I457="x",AND(MAX(BS457:BU457)=BS457,BS457&lt;&gt;"")),Data!$BI$2,"")</f>
        <v/>
      </c>
      <c r="BX457" s="197" t="str">
        <f>IF(AND($J457="x",AND(MAX(BS457:BU457)=BT457,BT457&lt;&gt;"")),Data!$BJ$2,"")</f>
        <v/>
      </c>
      <c r="BY457" s="197" t="str">
        <f>IF(AND($K457="x",AND(MAX(BS457:BU457)=BU457,BU457&lt;&gt;"")),Data!$BK$2,"")</f>
        <v/>
      </c>
      <c r="BZ457" s="197"/>
      <c r="CA457" s="328"/>
      <c r="CB457" s="457" t="str">
        <f t="shared" si="666"/>
        <v/>
      </c>
      <c r="CC457" s="458" t="str">
        <f t="shared" si="667"/>
        <v/>
      </c>
      <c r="CD457" s="459" t="str">
        <f t="shared" si="668"/>
        <v/>
      </c>
      <c r="CE457" s="328"/>
      <c r="CF457" s="197" t="str">
        <f>IF(AND($I457="x",AND(MAX(CB457:CD457)=CB457,CB457&lt;&gt;"")),Data!$BI$2,"")</f>
        <v/>
      </c>
      <c r="CG457" s="197" t="str">
        <f>IF(AND($J457="x",AND(MAX(CB457:CD457)=CC457,CC457&lt;&gt;"")),Data!$BJ$2,"")</f>
        <v/>
      </c>
      <c r="CH457" s="197" t="str">
        <f>IF(AND($K457="x",AND(MAX(CB457:CD457)=CD457,CD457&lt;&gt;"")),Data!$BK$2,"")</f>
        <v/>
      </c>
      <c r="CI457" s="197"/>
      <c r="CJ457" s="197"/>
      <c r="CK457" s="451"/>
      <c r="CL457" s="452"/>
      <c r="CM457" s="450" t="str">
        <f t="shared" si="669"/>
        <v/>
      </c>
      <c r="CN457" s="328"/>
      <c r="CO457" s="197" t="str">
        <f>IF(AND($I457="x",AND(MAX(CK457:CM457)=CK457,CK457&lt;&gt;"")),Data!$BI$2,"")</f>
        <v/>
      </c>
      <c r="CP457" s="197" t="str">
        <f>IF(AND($J457="x",AND(MAX(CK457:CM457)=CL457,CL457&lt;&gt;"")),Data!$BJ$2,"")</f>
        <v/>
      </c>
      <c r="CQ457" s="197" t="str">
        <f>IF(AND($K457="x",AND(MAX(CK457:CM457)=CM457,CM457&lt;&gt;"")),Data!$BK$2,"")</f>
        <v/>
      </c>
      <c r="CR457" s="197"/>
      <c r="CS457" s="197"/>
      <c r="CT457" s="328"/>
      <c r="CU457" s="259"/>
      <c r="CV457" s="209"/>
      <c r="CW457" s="227"/>
    </row>
    <row r="458" spans="1:101" x14ac:dyDescent="0.2">
      <c r="A458" s="227"/>
      <c r="B458" s="227"/>
      <c r="C458" s="168"/>
      <c r="D458" s="232"/>
      <c r="E458" s="135" t="s">
        <v>306</v>
      </c>
      <c r="F458" s="425"/>
      <c r="G458" s="430" t="s">
        <v>51</v>
      </c>
      <c r="H458" s="431"/>
      <c r="I458" s="346" t="str">
        <f t="shared" si="656"/>
        <v/>
      </c>
      <c r="J458" s="347" t="str">
        <f t="shared" si="657"/>
        <v/>
      </c>
      <c r="K458" s="348" t="str">
        <f t="shared" si="658"/>
        <v/>
      </c>
      <c r="L458" s="258"/>
      <c r="M458" s="332"/>
      <c r="N458" s="336"/>
      <c r="O458" s="200"/>
      <c r="P458" s="200"/>
      <c r="Q458" s="439"/>
      <c r="R458" s="440"/>
      <c r="S458" s="441" t="str">
        <f t="shared" si="659"/>
        <v/>
      </c>
      <c r="T458" s="328"/>
      <c r="U458" s="197" t="str">
        <f>IF(AND($I458="x",AND(MAX(Q458:S458)=Q458,Q458&gt;=0)),Data!$BI$2,"")</f>
        <v/>
      </c>
      <c r="V458" s="197" t="str">
        <f>IF(AND($J458="x",AND(MAX(Q458:S458)=R458,R458&gt;=0)),Data!$BJ$2,"")</f>
        <v/>
      </c>
      <c r="W458" s="197" t="str">
        <f>IF(AND($K458="x",AND(MAX(Q458:S458)=S458,S458&gt;=0)),Data!$BK$2,"")</f>
        <v/>
      </c>
      <c r="X458" s="197"/>
      <c r="Y458" s="328"/>
      <c r="Z458" s="453"/>
      <c r="AA458" s="454"/>
      <c r="AB458" s="441" t="str">
        <f t="shared" si="660"/>
        <v/>
      </c>
      <c r="AC458" s="328"/>
      <c r="AD458" s="197" t="str">
        <f>IF(AND($I458="x",AND(MAX(Z458:AB458)=Z458,Z458&lt;&gt;"")),Data!$BI$2,"")</f>
        <v/>
      </c>
      <c r="AE458" s="197" t="str">
        <f>IF(AND($J458="x",AND(MAX(Z458:AB458)=AA458,AA458&lt;&gt;"")),Data!$BJ$2,"")</f>
        <v/>
      </c>
      <c r="AF458" s="197" t="str">
        <f>IF(AND($K458="x",AND(MAX(Z458:AB458)=AB458,AB458&lt;&gt;"")),Data!$BK$2,"")</f>
        <v/>
      </c>
      <c r="AG458" s="197"/>
      <c r="AH458" s="328"/>
      <c r="AI458" s="453"/>
      <c r="AJ458" s="454"/>
      <c r="AK458" s="441" t="str">
        <f t="shared" si="661"/>
        <v/>
      </c>
      <c r="AL458" s="328"/>
      <c r="AM458" s="197" t="str">
        <f>IF(AND($I458="x",AND(MAX(AI458:AK458)=AI458,AI458&lt;&gt;"")),Data!$BI$2,"")</f>
        <v/>
      </c>
      <c r="AN458" s="197" t="str">
        <f>IF(AND($J458="x",AND(MAX(AI458:AK458)=AJ458,AJ458&lt;&gt;"")),Data!$BJ$2,"")</f>
        <v/>
      </c>
      <c r="AO458" s="197" t="str">
        <f>IF(AND($K458="x",AND(MAX(AI458:AK458)=AK458,AK458&lt;&gt;"")),Data!$BK$2,"")</f>
        <v/>
      </c>
      <c r="AP458" s="197"/>
      <c r="AQ458" s="328"/>
      <c r="AR458" s="453"/>
      <c r="AS458" s="454"/>
      <c r="AT458" s="441" t="str">
        <f t="shared" si="662"/>
        <v/>
      </c>
      <c r="AU458" s="328"/>
      <c r="AV458" s="197" t="str">
        <f>IF(AND($I458="x",AND(MAX(AR458:AT458)=AR458,AR458&lt;&gt;"")),Data!$BI$2,"")</f>
        <v/>
      </c>
      <c r="AW458" s="197" t="str">
        <f>IF(AND($J458="x",AND(MAX(AR458:AT458)=AS458,AS458&lt;&gt;"")),Data!$BJ$2,"")</f>
        <v/>
      </c>
      <c r="AX458" s="197" t="str">
        <f>IF(AND($K458="x",AND(MAX(AR458:AT458)=AT458,AT458&lt;&gt;"")),Data!$BK$2,"")</f>
        <v/>
      </c>
      <c r="AY458" s="197"/>
      <c r="AZ458" s="328"/>
      <c r="BA458" s="453"/>
      <c r="BB458" s="454"/>
      <c r="BC458" s="441" t="str">
        <f t="shared" si="663"/>
        <v/>
      </c>
      <c r="BD458" s="328"/>
      <c r="BE458" s="197" t="str">
        <f>IF(AND($I458="x",AND(MAX(BA458:BC458)=BA458,BA458&lt;&gt;"")),Data!$BI$2,"")</f>
        <v/>
      </c>
      <c r="BF458" s="197" t="str">
        <f>IF(AND($J458="x",AND(MAX(BA458:BC458)=BB458,BB458&lt;&gt;"")),Data!$BJ$2,"")</f>
        <v/>
      </c>
      <c r="BG458" s="197" t="str">
        <f>IF(AND($K458="x",AND(MAX(BA458:BC458)=BC458,BC458&lt;&gt;"")),Data!$BK$2,"")</f>
        <v/>
      </c>
      <c r="BH458" s="197"/>
      <c r="BI458" s="328"/>
      <c r="BJ458" s="453"/>
      <c r="BK458" s="454"/>
      <c r="BL458" s="441" t="str">
        <f t="shared" si="664"/>
        <v/>
      </c>
      <c r="BM458" s="328"/>
      <c r="BN458" s="197" t="str">
        <f>IF(AND($I458="x",AND(MAX(BJ458:BL458)=BJ458,BJ458&lt;&gt;"")),Data!$BI$2,"")</f>
        <v/>
      </c>
      <c r="BO458" s="197" t="str">
        <f>IF(AND($J458="x",AND(MAX(BJ458:BL458)=BK458,BK458&lt;&gt;"")),Data!$BJ$2,"")</f>
        <v/>
      </c>
      <c r="BP458" s="197" t="str">
        <f>IF(AND($K458="x",AND(MAX(BJ458:BL458)=BL458,BL458&lt;&gt;"")),Data!$BK$2,"")</f>
        <v/>
      </c>
      <c r="BQ458" s="197"/>
      <c r="BR458" s="328"/>
      <c r="BS458" s="453"/>
      <c r="BT458" s="454"/>
      <c r="BU458" s="441" t="str">
        <f t="shared" si="665"/>
        <v/>
      </c>
      <c r="BV458" s="328"/>
      <c r="BW458" s="197" t="str">
        <f>IF(AND($I458="x",AND(MAX(BS458:BU458)=BS458,BS458&lt;&gt;"")),Data!$BI$2,"")</f>
        <v/>
      </c>
      <c r="BX458" s="197" t="str">
        <f>IF(AND($J458="x",AND(MAX(BS458:BU458)=BT458,BT458&lt;&gt;"")),Data!$BJ$2,"")</f>
        <v/>
      </c>
      <c r="BY458" s="197" t="str">
        <f>IF(AND($K458="x",AND(MAX(BS458:BU458)=BU458,BU458&lt;&gt;"")),Data!$BK$2,"")</f>
        <v/>
      </c>
      <c r="BZ458" s="197"/>
      <c r="CA458" s="328"/>
      <c r="CB458" s="460" t="str">
        <f t="shared" si="666"/>
        <v/>
      </c>
      <c r="CC458" s="461" t="str">
        <f t="shared" si="667"/>
        <v/>
      </c>
      <c r="CD458" s="462" t="str">
        <f t="shared" si="668"/>
        <v/>
      </c>
      <c r="CE458" s="328"/>
      <c r="CF458" s="197" t="str">
        <f>IF(AND($I458="x",AND(MAX(CB458:CD458)=CB458,CB458&lt;&gt;"")),Data!$BI$2,"")</f>
        <v/>
      </c>
      <c r="CG458" s="197" t="str">
        <f>IF(AND($J458="x",AND(MAX(CB458:CD458)=CC458,CC458&lt;&gt;"")),Data!$BJ$2,"")</f>
        <v/>
      </c>
      <c r="CH458" s="197" t="str">
        <f>IF(AND($K458="x",AND(MAX(CB458:CD458)=CD458,CD458&lt;&gt;"")),Data!$BK$2,"")</f>
        <v/>
      </c>
      <c r="CI458" s="197"/>
      <c r="CJ458" s="197"/>
      <c r="CK458" s="453"/>
      <c r="CL458" s="454"/>
      <c r="CM458" s="441" t="str">
        <f t="shared" si="669"/>
        <v/>
      </c>
      <c r="CN458" s="328"/>
      <c r="CO458" s="197" t="str">
        <f>IF(AND($I458="x",AND(MAX(CK458:CM458)=CK458,CK458&lt;&gt;"")),Data!$BI$2,"")</f>
        <v/>
      </c>
      <c r="CP458" s="197" t="str">
        <f>IF(AND($J458="x",AND(MAX(CK458:CM458)=CL458,CL458&lt;&gt;"")),Data!$BJ$2,"")</f>
        <v/>
      </c>
      <c r="CQ458" s="197" t="str">
        <f>IF(AND($K458="x",AND(MAX(CK458:CM458)=CM458,CM458&lt;&gt;"")),Data!$BK$2,"")</f>
        <v/>
      </c>
      <c r="CR458" s="197"/>
      <c r="CS458" s="197"/>
      <c r="CT458" s="328"/>
      <c r="CU458" s="259"/>
      <c r="CV458" s="209"/>
      <c r="CW458" s="227"/>
    </row>
    <row r="459" spans="1:101" x14ac:dyDescent="0.2">
      <c r="A459" s="227"/>
      <c r="B459" s="227"/>
      <c r="C459" s="168"/>
      <c r="D459" s="232"/>
      <c r="E459" s="136" t="s">
        <v>307</v>
      </c>
      <c r="F459" s="426"/>
      <c r="G459" s="432" t="s">
        <v>51</v>
      </c>
      <c r="H459" s="433"/>
      <c r="I459" s="349" t="str">
        <f t="shared" si="656"/>
        <v/>
      </c>
      <c r="J459" s="350" t="str">
        <f t="shared" si="657"/>
        <v/>
      </c>
      <c r="K459" s="351" t="str">
        <f t="shared" si="658"/>
        <v/>
      </c>
      <c r="L459" s="258"/>
      <c r="M459" s="332"/>
      <c r="N459" s="336"/>
      <c r="O459" s="200"/>
      <c r="P459" s="200"/>
      <c r="Q459" s="445"/>
      <c r="R459" s="446"/>
      <c r="S459" s="447" t="str">
        <f t="shared" si="659"/>
        <v/>
      </c>
      <c r="T459" s="328"/>
      <c r="U459" s="197" t="str">
        <f>IF(AND($I459="x",AND(MAX(Q459:S459)=Q459,Q459&gt;=0)),Data!$BI$2,"")</f>
        <v/>
      </c>
      <c r="V459" s="197" t="str">
        <f>IF(AND($J459="x",AND(MAX(Q459:S459)=R459,R459&gt;=0)),Data!$BJ$2,"")</f>
        <v/>
      </c>
      <c r="W459" s="197" t="str">
        <f>IF(AND($K459="x",AND(MAX(Q459:S459)=S459,S459&gt;=0)),Data!$BK$2,"")</f>
        <v/>
      </c>
      <c r="X459" s="197"/>
      <c r="Y459" s="328"/>
      <c r="Z459" s="455"/>
      <c r="AA459" s="456"/>
      <c r="AB459" s="447" t="str">
        <f t="shared" si="660"/>
        <v/>
      </c>
      <c r="AC459" s="328"/>
      <c r="AD459" s="197" t="str">
        <f>IF(AND($I459="x",AND(MAX(Z459:AB459)=Z459,Z459&lt;&gt;"")),Data!$BI$2,"")</f>
        <v/>
      </c>
      <c r="AE459" s="197" t="str">
        <f>IF(AND($J459="x",AND(MAX(Z459:AB459)=AA459,AA459&lt;&gt;"")),Data!$BJ$2,"")</f>
        <v/>
      </c>
      <c r="AF459" s="197" t="str">
        <f>IF(AND($K459="x",AND(MAX(Z459:AB459)=AB459,AB459&lt;&gt;"")),Data!$BK$2,"")</f>
        <v/>
      </c>
      <c r="AG459" s="197"/>
      <c r="AH459" s="328"/>
      <c r="AI459" s="455"/>
      <c r="AJ459" s="456"/>
      <c r="AK459" s="447" t="str">
        <f t="shared" si="661"/>
        <v/>
      </c>
      <c r="AL459" s="328"/>
      <c r="AM459" s="197" t="str">
        <f>IF(AND($I459="x",AND(MAX(AI459:AK459)=AI459,AI459&lt;&gt;"")),Data!$BI$2,"")</f>
        <v/>
      </c>
      <c r="AN459" s="197" t="str">
        <f>IF(AND($J459="x",AND(MAX(AI459:AK459)=AJ459,AJ459&lt;&gt;"")),Data!$BJ$2,"")</f>
        <v/>
      </c>
      <c r="AO459" s="197" t="str">
        <f>IF(AND($K459="x",AND(MAX(AI459:AK459)=AK459,AK459&lt;&gt;"")),Data!$BK$2,"")</f>
        <v/>
      </c>
      <c r="AP459" s="197"/>
      <c r="AQ459" s="328"/>
      <c r="AR459" s="455"/>
      <c r="AS459" s="456"/>
      <c r="AT459" s="447" t="str">
        <f t="shared" si="662"/>
        <v/>
      </c>
      <c r="AU459" s="328"/>
      <c r="AV459" s="197" t="str">
        <f>IF(AND($I459="x",AND(MAX(AR459:AT459)=AR459,AR459&lt;&gt;"")),Data!$BI$2,"")</f>
        <v/>
      </c>
      <c r="AW459" s="197" t="str">
        <f>IF(AND($J459="x",AND(MAX(AR459:AT459)=AS459,AS459&lt;&gt;"")),Data!$BJ$2,"")</f>
        <v/>
      </c>
      <c r="AX459" s="197" t="str">
        <f>IF(AND($K459="x",AND(MAX(AR459:AT459)=AT459,AT459&lt;&gt;"")),Data!$BK$2,"")</f>
        <v/>
      </c>
      <c r="AY459" s="197"/>
      <c r="AZ459" s="328"/>
      <c r="BA459" s="455"/>
      <c r="BB459" s="456"/>
      <c r="BC459" s="447" t="str">
        <f t="shared" si="663"/>
        <v/>
      </c>
      <c r="BD459" s="328"/>
      <c r="BE459" s="197" t="str">
        <f>IF(AND($I459="x",AND(MAX(BA459:BC459)=BA459,BA459&lt;&gt;"")),Data!$BI$2,"")</f>
        <v/>
      </c>
      <c r="BF459" s="197" t="str">
        <f>IF(AND($J459="x",AND(MAX(BA459:BC459)=BB459,BB459&lt;&gt;"")),Data!$BJ$2,"")</f>
        <v/>
      </c>
      <c r="BG459" s="197" t="str">
        <f>IF(AND($K459="x",AND(MAX(BA459:BC459)=BC459,BC459&lt;&gt;"")),Data!$BK$2,"")</f>
        <v/>
      </c>
      <c r="BH459" s="197"/>
      <c r="BI459" s="328"/>
      <c r="BJ459" s="455"/>
      <c r="BK459" s="456"/>
      <c r="BL459" s="447" t="str">
        <f t="shared" si="664"/>
        <v/>
      </c>
      <c r="BM459" s="328"/>
      <c r="BN459" s="197" t="str">
        <f>IF(AND($I459="x",AND(MAX(BJ459:BL459)=BJ459,BJ459&lt;&gt;"")),Data!$BI$2,"")</f>
        <v/>
      </c>
      <c r="BO459" s="197" t="str">
        <f>IF(AND($J459="x",AND(MAX(BJ459:BL459)=BK459,BK459&lt;&gt;"")),Data!$BJ$2,"")</f>
        <v/>
      </c>
      <c r="BP459" s="197" t="str">
        <f>IF(AND($K459="x",AND(MAX(BJ459:BL459)=BL459,BL459&lt;&gt;"")),Data!$BK$2,"")</f>
        <v/>
      </c>
      <c r="BQ459" s="197"/>
      <c r="BR459" s="328"/>
      <c r="BS459" s="455"/>
      <c r="BT459" s="456"/>
      <c r="BU459" s="447" t="str">
        <f t="shared" si="665"/>
        <v/>
      </c>
      <c r="BV459" s="328"/>
      <c r="BW459" s="197" t="str">
        <f>IF(AND($I459="x",AND(MAX(BS459:BU459)=BS459,BS459&lt;&gt;"")),Data!$BI$2,"")</f>
        <v/>
      </c>
      <c r="BX459" s="197" t="str">
        <f>IF(AND($J459="x",AND(MAX(BS459:BU459)=BT459,BT459&lt;&gt;"")),Data!$BJ$2,"")</f>
        <v/>
      </c>
      <c r="BY459" s="197" t="str">
        <f>IF(AND($K459="x",AND(MAX(BS459:BU459)=BU459,BU459&lt;&gt;"")),Data!$BK$2,"")</f>
        <v/>
      </c>
      <c r="BZ459" s="197"/>
      <c r="CA459" s="328"/>
      <c r="CB459" s="463" t="str">
        <f t="shared" si="666"/>
        <v/>
      </c>
      <c r="CC459" s="464" t="str">
        <f t="shared" si="667"/>
        <v/>
      </c>
      <c r="CD459" s="465" t="str">
        <f t="shared" si="668"/>
        <v/>
      </c>
      <c r="CE459" s="328"/>
      <c r="CF459" s="197" t="str">
        <f>IF(AND($I459="x",AND(MAX(CB459:CD459)=CB459,CB459&lt;&gt;"")),Data!$BI$2,"")</f>
        <v/>
      </c>
      <c r="CG459" s="197" t="str">
        <f>IF(AND($J459="x",AND(MAX(CB459:CD459)=CC459,CC459&lt;&gt;"")),Data!$BJ$2,"")</f>
        <v/>
      </c>
      <c r="CH459" s="197" t="str">
        <f>IF(AND($K459="x",AND(MAX(CB459:CD459)=CD459,CD459&lt;&gt;"")),Data!$BK$2,"")</f>
        <v/>
      </c>
      <c r="CI459" s="197"/>
      <c r="CJ459" s="197"/>
      <c r="CK459" s="455"/>
      <c r="CL459" s="456"/>
      <c r="CM459" s="447" t="str">
        <f t="shared" si="669"/>
        <v/>
      </c>
      <c r="CN459" s="328"/>
      <c r="CO459" s="197" t="str">
        <f>IF(AND($I459="x",AND(MAX(CK459:CM459)=CK459,CK459&lt;&gt;"")),Data!$BI$2,"")</f>
        <v/>
      </c>
      <c r="CP459" s="197" t="str">
        <f>IF(AND($J459="x",AND(MAX(CK459:CM459)=CL459,CL459&lt;&gt;"")),Data!$BJ$2,"")</f>
        <v/>
      </c>
      <c r="CQ459" s="197" t="str">
        <f>IF(AND($K459="x",AND(MAX(CK459:CM459)=CM459,CM459&lt;&gt;"")),Data!$BK$2,"")</f>
        <v/>
      </c>
      <c r="CR459" s="197"/>
      <c r="CS459" s="197"/>
      <c r="CT459" s="328"/>
      <c r="CU459" s="259"/>
      <c r="CV459" s="209"/>
      <c r="CW459" s="227"/>
    </row>
    <row r="460" spans="1:101" x14ac:dyDescent="0.2">
      <c r="A460" s="227"/>
      <c r="B460" s="227"/>
      <c r="C460" s="168"/>
      <c r="D460" s="233"/>
      <c r="E460" s="199"/>
      <c r="F460" s="352" t="str">
        <f>IF(SUM(F448:F459)=0,"",SUM(F448:F459))</f>
        <v/>
      </c>
      <c r="G460" s="327" t="s">
        <v>51</v>
      </c>
      <c r="H460" s="353" t="str">
        <f>IF(SUM(H448:H459)=0,"",SUM(H448:H459))</f>
        <v/>
      </c>
      <c r="I460" s="354" t="str">
        <f>IF(COUNTIF(I448:I459,"=x")=0,"",COUNTIF(I448:I459,"=x"))</f>
        <v/>
      </c>
      <c r="J460" s="355" t="str">
        <f>IF(COUNTIF(J448:J459,"=x")=0,"",COUNTIF(J448:J459,"=x"))</f>
        <v/>
      </c>
      <c r="K460" s="356" t="str">
        <f>IF(COUNTIF(K448:K459,"=x")=0,"",COUNTIF(K448:K459,"=x"))</f>
        <v/>
      </c>
      <c r="L460" s="258"/>
      <c r="M460" s="332"/>
      <c r="N460" s="336"/>
      <c r="O460" s="200"/>
      <c r="P460" s="326"/>
      <c r="Q460" s="422">
        <f>SUM(U448:U459)</f>
        <v>0</v>
      </c>
      <c r="R460" s="422">
        <f t="shared" ref="R460:S460" si="670">SUM(V448:V459)</f>
        <v>0</v>
      </c>
      <c r="S460" s="422">
        <f t="shared" si="670"/>
        <v>0</v>
      </c>
      <c r="T460" s="325"/>
      <c r="U460" s="197">
        <f>SUM(U448:U459)</f>
        <v>0</v>
      </c>
      <c r="V460" s="197">
        <f t="shared" ref="V460:W460" si="671">SUM(V448:V459)</f>
        <v>0</v>
      </c>
      <c r="W460" s="197">
        <f t="shared" si="671"/>
        <v>0</v>
      </c>
      <c r="X460" s="197"/>
      <c r="Y460" s="324"/>
      <c r="Z460" s="422">
        <f>SUM(AD448:AD459)</f>
        <v>0</v>
      </c>
      <c r="AA460" s="422">
        <f t="shared" ref="AA460:AB460" si="672">SUM(AE448:AE459)</f>
        <v>0</v>
      </c>
      <c r="AB460" s="422">
        <f t="shared" si="672"/>
        <v>0</v>
      </c>
      <c r="AC460" s="325"/>
      <c r="AD460" s="197">
        <f>SUM(AD448:AD459)</f>
        <v>0</v>
      </c>
      <c r="AE460" s="197">
        <f t="shared" ref="AE460:AF460" si="673">SUM(AE448:AE459)</f>
        <v>0</v>
      </c>
      <c r="AF460" s="197">
        <f t="shared" si="673"/>
        <v>0</v>
      </c>
      <c r="AG460" s="197"/>
      <c r="AH460" s="324"/>
      <c r="AI460" s="422">
        <f>SUM(AM448:AM459)</f>
        <v>0</v>
      </c>
      <c r="AJ460" s="422">
        <f t="shared" ref="AJ460:AK460" si="674">SUM(AN448:AN459)</f>
        <v>0</v>
      </c>
      <c r="AK460" s="422">
        <f t="shared" si="674"/>
        <v>0</v>
      </c>
      <c r="AL460" s="325"/>
      <c r="AM460" s="197">
        <f>SUM(AM448:AM459)</f>
        <v>0</v>
      </c>
      <c r="AN460" s="197">
        <f t="shared" ref="AN460:AO460" si="675">SUM(AN448:AN459)</f>
        <v>0</v>
      </c>
      <c r="AO460" s="197">
        <f t="shared" si="675"/>
        <v>0</v>
      </c>
      <c r="AP460" s="197"/>
      <c r="AQ460" s="324"/>
      <c r="AR460" s="422">
        <f>SUM(AV448:AV459)</f>
        <v>0</v>
      </c>
      <c r="AS460" s="422">
        <f t="shared" ref="AS460:AT460" si="676">SUM(AW448:AW459)</f>
        <v>0</v>
      </c>
      <c r="AT460" s="422">
        <f t="shared" si="676"/>
        <v>0</v>
      </c>
      <c r="AU460" s="325"/>
      <c r="AV460" s="197">
        <f>SUM(AV448:AV459)</f>
        <v>0</v>
      </c>
      <c r="AW460" s="197">
        <f t="shared" ref="AW460:AX460" si="677">SUM(AW448:AW459)</f>
        <v>0</v>
      </c>
      <c r="AX460" s="197">
        <f t="shared" si="677"/>
        <v>0</v>
      </c>
      <c r="AY460" s="197"/>
      <c r="AZ460" s="324"/>
      <c r="BA460" s="422">
        <f>SUM(BE448:BE459)</f>
        <v>0</v>
      </c>
      <c r="BB460" s="422">
        <f t="shared" ref="BB460:BC460" si="678">SUM(BF448:BF459)</f>
        <v>0</v>
      </c>
      <c r="BC460" s="422">
        <f t="shared" si="678"/>
        <v>0</v>
      </c>
      <c r="BD460" s="325"/>
      <c r="BE460" s="197">
        <f>SUM(BE448:BE459)</f>
        <v>0</v>
      </c>
      <c r="BF460" s="197">
        <f t="shared" ref="BF460:BG460" si="679">SUM(BF448:BF459)</f>
        <v>0</v>
      </c>
      <c r="BG460" s="197">
        <f t="shared" si="679"/>
        <v>0</v>
      </c>
      <c r="BH460" s="197"/>
      <c r="BI460" s="324"/>
      <c r="BJ460" s="422">
        <f>SUM(BN448:BN459)</f>
        <v>0</v>
      </c>
      <c r="BK460" s="422">
        <f t="shared" ref="BK460" si="680">SUM(BO448:BO459)</f>
        <v>0</v>
      </c>
      <c r="BL460" s="422">
        <f t="shared" ref="BL460" si="681">SUM(BP448:BP459)</f>
        <v>0</v>
      </c>
      <c r="BM460" s="325"/>
      <c r="BN460" s="197">
        <f>SUM(BN448:BN459)</f>
        <v>0</v>
      </c>
      <c r="BO460" s="197">
        <f t="shared" ref="BO460:BP460" si="682">SUM(BO448:BO459)</f>
        <v>0</v>
      </c>
      <c r="BP460" s="197">
        <f t="shared" si="682"/>
        <v>0</v>
      </c>
      <c r="BQ460" s="197"/>
      <c r="BR460" s="324"/>
      <c r="BS460" s="422">
        <f>SUM(BW448:BW459)</f>
        <v>0</v>
      </c>
      <c r="BT460" s="422">
        <f t="shared" ref="BT460:BU460" si="683">SUM(BX448:BX459)</f>
        <v>0</v>
      </c>
      <c r="BU460" s="422">
        <f t="shared" si="683"/>
        <v>0</v>
      </c>
      <c r="BV460" s="325"/>
      <c r="BW460" s="197">
        <f>SUM(BW448:BW459)</f>
        <v>0</v>
      </c>
      <c r="BX460" s="197">
        <f t="shared" ref="BX460:BY460" si="684">SUM(BX448:BX459)</f>
        <v>0</v>
      </c>
      <c r="BY460" s="197">
        <f t="shared" si="684"/>
        <v>0</v>
      </c>
      <c r="BZ460" s="197"/>
      <c r="CA460" s="326"/>
      <c r="CB460" s="422">
        <f>SUM(CF448:CF459)</f>
        <v>0</v>
      </c>
      <c r="CC460" s="422">
        <f t="shared" ref="CC460:CD460" si="685">SUM(CG448:CG459)</f>
        <v>0</v>
      </c>
      <c r="CD460" s="422">
        <f t="shared" si="685"/>
        <v>0</v>
      </c>
      <c r="CE460" s="325"/>
      <c r="CF460" s="197">
        <f>SUM(CF448:CF459)</f>
        <v>0</v>
      </c>
      <c r="CG460" s="197">
        <f t="shared" ref="CG460:CH460" si="686">SUM(CG448:CG459)</f>
        <v>0</v>
      </c>
      <c r="CH460" s="197">
        <f t="shared" si="686"/>
        <v>0</v>
      </c>
      <c r="CI460" s="197"/>
      <c r="CJ460" s="197"/>
      <c r="CK460" s="422">
        <f>SUM(CO448:CO459)</f>
        <v>0</v>
      </c>
      <c r="CL460" s="422">
        <f t="shared" ref="CL460:CM460" si="687">SUM(CP448:CP459)</f>
        <v>0</v>
      </c>
      <c r="CM460" s="422">
        <f t="shared" si="687"/>
        <v>0</v>
      </c>
      <c r="CN460" s="325"/>
      <c r="CO460" s="197">
        <f>SUM(CO448:CO459)</f>
        <v>0</v>
      </c>
      <c r="CP460" s="197">
        <f t="shared" ref="CP460:CQ460" si="688">SUM(CP448:CP459)</f>
        <v>0</v>
      </c>
      <c r="CQ460" s="197">
        <f t="shared" si="688"/>
        <v>0</v>
      </c>
      <c r="CR460" s="197"/>
      <c r="CS460" s="197"/>
      <c r="CT460" s="197"/>
      <c r="CU460" s="259"/>
      <c r="CV460" s="209"/>
      <c r="CW460" s="228"/>
    </row>
    <row r="461" spans="1:101" x14ac:dyDescent="0.2">
      <c r="A461" s="227"/>
      <c r="B461" s="227"/>
      <c r="C461" s="168"/>
      <c r="D461" s="249"/>
      <c r="E461" s="242"/>
      <c r="F461" s="243"/>
      <c r="G461" s="242"/>
      <c r="H461" s="242"/>
      <c r="I461" s="242"/>
      <c r="J461" s="242"/>
      <c r="K461" s="242"/>
      <c r="L461" s="252"/>
      <c r="M461" s="260"/>
      <c r="N461" s="337"/>
      <c r="O461" s="333"/>
      <c r="P461" s="244"/>
      <c r="Q461" s="245"/>
      <c r="R461" s="245"/>
      <c r="S461" s="245"/>
      <c r="T461" s="246"/>
      <c r="U461" s="247"/>
      <c r="V461" s="247"/>
      <c r="W461" s="247"/>
      <c r="X461" s="247"/>
      <c r="Y461" s="244"/>
      <c r="Z461" s="245"/>
      <c r="AA461" s="245"/>
      <c r="AB461" s="245"/>
      <c r="AC461" s="246"/>
      <c r="AD461" s="247"/>
      <c r="AE461" s="247"/>
      <c r="AF461" s="247"/>
      <c r="AG461" s="247"/>
      <c r="AH461" s="244"/>
      <c r="AI461" s="245"/>
      <c r="AJ461" s="245"/>
      <c r="AK461" s="245"/>
      <c r="AL461" s="246"/>
      <c r="AM461" s="247"/>
      <c r="AN461" s="247"/>
      <c r="AO461" s="247"/>
      <c r="AP461" s="247"/>
      <c r="AQ461" s="244"/>
      <c r="AR461" s="245"/>
      <c r="AS461" s="245"/>
      <c r="AT461" s="245"/>
      <c r="AU461" s="246"/>
      <c r="AV461" s="247"/>
      <c r="AW461" s="247"/>
      <c r="AX461" s="247"/>
      <c r="AY461" s="247"/>
      <c r="AZ461" s="244"/>
      <c r="BA461" s="245"/>
      <c r="BB461" s="245"/>
      <c r="BC461" s="245"/>
      <c r="BD461" s="246"/>
      <c r="BE461" s="247"/>
      <c r="BF461" s="247"/>
      <c r="BG461" s="247"/>
      <c r="BH461" s="247"/>
      <c r="BI461" s="244"/>
      <c r="BJ461" s="244"/>
      <c r="BK461" s="244"/>
      <c r="BL461" s="244"/>
      <c r="BM461" s="244"/>
      <c r="BN461" s="247"/>
      <c r="BO461" s="247"/>
      <c r="BP461" s="247"/>
      <c r="BQ461" s="247"/>
      <c r="BR461" s="244"/>
      <c r="BS461" s="244"/>
      <c r="BT461" s="244"/>
      <c r="BU461" s="244"/>
      <c r="BV461" s="244"/>
      <c r="BW461" s="247"/>
      <c r="BX461" s="247"/>
      <c r="BY461" s="247"/>
      <c r="BZ461" s="247"/>
      <c r="CA461" s="244"/>
      <c r="CB461" s="244"/>
      <c r="CC461" s="244"/>
      <c r="CD461" s="244"/>
      <c r="CE461" s="244"/>
      <c r="CF461" s="247"/>
      <c r="CG461" s="247"/>
      <c r="CH461" s="247"/>
      <c r="CI461" s="247"/>
      <c r="CJ461" s="248"/>
      <c r="CK461" s="248"/>
      <c r="CL461" s="248"/>
      <c r="CM461" s="248"/>
      <c r="CN461" s="248"/>
      <c r="CO461" s="247"/>
      <c r="CP461" s="247"/>
      <c r="CQ461" s="247"/>
      <c r="CR461" s="247"/>
      <c r="CS461" s="248"/>
      <c r="CT461" s="242"/>
      <c r="CU461" s="253"/>
      <c r="CV461" s="209"/>
      <c r="CW461" s="228"/>
    </row>
    <row r="462" spans="1:101" x14ac:dyDescent="0.2">
      <c r="A462" s="219"/>
      <c r="B462" s="219"/>
      <c r="C462" s="175"/>
      <c r="D462" s="176"/>
      <c r="E462" s="210"/>
      <c r="F462" s="211"/>
      <c r="G462" s="210"/>
      <c r="H462" s="210"/>
      <c r="I462" s="210"/>
      <c r="J462" s="210"/>
      <c r="K462" s="210"/>
      <c r="L462" s="212"/>
      <c r="M462" s="213"/>
      <c r="N462" s="213"/>
      <c r="O462" s="213"/>
      <c r="P462" s="213"/>
      <c r="Q462" s="210"/>
      <c r="R462" s="210"/>
      <c r="S462" s="210"/>
      <c r="T462" s="214"/>
      <c r="U462" s="215"/>
      <c r="V462" s="215"/>
      <c r="W462" s="215"/>
      <c r="X462" s="215"/>
      <c r="Y462" s="213"/>
      <c r="Z462" s="210"/>
      <c r="AA462" s="210"/>
      <c r="AB462" s="210"/>
      <c r="AC462" s="214"/>
      <c r="AD462" s="215"/>
      <c r="AE462" s="215"/>
      <c r="AF462" s="215"/>
      <c r="AG462" s="215"/>
      <c r="AH462" s="213"/>
      <c r="AI462" s="210"/>
      <c r="AJ462" s="210"/>
      <c r="AK462" s="210"/>
      <c r="AL462" s="214"/>
      <c r="AM462" s="215"/>
      <c r="AN462" s="215"/>
      <c r="AO462" s="215"/>
      <c r="AP462" s="215"/>
      <c r="AQ462" s="213"/>
      <c r="AR462" s="210"/>
      <c r="AS462" s="210"/>
      <c r="AT462" s="210"/>
      <c r="AU462" s="214"/>
      <c r="AV462" s="215"/>
      <c r="AW462" s="215"/>
      <c r="AX462" s="215"/>
      <c r="AY462" s="215"/>
      <c r="AZ462" s="213"/>
      <c r="BA462" s="210"/>
      <c r="BB462" s="210"/>
      <c r="BC462" s="210"/>
      <c r="BD462" s="214"/>
      <c r="BE462" s="215"/>
      <c r="BF462" s="215"/>
      <c r="BG462" s="215"/>
      <c r="BH462" s="215"/>
      <c r="BI462" s="213"/>
      <c r="BJ462" s="210"/>
      <c r="BK462" s="210"/>
      <c r="BL462" s="210"/>
      <c r="BM462" s="214"/>
      <c r="BN462" s="215"/>
      <c r="BO462" s="215"/>
      <c r="BP462" s="215"/>
      <c r="BQ462" s="215"/>
      <c r="BR462" s="177"/>
      <c r="BS462" s="210"/>
      <c r="BT462" s="210"/>
      <c r="BU462" s="210"/>
      <c r="BV462" s="213"/>
      <c r="BW462" s="215"/>
      <c r="BX462" s="215"/>
      <c r="BY462" s="215"/>
      <c r="BZ462" s="215"/>
      <c r="CA462" s="210"/>
      <c r="CB462" s="216"/>
      <c r="CC462" s="216"/>
      <c r="CD462" s="216"/>
      <c r="CE462" s="216"/>
      <c r="CF462" s="215"/>
      <c r="CG462" s="215"/>
      <c r="CH462" s="215"/>
      <c r="CI462" s="215"/>
      <c r="CJ462" s="210"/>
      <c r="CK462" s="210"/>
      <c r="CL462" s="210"/>
      <c r="CM462" s="210"/>
      <c r="CN462" s="210"/>
      <c r="CO462" s="215"/>
      <c r="CP462" s="215"/>
      <c r="CQ462" s="215"/>
      <c r="CR462" s="215"/>
      <c r="CS462" s="210"/>
      <c r="CT462" s="210"/>
      <c r="CU462" s="210"/>
      <c r="CV462" s="217"/>
      <c r="CW462" s="218"/>
    </row>
    <row r="463" spans="1:101" ht="14.25" thickTop="1" thickBot="1" x14ac:dyDescent="0.25">
      <c r="A463" s="218"/>
      <c r="B463" s="218"/>
      <c r="C463" s="218"/>
      <c r="D463" s="218"/>
      <c r="E463" s="218"/>
      <c r="F463" s="218"/>
      <c r="G463" s="218"/>
      <c r="H463" s="218"/>
      <c r="I463" s="218"/>
      <c r="J463" s="218"/>
      <c r="K463" s="218"/>
      <c r="L463" s="218"/>
      <c r="M463" s="218"/>
      <c r="N463" s="218"/>
      <c r="O463" s="218"/>
      <c r="P463" s="218"/>
      <c r="Q463" s="218"/>
      <c r="R463" s="218"/>
      <c r="S463" s="218"/>
      <c r="T463" s="218"/>
      <c r="U463" s="218"/>
      <c r="V463" s="218"/>
      <c r="W463" s="218"/>
      <c r="X463" s="218"/>
      <c r="Y463" s="218"/>
      <c r="Z463" s="218"/>
      <c r="AA463" s="218"/>
      <c r="AB463" s="218"/>
      <c r="AC463" s="218"/>
      <c r="AD463" s="218"/>
      <c r="AE463" s="218"/>
      <c r="AF463" s="218"/>
      <c r="AG463" s="218"/>
      <c r="AH463" s="218"/>
      <c r="AI463" s="218"/>
      <c r="AJ463" s="218"/>
      <c r="AK463" s="218"/>
      <c r="AL463" s="218"/>
      <c r="AM463" s="218"/>
      <c r="AN463" s="218"/>
      <c r="AO463" s="218"/>
      <c r="AP463" s="218"/>
      <c r="AQ463" s="218"/>
      <c r="AR463" s="218"/>
      <c r="AS463" s="218"/>
      <c r="AT463" s="218"/>
      <c r="AU463" s="218"/>
      <c r="AV463" s="218"/>
      <c r="AW463" s="218"/>
      <c r="AX463" s="218"/>
      <c r="AY463" s="218"/>
      <c r="AZ463" s="218"/>
      <c r="BA463" s="218"/>
      <c r="BB463" s="218"/>
      <c r="BC463" s="218"/>
      <c r="BD463" s="218"/>
      <c r="BE463" s="218"/>
      <c r="BF463" s="218"/>
      <c r="BG463" s="218"/>
      <c r="BH463" s="218"/>
      <c r="BI463" s="218"/>
      <c r="BJ463" s="218"/>
      <c r="BK463" s="218"/>
      <c r="BL463" s="218"/>
      <c r="BM463" s="218"/>
      <c r="BN463" s="218"/>
      <c r="BO463" s="218"/>
      <c r="BP463" s="218"/>
      <c r="BQ463" s="218"/>
      <c r="BR463" s="218"/>
      <c r="BS463" s="218"/>
      <c r="BT463" s="218"/>
      <c r="BU463" s="218"/>
      <c r="BV463" s="218"/>
      <c r="BW463" s="218"/>
      <c r="BX463" s="218"/>
      <c r="BY463" s="218"/>
      <c r="BZ463" s="218"/>
      <c r="CA463" s="218"/>
      <c r="CB463" s="392"/>
      <c r="CC463" s="392"/>
      <c r="CD463" s="392"/>
      <c r="CE463" s="392"/>
      <c r="CF463" s="218"/>
      <c r="CG463" s="218"/>
      <c r="CH463" s="218"/>
      <c r="CI463" s="218"/>
      <c r="CJ463" s="218"/>
      <c r="CK463" s="218"/>
      <c r="CL463" s="218"/>
      <c r="CM463" s="218"/>
      <c r="CN463" s="218"/>
      <c r="CO463" s="218"/>
      <c r="CP463" s="218"/>
      <c r="CQ463" s="218"/>
      <c r="CR463" s="218"/>
      <c r="CS463" s="218"/>
      <c r="CT463" s="218"/>
      <c r="CU463" s="218"/>
      <c r="CV463" s="218"/>
      <c r="CW463" s="218"/>
    </row>
    <row r="464" spans="1:101" ht="21" thickTop="1" x14ac:dyDescent="0.3">
      <c r="A464" s="219"/>
      <c r="B464" s="219"/>
      <c r="C464" s="157"/>
      <c r="D464" s="158"/>
      <c r="E464" s="731" t="s">
        <v>44</v>
      </c>
      <c r="F464" s="229"/>
      <c r="G464" s="229"/>
      <c r="H464" s="229"/>
      <c r="I464" s="877" t="e" vm="1">
        <v>#VALUE!</v>
      </c>
      <c r="J464" s="877"/>
      <c r="K464" s="877"/>
      <c r="L464" s="877"/>
      <c r="M464" s="159"/>
      <c r="N464" s="159"/>
      <c r="O464" s="159"/>
      <c r="P464" s="160"/>
      <c r="Q464" s="159"/>
      <c r="R464" s="159"/>
      <c r="S464" s="159"/>
      <c r="T464" s="161"/>
      <c r="U464" s="162"/>
      <c r="V464" s="162"/>
      <c r="W464" s="162"/>
      <c r="X464" s="162"/>
      <c r="Y464" s="160"/>
      <c r="Z464" s="159"/>
      <c r="AA464" s="159"/>
      <c r="AB464" s="159"/>
      <c r="AC464" s="161"/>
      <c r="AD464" s="162"/>
      <c r="AE464" s="162"/>
      <c r="AF464" s="162"/>
      <c r="AG464" s="162"/>
      <c r="AH464" s="160"/>
      <c r="AI464" s="159"/>
      <c r="AJ464" s="201"/>
      <c r="AK464" s="201"/>
      <c r="AL464" s="164"/>
      <c r="AM464" s="162"/>
      <c r="AN464" s="162"/>
      <c r="AO464" s="162"/>
      <c r="AP464" s="162"/>
      <c r="AQ464" s="202"/>
      <c r="AR464" s="203"/>
      <c r="AS464" s="165"/>
      <c r="AT464" s="166"/>
      <c r="AU464" s="164"/>
      <c r="AV464" s="162"/>
      <c r="AW464" s="162"/>
      <c r="AX464" s="162"/>
      <c r="AY464" s="162"/>
      <c r="AZ464" s="202"/>
      <c r="BA464" s="203"/>
      <c r="BB464" s="166"/>
      <c r="BC464" s="201"/>
      <c r="BD464" s="204"/>
      <c r="BE464" s="162"/>
      <c r="BF464" s="162"/>
      <c r="BG464" s="162"/>
      <c r="BH464" s="162"/>
      <c r="BI464" s="205"/>
      <c r="BJ464" s="201"/>
      <c r="BK464" s="201"/>
      <c r="BL464" s="201"/>
      <c r="BM464" s="204"/>
      <c r="BN464" s="162"/>
      <c r="BO464" s="162"/>
      <c r="BP464" s="162"/>
      <c r="BQ464" s="162"/>
      <c r="BR464" s="167"/>
      <c r="BS464" s="201"/>
      <c r="BT464" s="201"/>
      <c r="BU464" s="201"/>
      <c r="BV464" s="205"/>
      <c r="BW464" s="162"/>
      <c r="BX464" s="162"/>
      <c r="BY464" s="162"/>
      <c r="BZ464" s="162"/>
      <c r="CA464" s="201"/>
      <c r="CB464" s="393"/>
      <c r="CC464" s="393"/>
      <c r="CD464" s="393"/>
      <c r="CE464" s="393"/>
      <c r="CF464" s="162"/>
      <c r="CG464" s="162"/>
      <c r="CH464" s="162"/>
      <c r="CI464" s="162"/>
      <c r="CJ464" s="163"/>
      <c r="CK464" s="163"/>
      <c r="CL464" s="163"/>
      <c r="CM464" s="163"/>
      <c r="CN464" s="163"/>
      <c r="CO464" s="162"/>
      <c r="CP464" s="162"/>
      <c r="CQ464" s="162"/>
      <c r="CR464" s="162"/>
      <c r="CS464" s="163"/>
      <c r="CT464" s="358"/>
      <c r="CU464" s="201"/>
      <c r="CV464" s="206"/>
      <c r="CW464" s="218"/>
    </row>
    <row r="465" spans="1:101" ht="15.75" thickBot="1" x14ac:dyDescent="0.25">
      <c r="A465" s="219"/>
      <c r="B465" s="219"/>
      <c r="C465" s="168"/>
      <c r="D465" s="785"/>
      <c r="E465" s="869" t="s">
        <v>45</v>
      </c>
      <c r="F465" s="363"/>
      <c r="G465" s="363"/>
      <c r="H465" s="363"/>
      <c r="I465" s="878"/>
      <c r="J465" s="878"/>
      <c r="K465" s="878"/>
      <c r="L465" s="878"/>
      <c r="M465" s="363"/>
      <c r="N465" s="363"/>
      <c r="O465" s="363"/>
      <c r="P465" s="363"/>
      <c r="Q465" s="363"/>
      <c r="R465" s="363"/>
      <c r="S465" s="363"/>
      <c r="T465" s="363"/>
      <c r="U465" s="363"/>
      <c r="V465" s="363"/>
      <c r="W465" s="363"/>
      <c r="X465" s="363"/>
      <c r="Y465" s="363"/>
      <c r="Z465" s="363"/>
      <c r="AA465" s="363"/>
      <c r="AB465" s="363"/>
      <c r="AC465" s="363"/>
      <c r="AD465" s="363"/>
      <c r="AE465" s="363"/>
      <c r="AF465" s="363"/>
      <c r="AG465" s="363"/>
      <c r="AH465" s="363"/>
      <c r="AI465" s="363"/>
      <c r="AJ465" s="363"/>
      <c r="AK465" s="363"/>
      <c r="AL465" s="363"/>
      <c r="AM465" s="363"/>
      <c r="AN465" s="363"/>
      <c r="AO465" s="363"/>
      <c r="AP465" s="363"/>
      <c r="AQ465" s="363"/>
      <c r="AR465" s="363"/>
      <c r="AS465" s="363"/>
      <c r="AT465" s="363"/>
      <c r="AU465" s="363"/>
      <c r="AV465" s="363"/>
      <c r="AW465" s="363"/>
      <c r="AX465" s="363"/>
      <c r="AY465" s="363"/>
      <c r="AZ465" s="363"/>
      <c r="BA465" s="363"/>
      <c r="BB465" s="363"/>
      <c r="BC465" s="363"/>
      <c r="BD465" s="363"/>
      <c r="BE465" s="363"/>
      <c r="BF465" s="363"/>
      <c r="BG465" s="363"/>
      <c r="BH465" s="363"/>
      <c r="BI465" s="363"/>
      <c r="BJ465" s="363"/>
      <c r="BK465" s="363"/>
      <c r="BL465" s="363"/>
      <c r="BM465" s="363"/>
      <c r="BN465" s="363"/>
      <c r="BO465" s="363"/>
      <c r="BP465" s="363"/>
      <c r="BQ465" s="363"/>
      <c r="BR465" s="363"/>
      <c r="BS465" s="363"/>
      <c r="BT465" s="363"/>
      <c r="BU465" s="363"/>
      <c r="BV465" s="363"/>
      <c r="BW465" s="363"/>
      <c r="BX465" s="363"/>
      <c r="BY465" s="363"/>
      <c r="BZ465" s="363"/>
      <c r="CA465" s="363"/>
      <c r="CB465" s="394"/>
      <c r="CC465" s="394"/>
      <c r="CD465" s="394"/>
      <c r="CE465" s="394"/>
      <c r="CF465" s="363"/>
      <c r="CG465" s="363"/>
      <c r="CH465" s="363"/>
      <c r="CI465" s="363"/>
      <c r="CJ465" s="363"/>
      <c r="CK465" s="363"/>
      <c r="CL465" s="363"/>
      <c r="CM465" s="363"/>
      <c r="CN465" s="323"/>
      <c r="CO465" s="363"/>
      <c r="CP465" s="363"/>
      <c r="CQ465" s="363"/>
      <c r="CR465" s="363"/>
      <c r="CS465" s="323"/>
      <c r="CT465" s="155"/>
      <c r="CU465" s="269"/>
      <c r="CV465" s="209"/>
      <c r="CW465" s="218"/>
    </row>
    <row r="466" spans="1:101" ht="18.75" thickTop="1" x14ac:dyDescent="0.2">
      <c r="A466" s="219"/>
      <c r="B466" s="219"/>
      <c r="C466" s="174"/>
      <c r="D466" s="778"/>
      <c r="E466" s="777"/>
      <c r="F466" s="235"/>
      <c r="G466" s="234"/>
      <c r="H466" s="234"/>
      <c r="I466" s="875">
        <f>WEEKNUM(E467)</f>
        <v>2</v>
      </c>
      <c r="J466" s="875"/>
      <c r="K466" s="875"/>
      <c r="L466" s="250"/>
      <c r="M466" s="261"/>
      <c r="N466" s="205"/>
      <c r="O466" s="236"/>
      <c r="P466" s="236"/>
      <c r="Q466" s="675" t="str">
        <f>IF($F470="","",SUM(Q482:S482)-S468)</f>
        <v/>
      </c>
      <c r="R466" s="675"/>
      <c r="S466" s="675"/>
      <c r="T466" s="237"/>
      <c r="U466" s="238"/>
      <c r="V466" s="238"/>
      <c r="W466" s="238"/>
      <c r="X466" s="238"/>
      <c r="Y466" s="236"/>
      <c r="Z466" s="675" t="str">
        <f>IF($F470="","",SUM(Z482:AB482)-AB468)</f>
        <v/>
      </c>
      <c r="AA466" s="675"/>
      <c r="AB466" s="675"/>
      <c r="AC466" s="237"/>
      <c r="AD466" s="238"/>
      <c r="AE466" s="238"/>
      <c r="AF466" s="238"/>
      <c r="AG466" s="238"/>
      <c r="AH466" s="236"/>
      <c r="AI466" s="675" t="str">
        <f>IF($F470="","",SUM(AI482:AK482)-AK468)</f>
        <v/>
      </c>
      <c r="AJ466" s="675"/>
      <c r="AK466" s="675"/>
      <c r="AL466" s="237"/>
      <c r="AM466" s="238"/>
      <c r="AN466" s="238"/>
      <c r="AO466" s="238"/>
      <c r="AP466" s="238"/>
      <c r="AQ466" s="236"/>
      <c r="AR466" s="675" t="str">
        <f>IF($F470="","",SUM(AR482:AT482)-AT468)</f>
        <v/>
      </c>
      <c r="AS466" s="675"/>
      <c r="AT466" s="675"/>
      <c r="AU466" s="239"/>
      <c r="AV466" s="238"/>
      <c r="AW466" s="238"/>
      <c r="AX466" s="238"/>
      <c r="AY466" s="238"/>
      <c r="AZ466" s="240"/>
      <c r="BA466" s="675" t="str">
        <f>IF($F470="","",SUM(BA482:BC482)-BC468)</f>
        <v/>
      </c>
      <c r="BB466" s="675"/>
      <c r="BC466" s="675"/>
      <c r="BD466" s="239"/>
      <c r="BE466" s="238"/>
      <c r="BF466" s="238"/>
      <c r="BG466" s="238"/>
      <c r="BH466" s="238"/>
      <c r="BI466" s="240"/>
      <c r="BJ466" s="675" t="str">
        <f>IF($F470="","",SUM(BJ482:BL482)-BL468)</f>
        <v/>
      </c>
      <c r="BK466" s="675"/>
      <c r="BL466" s="675"/>
      <c r="BM466" s="239"/>
      <c r="BN466" s="238"/>
      <c r="BO466" s="238"/>
      <c r="BP466" s="238"/>
      <c r="BQ466" s="238"/>
      <c r="BR466" s="241"/>
      <c r="BS466" s="675" t="str">
        <f>IF($F470="","",SUM(BS482:BU482)-BU468)</f>
        <v/>
      </c>
      <c r="BT466" s="675"/>
      <c r="BU466" s="675"/>
      <c r="BV466" s="240"/>
      <c r="BW466" s="238"/>
      <c r="BX466" s="238"/>
      <c r="BY466" s="238"/>
      <c r="BZ466" s="238"/>
      <c r="CA466" s="241"/>
      <c r="CB466" s="675" t="str">
        <f>IF($F470="","",SUM(CB482:CD482)-CD468)</f>
        <v/>
      </c>
      <c r="CC466" s="675"/>
      <c r="CD466" s="675"/>
      <c r="CE466" s="240"/>
      <c r="CF466" s="238"/>
      <c r="CG466" s="238"/>
      <c r="CH466" s="238"/>
      <c r="CI466" s="238"/>
      <c r="CJ466" s="234"/>
      <c r="CK466" s="675" t="str">
        <f>IF($F470="","",SUM(CK482:CM482))</f>
        <v/>
      </c>
      <c r="CL466" s="675"/>
      <c r="CM466" s="675"/>
      <c r="CN466" s="240"/>
      <c r="CO466" s="238"/>
      <c r="CP466" s="238"/>
      <c r="CQ466" s="238"/>
      <c r="CR466" s="238"/>
      <c r="CS466" s="234"/>
      <c r="CT466" s="234"/>
      <c r="CU466" s="251"/>
      <c r="CV466" s="209"/>
      <c r="CW466" s="218"/>
    </row>
    <row r="467" spans="1:101" x14ac:dyDescent="0.2">
      <c r="A467" s="219"/>
      <c r="B467" s="219"/>
      <c r="C467" s="174"/>
      <c r="D467" s="779"/>
      <c r="E467" s="543">
        <f>E445+7</f>
        <v>46396</v>
      </c>
      <c r="F467" s="178"/>
      <c r="G467" s="179"/>
      <c r="H467" s="179"/>
      <c r="I467" s="876"/>
      <c r="J467" s="876"/>
      <c r="K467" s="876"/>
      <c r="L467" s="254"/>
      <c r="M467" s="329"/>
      <c r="N467" s="208"/>
      <c r="O467" s="180"/>
      <c r="P467" s="180"/>
      <c r="Q467" s="584" t="str">
        <f>IF(Q466="","",Q466/Data!$X$1)</f>
        <v/>
      </c>
      <c r="R467" s="584"/>
      <c r="S467" s="585" t="str">
        <f>IF(SUM(X470:X481)=0,"",SUM(X470:X481))</f>
        <v/>
      </c>
      <c r="T467" s="181"/>
      <c r="U467" s="182"/>
      <c r="V467" s="182"/>
      <c r="W467" s="182"/>
      <c r="X467" s="182"/>
      <c r="Y467" s="180"/>
      <c r="Z467" s="584" t="str">
        <f>IF(Z466="","",Z466/Data!$X$1)</f>
        <v/>
      </c>
      <c r="AA467" s="584"/>
      <c r="AB467" s="585" t="str">
        <f>IF(SUM(AG470:AG481)=0,"",SUM(AG470:AG481))</f>
        <v/>
      </c>
      <c r="AC467" s="181"/>
      <c r="AD467" s="182"/>
      <c r="AE467" s="182"/>
      <c r="AF467" s="182"/>
      <c r="AG467" s="182"/>
      <c r="AH467" s="180"/>
      <c r="AI467" s="584" t="str">
        <f>IF(AI466="","",AI466/Data!$X$1)</f>
        <v/>
      </c>
      <c r="AJ467" s="584"/>
      <c r="AK467" s="585" t="str">
        <f>IF(SUM(AP470:AP481)=0,"",SUM(AP470:AP481))</f>
        <v/>
      </c>
      <c r="AL467" s="181"/>
      <c r="AM467" s="182"/>
      <c r="AN467" s="182"/>
      <c r="AO467" s="182"/>
      <c r="AP467" s="182"/>
      <c r="AQ467" s="180"/>
      <c r="AR467" s="584" t="str">
        <f>IF(AR466="","",AR466/Data!$X$1)</f>
        <v/>
      </c>
      <c r="AS467" s="584"/>
      <c r="AT467" s="585" t="str">
        <f>IF(SUM(AY470:AY481)=0,"",SUM(AY470:AY481))</f>
        <v/>
      </c>
      <c r="AU467" s="183"/>
      <c r="AV467" s="182"/>
      <c r="AW467" s="182"/>
      <c r="AX467" s="182"/>
      <c r="AY467" s="182"/>
      <c r="AZ467" s="184"/>
      <c r="BA467" s="584" t="str">
        <f>IF(BA466="","",BA466/Data!$X$1)</f>
        <v/>
      </c>
      <c r="BB467" s="584"/>
      <c r="BC467" s="585" t="str">
        <f>IF(SUM(BH470:BH481)=0,"",SUM(BH470:BH481))</f>
        <v/>
      </c>
      <c r="BD467" s="183"/>
      <c r="BE467" s="182"/>
      <c r="BF467" s="182"/>
      <c r="BG467" s="182"/>
      <c r="BH467" s="182"/>
      <c r="BI467" s="184"/>
      <c r="BJ467" s="584" t="str">
        <f>IF(BJ466="","",BJ466/Data!$X$1)</f>
        <v/>
      </c>
      <c r="BK467" s="584"/>
      <c r="BL467" s="585" t="str">
        <f>IF(SUM(BQ470:BQ481)=0,"",SUM(BQ470:BQ481))</f>
        <v/>
      </c>
      <c r="BM467" s="183"/>
      <c r="BN467" s="182"/>
      <c r="BO467" s="182"/>
      <c r="BP467" s="182"/>
      <c r="BQ467" s="182"/>
      <c r="BR467" s="185"/>
      <c r="BS467" s="584" t="str">
        <f>IF(BS466="","",BS466/Data!$X$1)</f>
        <v/>
      </c>
      <c r="BT467" s="584"/>
      <c r="BU467" s="585" t="str">
        <f>IF(SUM(BZ470:BZ481)=0,"",SUM(BZ470:BZ481))</f>
        <v/>
      </c>
      <c r="BV467" s="184"/>
      <c r="BW467" s="182"/>
      <c r="BX467" s="182"/>
      <c r="BY467" s="182"/>
      <c r="BZ467" s="182"/>
      <c r="CA467" s="185"/>
      <c r="CB467" s="584" t="str">
        <f>IF(CB466="","",CB466/Data!$X$1)</f>
        <v/>
      </c>
      <c r="CC467" s="584"/>
      <c r="CD467" s="585" t="str">
        <f>IF(SUM(CI470:CI481)=0,"",SUM(CI470:CI481))</f>
        <v/>
      </c>
      <c r="CE467" s="184"/>
      <c r="CF467" s="182"/>
      <c r="CG467" s="182"/>
      <c r="CH467" s="182"/>
      <c r="CI467" s="182"/>
      <c r="CJ467" s="182"/>
      <c r="CK467" s="584" t="str">
        <f>IF(CK466="","",CK466/Data!$X$1)</f>
        <v/>
      </c>
      <c r="CL467" s="584"/>
      <c r="CM467" s="585" t="str">
        <f>IF(SUM(CR470:CR481)=0,"",SUM(CR470:CR481))</f>
        <v/>
      </c>
      <c r="CN467" s="184"/>
      <c r="CO467" s="182"/>
      <c r="CP467" s="182"/>
      <c r="CQ467" s="182"/>
      <c r="CR467" s="182"/>
      <c r="CS467" s="182"/>
      <c r="CT467" s="182"/>
      <c r="CU467" s="255"/>
      <c r="CV467" s="209"/>
      <c r="CW467" s="218"/>
    </row>
    <row r="468" spans="1:101" ht="13.5" thickBot="1" x14ac:dyDescent="0.25">
      <c r="A468" s="219"/>
      <c r="B468" s="219"/>
      <c r="C468" s="174"/>
      <c r="D468" s="230"/>
      <c r="E468" s="359"/>
      <c r="F468" s="186"/>
      <c r="G468" s="187"/>
      <c r="H468" s="187"/>
      <c r="I468" s="673"/>
      <c r="J468" s="674"/>
      <c r="K468" s="674"/>
      <c r="L468" s="256"/>
      <c r="M468" s="330"/>
      <c r="N468" s="334"/>
      <c r="O468" s="187"/>
      <c r="P468" s="187"/>
      <c r="Q468" s="342" t="str">
        <f>Data!$E$11</f>
        <v>AHH</v>
      </c>
      <c r="R468" s="343" t="str">
        <f>IF($F481="","",RANK(Q466,$Q466:$CL466))</f>
        <v/>
      </c>
      <c r="S468" s="466"/>
      <c r="T468" s="181"/>
      <c r="U468" s="182"/>
      <c r="V468" s="182"/>
      <c r="W468" s="182"/>
      <c r="X468" s="197">
        <f>COUNTIF(U470:W481,"&gt;0")</f>
        <v>0</v>
      </c>
      <c r="Y468" s="180"/>
      <c r="Z468" s="342" t="str">
        <f>Data!$E$12</f>
        <v>RB</v>
      </c>
      <c r="AA468" s="343" t="str">
        <f>IF($F481="","",RANK(Z466,$Q466:$CL466))</f>
        <v/>
      </c>
      <c r="AB468" s="466"/>
      <c r="AC468" s="181"/>
      <c r="AD468" s="182"/>
      <c r="AE468" s="182"/>
      <c r="AF468" s="182"/>
      <c r="AG468" s="197">
        <f>COUNTIF(AD470:AF481,"&gt;0")</f>
        <v>0</v>
      </c>
      <c r="AH468" s="180"/>
      <c r="AI468" s="342" t="str">
        <f>Data!$E$13</f>
        <v>EB</v>
      </c>
      <c r="AJ468" s="343" t="str">
        <f>IF($F481="","",RANK(AI466,$Q466:$CL466))</f>
        <v/>
      </c>
      <c r="AK468" s="466"/>
      <c r="AL468" s="181"/>
      <c r="AM468" s="182"/>
      <c r="AN468" s="182"/>
      <c r="AO468" s="182"/>
      <c r="AP468" s="197">
        <f>COUNTIF(AM470:AO481,"&gt;0")</f>
        <v>0</v>
      </c>
      <c r="AQ468" s="180"/>
      <c r="AR468" s="305" t="str">
        <f>Data!$E$14</f>
        <v>KAF</v>
      </c>
      <c r="AS468" s="343" t="str">
        <f>IF($F481="","",RANK(AR466,$Q466:$CL466))</f>
        <v/>
      </c>
      <c r="AT468" s="466"/>
      <c r="AU468" s="181"/>
      <c r="AV468" s="182"/>
      <c r="AW468" s="182"/>
      <c r="AX468" s="182"/>
      <c r="AY468" s="197">
        <f>COUNTIF(AV470:AX481,"&gt;0")</f>
        <v>0</v>
      </c>
      <c r="AZ468" s="180"/>
      <c r="BA468" s="305" t="str">
        <f>Data!$E$15</f>
        <v>ØG</v>
      </c>
      <c r="BB468" s="343" t="str">
        <f>IF($F481="","",RANK(BA466,$Q466:$CL466))</f>
        <v/>
      </c>
      <c r="BC468" s="466"/>
      <c r="BD468" s="181"/>
      <c r="BE468" s="182"/>
      <c r="BF468" s="182"/>
      <c r="BG468" s="182"/>
      <c r="BH468" s="197">
        <f>COUNTIF(BE470:BG481,"&gt;0")</f>
        <v>0</v>
      </c>
      <c r="BI468" s="180"/>
      <c r="BJ468" s="305" t="str">
        <f>Data!$E$16</f>
        <v>JH</v>
      </c>
      <c r="BK468" s="343" t="str">
        <f>IF($F481="","",RANK(BJ466,$Q466:$CL466))</f>
        <v/>
      </c>
      <c r="BL468" s="466"/>
      <c r="BM468" s="181"/>
      <c r="BN468" s="182"/>
      <c r="BO468" s="182"/>
      <c r="BP468" s="182"/>
      <c r="BQ468" s="197">
        <f>COUNTIF(BN470:BP481,"&gt;0")</f>
        <v>0</v>
      </c>
      <c r="BR468" s="188"/>
      <c r="BS468" s="305" t="str">
        <f>Data!$E$17</f>
        <v>TOH</v>
      </c>
      <c r="BT468" s="343" t="str">
        <f>IF($F481="","",RANK(BS466,$Q466:$CL466))</f>
        <v/>
      </c>
      <c r="BU468" s="466"/>
      <c r="BV468" s="180"/>
      <c r="BW468" s="182"/>
      <c r="BX468" s="182"/>
      <c r="BY468" s="182"/>
      <c r="BZ468" s="197">
        <f>COUNTIF(BW470:BY481,"&gt;0")</f>
        <v>0</v>
      </c>
      <c r="CA468" s="188"/>
      <c r="CB468" s="305" t="s">
        <v>26</v>
      </c>
      <c r="CC468" s="343" t="str">
        <f>IF($F481="","",RANK(CB466,$Q466:$CM466))</f>
        <v/>
      </c>
      <c r="CD468" s="467"/>
      <c r="CE468" s="180"/>
      <c r="CF468" s="182"/>
      <c r="CG468" s="182"/>
      <c r="CH468" s="182"/>
      <c r="CI468" s="197">
        <f>COUNTIF(CF470:CH481,"&gt;0")</f>
        <v>0</v>
      </c>
      <c r="CJ468" s="182"/>
      <c r="CK468" s="305" t="s">
        <v>27</v>
      </c>
      <c r="CL468" s="343" t="str">
        <f>IF($F481="","",RANK(CK466,$Q466:$CM466))</f>
        <v/>
      </c>
      <c r="CM468" s="669"/>
      <c r="CN468" s="180"/>
      <c r="CO468" s="182"/>
      <c r="CP468" s="182"/>
      <c r="CQ468" s="182"/>
      <c r="CR468" s="197">
        <f>COUNTIF(CO470:CQ481,"&gt;0")</f>
        <v>0</v>
      </c>
      <c r="CS468" s="182"/>
      <c r="CT468" s="182"/>
      <c r="CU468" s="255"/>
      <c r="CV468" s="209"/>
      <c r="CW468" s="218"/>
    </row>
    <row r="469" spans="1:101" ht="13.5" thickBot="1" x14ac:dyDescent="0.25">
      <c r="A469" s="227"/>
      <c r="B469" s="227"/>
      <c r="C469" s="168"/>
      <c r="D469" s="231"/>
      <c r="E469" s="189"/>
      <c r="F469" s="190"/>
      <c r="G469" s="191"/>
      <c r="H469" s="191"/>
      <c r="I469" s="192" t="s">
        <v>47</v>
      </c>
      <c r="J469" s="193" t="s">
        <v>48</v>
      </c>
      <c r="K469" s="194" t="s">
        <v>49</v>
      </c>
      <c r="L469" s="257"/>
      <c r="M469" s="331"/>
      <c r="N469" s="335"/>
      <c r="O469" s="195"/>
      <c r="P469" s="195"/>
      <c r="Q469" s="192" t="s">
        <v>47</v>
      </c>
      <c r="R469" s="193" t="s">
        <v>48</v>
      </c>
      <c r="S469" s="194" t="s">
        <v>49</v>
      </c>
      <c r="T469" s="196"/>
      <c r="U469" s="197"/>
      <c r="V469" s="197"/>
      <c r="W469" s="197"/>
      <c r="X469" s="197"/>
      <c r="Y469" s="195"/>
      <c r="Z469" s="192" t="s">
        <v>47</v>
      </c>
      <c r="AA469" s="193" t="s">
        <v>48</v>
      </c>
      <c r="AB469" s="194" t="s">
        <v>49</v>
      </c>
      <c r="AC469" s="196"/>
      <c r="AD469" s="197"/>
      <c r="AE469" s="197"/>
      <c r="AF469" s="197"/>
      <c r="AG469" s="197"/>
      <c r="AH469" s="195"/>
      <c r="AI469" s="192" t="s">
        <v>47</v>
      </c>
      <c r="AJ469" s="193" t="s">
        <v>48</v>
      </c>
      <c r="AK469" s="194" t="s">
        <v>49</v>
      </c>
      <c r="AL469" s="196"/>
      <c r="AM469" s="197"/>
      <c r="AN469" s="197"/>
      <c r="AO469" s="197"/>
      <c r="AP469" s="197"/>
      <c r="AQ469" s="195"/>
      <c r="AR469" s="192" t="s">
        <v>47</v>
      </c>
      <c r="AS469" s="193" t="s">
        <v>48</v>
      </c>
      <c r="AT469" s="194" t="s">
        <v>49</v>
      </c>
      <c r="AU469" s="196"/>
      <c r="AV469" s="197"/>
      <c r="AW469" s="197"/>
      <c r="AX469" s="197"/>
      <c r="AY469" s="197"/>
      <c r="AZ469" s="195"/>
      <c r="BA469" s="192" t="s">
        <v>47</v>
      </c>
      <c r="BB469" s="193" t="s">
        <v>48</v>
      </c>
      <c r="BC469" s="194" t="s">
        <v>49</v>
      </c>
      <c r="BD469" s="196"/>
      <c r="BE469" s="197"/>
      <c r="BF469" s="197"/>
      <c r="BG469" s="197"/>
      <c r="BH469" s="197"/>
      <c r="BI469" s="195"/>
      <c r="BJ469" s="192" t="s">
        <v>47</v>
      </c>
      <c r="BK469" s="193" t="s">
        <v>48</v>
      </c>
      <c r="BL469" s="194" t="s">
        <v>49</v>
      </c>
      <c r="BM469" s="196"/>
      <c r="BN469" s="197"/>
      <c r="BO469" s="197"/>
      <c r="BP469" s="197"/>
      <c r="BQ469" s="197"/>
      <c r="BR469" s="195"/>
      <c r="BS469" s="192" t="s">
        <v>47</v>
      </c>
      <c r="BT469" s="193" t="s">
        <v>48</v>
      </c>
      <c r="BU469" s="194" t="s">
        <v>49</v>
      </c>
      <c r="BV469" s="196"/>
      <c r="BW469" s="197"/>
      <c r="BX469" s="197"/>
      <c r="BY469" s="197"/>
      <c r="BZ469" s="197"/>
      <c r="CA469" s="195"/>
      <c r="CB469" s="192" t="s">
        <v>47</v>
      </c>
      <c r="CC469" s="193" t="s">
        <v>48</v>
      </c>
      <c r="CD469" s="194" t="s">
        <v>49</v>
      </c>
      <c r="CE469" s="196"/>
      <c r="CF469" s="197"/>
      <c r="CG469" s="197"/>
      <c r="CH469" s="197"/>
      <c r="CI469" s="197"/>
      <c r="CJ469" s="197"/>
      <c r="CK469" s="192" t="s">
        <v>47</v>
      </c>
      <c r="CL469" s="193" t="s">
        <v>48</v>
      </c>
      <c r="CM469" s="194" t="s">
        <v>49</v>
      </c>
      <c r="CN469" s="196"/>
      <c r="CO469" s="197"/>
      <c r="CP469" s="197"/>
      <c r="CQ469" s="197"/>
      <c r="CR469" s="197"/>
      <c r="CS469" s="197"/>
      <c r="CT469" s="198"/>
      <c r="CU469" s="255"/>
      <c r="CV469" s="209"/>
      <c r="CW469" s="228"/>
    </row>
    <row r="470" spans="1:101" x14ac:dyDescent="0.2">
      <c r="A470" s="227"/>
      <c r="B470" s="227"/>
      <c r="C470" s="168"/>
      <c r="D470" s="232"/>
      <c r="E470" s="134" t="s">
        <v>308</v>
      </c>
      <c r="F470" s="424"/>
      <c r="G470" s="428"/>
      <c r="H470" s="429"/>
      <c r="I470" s="138" t="str">
        <f t="shared" ref="I470:I481" si="689">IF($F470&gt;$H470,"x","")</f>
        <v/>
      </c>
      <c r="J470" s="344" t="str">
        <f t="shared" ref="J470:J481" si="690">IF(F470&lt;&gt;"",IF(H470&lt;&gt;"",IF(F470=H470,"x",""),""),"")</f>
        <v/>
      </c>
      <c r="K470" s="345" t="str">
        <f t="shared" ref="K470:K481" si="691">IF($F470&lt;$H470,"x","")</f>
        <v/>
      </c>
      <c r="L470" s="258"/>
      <c r="M470" s="332"/>
      <c r="N470" s="336"/>
      <c r="O470" s="200"/>
      <c r="P470" s="200"/>
      <c r="Q470" s="436"/>
      <c r="R470" s="437"/>
      <c r="S470" s="438" t="str">
        <f t="shared" ref="S470:S481" si="692">IF(Q470="","",100-SUM(Q470:R470))</f>
        <v/>
      </c>
      <c r="T470" s="328"/>
      <c r="U470" s="197" t="str">
        <f>IF(AND($I470="x",AND(MAX(Q470:S470)=Q470,Q470&gt;=0)),Data!$BI$2,"")</f>
        <v/>
      </c>
      <c r="V470" s="197" t="str">
        <f>IF(AND($J470="x",AND(MAX(Q470:S470)=R470,R470&gt;=0)),Data!$BJ$2,"")</f>
        <v/>
      </c>
      <c r="W470" s="197" t="str">
        <f>IF(AND($K470="x",AND(MAX(Q470:S470)=S470,S470&gt;=0)),Data!$BK$2,"")</f>
        <v/>
      </c>
      <c r="X470" s="197"/>
      <c r="Y470" s="328"/>
      <c r="Z470" s="451"/>
      <c r="AA470" s="452"/>
      <c r="AB470" s="438" t="str">
        <f t="shared" ref="AB470:AB481" si="693">IF(Z470="","",100-SUM(Z470:AA470))</f>
        <v/>
      </c>
      <c r="AC470" s="328"/>
      <c r="AD470" s="197" t="str">
        <f>IF(AND($I470="x",AND(MAX(Z470:AB470)=Z470,Z470&lt;&gt;"")),Data!$BI$2,"")</f>
        <v/>
      </c>
      <c r="AE470" s="197" t="str">
        <f>IF(AND($J470="x",AND(MAX(Z470:AB470)=AA470,AA470&lt;&gt;"")),Data!$BJ$2,"")</f>
        <v/>
      </c>
      <c r="AF470" s="197" t="str">
        <f>IF(AND($K470="x",AND(MAX(Z470:AB470)=AB470,AB470&lt;&gt;"")),Data!$BK$2,"")</f>
        <v/>
      </c>
      <c r="AG470" s="197"/>
      <c r="AH470" s="328"/>
      <c r="AI470" s="451"/>
      <c r="AJ470" s="452"/>
      <c r="AK470" s="438" t="str">
        <f t="shared" ref="AK470:AK481" si="694">IF(AI470="","",100-SUM(AI470:AJ470))</f>
        <v/>
      </c>
      <c r="AL470" s="328"/>
      <c r="AM470" s="197" t="str">
        <f>IF(AND($I470="x",AND(MAX(AI470:AK470)=AI470,AI470&lt;&gt;"")),Data!$BI$2,"")</f>
        <v/>
      </c>
      <c r="AN470" s="197" t="str">
        <f>IF(AND($J470="x",AND(MAX(AI470:AK470)=AJ470,AJ470&lt;&gt;"")),Data!$BJ$2,"")</f>
        <v/>
      </c>
      <c r="AO470" s="197" t="str">
        <f>IF(AND($K470="x",AND(MAX(AI470:AK470)=AK470,AK470&lt;&gt;"")),Data!$BK$2,"")</f>
        <v/>
      </c>
      <c r="AP470" s="197"/>
      <c r="AQ470" s="328"/>
      <c r="AR470" s="451"/>
      <c r="AS470" s="452"/>
      <c r="AT470" s="438" t="str">
        <f t="shared" ref="AT470:AT481" si="695">IF(AR470="","",100-SUM(AR470:AS470))</f>
        <v/>
      </c>
      <c r="AU470" s="328"/>
      <c r="AV470" s="197" t="str">
        <f>IF(AND($I470="x",AND(MAX(AR470:AT470)=AR470,AR470&lt;&gt;"")),Data!$BI$2,"")</f>
        <v/>
      </c>
      <c r="AW470" s="197" t="str">
        <f>IF(AND($J470="x",AND(MAX(AR470:AT470)=AS470,AS470&lt;&gt;"")),Data!$BJ$2,"")</f>
        <v/>
      </c>
      <c r="AX470" s="197" t="str">
        <f>IF(AND($K470="x",AND(MAX(AR470:AT470)=AT470,AT470&lt;&gt;"")),Data!$BK$2,"")</f>
        <v/>
      </c>
      <c r="AY470" s="197"/>
      <c r="AZ470" s="328"/>
      <c r="BA470" s="451"/>
      <c r="BB470" s="452"/>
      <c r="BC470" s="438" t="str">
        <f t="shared" ref="BC470:BC481" si="696">IF(BA470="","",100-SUM(BA470:BB470))</f>
        <v/>
      </c>
      <c r="BD470" s="328"/>
      <c r="BE470" s="197" t="str">
        <f>IF(AND($I470="x",AND(MAX(BA470:BC470)=BA470,BA470&lt;&gt;"")),Data!$BI$2,"")</f>
        <v/>
      </c>
      <c r="BF470" s="197" t="str">
        <f>IF(AND($J470="x",AND(MAX(BA470:BC470)=BB470,BB470&lt;&gt;"")),Data!$BJ$2,"")</f>
        <v/>
      </c>
      <c r="BG470" s="197" t="str">
        <f>IF(AND($K470="x",AND(MAX(BA470:BC470)=BC470,BC470&lt;&gt;"")),Data!$BK$2,"")</f>
        <v/>
      </c>
      <c r="BH470" s="197"/>
      <c r="BI470" s="328"/>
      <c r="BJ470" s="451"/>
      <c r="BK470" s="452"/>
      <c r="BL470" s="438" t="str">
        <f t="shared" ref="BL470:BL481" si="697">IF(BJ470="","",100-SUM(BJ470:BK470))</f>
        <v/>
      </c>
      <c r="BM470" s="328"/>
      <c r="BN470" s="197" t="str">
        <f>IF(AND($I470="x",AND(MAX(BJ470:BL470)=BJ470,BJ470&lt;&gt;"")),Data!$BI$2,"")</f>
        <v/>
      </c>
      <c r="BO470" s="197" t="str">
        <f>IF(AND($J470="x",AND(MAX(BJ470:BL470)=BK470,BK470&lt;&gt;"")),Data!$BJ$2,"")</f>
        <v/>
      </c>
      <c r="BP470" s="197" t="str">
        <f>IF(AND($K470="x",AND(MAX(BJ470:BL470)=BL470,BL470&lt;&gt;"")),Data!$BK$2,"")</f>
        <v/>
      </c>
      <c r="BQ470" s="197"/>
      <c r="BR470" s="328"/>
      <c r="BS470" s="451"/>
      <c r="BT470" s="452"/>
      <c r="BU470" s="438" t="str">
        <f t="shared" ref="BU470:BU481" si="698">IF(BS470="","",100-SUM(BS470:BT470))</f>
        <v/>
      </c>
      <c r="BV470" s="328"/>
      <c r="BW470" s="197" t="str">
        <f>IF(AND($I470="x",AND(MAX(BS470:BU470)=BS470,BS470&lt;&gt;"")),Data!$BI$2,"")</f>
        <v/>
      </c>
      <c r="BX470" s="197" t="str">
        <f>IF(AND($J470="x",AND(MAX(BS470:BU470)=BT470,BT470&lt;&gt;"")),Data!$BJ$2,"")</f>
        <v/>
      </c>
      <c r="BY470" s="197" t="str">
        <f>IF(AND($K470="x",AND(MAX(BS470:BU470)=BU470,BU470&lt;&gt;"")),Data!$BK$2,"")</f>
        <v/>
      </c>
      <c r="BZ470" s="197"/>
      <c r="CA470" s="328"/>
      <c r="CB470" s="457" t="str">
        <f t="shared" ref="CB470:CB481" si="699">IFERROR(ROUNDUP((SUM(Q470,Z470,AI470,AR470,BA470,BJ470,BS470)/SUM($Q470:$S470,$Z470:$AB470,$AI470:$AK470,$AR470:$AT470,$BA470:$BC470,$BJ470:$BL470,$BS470:$BU470))*100,-1),"")</f>
        <v/>
      </c>
      <c r="CC470" s="458" t="str">
        <f t="shared" ref="CC470:CC481" si="700">IFERROR(ROUNDDOWN((SUM(R470,AA470,AJ470,AS470,BB470,BK470,BT470)/SUM($Q470:$S470,$Z470:$AB470,$AI470:$AK470,$AR470:$AT470,$BA470:$BC470,$BJ470:$BL470,$BS470:$BU470))*100,-1),"")</f>
        <v/>
      </c>
      <c r="CD470" s="459" t="str">
        <f t="shared" ref="CD470:CD481" si="701">IF(CB470="","",100-SUM(CB470:CC470))</f>
        <v/>
      </c>
      <c r="CE470" s="328"/>
      <c r="CF470" s="197" t="str">
        <f>IF(AND($I470="x",AND(MAX(CB470:CD470)=CB470,CB470&lt;&gt;"")),Data!$BI$2,"")</f>
        <v/>
      </c>
      <c r="CG470" s="197" t="str">
        <f>IF(AND($J470="x",AND(MAX(CB470:CD470)=CC470,CC470&lt;&gt;"")),Data!$BJ$2,"")</f>
        <v/>
      </c>
      <c r="CH470" s="197" t="str">
        <f>IF(AND($K470="x",AND(MAX(CB470:CD470)=CD470,CD470&lt;&gt;"")),Data!$BK$2,"")</f>
        <v/>
      </c>
      <c r="CI470" s="197"/>
      <c r="CJ470" s="197"/>
      <c r="CK470" s="451"/>
      <c r="CL470" s="452"/>
      <c r="CM470" s="438" t="str">
        <f t="shared" ref="CM470:CM481" si="702">IF(CK470="","",100-SUM(CK470:CL470))</f>
        <v/>
      </c>
      <c r="CN470" s="328"/>
      <c r="CO470" s="197" t="str">
        <f>IF(AND($I470="x",AND(MAX(CK470:CM470)=CK470,CK470&lt;&gt;"")),Data!$BI$2,"")</f>
        <v/>
      </c>
      <c r="CP470" s="197" t="str">
        <f>IF(AND($J470="x",AND(MAX(CK470:CM470)=CL470,CL470&lt;&gt;"")),Data!$BJ$2,"")</f>
        <v/>
      </c>
      <c r="CQ470" s="197" t="str">
        <f>IF(AND($K470="x",AND(MAX(CK470:CM470)=CM470,CM470&lt;&gt;"")),Data!$BK$2,"")</f>
        <v/>
      </c>
      <c r="CR470" s="197"/>
      <c r="CS470" s="197"/>
      <c r="CT470" s="328"/>
      <c r="CU470" s="255"/>
      <c r="CV470" s="209"/>
      <c r="CW470" s="227"/>
    </row>
    <row r="471" spans="1:101" x14ac:dyDescent="0.2">
      <c r="A471" s="227"/>
      <c r="B471" s="227"/>
      <c r="C471" s="168"/>
      <c r="D471" s="232"/>
      <c r="E471" s="135" t="s">
        <v>309</v>
      </c>
      <c r="F471" s="425"/>
      <c r="G471" s="430"/>
      <c r="H471" s="431"/>
      <c r="I471" s="346" t="str">
        <f t="shared" si="689"/>
        <v/>
      </c>
      <c r="J471" s="347" t="str">
        <f>IF(F471&lt;&gt;"",IF(H471&lt;&gt;"",IF(F471=H471,"x",""),""),"")</f>
        <v/>
      </c>
      <c r="K471" s="348" t="str">
        <f>IF($F471&lt;$H471,"x","")</f>
        <v/>
      </c>
      <c r="L471" s="258"/>
      <c r="M471" s="332"/>
      <c r="N471" s="336"/>
      <c r="O471" s="200"/>
      <c r="P471" s="200"/>
      <c r="Q471" s="439"/>
      <c r="R471" s="440"/>
      <c r="S471" s="441" t="str">
        <f t="shared" si="692"/>
        <v/>
      </c>
      <c r="T471" s="328"/>
      <c r="U471" s="197" t="str">
        <f>IF(AND($I471="x",AND(MAX(Q471:S471)=Q471,Q471&gt;=0)),Data!$BI$2,"")</f>
        <v/>
      </c>
      <c r="V471" s="197" t="str">
        <f>IF(AND($J471="x",AND(MAX(Q471:S471)=R471,R471&gt;=0)),Data!$BJ$2,"")</f>
        <v/>
      </c>
      <c r="W471" s="197" t="str">
        <f>IF(AND($K471="x",AND(MAX(Q471:S471)=S471,S471&gt;=0)),Data!$BK$2,"")</f>
        <v/>
      </c>
      <c r="X471" s="197"/>
      <c r="Y471" s="328"/>
      <c r="Z471" s="453"/>
      <c r="AA471" s="454"/>
      <c r="AB471" s="441" t="str">
        <f t="shared" si="693"/>
        <v/>
      </c>
      <c r="AC471" s="328"/>
      <c r="AD471" s="197" t="str">
        <f>IF(AND($I471="x",AND(MAX(Z471:AB471)=Z471,Z471&lt;&gt;"")),Data!$BI$2,"")</f>
        <v/>
      </c>
      <c r="AE471" s="197" t="str">
        <f>IF(AND($J471="x",AND(MAX(Z471:AB471)=AA471,AA471&lt;&gt;"")),Data!$BJ$2,"")</f>
        <v/>
      </c>
      <c r="AF471" s="197" t="str">
        <f>IF(AND($K471="x",AND(MAX(Z471:AB471)=AB471,AB471&lt;&gt;"")),Data!$BK$2,"")</f>
        <v/>
      </c>
      <c r="AG471" s="197"/>
      <c r="AH471" s="328"/>
      <c r="AI471" s="453"/>
      <c r="AJ471" s="454"/>
      <c r="AK471" s="441" t="str">
        <f t="shared" si="694"/>
        <v/>
      </c>
      <c r="AL471" s="328"/>
      <c r="AM471" s="197" t="str">
        <f>IF(AND($I471="x",AND(MAX(AI471:AK471)=AI471,AI471&lt;&gt;"")),Data!$BI$2,"")</f>
        <v/>
      </c>
      <c r="AN471" s="197" t="str">
        <f>IF(AND($J471="x",AND(MAX(AI471:AK471)=AJ471,AJ471&lt;&gt;"")),Data!$BJ$2,"")</f>
        <v/>
      </c>
      <c r="AO471" s="197" t="str">
        <f>IF(AND($K471="x",AND(MAX(AI471:AK471)=AK471,AK471&lt;&gt;"")),Data!$BK$2,"")</f>
        <v/>
      </c>
      <c r="AP471" s="197"/>
      <c r="AQ471" s="328"/>
      <c r="AR471" s="453"/>
      <c r="AS471" s="454"/>
      <c r="AT471" s="441" t="str">
        <f t="shared" si="695"/>
        <v/>
      </c>
      <c r="AU471" s="328"/>
      <c r="AV471" s="197" t="str">
        <f>IF(AND($I471="x",AND(MAX(AR471:AT471)=AR471,AR471&lt;&gt;"")),Data!$BI$2,"")</f>
        <v/>
      </c>
      <c r="AW471" s="197" t="str">
        <f>IF(AND($J471="x",AND(MAX(AR471:AT471)=AS471,AS471&lt;&gt;"")),Data!$BJ$2,"")</f>
        <v/>
      </c>
      <c r="AX471" s="197" t="str">
        <f>IF(AND($K471="x",AND(MAX(AR471:AT471)=AT471,AT471&lt;&gt;"")),Data!$BK$2,"")</f>
        <v/>
      </c>
      <c r="AY471" s="197"/>
      <c r="AZ471" s="328"/>
      <c r="BA471" s="453"/>
      <c r="BB471" s="454"/>
      <c r="BC471" s="441" t="str">
        <f t="shared" si="696"/>
        <v/>
      </c>
      <c r="BD471" s="328"/>
      <c r="BE471" s="197" t="str">
        <f>IF(AND($I471="x",AND(MAX(BA471:BC471)=BA471,BA471&lt;&gt;"")),Data!$BI$2,"")</f>
        <v/>
      </c>
      <c r="BF471" s="197" t="str">
        <f>IF(AND($J471="x",AND(MAX(BA471:BC471)=BB471,BB471&lt;&gt;"")),Data!$BJ$2,"")</f>
        <v/>
      </c>
      <c r="BG471" s="197" t="str">
        <f>IF(AND($K471="x",AND(MAX(BA471:BC471)=BC471,BC471&lt;&gt;"")),Data!$BK$2,"")</f>
        <v/>
      </c>
      <c r="BH471" s="197"/>
      <c r="BI471" s="328"/>
      <c r="BJ471" s="453"/>
      <c r="BK471" s="454"/>
      <c r="BL471" s="441" t="str">
        <f t="shared" si="697"/>
        <v/>
      </c>
      <c r="BM471" s="328"/>
      <c r="BN471" s="197" t="str">
        <f>IF(AND($I471="x",AND(MAX(BJ471:BL471)=BJ471,BJ471&lt;&gt;"")),Data!$BI$2,"")</f>
        <v/>
      </c>
      <c r="BO471" s="197" t="str">
        <f>IF(AND($J471="x",AND(MAX(BJ471:BL471)=BK471,BK471&lt;&gt;"")),Data!$BJ$2,"")</f>
        <v/>
      </c>
      <c r="BP471" s="197" t="str">
        <f>IF(AND($K471="x",AND(MAX(BJ471:BL471)=BL471,BL471&lt;&gt;"")),Data!$BK$2,"")</f>
        <v/>
      </c>
      <c r="BQ471" s="197"/>
      <c r="BR471" s="328"/>
      <c r="BS471" s="453"/>
      <c r="BT471" s="454"/>
      <c r="BU471" s="441" t="str">
        <f t="shared" si="698"/>
        <v/>
      </c>
      <c r="BV471" s="328"/>
      <c r="BW471" s="197" t="str">
        <f>IF(AND($I471="x",AND(MAX(BS471:BU471)=BS471,BS471&lt;&gt;"")),Data!$BI$2,"")</f>
        <v/>
      </c>
      <c r="BX471" s="197" t="str">
        <f>IF(AND($J471="x",AND(MAX(BS471:BU471)=BT471,BT471&lt;&gt;"")),Data!$BJ$2,"")</f>
        <v/>
      </c>
      <c r="BY471" s="197" t="str">
        <f>IF(AND($K471="x",AND(MAX(BS471:BU471)=BU471,BU471&lt;&gt;"")),Data!$BK$2,"")</f>
        <v/>
      </c>
      <c r="BZ471" s="197"/>
      <c r="CA471" s="328"/>
      <c r="CB471" s="460" t="str">
        <f t="shared" si="699"/>
        <v/>
      </c>
      <c r="CC471" s="461" t="str">
        <f t="shared" si="700"/>
        <v/>
      </c>
      <c r="CD471" s="462" t="str">
        <f t="shared" si="701"/>
        <v/>
      </c>
      <c r="CE471" s="328"/>
      <c r="CF471" s="197" t="str">
        <f>IF(AND($I471="x",AND(MAX(CB471:CD471)=CB471,CB471&lt;&gt;"")),Data!$BI$2,"")</f>
        <v/>
      </c>
      <c r="CG471" s="197" t="str">
        <f>IF(AND($J471="x",AND(MAX(CB471:CD471)=CC471,CC471&lt;&gt;"")),Data!$BJ$2,"")</f>
        <v/>
      </c>
      <c r="CH471" s="197" t="str">
        <f>IF(AND($K471="x",AND(MAX(CB471:CD471)=CD471,CD471&lt;&gt;"")),Data!$BK$2,"")</f>
        <v/>
      </c>
      <c r="CI471" s="197"/>
      <c r="CJ471" s="197"/>
      <c r="CK471" s="453"/>
      <c r="CL471" s="454"/>
      <c r="CM471" s="441" t="str">
        <f t="shared" si="702"/>
        <v/>
      </c>
      <c r="CN471" s="328"/>
      <c r="CO471" s="197" t="str">
        <f>IF(AND($I471="x",AND(MAX(CK471:CM471)=CK471,CK471&lt;&gt;"")),Data!$BI$2,"")</f>
        <v/>
      </c>
      <c r="CP471" s="197" t="str">
        <f>IF(AND($J471="x",AND(MAX(CK471:CM471)=CL471,CL471&lt;&gt;"")),Data!$BJ$2,"")</f>
        <v/>
      </c>
      <c r="CQ471" s="197" t="str">
        <f>IF(AND($K471="x",AND(MAX(CK471:CM471)=CM471,CM471&lt;&gt;"")),Data!$BK$2,"")</f>
        <v/>
      </c>
      <c r="CR471" s="197"/>
      <c r="CS471" s="197"/>
      <c r="CT471" s="328"/>
      <c r="CU471" s="255"/>
      <c r="CV471" s="209"/>
      <c r="CW471" s="227"/>
    </row>
    <row r="472" spans="1:101" x14ac:dyDescent="0.2">
      <c r="A472" s="227"/>
      <c r="B472" s="227"/>
      <c r="C472" s="168"/>
      <c r="D472" s="232"/>
      <c r="E472" s="136" t="s">
        <v>310</v>
      </c>
      <c r="F472" s="426"/>
      <c r="G472" s="432"/>
      <c r="H472" s="433"/>
      <c r="I472" s="349" t="str">
        <f t="shared" si="689"/>
        <v/>
      </c>
      <c r="J472" s="350" t="str">
        <f t="shared" si="690"/>
        <v/>
      </c>
      <c r="K472" s="351" t="str">
        <f t="shared" si="691"/>
        <v/>
      </c>
      <c r="L472" s="258"/>
      <c r="M472" s="332"/>
      <c r="N472" s="336"/>
      <c r="O472" s="200"/>
      <c r="P472" s="200"/>
      <c r="Q472" s="442"/>
      <c r="R472" s="443"/>
      <c r="S472" s="444" t="str">
        <f t="shared" si="692"/>
        <v/>
      </c>
      <c r="T472" s="328"/>
      <c r="U472" s="197" t="str">
        <f>IF(AND($I472="x",AND(MAX(Q472:S472)=Q472,Q472&gt;=0)),Data!$BI$2,"")</f>
        <v/>
      </c>
      <c r="V472" s="197" t="str">
        <f>IF(AND($J472="x",AND(MAX(Q472:S472)=R472,R472&gt;=0)),Data!$BJ$2,"")</f>
        <v/>
      </c>
      <c r="W472" s="197" t="str">
        <f>IF(AND($K472="x",AND(MAX(Q472:S472)=S472,S472&gt;=0)),Data!$BK$2,"")</f>
        <v/>
      </c>
      <c r="X472" s="197"/>
      <c r="Y472" s="328"/>
      <c r="Z472" s="455"/>
      <c r="AA472" s="456"/>
      <c r="AB472" s="444" t="str">
        <f t="shared" si="693"/>
        <v/>
      </c>
      <c r="AC472" s="328"/>
      <c r="AD472" s="197" t="str">
        <f>IF(AND($I472="x",AND(MAX(Z472:AB472)=Z472,Z472&lt;&gt;"")),Data!$BI$2,"")</f>
        <v/>
      </c>
      <c r="AE472" s="197" t="str">
        <f>IF(AND($J472="x",AND(MAX(Z472:AB472)=AA472,AA472&lt;&gt;"")),Data!$BJ$2,"")</f>
        <v/>
      </c>
      <c r="AF472" s="197" t="str">
        <f>IF(AND($K472="x",AND(MAX(Z472:AB472)=AB472,AB472&lt;&gt;"")),Data!$BK$2,"")</f>
        <v/>
      </c>
      <c r="AG472" s="197"/>
      <c r="AH472" s="328"/>
      <c r="AI472" s="455"/>
      <c r="AJ472" s="456"/>
      <c r="AK472" s="444" t="str">
        <f t="shared" si="694"/>
        <v/>
      </c>
      <c r="AL472" s="328"/>
      <c r="AM472" s="197" t="str">
        <f>IF(AND($I472="x",AND(MAX(AI472:AK472)=AI472,AI472&lt;&gt;"")),Data!$BI$2,"")</f>
        <v/>
      </c>
      <c r="AN472" s="197" t="str">
        <f>IF(AND($J472="x",AND(MAX(AI472:AK472)=AJ472,AJ472&lt;&gt;"")),Data!$BJ$2,"")</f>
        <v/>
      </c>
      <c r="AO472" s="197" t="str">
        <f>IF(AND($K472="x",AND(MAX(AI472:AK472)=AK472,AK472&lt;&gt;"")),Data!$BK$2,"")</f>
        <v/>
      </c>
      <c r="AP472" s="197"/>
      <c r="AQ472" s="328"/>
      <c r="AR472" s="455"/>
      <c r="AS472" s="456"/>
      <c r="AT472" s="444" t="str">
        <f t="shared" si="695"/>
        <v/>
      </c>
      <c r="AU472" s="328"/>
      <c r="AV472" s="197" t="str">
        <f>IF(AND($I472="x",AND(MAX(AR472:AT472)=AR472,AR472&lt;&gt;"")),Data!$BI$2,"")</f>
        <v/>
      </c>
      <c r="AW472" s="197" t="str">
        <f>IF(AND($J472="x",AND(MAX(AR472:AT472)=AS472,AS472&lt;&gt;"")),Data!$BJ$2,"")</f>
        <v/>
      </c>
      <c r="AX472" s="197" t="str">
        <f>IF(AND($K472="x",AND(MAX(AR472:AT472)=AT472,AT472&lt;&gt;"")),Data!$BK$2,"")</f>
        <v/>
      </c>
      <c r="AY472" s="197"/>
      <c r="AZ472" s="328"/>
      <c r="BA472" s="455"/>
      <c r="BB472" s="456"/>
      <c r="BC472" s="444" t="str">
        <f t="shared" si="696"/>
        <v/>
      </c>
      <c r="BD472" s="328"/>
      <c r="BE472" s="197" t="str">
        <f>IF(AND($I472="x",AND(MAX(BA472:BC472)=BA472,BA472&lt;&gt;"")),Data!$BI$2,"")</f>
        <v/>
      </c>
      <c r="BF472" s="197" t="str">
        <f>IF(AND($J472="x",AND(MAX(BA472:BC472)=BB472,BB472&lt;&gt;"")),Data!$BJ$2,"")</f>
        <v/>
      </c>
      <c r="BG472" s="197" t="str">
        <f>IF(AND($K472="x",AND(MAX(BA472:BC472)=BC472,BC472&lt;&gt;"")),Data!$BK$2,"")</f>
        <v/>
      </c>
      <c r="BH472" s="197"/>
      <c r="BI472" s="328"/>
      <c r="BJ472" s="455"/>
      <c r="BK472" s="456"/>
      <c r="BL472" s="444" t="str">
        <f t="shared" si="697"/>
        <v/>
      </c>
      <c r="BM472" s="328"/>
      <c r="BN472" s="197" t="str">
        <f>IF(AND($I472="x",AND(MAX(BJ472:BL472)=BJ472,BJ472&lt;&gt;"")),Data!$BI$2,"")</f>
        <v/>
      </c>
      <c r="BO472" s="197" t="str">
        <f>IF(AND($J472="x",AND(MAX(BJ472:BL472)=BK472,BK472&lt;&gt;"")),Data!$BJ$2,"")</f>
        <v/>
      </c>
      <c r="BP472" s="197" t="str">
        <f>IF(AND($K472="x",AND(MAX(BJ472:BL472)=BL472,BL472&lt;&gt;"")),Data!$BK$2,"")</f>
        <v/>
      </c>
      <c r="BQ472" s="197"/>
      <c r="BR472" s="328"/>
      <c r="BS472" s="455"/>
      <c r="BT472" s="456"/>
      <c r="BU472" s="444" t="str">
        <f t="shared" si="698"/>
        <v/>
      </c>
      <c r="BV472" s="328"/>
      <c r="BW472" s="197" t="str">
        <f>IF(AND($I472="x",AND(MAX(BS472:BU472)=BS472,BS472&lt;&gt;"")),Data!$BI$2,"")</f>
        <v/>
      </c>
      <c r="BX472" s="197" t="str">
        <f>IF(AND($J472="x",AND(MAX(BS472:BU472)=BT472,BT472&lt;&gt;"")),Data!$BJ$2,"")</f>
        <v/>
      </c>
      <c r="BY472" s="197" t="str">
        <f>IF(AND($K472="x",AND(MAX(BS472:BU472)=BU472,BU472&lt;&gt;"")),Data!$BK$2,"")</f>
        <v/>
      </c>
      <c r="BZ472" s="197"/>
      <c r="CA472" s="328"/>
      <c r="CB472" s="463" t="str">
        <f t="shared" si="699"/>
        <v/>
      </c>
      <c r="CC472" s="464" t="str">
        <f t="shared" si="700"/>
        <v/>
      </c>
      <c r="CD472" s="465" t="str">
        <f t="shared" si="701"/>
        <v/>
      </c>
      <c r="CE472" s="328"/>
      <c r="CF472" s="197" t="str">
        <f>IF(AND($I472="x",AND(MAX(CB472:CD472)=CB472,CB472&lt;&gt;"")),Data!$BI$2,"")</f>
        <v/>
      </c>
      <c r="CG472" s="197" t="str">
        <f>IF(AND($J472="x",AND(MAX(CB472:CD472)=CC472,CC472&lt;&gt;"")),Data!$BJ$2,"")</f>
        <v/>
      </c>
      <c r="CH472" s="197" t="str">
        <f>IF(AND($K472="x",AND(MAX(CB472:CD472)=CD472,CD472&lt;&gt;"")),Data!$BK$2,"")</f>
        <v/>
      </c>
      <c r="CI472" s="197"/>
      <c r="CJ472" s="197"/>
      <c r="CK472" s="455"/>
      <c r="CL472" s="456"/>
      <c r="CM472" s="444" t="str">
        <f t="shared" si="702"/>
        <v/>
      </c>
      <c r="CN472" s="328"/>
      <c r="CO472" s="197" t="str">
        <f>IF(AND($I472="x",AND(MAX(CK472:CM472)=CK472,CK472&lt;&gt;"")),Data!$BI$2,"")</f>
        <v/>
      </c>
      <c r="CP472" s="197" t="str">
        <f>IF(AND($J472="x",AND(MAX(CK472:CM472)=CL472,CL472&lt;&gt;"")),Data!$BJ$2,"")</f>
        <v/>
      </c>
      <c r="CQ472" s="197" t="str">
        <f>IF(AND($K472="x",AND(MAX(CK472:CM472)=CM472,CM472&lt;&gt;"")),Data!$BK$2,"")</f>
        <v/>
      </c>
      <c r="CR472" s="197"/>
      <c r="CS472" s="197"/>
      <c r="CT472" s="328"/>
      <c r="CU472" s="255"/>
      <c r="CV472" s="209"/>
      <c r="CW472" s="227"/>
    </row>
    <row r="473" spans="1:101" x14ac:dyDescent="0.2">
      <c r="A473" s="227"/>
      <c r="B473" s="227"/>
      <c r="C473" s="168"/>
      <c r="D473" s="232"/>
      <c r="E473" s="134" t="s">
        <v>311</v>
      </c>
      <c r="F473" s="424"/>
      <c r="G473" s="428"/>
      <c r="H473" s="429"/>
      <c r="I473" s="138" t="str">
        <f t="shared" si="689"/>
        <v/>
      </c>
      <c r="J473" s="344" t="str">
        <f t="shared" si="690"/>
        <v/>
      </c>
      <c r="K473" s="345" t="str">
        <f t="shared" si="691"/>
        <v/>
      </c>
      <c r="L473" s="258"/>
      <c r="M473" s="332"/>
      <c r="N473" s="336"/>
      <c r="O473" s="200"/>
      <c r="P473" s="200"/>
      <c r="Q473" s="436"/>
      <c r="R473" s="437"/>
      <c r="S473" s="438" t="str">
        <f t="shared" si="692"/>
        <v/>
      </c>
      <c r="T473" s="328"/>
      <c r="U473" s="197" t="str">
        <f>IF(AND($I473="x",AND(MAX(Q473:S473)=Q473,Q473&gt;=0)),Data!$BI$2,"")</f>
        <v/>
      </c>
      <c r="V473" s="197" t="str">
        <f>IF(AND($J473="x",AND(MAX(Q473:S473)=R473,R473&gt;=0)),Data!$BJ$2,"")</f>
        <v/>
      </c>
      <c r="W473" s="197" t="str">
        <f>IF(AND($K473="x",AND(MAX(Q473:S473)=S473,S473&gt;=0)),Data!$BK$2,"")</f>
        <v/>
      </c>
      <c r="X473" s="197"/>
      <c r="Y473" s="328"/>
      <c r="Z473" s="451"/>
      <c r="AA473" s="452"/>
      <c r="AB473" s="438" t="str">
        <f t="shared" si="693"/>
        <v/>
      </c>
      <c r="AC473" s="328"/>
      <c r="AD473" s="197" t="str">
        <f>IF(AND($I473="x",AND(MAX(Z473:AB473)=Z473,Z473&lt;&gt;"")),Data!$BI$2,"")</f>
        <v/>
      </c>
      <c r="AE473" s="197" t="str">
        <f>IF(AND($J473="x",AND(MAX(Z473:AB473)=AA473,AA473&lt;&gt;"")),Data!$BJ$2,"")</f>
        <v/>
      </c>
      <c r="AF473" s="197" t="str">
        <f>IF(AND($K473="x",AND(MAX(Z473:AB473)=AB473,AB473&lt;&gt;"")),Data!$BK$2,"")</f>
        <v/>
      </c>
      <c r="AG473" s="197"/>
      <c r="AH473" s="328"/>
      <c r="AI473" s="451"/>
      <c r="AJ473" s="452"/>
      <c r="AK473" s="438" t="str">
        <f t="shared" si="694"/>
        <v/>
      </c>
      <c r="AL473" s="328"/>
      <c r="AM473" s="197" t="str">
        <f>IF(AND($I473="x",AND(MAX(AI473:AK473)=AI473,AI473&lt;&gt;"")),Data!$BI$2,"")</f>
        <v/>
      </c>
      <c r="AN473" s="197" t="str">
        <f>IF(AND($J473="x",AND(MAX(AI473:AK473)=AJ473,AJ473&lt;&gt;"")),Data!$BJ$2,"")</f>
        <v/>
      </c>
      <c r="AO473" s="197" t="str">
        <f>IF(AND($K473="x",AND(MAX(AI473:AK473)=AK473,AK473&lt;&gt;"")),Data!$BK$2,"")</f>
        <v/>
      </c>
      <c r="AP473" s="197"/>
      <c r="AQ473" s="328"/>
      <c r="AR473" s="451"/>
      <c r="AS473" s="452"/>
      <c r="AT473" s="438" t="str">
        <f t="shared" si="695"/>
        <v/>
      </c>
      <c r="AU473" s="328"/>
      <c r="AV473" s="197" t="str">
        <f>IF(AND($I473="x",AND(MAX(AR473:AT473)=AR473,AR473&lt;&gt;"")),Data!$BI$2,"")</f>
        <v/>
      </c>
      <c r="AW473" s="197" t="str">
        <f>IF(AND($J473="x",AND(MAX(AR473:AT473)=AS473,AS473&lt;&gt;"")),Data!$BJ$2,"")</f>
        <v/>
      </c>
      <c r="AX473" s="197" t="str">
        <f>IF(AND($K473="x",AND(MAX(AR473:AT473)=AT473,AT473&lt;&gt;"")),Data!$BK$2,"")</f>
        <v/>
      </c>
      <c r="AY473" s="197"/>
      <c r="AZ473" s="328"/>
      <c r="BA473" s="451"/>
      <c r="BB473" s="452"/>
      <c r="BC473" s="438" t="str">
        <f t="shared" si="696"/>
        <v/>
      </c>
      <c r="BD473" s="328"/>
      <c r="BE473" s="197" t="str">
        <f>IF(AND($I473="x",AND(MAX(BA473:BC473)=BA473,BA473&lt;&gt;"")),Data!$BI$2,"")</f>
        <v/>
      </c>
      <c r="BF473" s="197" t="str">
        <f>IF(AND($J473="x",AND(MAX(BA473:BC473)=BB473,BB473&lt;&gt;"")),Data!$BJ$2,"")</f>
        <v/>
      </c>
      <c r="BG473" s="197" t="str">
        <f>IF(AND($K473="x",AND(MAX(BA473:BC473)=BC473,BC473&lt;&gt;"")),Data!$BK$2,"")</f>
        <v/>
      </c>
      <c r="BH473" s="197"/>
      <c r="BI473" s="328"/>
      <c r="BJ473" s="451"/>
      <c r="BK473" s="452"/>
      <c r="BL473" s="438" t="str">
        <f t="shared" si="697"/>
        <v/>
      </c>
      <c r="BM473" s="328"/>
      <c r="BN473" s="197" t="str">
        <f>IF(AND($I473="x",AND(MAX(BJ473:BL473)=BJ473,BJ473&lt;&gt;"")),Data!$BI$2,"")</f>
        <v/>
      </c>
      <c r="BO473" s="197" t="str">
        <f>IF(AND($J473="x",AND(MAX(BJ473:BL473)=BK473,BK473&lt;&gt;"")),Data!$BJ$2,"")</f>
        <v/>
      </c>
      <c r="BP473" s="197" t="str">
        <f>IF(AND($K473="x",AND(MAX(BJ473:BL473)=BL473,BL473&lt;&gt;"")),Data!$BK$2,"")</f>
        <v/>
      </c>
      <c r="BQ473" s="197"/>
      <c r="BR473" s="328"/>
      <c r="BS473" s="451"/>
      <c r="BT473" s="452"/>
      <c r="BU473" s="438" t="str">
        <f t="shared" si="698"/>
        <v/>
      </c>
      <c r="BV473" s="328"/>
      <c r="BW473" s="197" t="str">
        <f>IF(AND($I473="x",AND(MAX(BS473:BU473)=BS473,BS473&lt;&gt;"")),Data!$BI$2,"")</f>
        <v/>
      </c>
      <c r="BX473" s="197" t="str">
        <f>IF(AND($J473="x",AND(MAX(BS473:BU473)=BT473,BT473&lt;&gt;"")),Data!$BJ$2,"")</f>
        <v/>
      </c>
      <c r="BY473" s="197" t="str">
        <f>IF(AND($K473="x",AND(MAX(BS473:BU473)=BU473,BU473&lt;&gt;"")),Data!$BK$2,"")</f>
        <v/>
      </c>
      <c r="BZ473" s="197"/>
      <c r="CA473" s="328"/>
      <c r="CB473" s="457" t="str">
        <f t="shared" si="699"/>
        <v/>
      </c>
      <c r="CC473" s="458" t="str">
        <f t="shared" si="700"/>
        <v/>
      </c>
      <c r="CD473" s="459" t="str">
        <f t="shared" si="701"/>
        <v/>
      </c>
      <c r="CE473" s="328"/>
      <c r="CF473" s="197" t="str">
        <f>IF(AND($I473="x",AND(MAX(CB473:CD473)=CB473,CB473&lt;&gt;"")),Data!$BI$2,"")</f>
        <v/>
      </c>
      <c r="CG473" s="197" t="str">
        <f>IF(AND($J473="x",AND(MAX(CB473:CD473)=CC473,CC473&lt;&gt;"")),Data!$BJ$2,"")</f>
        <v/>
      </c>
      <c r="CH473" s="197" t="str">
        <f>IF(AND($K473="x",AND(MAX(CB473:CD473)=CD473,CD473&lt;&gt;"")),Data!$BK$2,"")</f>
        <v/>
      </c>
      <c r="CI473" s="197"/>
      <c r="CJ473" s="197"/>
      <c r="CK473" s="451"/>
      <c r="CL473" s="452"/>
      <c r="CM473" s="438" t="str">
        <f t="shared" si="702"/>
        <v/>
      </c>
      <c r="CN473" s="328"/>
      <c r="CO473" s="197" t="str">
        <f>IF(AND($I473="x",AND(MAX(CK473:CM473)=CK473,CK473&lt;&gt;"")),Data!$BI$2,"")</f>
        <v/>
      </c>
      <c r="CP473" s="197" t="str">
        <f>IF(AND($J473="x",AND(MAX(CK473:CM473)=CL473,CL473&lt;&gt;"")),Data!$BJ$2,"")</f>
        <v/>
      </c>
      <c r="CQ473" s="197" t="str">
        <f>IF(AND($K473="x",AND(MAX(CK473:CM473)=CM473,CM473&lt;&gt;"")),Data!$BK$2,"")</f>
        <v/>
      </c>
      <c r="CR473" s="197"/>
      <c r="CS473" s="197"/>
      <c r="CT473" s="328"/>
      <c r="CU473" s="255"/>
      <c r="CV473" s="209"/>
      <c r="CW473" s="227"/>
    </row>
    <row r="474" spans="1:101" x14ac:dyDescent="0.2">
      <c r="A474" s="227"/>
      <c r="B474" s="227"/>
      <c r="C474" s="168"/>
      <c r="D474" s="232"/>
      <c r="E474" s="135" t="s">
        <v>312</v>
      </c>
      <c r="F474" s="425"/>
      <c r="G474" s="430"/>
      <c r="H474" s="431"/>
      <c r="I474" s="346" t="str">
        <f t="shared" si="689"/>
        <v/>
      </c>
      <c r="J474" s="347" t="str">
        <f t="shared" si="690"/>
        <v/>
      </c>
      <c r="K474" s="348" t="str">
        <f t="shared" si="691"/>
        <v/>
      </c>
      <c r="L474" s="258"/>
      <c r="M474" s="332"/>
      <c r="N474" s="336"/>
      <c r="O474" s="200"/>
      <c r="P474" s="200"/>
      <c r="Q474" s="439"/>
      <c r="R474" s="440"/>
      <c r="S474" s="441" t="str">
        <f t="shared" si="692"/>
        <v/>
      </c>
      <c r="T474" s="328"/>
      <c r="U474" s="197" t="str">
        <f>IF(AND($I474="x",AND(MAX(Q474:S474)=Q474,Q474&gt;=0)),Data!$BI$2,"")</f>
        <v/>
      </c>
      <c r="V474" s="197" t="str">
        <f>IF(AND($J474="x",AND(MAX(Q474:S474)=R474,R474&gt;=0)),Data!$BJ$2,"")</f>
        <v/>
      </c>
      <c r="W474" s="197" t="str">
        <f>IF(AND($K474="x",AND(MAX(Q474:S474)=S474,S474&gt;=0)),Data!$BK$2,"")</f>
        <v/>
      </c>
      <c r="X474" s="197"/>
      <c r="Y474" s="328"/>
      <c r="Z474" s="453"/>
      <c r="AA474" s="454"/>
      <c r="AB474" s="441" t="str">
        <f t="shared" si="693"/>
        <v/>
      </c>
      <c r="AC474" s="328"/>
      <c r="AD474" s="197" t="str">
        <f>IF(AND($I474="x",AND(MAX(Z474:AB474)=Z474,Z474&lt;&gt;"")),Data!$BI$2,"")</f>
        <v/>
      </c>
      <c r="AE474" s="197" t="str">
        <f>IF(AND($J474="x",AND(MAX(Z474:AB474)=AA474,AA474&lt;&gt;"")),Data!$BJ$2,"")</f>
        <v/>
      </c>
      <c r="AF474" s="197" t="str">
        <f>IF(AND($K474="x",AND(MAX(Z474:AB474)=AB474,AB474&lt;&gt;"")),Data!$BK$2,"")</f>
        <v/>
      </c>
      <c r="AG474" s="197"/>
      <c r="AH474" s="328"/>
      <c r="AI474" s="453"/>
      <c r="AJ474" s="454"/>
      <c r="AK474" s="441" t="str">
        <f t="shared" si="694"/>
        <v/>
      </c>
      <c r="AL474" s="328"/>
      <c r="AM474" s="197" t="str">
        <f>IF(AND($I474="x",AND(MAX(AI474:AK474)=AI474,AI474&lt;&gt;"")),Data!$BI$2,"")</f>
        <v/>
      </c>
      <c r="AN474" s="197" t="str">
        <f>IF(AND($J474="x",AND(MAX(AI474:AK474)=AJ474,AJ474&lt;&gt;"")),Data!$BJ$2,"")</f>
        <v/>
      </c>
      <c r="AO474" s="197" t="str">
        <f>IF(AND($K474="x",AND(MAX(AI474:AK474)=AK474,AK474&lt;&gt;"")),Data!$BK$2,"")</f>
        <v/>
      </c>
      <c r="AP474" s="197"/>
      <c r="AQ474" s="328"/>
      <c r="AR474" s="453"/>
      <c r="AS474" s="454"/>
      <c r="AT474" s="441" t="str">
        <f t="shared" si="695"/>
        <v/>
      </c>
      <c r="AU474" s="328"/>
      <c r="AV474" s="197" t="str">
        <f>IF(AND($I474="x",AND(MAX(AR474:AT474)=AR474,AR474&lt;&gt;"")),Data!$BI$2,"")</f>
        <v/>
      </c>
      <c r="AW474" s="197" t="str">
        <f>IF(AND($J474="x",AND(MAX(AR474:AT474)=AS474,AS474&lt;&gt;"")),Data!$BJ$2,"")</f>
        <v/>
      </c>
      <c r="AX474" s="197" t="str">
        <f>IF(AND($K474="x",AND(MAX(AR474:AT474)=AT474,AT474&lt;&gt;"")),Data!$BK$2,"")</f>
        <v/>
      </c>
      <c r="AY474" s="197"/>
      <c r="AZ474" s="328"/>
      <c r="BA474" s="453"/>
      <c r="BB474" s="454"/>
      <c r="BC474" s="441" t="str">
        <f t="shared" si="696"/>
        <v/>
      </c>
      <c r="BD474" s="328"/>
      <c r="BE474" s="197" t="str">
        <f>IF(AND($I474="x",AND(MAX(BA474:BC474)=BA474,BA474&lt;&gt;"")),Data!$BI$2,"")</f>
        <v/>
      </c>
      <c r="BF474" s="197" t="str">
        <f>IF(AND($J474="x",AND(MAX(BA474:BC474)=BB474,BB474&lt;&gt;"")),Data!$BJ$2,"")</f>
        <v/>
      </c>
      <c r="BG474" s="197" t="str">
        <f>IF(AND($K474="x",AND(MAX(BA474:BC474)=BC474,BC474&lt;&gt;"")),Data!$BK$2,"")</f>
        <v/>
      </c>
      <c r="BH474" s="197"/>
      <c r="BI474" s="328"/>
      <c r="BJ474" s="453"/>
      <c r="BK474" s="454"/>
      <c r="BL474" s="441" t="str">
        <f t="shared" si="697"/>
        <v/>
      </c>
      <c r="BM474" s="328"/>
      <c r="BN474" s="197" t="str">
        <f>IF(AND($I474="x",AND(MAX(BJ474:BL474)=BJ474,BJ474&lt;&gt;"")),Data!$BI$2,"")</f>
        <v/>
      </c>
      <c r="BO474" s="197" t="str">
        <f>IF(AND($J474="x",AND(MAX(BJ474:BL474)=BK474,BK474&lt;&gt;"")),Data!$BJ$2,"")</f>
        <v/>
      </c>
      <c r="BP474" s="197" t="str">
        <f>IF(AND($K474="x",AND(MAX(BJ474:BL474)=BL474,BL474&lt;&gt;"")),Data!$BK$2,"")</f>
        <v/>
      </c>
      <c r="BQ474" s="197"/>
      <c r="BR474" s="328"/>
      <c r="BS474" s="453"/>
      <c r="BT474" s="454"/>
      <c r="BU474" s="441" t="str">
        <f t="shared" si="698"/>
        <v/>
      </c>
      <c r="BV474" s="328"/>
      <c r="BW474" s="197" t="str">
        <f>IF(AND($I474="x",AND(MAX(BS474:BU474)=BS474,BS474&lt;&gt;"")),Data!$BI$2,"")</f>
        <v/>
      </c>
      <c r="BX474" s="197" t="str">
        <f>IF(AND($J474="x",AND(MAX(BS474:BU474)=BT474,BT474&lt;&gt;"")),Data!$BJ$2,"")</f>
        <v/>
      </c>
      <c r="BY474" s="197" t="str">
        <f>IF(AND($K474="x",AND(MAX(BS474:BU474)=BU474,BU474&lt;&gt;"")),Data!$BK$2,"")</f>
        <v/>
      </c>
      <c r="BZ474" s="197"/>
      <c r="CA474" s="328"/>
      <c r="CB474" s="460" t="str">
        <f t="shared" si="699"/>
        <v/>
      </c>
      <c r="CC474" s="461" t="str">
        <f t="shared" si="700"/>
        <v/>
      </c>
      <c r="CD474" s="462" t="str">
        <f t="shared" si="701"/>
        <v/>
      </c>
      <c r="CE474" s="328"/>
      <c r="CF474" s="197" t="str">
        <f>IF(AND($I474="x",AND(MAX(CB474:CD474)=CB474,CB474&lt;&gt;"")),Data!$BI$2,"")</f>
        <v/>
      </c>
      <c r="CG474" s="197" t="str">
        <f>IF(AND($J474="x",AND(MAX(CB474:CD474)=CC474,CC474&lt;&gt;"")),Data!$BJ$2,"")</f>
        <v/>
      </c>
      <c r="CH474" s="197" t="str">
        <f>IF(AND($K474="x",AND(MAX(CB474:CD474)=CD474,CD474&lt;&gt;"")),Data!$BK$2,"")</f>
        <v/>
      </c>
      <c r="CI474" s="197"/>
      <c r="CJ474" s="197"/>
      <c r="CK474" s="453"/>
      <c r="CL474" s="454"/>
      <c r="CM474" s="441" t="str">
        <f t="shared" si="702"/>
        <v/>
      </c>
      <c r="CN474" s="328"/>
      <c r="CO474" s="197" t="str">
        <f>IF(AND($I474="x",AND(MAX(CK474:CM474)=CK474,CK474&lt;&gt;"")),Data!$BI$2,"")</f>
        <v/>
      </c>
      <c r="CP474" s="197" t="str">
        <f>IF(AND($J474="x",AND(MAX(CK474:CM474)=CL474,CL474&lt;&gt;"")),Data!$BJ$2,"")</f>
        <v/>
      </c>
      <c r="CQ474" s="197" t="str">
        <f>IF(AND($K474="x",AND(MAX(CK474:CM474)=CM474,CM474&lt;&gt;"")),Data!$BK$2,"")</f>
        <v/>
      </c>
      <c r="CR474" s="197"/>
      <c r="CS474" s="197"/>
      <c r="CT474" s="328"/>
      <c r="CU474" s="255"/>
      <c r="CV474" s="209"/>
      <c r="CW474" s="227"/>
    </row>
    <row r="475" spans="1:101" x14ac:dyDescent="0.2">
      <c r="A475" s="227"/>
      <c r="B475" s="227"/>
      <c r="C475" s="168"/>
      <c r="D475" s="232"/>
      <c r="E475" s="136" t="s">
        <v>313</v>
      </c>
      <c r="F475" s="426"/>
      <c r="G475" s="432"/>
      <c r="H475" s="433"/>
      <c r="I475" s="349" t="str">
        <f t="shared" si="689"/>
        <v/>
      </c>
      <c r="J475" s="350" t="str">
        <f t="shared" si="690"/>
        <v/>
      </c>
      <c r="K475" s="351" t="str">
        <f t="shared" si="691"/>
        <v/>
      </c>
      <c r="L475" s="258"/>
      <c r="M475" s="332"/>
      <c r="N475" s="336"/>
      <c r="O475" s="200"/>
      <c r="P475" s="200"/>
      <c r="Q475" s="445"/>
      <c r="R475" s="446"/>
      <c r="S475" s="447" t="str">
        <f t="shared" si="692"/>
        <v/>
      </c>
      <c r="T475" s="328"/>
      <c r="U475" s="197" t="str">
        <f>IF(AND($I475="x",AND(MAX(Q475:S475)=Q475,Q475&gt;=0)),Data!$BI$2,"")</f>
        <v/>
      </c>
      <c r="V475" s="197" t="str">
        <f>IF(AND($J475="x",AND(MAX(Q475:S475)=R475,R475&gt;=0)),Data!$BJ$2,"")</f>
        <v/>
      </c>
      <c r="W475" s="197" t="str">
        <f>IF(AND($K475="x",AND(MAX(Q475:S475)=S475,S475&gt;=0)),Data!$BK$2,"")</f>
        <v/>
      </c>
      <c r="X475" s="197"/>
      <c r="Y475" s="328"/>
      <c r="Z475" s="455"/>
      <c r="AA475" s="456"/>
      <c r="AB475" s="447" t="str">
        <f t="shared" si="693"/>
        <v/>
      </c>
      <c r="AC475" s="328"/>
      <c r="AD475" s="197" t="str">
        <f>IF(AND($I475="x",AND(MAX(Z475:AB475)=Z475,Z475&lt;&gt;"")),Data!$BI$2,"")</f>
        <v/>
      </c>
      <c r="AE475" s="197" t="str">
        <f>IF(AND($J475="x",AND(MAX(Z475:AB475)=AA475,AA475&lt;&gt;"")),Data!$BJ$2,"")</f>
        <v/>
      </c>
      <c r="AF475" s="197" t="str">
        <f>IF(AND($K475="x",AND(MAX(Z475:AB475)=AB475,AB475&lt;&gt;"")),Data!$BK$2,"")</f>
        <v/>
      </c>
      <c r="AG475" s="197"/>
      <c r="AH475" s="328"/>
      <c r="AI475" s="455"/>
      <c r="AJ475" s="456"/>
      <c r="AK475" s="447" t="str">
        <f t="shared" si="694"/>
        <v/>
      </c>
      <c r="AL475" s="328"/>
      <c r="AM475" s="197" t="str">
        <f>IF(AND($I475="x",AND(MAX(AI475:AK475)=AI475,AI475&lt;&gt;"")),Data!$BI$2,"")</f>
        <v/>
      </c>
      <c r="AN475" s="197" t="str">
        <f>IF(AND($J475="x",AND(MAX(AI475:AK475)=AJ475,AJ475&lt;&gt;"")),Data!$BJ$2,"")</f>
        <v/>
      </c>
      <c r="AO475" s="197" t="str">
        <f>IF(AND($K475="x",AND(MAX(AI475:AK475)=AK475,AK475&lt;&gt;"")),Data!$BK$2,"")</f>
        <v/>
      </c>
      <c r="AP475" s="197"/>
      <c r="AQ475" s="328"/>
      <c r="AR475" s="455"/>
      <c r="AS475" s="456"/>
      <c r="AT475" s="447" t="str">
        <f t="shared" si="695"/>
        <v/>
      </c>
      <c r="AU475" s="328"/>
      <c r="AV475" s="197" t="str">
        <f>IF(AND($I475="x",AND(MAX(AR475:AT475)=AR475,AR475&lt;&gt;"")),Data!$BI$2,"")</f>
        <v/>
      </c>
      <c r="AW475" s="197" t="str">
        <f>IF(AND($J475="x",AND(MAX(AR475:AT475)=AS475,AS475&lt;&gt;"")),Data!$BJ$2,"")</f>
        <v/>
      </c>
      <c r="AX475" s="197" t="str">
        <f>IF(AND($K475="x",AND(MAX(AR475:AT475)=AT475,AT475&lt;&gt;"")),Data!$BK$2,"")</f>
        <v/>
      </c>
      <c r="AY475" s="197"/>
      <c r="AZ475" s="328"/>
      <c r="BA475" s="455"/>
      <c r="BB475" s="456"/>
      <c r="BC475" s="447" t="str">
        <f t="shared" si="696"/>
        <v/>
      </c>
      <c r="BD475" s="328"/>
      <c r="BE475" s="197" t="str">
        <f>IF(AND($I475="x",AND(MAX(BA475:BC475)=BA475,BA475&lt;&gt;"")),Data!$BI$2,"")</f>
        <v/>
      </c>
      <c r="BF475" s="197" t="str">
        <f>IF(AND($J475="x",AND(MAX(BA475:BC475)=BB475,BB475&lt;&gt;"")),Data!$BJ$2,"")</f>
        <v/>
      </c>
      <c r="BG475" s="197" t="str">
        <f>IF(AND($K475="x",AND(MAX(BA475:BC475)=BC475,BC475&lt;&gt;"")),Data!$BK$2,"")</f>
        <v/>
      </c>
      <c r="BH475" s="197"/>
      <c r="BI475" s="328"/>
      <c r="BJ475" s="455"/>
      <c r="BK475" s="456"/>
      <c r="BL475" s="447" t="str">
        <f t="shared" si="697"/>
        <v/>
      </c>
      <c r="BM475" s="328"/>
      <c r="BN475" s="197" t="str">
        <f>IF(AND($I475="x",AND(MAX(BJ475:BL475)=BJ475,BJ475&lt;&gt;"")),Data!$BI$2,"")</f>
        <v/>
      </c>
      <c r="BO475" s="197" t="str">
        <f>IF(AND($J475="x",AND(MAX(BJ475:BL475)=BK475,BK475&lt;&gt;"")),Data!$BJ$2,"")</f>
        <v/>
      </c>
      <c r="BP475" s="197" t="str">
        <f>IF(AND($K475="x",AND(MAX(BJ475:BL475)=BL475,BL475&lt;&gt;"")),Data!$BK$2,"")</f>
        <v/>
      </c>
      <c r="BQ475" s="197"/>
      <c r="BR475" s="328"/>
      <c r="BS475" s="455"/>
      <c r="BT475" s="456"/>
      <c r="BU475" s="447" t="str">
        <f t="shared" si="698"/>
        <v/>
      </c>
      <c r="BV475" s="328"/>
      <c r="BW475" s="197" t="str">
        <f>IF(AND($I475="x",AND(MAX(BS475:BU475)=BS475,BS475&lt;&gt;"")),Data!$BI$2,"")</f>
        <v/>
      </c>
      <c r="BX475" s="197" t="str">
        <f>IF(AND($J475="x",AND(MAX(BS475:BU475)=BT475,BT475&lt;&gt;"")),Data!$BJ$2,"")</f>
        <v/>
      </c>
      <c r="BY475" s="197" t="str">
        <f>IF(AND($K475="x",AND(MAX(BS475:BU475)=BU475,BU475&lt;&gt;"")),Data!$BK$2,"")</f>
        <v/>
      </c>
      <c r="BZ475" s="197"/>
      <c r="CA475" s="328"/>
      <c r="CB475" s="463" t="str">
        <f t="shared" si="699"/>
        <v/>
      </c>
      <c r="CC475" s="464" t="str">
        <f t="shared" si="700"/>
        <v/>
      </c>
      <c r="CD475" s="465" t="str">
        <f t="shared" si="701"/>
        <v/>
      </c>
      <c r="CE475" s="328"/>
      <c r="CF475" s="197" t="str">
        <f>IF(AND($I475="x",AND(MAX(CB475:CD475)=CB475,CB475&lt;&gt;"")),Data!$BI$2,"")</f>
        <v/>
      </c>
      <c r="CG475" s="197" t="str">
        <f>IF(AND($J475="x",AND(MAX(CB475:CD475)=CC475,CC475&lt;&gt;"")),Data!$BJ$2,"")</f>
        <v/>
      </c>
      <c r="CH475" s="197" t="str">
        <f>IF(AND($K475="x",AND(MAX(CB475:CD475)=CD475,CD475&lt;&gt;"")),Data!$BK$2,"")</f>
        <v/>
      </c>
      <c r="CI475" s="197"/>
      <c r="CJ475" s="197"/>
      <c r="CK475" s="455"/>
      <c r="CL475" s="456"/>
      <c r="CM475" s="447" t="str">
        <f t="shared" si="702"/>
        <v/>
      </c>
      <c r="CN475" s="328"/>
      <c r="CO475" s="197" t="str">
        <f>IF(AND($I475="x",AND(MAX(CK475:CM475)=CK475,CK475&lt;&gt;"")),Data!$BI$2,"")</f>
        <v/>
      </c>
      <c r="CP475" s="197" t="str">
        <f>IF(AND($J475="x",AND(MAX(CK475:CM475)=CL475,CL475&lt;&gt;"")),Data!$BJ$2,"")</f>
        <v/>
      </c>
      <c r="CQ475" s="197" t="str">
        <f>IF(AND($K475="x",AND(MAX(CK475:CM475)=CM475,CM475&lt;&gt;"")),Data!$BK$2,"")</f>
        <v/>
      </c>
      <c r="CR475" s="197"/>
      <c r="CS475" s="197"/>
      <c r="CT475" s="328"/>
      <c r="CU475" s="255"/>
      <c r="CV475" s="209"/>
      <c r="CW475" s="227"/>
    </row>
    <row r="476" spans="1:101" x14ac:dyDescent="0.2">
      <c r="A476" s="227"/>
      <c r="B476" s="227"/>
      <c r="C476" s="168"/>
      <c r="D476" s="232"/>
      <c r="E476" s="134" t="s">
        <v>314</v>
      </c>
      <c r="F476" s="424"/>
      <c r="G476" s="428"/>
      <c r="H476" s="429"/>
      <c r="I476" s="138" t="str">
        <f t="shared" si="689"/>
        <v/>
      </c>
      <c r="J476" s="344" t="str">
        <f t="shared" si="690"/>
        <v/>
      </c>
      <c r="K476" s="345" t="str">
        <f t="shared" si="691"/>
        <v/>
      </c>
      <c r="L476" s="258"/>
      <c r="M476" s="332"/>
      <c r="N476" s="336"/>
      <c r="O476" s="200"/>
      <c r="P476" s="200"/>
      <c r="Q476" s="436"/>
      <c r="R476" s="437"/>
      <c r="S476" s="438" t="str">
        <f t="shared" si="692"/>
        <v/>
      </c>
      <c r="T476" s="328"/>
      <c r="U476" s="197" t="str">
        <f>IF(AND($I476="x",AND(MAX(Q476:S476)=Q476,Q476&gt;=0)),Data!$BI$2,"")</f>
        <v/>
      </c>
      <c r="V476" s="197" t="str">
        <f>IF(AND($J476="x",AND(MAX(Q476:S476)=R476,R476&gt;=0)),Data!$BJ$2,"")</f>
        <v/>
      </c>
      <c r="W476" s="197" t="str">
        <f>IF(AND($K476="x",AND(MAX(Q476:S476)=S476,S476&gt;=0)),Data!$BK$2,"")</f>
        <v/>
      </c>
      <c r="X476" s="197"/>
      <c r="Y476" s="328"/>
      <c r="Z476" s="451"/>
      <c r="AA476" s="452"/>
      <c r="AB476" s="438" t="str">
        <f t="shared" si="693"/>
        <v/>
      </c>
      <c r="AC476" s="328"/>
      <c r="AD476" s="197" t="str">
        <f>IF(AND($I476="x",AND(MAX(Z476:AB476)=Z476,Z476&lt;&gt;"")),Data!$BI$2,"")</f>
        <v/>
      </c>
      <c r="AE476" s="197" t="str">
        <f>IF(AND($J476="x",AND(MAX(Z476:AB476)=AA476,AA476&lt;&gt;"")),Data!$BJ$2,"")</f>
        <v/>
      </c>
      <c r="AF476" s="197" t="str">
        <f>IF(AND($K476="x",AND(MAX(Z476:AB476)=AB476,AB476&lt;&gt;"")),Data!$BK$2,"")</f>
        <v/>
      </c>
      <c r="AG476" s="197"/>
      <c r="AH476" s="328"/>
      <c r="AI476" s="451"/>
      <c r="AJ476" s="452"/>
      <c r="AK476" s="438" t="str">
        <f t="shared" si="694"/>
        <v/>
      </c>
      <c r="AL476" s="328"/>
      <c r="AM476" s="197" t="str">
        <f>IF(AND($I476="x",AND(MAX(AI476:AK476)=AI476,AI476&lt;&gt;"")),Data!$BI$2,"")</f>
        <v/>
      </c>
      <c r="AN476" s="197" t="str">
        <f>IF(AND($J476="x",AND(MAX(AI476:AK476)=AJ476,AJ476&lt;&gt;"")),Data!$BJ$2,"")</f>
        <v/>
      </c>
      <c r="AO476" s="197" t="str">
        <f>IF(AND($K476="x",AND(MAX(AI476:AK476)=AK476,AK476&lt;&gt;"")),Data!$BK$2,"")</f>
        <v/>
      </c>
      <c r="AP476" s="197"/>
      <c r="AQ476" s="328"/>
      <c r="AR476" s="451"/>
      <c r="AS476" s="452"/>
      <c r="AT476" s="438" t="str">
        <f t="shared" si="695"/>
        <v/>
      </c>
      <c r="AU476" s="328"/>
      <c r="AV476" s="197" t="str">
        <f>IF(AND($I476="x",AND(MAX(AR476:AT476)=AR476,AR476&lt;&gt;"")),Data!$BI$2,"")</f>
        <v/>
      </c>
      <c r="AW476" s="197" t="str">
        <f>IF(AND($J476="x",AND(MAX(AR476:AT476)=AS476,AS476&lt;&gt;"")),Data!$BJ$2,"")</f>
        <v/>
      </c>
      <c r="AX476" s="197" t="str">
        <f>IF(AND($K476="x",AND(MAX(AR476:AT476)=AT476,AT476&lt;&gt;"")),Data!$BK$2,"")</f>
        <v/>
      </c>
      <c r="AY476" s="197"/>
      <c r="AZ476" s="328"/>
      <c r="BA476" s="451"/>
      <c r="BB476" s="452"/>
      <c r="BC476" s="438" t="str">
        <f t="shared" si="696"/>
        <v/>
      </c>
      <c r="BD476" s="328"/>
      <c r="BE476" s="197" t="str">
        <f>IF(AND($I476="x",AND(MAX(BA476:BC476)=BA476,BA476&lt;&gt;"")),Data!$BI$2,"")</f>
        <v/>
      </c>
      <c r="BF476" s="197" t="str">
        <f>IF(AND($J476="x",AND(MAX(BA476:BC476)=BB476,BB476&lt;&gt;"")),Data!$BJ$2,"")</f>
        <v/>
      </c>
      <c r="BG476" s="197" t="str">
        <f>IF(AND($K476="x",AND(MAX(BA476:BC476)=BC476,BC476&lt;&gt;"")),Data!$BK$2,"")</f>
        <v/>
      </c>
      <c r="BH476" s="197"/>
      <c r="BI476" s="328"/>
      <c r="BJ476" s="451"/>
      <c r="BK476" s="452"/>
      <c r="BL476" s="438" t="str">
        <f t="shared" si="697"/>
        <v/>
      </c>
      <c r="BM476" s="328"/>
      <c r="BN476" s="197" t="str">
        <f>IF(AND($I476="x",AND(MAX(BJ476:BL476)=BJ476,BJ476&lt;&gt;"")),Data!$BI$2,"")</f>
        <v/>
      </c>
      <c r="BO476" s="197" t="str">
        <f>IF(AND($J476="x",AND(MAX(BJ476:BL476)=BK476,BK476&lt;&gt;"")),Data!$BJ$2,"")</f>
        <v/>
      </c>
      <c r="BP476" s="197" t="str">
        <f>IF(AND($K476="x",AND(MAX(BJ476:BL476)=BL476,BL476&lt;&gt;"")),Data!$BK$2,"")</f>
        <v/>
      </c>
      <c r="BQ476" s="197"/>
      <c r="BR476" s="328"/>
      <c r="BS476" s="451"/>
      <c r="BT476" s="452"/>
      <c r="BU476" s="438" t="str">
        <f t="shared" si="698"/>
        <v/>
      </c>
      <c r="BV476" s="328"/>
      <c r="BW476" s="197" t="str">
        <f>IF(AND($I476="x",AND(MAX(BS476:BU476)=BS476,BS476&lt;&gt;"")),Data!$BI$2,"")</f>
        <v/>
      </c>
      <c r="BX476" s="197" t="str">
        <f>IF(AND($J476="x",AND(MAX(BS476:BU476)=BT476,BT476&lt;&gt;"")),Data!$BJ$2,"")</f>
        <v/>
      </c>
      <c r="BY476" s="197" t="str">
        <f>IF(AND($K476="x",AND(MAX(BS476:BU476)=BU476,BU476&lt;&gt;"")),Data!$BK$2,"")</f>
        <v/>
      </c>
      <c r="BZ476" s="197"/>
      <c r="CA476" s="328"/>
      <c r="CB476" s="457" t="str">
        <f t="shared" si="699"/>
        <v/>
      </c>
      <c r="CC476" s="458" t="str">
        <f t="shared" si="700"/>
        <v/>
      </c>
      <c r="CD476" s="459" t="str">
        <f t="shared" si="701"/>
        <v/>
      </c>
      <c r="CE476" s="328"/>
      <c r="CF476" s="197" t="str">
        <f>IF(AND($I476="x",AND(MAX(CB476:CD476)=CB476,CB476&lt;&gt;"")),Data!$BI$2,"")</f>
        <v/>
      </c>
      <c r="CG476" s="197" t="str">
        <f>IF(AND($J476="x",AND(MAX(CB476:CD476)=CC476,CC476&lt;&gt;"")),Data!$BJ$2,"")</f>
        <v/>
      </c>
      <c r="CH476" s="197" t="str">
        <f>IF(AND($K476="x",AND(MAX(CB476:CD476)=CD476,CD476&lt;&gt;"")),Data!$BK$2,"")</f>
        <v/>
      </c>
      <c r="CI476" s="197"/>
      <c r="CJ476" s="197"/>
      <c r="CK476" s="451"/>
      <c r="CL476" s="452"/>
      <c r="CM476" s="438" t="str">
        <f t="shared" si="702"/>
        <v/>
      </c>
      <c r="CN476" s="328"/>
      <c r="CO476" s="197" t="str">
        <f>IF(AND($I476="x",AND(MAX(CK476:CM476)=CK476,CK476&lt;&gt;"")),Data!$BI$2,"")</f>
        <v/>
      </c>
      <c r="CP476" s="197" t="str">
        <f>IF(AND($J476="x",AND(MAX(CK476:CM476)=CL476,CL476&lt;&gt;"")),Data!$BJ$2,"")</f>
        <v/>
      </c>
      <c r="CQ476" s="197" t="str">
        <f>IF(AND($K476="x",AND(MAX(CK476:CM476)=CM476,CM476&lt;&gt;"")),Data!$BK$2,"")</f>
        <v/>
      </c>
      <c r="CR476" s="197"/>
      <c r="CS476" s="197"/>
      <c r="CT476" s="328"/>
      <c r="CU476" s="259"/>
      <c r="CV476" s="209"/>
      <c r="CW476" s="227"/>
    </row>
    <row r="477" spans="1:101" x14ac:dyDescent="0.2">
      <c r="A477" s="227"/>
      <c r="B477" s="227"/>
      <c r="C477" s="168"/>
      <c r="D477" s="232"/>
      <c r="E477" s="135" t="s">
        <v>315</v>
      </c>
      <c r="F477" s="425"/>
      <c r="G477" s="430"/>
      <c r="H477" s="431"/>
      <c r="I477" s="346" t="str">
        <f t="shared" si="689"/>
        <v/>
      </c>
      <c r="J477" s="347" t="str">
        <f t="shared" si="690"/>
        <v/>
      </c>
      <c r="K477" s="348" t="str">
        <f t="shared" si="691"/>
        <v/>
      </c>
      <c r="L477" s="258"/>
      <c r="M477" s="332"/>
      <c r="N477" s="336"/>
      <c r="O477" s="200"/>
      <c r="P477" s="200"/>
      <c r="Q477" s="439"/>
      <c r="R477" s="440"/>
      <c r="S477" s="441" t="str">
        <f t="shared" si="692"/>
        <v/>
      </c>
      <c r="T477" s="328"/>
      <c r="U477" s="197" t="str">
        <f>IF(AND($I477="x",AND(MAX(Q477:S477)=Q477,Q477&gt;=0)),Data!$BI$2,"")</f>
        <v/>
      </c>
      <c r="V477" s="197" t="str">
        <f>IF(AND($J477="x",AND(MAX(Q477:S477)=R477,R477&gt;=0)),Data!$BJ$2,"")</f>
        <v/>
      </c>
      <c r="W477" s="197" t="str">
        <f>IF(AND($K477="x",AND(MAX(Q477:S477)=S477,S477&gt;=0)),Data!$BK$2,"")</f>
        <v/>
      </c>
      <c r="X477" s="197"/>
      <c r="Y477" s="328"/>
      <c r="Z477" s="453"/>
      <c r="AA477" s="454"/>
      <c r="AB477" s="441" t="str">
        <f t="shared" si="693"/>
        <v/>
      </c>
      <c r="AC477" s="328"/>
      <c r="AD477" s="197" t="str">
        <f>IF(AND($I477="x",AND(MAX(Z477:AB477)=Z477,Z477&lt;&gt;"")),Data!$BI$2,"")</f>
        <v/>
      </c>
      <c r="AE477" s="197" t="str">
        <f>IF(AND($J477="x",AND(MAX(Z477:AB477)=AA477,AA477&lt;&gt;"")),Data!$BJ$2,"")</f>
        <v/>
      </c>
      <c r="AF477" s="197" t="str">
        <f>IF(AND($K477="x",AND(MAX(Z477:AB477)=AB477,AB477&lt;&gt;"")),Data!$BK$2,"")</f>
        <v/>
      </c>
      <c r="AG477" s="197"/>
      <c r="AH477" s="328"/>
      <c r="AI477" s="453"/>
      <c r="AJ477" s="454"/>
      <c r="AK477" s="441" t="str">
        <f t="shared" si="694"/>
        <v/>
      </c>
      <c r="AL477" s="328"/>
      <c r="AM477" s="197" t="str">
        <f>IF(AND($I477="x",AND(MAX(AI477:AK477)=AI477,AI477&lt;&gt;"")),Data!$BI$2,"")</f>
        <v/>
      </c>
      <c r="AN477" s="197" t="str">
        <f>IF(AND($J477="x",AND(MAX(AI477:AK477)=AJ477,AJ477&lt;&gt;"")),Data!$BJ$2,"")</f>
        <v/>
      </c>
      <c r="AO477" s="197" t="str">
        <f>IF(AND($K477="x",AND(MAX(AI477:AK477)=AK477,AK477&lt;&gt;"")),Data!$BK$2,"")</f>
        <v/>
      </c>
      <c r="AP477" s="197"/>
      <c r="AQ477" s="328"/>
      <c r="AR477" s="453"/>
      <c r="AS477" s="454"/>
      <c r="AT477" s="441" t="str">
        <f t="shared" si="695"/>
        <v/>
      </c>
      <c r="AU477" s="328"/>
      <c r="AV477" s="197" t="str">
        <f>IF(AND($I477="x",AND(MAX(AR477:AT477)=AR477,AR477&lt;&gt;"")),Data!$BI$2,"")</f>
        <v/>
      </c>
      <c r="AW477" s="197" t="str">
        <f>IF(AND($J477="x",AND(MAX(AR477:AT477)=AS477,AS477&lt;&gt;"")),Data!$BJ$2,"")</f>
        <v/>
      </c>
      <c r="AX477" s="197" t="str">
        <f>IF(AND($K477="x",AND(MAX(AR477:AT477)=AT477,AT477&lt;&gt;"")),Data!$BK$2,"")</f>
        <v/>
      </c>
      <c r="AY477" s="197"/>
      <c r="AZ477" s="328"/>
      <c r="BA477" s="453"/>
      <c r="BB477" s="454"/>
      <c r="BC477" s="441" t="str">
        <f t="shared" si="696"/>
        <v/>
      </c>
      <c r="BD477" s="328"/>
      <c r="BE477" s="197" t="str">
        <f>IF(AND($I477="x",AND(MAX(BA477:BC477)=BA477,BA477&lt;&gt;"")),Data!$BI$2,"")</f>
        <v/>
      </c>
      <c r="BF477" s="197" t="str">
        <f>IF(AND($J477="x",AND(MAX(BA477:BC477)=BB477,BB477&lt;&gt;"")),Data!$BJ$2,"")</f>
        <v/>
      </c>
      <c r="BG477" s="197" t="str">
        <f>IF(AND($K477="x",AND(MAX(BA477:BC477)=BC477,BC477&lt;&gt;"")),Data!$BK$2,"")</f>
        <v/>
      </c>
      <c r="BH477" s="197"/>
      <c r="BI477" s="328"/>
      <c r="BJ477" s="453"/>
      <c r="BK477" s="454"/>
      <c r="BL477" s="441" t="str">
        <f t="shared" si="697"/>
        <v/>
      </c>
      <c r="BM477" s="328"/>
      <c r="BN477" s="197" t="str">
        <f>IF(AND($I477="x",AND(MAX(BJ477:BL477)=BJ477,BJ477&lt;&gt;"")),Data!$BI$2,"")</f>
        <v/>
      </c>
      <c r="BO477" s="197" t="str">
        <f>IF(AND($J477="x",AND(MAX(BJ477:BL477)=BK477,BK477&lt;&gt;"")),Data!$BJ$2,"")</f>
        <v/>
      </c>
      <c r="BP477" s="197" t="str">
        <f>IF(AND($K477="x",AND(MAX(BJ477:BL477)=BL477,BL477&lt;&gt;"")),Data!$BK$2,"")</f>
        <v/>
      </c>
      <c r="BQ477" s="197"/>
      <c r="BR477" s="328"/>
      <c r="BS477" s="453"/>
      <c r="BT477" s="454"/>
      <c r="BU477" s="441" t="str">
        <f t="shared" si="698"/>
        <v/>
      </c>
      <c r="BV477" s="328"/>
      <c r="BW477" s="197" t="str">
        <f>IF(AND($I477="x",AND(MAX(BS477:BU477)=BS477,BS477&lt;&gt;"")),Data!$BI$2,"")</f>
        <v/>
      </c>
      <c r="BX477" s="197" t="str">
        <f>IF(AND($J477="x",AND(MAX(BS477:BU477)=BT477,BT477&lt;&gt;"")),Data!$BJ$2,"")</f>
        <v/>
      </c>
      <c r="BY477" s="197" t="str">
        <f>IF(AND($K477="x",AND(MAX(BS477:BU477)=BU477,BU477&lt;&gt;"")),Data!$BK$2,"")</f>
        <v/>
      </c>
      <c r="BZ477" s="197"/>
      <c r="CA477" s="328"/>
      <c r="CB477" s="460" t="str">
        <f t="shared" si="699"/>
        <v/>
      </c>
      <c r="CC477" s="461" t="str">
        <f t="shared" si="700"/>
        <v/>
      </c>
      <c r="CD477" s="462" t="str">
        <f t="shared" si="701"/>
        <v/>
      </c>
      <c r="CE477" s="328"/>
      <c r="CF477" s="197" t="str">
        <f>IF(AND($I477="x",AND(MAX(CB477:CD477)=CB477,CB477&lt;&gt;"")),Data!$BI$2,"")</f>
        <v/>
      </c>
      <c r="CG477" s="197" t="str">
        <f>IF(AND($J477="x",AND(MAX(CB477:CD477)=CC477,CC477&lt;&gt;"")),Data!$BJ$2,"")</f>
        <v/>
      </c>
      <c r="CH477" s="197" t="str">
        <f>IF(AND($K477="x",AND(MAX(CB477:CD477)=CD477,CD477&lt;&gt;"")),Data!$BK$2,"")</f>
        <v/>
      </c>
      <c r="CI477" s="197"/>
      <c r="CJ477" s="197"/>
      <c r="CK477" s="453"/>
      <c r="CL477" s="454"/>
      <c r="CM477" s="441" t="str">
        <f t="shared" si="702"/>
        <v/>
      </c>
      <c r="CN477" s="328"/>
      <c r="CO477" s="197" t="str">
        <f>IF(AND($I477="x",AND(MAX(CK477:CM477)=CK477,CK477&lt;&gt;"")),Data!$BI$2,"")</f>
        <v/>
      </c>
      <c r="CP477" s="197" t="str">
        <f>IF(AND($J477="x",AND(MAX(CK477:CM477)=CL477,CL477&lt;&gt;"")),Data!$BJ$2,"")</f>
        <v/>
      </c>
      <c r="CQ477" s="197" t="str">
        <f>IF(AND($K477="x",AND(MAX(CK477:CM477)=CM477,CM477&lt;&gt;"")),Data!$BK$2,"")</f>
        <v/>
      </c>
      <c r="CR477" s="197"/>
      <c r="CS477" s="197"/>
      <c r="CT477" s="328"/>
      <c r="CU477" s="259"/>
      <c r="CV477" s="209"/>
      <c r="CW477" s="227"/>
    </row>
    <row r="478" spans="1:101" x14ac:dyDescent="0.2">
      <c r="A478" s="227"/>
      <c r="B478" s="227"/>
      <c r="C478" s="168"/>
      <c r="D478" s="232"/>
      <c r="E478" s="136" t="s">
        <v>316</v>
      </c>
      <c r="F478" s="426"/>
      <c r="G478" s="432"/>
      <c r="H478" s="433"/>
      <c r="I478" s="349" t="str">
        <f t="shared" si="689"/>
        <v/>
      </c>
      <c r="J478" s="350" t="str">
        <f t="shared" si="690"/>
        <v/>
      </c>
      <c r="K478" s="351" t="str">
        <f t="shared" si="691"/>
        <v/>
      </c>
      <c r="L478" s="258"/>
      <c r="M478" s="332"/>
      <c r="N478" s="336"/>
      <c r="O478" s="200"/>
      <c r="P478" s="200"/>
      <c r="Q478" s="445"/>
      <c r="R478" s="446"/>
      <c r="S478" s="447" t="str">
        <f t="shared" si="692"/>
        <v/>
      </c>
      <c r="T478" s="328"/>
      <c r="U478" s="197" t="str">
        <f>IF(AND($I478="x",AND(MAX(Q478:S478)=Q478,Q478&gt;=0)),Data!$BI$2,"")</f>
        <v/>
      </c>
      <c r="V478" s="197" t="str">
        <f>IF(AND($J478="x",AND(MAX(Q478:S478)=R478,R478&gt;=0)),Data!$BJ$2,"")</f>
        <v/>
      </c>
      <c r="W478" s="197" t="str">
        <f>IF(AND($K478="x",AND(MAX(Q478:S478)=S478,S478&gt;=0)),Data!$BK$2,"")</f>
        <v/>
      </c>
      <c r="X478" s="197"/>
      <c r="Y478" s="328"/>
      <c r="Z478" s="455"/>
      <c r="AA478" s="456"/>
      <c r="AB478" s="447" t="str">
        <f t="shared" si="693"/>
        <v/>
      </c>
      <c r="AC478" s="328"/>
      <c r="AD478" s="197" t="str">
        <f>IF(AND($I478="x",AND(MAX(Z478:AB478)=Z478,Z478&lt;&gt;"")),Data!$BI$2,"")</f>
        <v/>
      </c>
      <c r="AE478" s="197" t="str">
        <f>IF(AND($J478="x",AND(MAX(Z478:AB478)=AA478,AA478&lt;&gt;"")),Data!$BJ$2,"")</f>
        <v/>
      </c>
      <c r="AF478" s="197" t="str">
        <f>IF(AND($K478="x",AND(MAX(Z478:AB478)=AB478,AB478&lt;&gt;"")),Data!$BK$2,"")</f>
        <v/>
      </c>
      <c r="AG478" s="197"/>
      <c r="AH478" s="328"/>
      <c r="AI478" s="455"/>
      <c r="AJ478" s="456"/>
      <c r="AK478" s="447" t="str">
        <f t="shared" si="694"/>
        <v/>
      </c>
      <c r="AL478" s="328"/>
      <c r="AM478" s="197" t="str">
        <f>IF(AND($I478="x",AND(MAX(AI478:AK478)=AI478,AI478&lt;&gt;"")),Data!$BI$2,"")</f>
        <v/>
      </c>
      <c r="AN478" s="197" t="str">
        <f>IF(AND($J478="x",AND(MAX(AI478:AK478)=AJ478,AJ478&lt;&gt;"")),Data!$BJ$2,"")</f>
        <v/>
      </c>
      <c r="AO478" s="197" t="str">
        <f>IF(AND($K478="x",AND(MAX(AI478:AK478)=AK478,AK478&lt;&gt;"")),Data!$BK$2,"")</f>
        <v/>
      </c>
      <c r="AP478" s="197"/>
      <c r="AQ478" s="328"/>
      <c r="AR478" s="455"/>
      <c r="AS478" s="456"/>
      <c r="AT478" s="447" t="str">
        <f t="shared" si="695"/>
        <v/>
      </c>
      <c r="AU478" s="328"/>
      <c r="AV478" s="197" t="str">
        <f>IF(AND($I478="x",AND(MAX(AR478:AT478)=AR478,AR478&lt;&gt;"")),Data!$BI$2,"")</f>
        <v/>
      </c>
      <c r="AW478" s="197" t="str">
        <f>IF(AND($J478="x",AND(MAX(AR478:AT478)=AS478,AS478&lt;&gt;"")),Data!$BJ$2,"")</f>
        <v/>
      </c>
      <c r="AX478" s="197" t="str">
        <f>IF(AND($K478="x",AND(MAX(AR478:AT478)=AT478,AT478&lt;&gt;"")),Data!$BK$2,"")</f>
        <v/>
      </c>
      <c r="AY478" s="197"/>
      <c r="AZ478" s="328"/>
      <c r="BA478" s="455"/>
      <c r="BB478" s="456"/>
      <c r="BC478" s="447" t="str">
        <f t="shared" si="696"/>
        <v/>
      </c>
      <c r="BD478" s="328"/>
      <c r="BE478" s="197" t="str">
        <f>IF(AND($I478="x",AND(MAX(BA478:BC478)=BA478,BA478&lt;&gt;"")),Data!$BI$2,"")</f>
        <v/>
      </c>
      <c r="BF478" s="197" t="str">
        <f>IF(AND($J478="x",AND(MAX(BA478:BC478)=BB478,BB478&lt;&gt;"")),Data!$BJ$2,"")</f>
        <v/>
      </c>
      <c r="BG478" s="197" t="str">
        <f>IF(AND($K478="x",AND(MAX(BA478:BC478)=BC478,BC478&lt;&gt;"")),Data!$BK$2,"")</f>
        <v/>
      </c>
      <c r="BH478" s="197"/>
      <c r="BI478" s="328"/>
      <c r="BJ478" s="455"/>
      <c r="BK478" s="456"/>
      <c r="BL478" s="447" t="str">
        <f t="shared" si="697"/>
        <v/>
      </c>
      <c r="BM478" s="328"/>
      <c r="BN478" s="197" t="str">
        <f>IF(AND($I478="x",AND(MAX(BJ478:BL478)=BJ478,BJ478&lt;&gt;"")),Data!$BI$2,"")</f>
        <v/>
      </c>
      <c r="BO478" s="197" t="str">
        <f>IF(AND($J478="x",AND(MAX(BJ478:BL478)=BK478,BK478&lt;&gt;"")),Data!$BJ$2,"")</f>
        <v/>
      </c>
      <c r="BP478" s="197" t="str">
        <f>IF(AND($K478="x",AND(MAX(BJ478:BL478)=BL478,BL478&lt;&gt;"")),Data!$BK$2,"")</f>
        <v/>
      </c>
      <c r="BQ478" s="197"/>
      <c r="BR478" s="328"/>
      <c r="BS478" s="455"/>
      <c r="BT478" s="456"/>
      <c r="BU478" s="447" t="str">
        <f t="shared" si="698"/>
        <v/>
      </c>
      <c r="BV478" s="328"/>
      <c r="BW478" s="197" t="str">
        <f>IF(AND($I478="x",AND(MAX(BS478:BU478)=BS478,BS478&lt;&gt;"")),Data!$BI$2,"")</f>
        <v/>
      </c>
      <c r="BX478" s="197" t="str">
        <f>IF(AND($J478="x",AND(MAX(BS478:BU478)=BT478,BT478&lt;&gt;"")),Data!$BJ$2,"")</f>
        <v/>
      </c>
      <c r="BY478" s="197" t="str">
        <f>IF(AND($K478="x",AND(MAX(BS478:BU478)=BU478,BU478&lt;&gt;"")),Data!$BK$2,"")</f>
        <v/>
      </c>
      <c r="BZ478" s="197"/>
      <c r="CA478" s="328"/>
      <c r="CB478" s="463" t="str">
        <f t="shared" si="699"/>
        <v/>
      </c>
      <c r="CC478" s="464" t="str">
        <f t="shared" si="700"/>
        <v/>
      </c>
      <c r="CD478" s="465" t="str">
        <f t="shared" si="701"/>
        <v/>
      </c>
      <c r="CE478" s="328"/>
      <c r="CF478" s="197" t="str">
        <f>IF(AND($I478="x",AND(MAX(CB478:CD478)=CB478,CB478&lt;&gt;"")),Data!$BI$2,"")</f>
        <v/>
      </c>
      <c r="CG478" s="197" t="str">
        <f>IF(AND($J478="x",AND(MAX(CB478:CD478)=CC478,CC478&lt;&gt;"")),Data!$BJ$2,"")</f>
        <v/>
      </c>
      <c r="CH478" s="197" t="str">
        <f>IF(AND($K478="x",AND(MAX(CB478:CD478)=CD478,CD478&lt;&gt;"")),Data!$BK$2,"")</f>
        <v/>
      </c>
      <c r="CI478" s="197"/>
      <c r="CJ478" s="197"/>
      <c r="CK478" s="455"/>
      <c r="CL478" s="456"/>
      <c r="CM478" s="447" t="str">
        <f t="shared" si="702"/>
        <v/>
      </c>
      <c r="CN478" s="328"/>
      <c r="CO478" s="197" t="str">
        <f>IF(AND($I478="x",AND(MAX(CK478:CM478)=CK478,CK478&lt;&gt;"")),Data!$BI$2,"")</f>
        <v/>
      </c>
      <c r="CP478" s="197" t="str">
        <f>IF(AND($J478="x",AND(MAX(CK478:CM478)=CL478,CL478&lt;&gt;"")),Data!$BJ$2,"")</f>
        <v/>
      </c>
      <c r="CQ478" s="197" t="str">
        <f>IF(AND($K478="x",AND(MAX(CK478:CM478)=CM478,CM478&lt;&gt;"")),Data!$BK$2,"")</f>
        <v/>
      </c>
      <c r="CR478" s="197"/>
      <c r="CS478" s="197"/>
      <c r="CT478" s="328"/>
      <c r="CU478" s="259"/>
      <c r="CV478" s="209"/>
      <c r="CW478" s="227"/>
    </row>
    <row r="479" spans="1:101" x14ac:dyDescent="0.2">
      <c r="A479" s="227"/>
      <c r="B479" s="227"/>
      <c r="C479" s="168"/>
      <c r="D479" s="232"/>
      <c r="E479" s="137" t="s">
        <v>317</v>
      </c>
      <c r="F479" s="427"/>
      <c r="G479" s="434"/>
      <c r="H479" s="435"/>
      <c r="I479" s="138" t="str">
        <f>IF($F479&gt;$H479,"x","")</f>
        <v/>
      </c>
      <c r="J479" s="344" t="str">
        <f>IF(F479&lt;&gt;"",IF(H479&lt;&gt;"",IF(F479=H479,"x",""),""),"")</f>
        <v/>
      </c>
      <c r="K479" s="345" t="str">
        <f t="shared" si="691"/>
        <v/>
      </c>
      <c r="L479" s="258"/>
      <c r="M479" s="332"/>
      <c r="N479" s="336"/>
      <c r="O479" s="200"/>
      <c r="P479" s="200"/>
      <c r="Q479" s="448"/>
      <c r="R479" s="449"/>
      <c r="S479" s="450" t="str">
        <f t="shared" si="692"/>
        <v/>
      </c>
      <c r="T479" s="328"/>
      <c r="U479" s="197" t="str">
        <f>IF(AND($I479="x",AND(MAX(Q479:S479)=Q479,Q479&gt;=0)),Data!$BI$2,"")</f>
        <v/>
      </c>
      <c r="V479" s="197" t="str">
        <f>IF(AND($J479="x",AND(MAX(Q479:S479)=R479,R479&gt;=0)),Data!$BJ$2,"")</f>
        <v/>
      </c>
      <c r="W479" s="197" t="str">
        <f>IF(AND($K479="x",AND(MAX(Q479:S479)=S479,S479&gt;=0)),Data!$BK$2,"")</f>
        <v/>
      </c>
      <c r="X479" s="197"/>
      <c r="Y479" s="328"/>
      <c r="Z479" s="451"/>
      <c r="AA479" s="452"/>
      <c r="AB479" s="450" t="str">
        <f t="shared" si="693"/>
        <v/>
      </c>
      <c r="AC479" s="328"/>
      <c r="AD479" s="197" t="str">
        <f>IF(AND($I479="x",AND(MAX(Z479:AB479)=Z479,Z479&lt;&gt;"")),Data!$BI$2,"")</f>
        <v/>
      </c>
      <c r="AE479" s="197" t="str">
        <f>IF(AND($J479="x",AND(MAX(Z479:AB479)=AA479,AA479&lt;&gt;"")),Data!$BJ$2,"")</f>
        <v/>
      </c>
      <c r="AF479" s="197" t="str">
        <f>IF(AND($K479="x",AND(MAX(Z479:AB479)=AB479,AB479&lt;&gt;"")),Data!$BK$2,"")</f>
        <v/>
      </c>
      <c r="AG479" s="197"/>
      <c r="AH479" s="328"/>
      <c r="AI479" s="451"/>
      <c r="AJ479" s="452"/>
      <c r="AK479" s="450" t="str">
        <f t="shared" si="694"/>
        <v/>
      </c>
      <c r="AL479" s="328"/>
      <c r="AM479" s="197" t="str">
        <f>IF(AND($I479="x",AND(MAX(AI479:AK479)=AI479,AI479&lt;&gt;"")),Data!$BI$2,"")</f>
        <v/>
      </c>
      <c r="AN479" s="197" t="str">
        <f>IF(AND($J479="x",AND(MAX(AI479:AK479)=AJ479,AJ479&lt;&gt;"")),Data!$BJ$2,"")</f>
        <v/>
      </c>
      <c r="AO479" s="197" t="str">
        <f>IF(AND($K479="x",AND(MAX(AI479:AK479)=AK479,AK479&lt;&gt;"")),Data!$BK$2,"")</f>
        <v/>
      </c>
      <c r="AP479" s="197"/>
      <c r="AQ479" s="328"/>
      <c r="AR479" s="451"/>
      <c r="AS479" s="452"/>
      <c r="AT479" s="450" t="str">
        <f t="shared" si="695"/>
        <v/>
      </c>
      <c r="AU479" s="328"/>
      <c r="AV479" s="197" t="str">
        <f>IF(AND($I479="x",AND(MAX(AR479:AT479)=AR479,AR479&lt;&gt;"")),Data!$BI$2,"")</f>
        <v/>
      </c>
      <c r="AW479" s="197" t="str">
        <f>IF(AND($J479="x",AND(MAX(AR479:AT479)=AS479,AS479&lt;&gt;"")),Data!$BJ$2,"")</f>
        <v/>
      </c>
      <c r="AX479" s="197" t="str">
        <f>IF(AND($K479="x",AND(MAX(AR479:AT479)=AT479,AT479&lt;&gt;"")),Data!$BK$2,"")</f>
        <v/>
      </c>
      <c r="AY479" s="197"/>
      <c r="AZ479" s="328"/>
      <c r="BA479" s="451"/>
      <c r="BB479" s="452"/>
      <c r="BC479" s="450" t="str">
        <f t="shared" si="696"/>
        <v/>
      </c>
      <c r="BD479" s="328"/>
      <c r="BE479" s="197" t="str">
        <f>IF(AND($I479="x",AND(MAX(BA479:BC479)=BA479,BA479&lt;&gt;"")),Data!$BI$2,"")</f>
        <v/>
      </c>
      <c r="BF479" s="197" t="str">
        <f>IF(AND($J479="x",AND(MAX(BA479:BC479)=BB479,BB479&lt;&gt;"")),Data!$BJ$2,"")</f>
        <v/>
      </c>
      <c r="BG479" s="197" t="str">
        <f>IF(AND($K479="x",AND(MAX(BA479:BC479)=BC479,BC479&lt;&gt;"")),Data!$BK$2,"")</f>
        <v/>
      </c>
      <c r="BH479" s="197"/>
      <c r="BI479" s="328"/>
      <c r="BJ479" s="451"/>
      <c r="BK479" s="452"/>
      <c r="BL479" s="450" t="str">
        <f t="shared" si="697"/>
        <v/>
      </c>
      <c r="BM479" s="328"/>
      <c r="BN479" s="197" t="str">
        <f>IF(AND($I479="x",AND(MAX(BJ479:BL479)=BJ479,BJ479&lt;&gt;"")),Data!$BI$2,"")</f>
        <v/>
      </c>
      <c r="BO479" s="197" t="str">
        <f>IF(AND($J479="x",AND(MAX(BJ479:BL479)=BK479,BK479&lt;&gt;"")),Data!$BJ$2,"")</f>
        <v/>
      </c>
      <c r="BP479" s="197" t="str">
        <f>IF(AND($K479="x",AND(MAX(BJ479:BL479)=BL479,BL479&lt;&gt;"")),Data!$BK$2,"")</f>
        <v/>
      </c>
      <c r="BQ479" s="197"/>
      <c r="BR479" s="328"/>
      <c r="BS479" s="451"/>
      <c r="BT479" s="452"/>
      <c r="BU479" s="450" t="str">
        <f t="shared" si="698"/>
        <v/>
      </c>
      <c r="BV479" s="328"/>
      <c r="BW479" s="197" t="str">
        <f>IF(AND($I479="x",AND(MAX(BS479:BU479)=BS479,BS479&lt;&gt;"")),Data!$BI$2,"")</f>
        <v/>
      </c>
      <c r="BX479" s="197" t="str">
        <f>IF(AND($J479="x",AND(MAX(BS479:BU479)=BT479,BT479&lt;&gt;"")),Data!$BJ$2,"")</f>
        <v/>
      </c>
      <c r="BY479" s="197" t="str">
        <f>IF(AND($K479="x",AND(MAX(BS479:BU479)=BU479,BU479&lt;&gt;"")),Data!$BK$2,"")</f>
        <v/>
      </c>
      <c r="BZ479" s="197"/>
      <c r="CA479" s="328"/>
      <c r="CB479" s="457" t="str">
        <f t="shared" si="699"/>
        <v/>
      </c>
      <c r="CC479" s="458" t="str">
        <f t="shared" si="700"/>
        <v/>
      </c>
      <c r="CD479" s="459" t="str">
        <f t="shared" si="701"/>
        <v/>
      </c>
      <c r="CE479" s="328"/>
      <c r="CF479" s="197" t="str">
        <f>IF(AND($I479="x",AND(MAX(CB479:CD479)=CB479,CB479&lt;&gt;"")),Data!$BI$2,"")</f>
        <v/>
      </c>
      <c r="CG479" s="197" t="str">
        <f>IF(AND($J479="x",AND(MAX(CB479:CD479)=CC479,CC479&lt;&gt;"")),Data!$BJ$2,"")</f>
        <v/>
      </c>
      <c r="CH479" s="197" t="str">
        <f>IF(AND($K479="x",AND(MAX(CB479:CD479)=CD479,CD479&lt;&gt;"")),Data!$BK$2,"")</f>
        <v/>
      </c>
      <c r="CI479" s="197"/>
      <c r="CJ479" s="197"/>
      <c r="CK479" s="451"/>
      <c r="CL479" s="452"/>
      <c r="CM479" s="450" t="str">
        <f t="shared" si="702"/>
        <v/>
      </c>
      <c r="CN479" s="328"/>
      <c r="CO479" s="197" t="str">
        <f>IF(AND($I479="x",AND(MAX(CK479:CM479)=CK479,CK479&lt;&gt;"")),Data!$BI$2,"")</f>
        <v/>
      </c>
      <c r="CP479" s="197" t="str">
        <f>IF(AND($J479="x",AND(MAX(CK479:CM479)=CL479,CL479&lt;&gt;"")),Data!$BJ$2,"")</f>
        <v/>
      </c>
      <c r="CQ479" s="197" t="str">
        <f>IF(AND($K479="x",AND(MAX(CK479:CM479)=CM479,CM479&lt;&gt;"")),Data!$BK$2,"")</f>
        <v/>
      </c>
      <c r="CR479" s="197"/>
      <c r="CS479" s="197"/>
      <c r="CT479" s="328"/>
      <c r="CU479" s="259"/>
      <c r="CV479" s="209"/>
      <c r="CW479" s="227"/>
    </row>
    <row r="480" spans="1:101" x14ac:dyDescent="0.2">
      <c r="A480" s="227"/>
      <c r="B480" s="227"/>
      <c r="C480" s="168"/>
      <c r="D480" s="232"/>
      <c r="E480" s="135" t="s">
        <v>318</v>
      </c>
      <c r="F480" s="425"/>
      <c r="G480" s="430"/>
      <c r="H480" s="431"/>
      <c r="I480" s="346" t="str">
        <f t="shared" si="689"/>
        <v/>
      </c>
      <c r="J480" s="347" t="str">
        <f t="shared" si="690"/>
        <v/>
      </c>
      <c r="K480" s="348" t="str">
        <f t="shared" si="691"/>
        <v/>
      </c>
      <c r="L480" s="258"/>
      <c r="M480" s="332"/>
      <c r="N480" s="336"/>
      <c r="O480" s="200"/>
      <c r="P480" s="200"/>
      <c r="Q480" s="439"/>
      <c r="R480" s="440"/>
      <c r="S480" s="441" t="str">
        <f t="shared" si="692"/>
        <v/>
      </c>
      <c r="T480" s="328"/>
      <c r="U480" s="197" t="str">
        <f>IF(AND($I480="x",AND(MAX(Q480:S480)=Q480,Q480&gt;=0)),Data!$BI$2,"")</f>
        <v/>
      </c>
      <c r="V480" s="197" t="str">
        <f>IF(AND($J480="x",AND(MAX(Q480:S480)=R480,R480&gt;=0)),Data!$BJ$2,"")</f>
        <v/>
      </c>
      <c r="W480" s="197" t="str">
        <f>IF(AND($K480="x",AND(MAX(Q480:S480)=S480,S480&gt;=0)),Data!$BK$2,"")</f>
        <v/>
      </c>
      <c r="X480" s="197"/>
      <c r="Y480" s="328"/>
      <c r="Z480" s="453"/>
      <c r="AA480" s="454"/>
      <c r="AB480" s="441" t="str">
        <f t="shared" si="693"/>
        <v/>
      </c>
      <c r="AC480" s="328"/>
      <c r="AD480" s="197" t="str">
        <f>IF(AND($I480="x",AND(MAX(Z480:AB480)=Z480,Z480&lt;&gt;"")),Data!$BI$2,"")</f>
        <v/>
      </c>
      <c r="AE480" s="197" t="str">
        <f>IF(AND($J480="x",AND(MAX(Z480:AB480)=AA480,AA480&lt;&gt;"")),Data!$BJ$2,"")</f>
        <v/>
      </c>
      <c r="AF480" s="197" t="str">
        <f>IF(AND($K480="x",AND(MAX(Z480:AB480)=AB480,AB480&lt;&gt;"")),Data!$BK$2,"")</f>
        <v/>
      </c>
      <c r="AG480" s="197"/>
      <c r="AH480" s="328"/>
      <c r="AI480" s="453"/>
      <c r="AJ480" s="454"/>
      <c r="AK480" s="441" t="str">
        <f t="shared" si="694"/>
        <v/>
      </c>
      <c r="AL480" s="328"/>
      <c r="AM480" s="197" t="str">
        <f>IF(AND($I480="x",AND(MAX(AI480:AK480)=AI480,AI480&lt;&gt;"")),Data!$BI$2,"")</f>
        <v/>
      </c>
      <c r="AN480" s="197" t="str">
        <f>IF(AND($J480="x",AND(MAX(AI480:AK480)=AJ480,AJ480&lt;&gt;"")),Data!$BJ$2,"")</f>
        <v/>
      </c>
      <c r="AO480" s="197" t="str">
        <f>IF(AND($K480="x",AND(MAX(AI480:AK480)=AK480,AK480&lt;&gt;"")),Data!$BK$2,"")</f>
        <v/>
      </c>
      <c r="AP480" s="197"/>
      <c r="AQ480" s="328"/>
      <c r="AR480" s="453"/>
      <c r="AS480" s="454"/>
      <c r="AT480" s="441" t="str">
        <f t="shared" si="695"/>
        <v/>
      </c>
      <c r="AU480" s="328"/>
      <c r="AV480" s="197" t="str">
        <f>IF(AND($I480="x",AND(MAX(AR480:AT480)=AR480,AR480&lt;&gt;"")),Data!$BI$2,"")</f>
        <v/>
      </c>
      <c r="AW480" s="197" t="str">
        <f>IF(AND($J480="x",AND(MAX(AR480:AT480)=AS480,AS480&lt;&gt;"")),Data!$BJ$2,"")</f>
        <v/>
      </c>
      <c r="AX480" s="197" t="str">
        <f>IF(AND($K480="x",AND(MAX(AR480:AT480)=AT480,AT480&lt;&gt;"")),Data!$BK$2,"")</f>
        <v/>
      </c>
      <c r="AY480" s="197"/>
      <c r="AZ480" s="328"/>
      <c r="BA480" s="453"/>
      <c r="BB480" s="454"/>
      <c r="BC480" s="441" t="str">
        <f t="shared" si="696"/>
        <v/>
      </c>
      <c r="BD480" s="328"/>
      <c r="BE480" s="197" t="str">
        <f>IF(AND($I480="x",AND(MAX(BA480:BC480)=BA480,BA480&lt;&gt;"")),Data!$BI$2,"")</f>
        <v/>
      </c>
      <c r="BF480" s="197" t="str">
        <f>IF(AND($J480="x",AND(MAX(BA480:BC480)=BB480,BB480&lt;&gt;"")),Data!$BJ$2,"")</f>
        <v/>
      </c>
      <c r="BG480" s="197" t="str">
        <f>IF(AND($K480="x",AND(MAX(BA480:BC480)=BC480,BC480&lt;&gt;"")),Data!$BK$2,"")</f>
        <v/>
      </c>
      <c r="BH480" s="197"/>
      <c r="BI480" s="328"/>
      <c r="BJ480" s="453"/>
      <c r="BK480" s="454"/>
      <c r="BL480" s="441" t="str">
        <f t="shared" si="697"/>
        <v/>
      </c>
      <c r="BM480" s="328"/>
      <c r="BN480" s="197" t="str">
        <f>IF(AND($I480="x",AND(MAX(BJ480:BL480)=BJ480,BJ480&lt;&gt;"")),Data!$BI$2,"")</f>
        <v/>
      </c>
      <c r="BO480" s="197" t="str">
        <f>IF(AND($J480="x",AND(MAX(BJ480:BL480)=BK480,BK480&lt;&gt;"")),Data!$BJ$2,"")</f>
        <v/>
      </c>
      <c r="BP480" s="197" t="str">
        <f>IF(AND($K480="x",AND(MAX(BJ480:BL480)=BL480,BL480&lt;&gt;"")),Data!$BK$2,"")</f>
        <v/>
      </c>
      <c r="BQ480" s="197"/>
      <c r="BR480" s="328"/>
      <c r="BS480" s="453"/>
      <c r="BT480" s="454"/>
      <c r="BU480" s="441" t="str">
        <f t="shared" si="698"/>
        <v/>
      </c>
      <c r="BV480" s="328"/>
      <c r="BW480" s="197" t="str">
        <f>IF(AND($I480="x",AND(MAX(BS480:BU480)=BS480,BS480&lt;&gt;"")),Data!$BI$2,"")</f>
        <v/>
      </c>
      <c r="BX480" s="197" t="str">
        <f>IF(AND($J480="x",AND(MAX(BS480:BU480)=BT480,BT480&lt;&gt;"")),Data!$BJ$2,"")</f>
        <v/>
      </c>
      <c r="BY480" s="197" t="str">
        <f>IF(AND($K480="x",AND(MAX(BS480:BU480)=BU480,BU480&lt;&gt;"")),Data!$BK$2,"")</f>
        <v/>
      </c>
      <c r="BZ480" s="197"/>
      <c r="CA480" s="328"/>
      <c r="CB480" s="460" t="str">
        <f t="shared" si="699"/>
        <v/>
      </c>
      <c r="CC480" s="461" t="str">
        <f t="shared" si="700"/>
        <v/>
      </c>
      <c r="CD480" s="462" t="str">
        <f t="shared" si="701"/>
        <v/>
      </c>
      <c r="CE480" s="328"/>
      <c r="CF480" s="197" t="str">
        <f>IF(AND($I480="x",AND(MAX(CB480:CD480)=CB480,CB480&lt;&gt;"")),Data!$BI$2,"")</f>
        <v/>
      </c>
      <c r="CG480" s="197" t="str">
        <f>IF(AND($J480="x",AND(MAX(CB480:CD480)=CC480,CC480&lt;&gt;"")),Data!$BJ$2,"")</f>
        <v/>
      </c>
      <c r="CH480" s="197" t="str">
        <f>IF(AND($K480="x",AND(MAX(CB480:CD480)=CD480,CD480&lt;&gt;"")),Data!$BK$2,"")</f>
        <v/>
      </c>
      <c r="CI480" s="197"/>
      <c r="CJ480" s="197"/>
      <c r="CK480" s="453"/>
      <c r="CL480" s="454"/>
      <c r="CM480" s="441" t="str">
        <f t="shared" si="702"/>
        <v/>
      </c>
      <c r="CN480" s="328"/>
      <c r="CO480" s="197" t="str">
        <f>IF(AND($I480="x",AND(MAX(CK480:CM480)=CK480,CK480&lt;&gt;"")),Data!$BI$2,"")</f>
        <v/>
      </c>
      <c r="CP480" s="197" t="str">
        <f>IF(AND($J480="x",AND(MAX(CK480:CM480)=CL480,CL480&lt;&gt;"")),Data!$BJ$2,"")</f>
        <v/>
      </c>
      <c r="CQ480" s="197" t="str">
        <f>IF(AND($K480="x",AND(MAX(CK480:CM480)=CM480,CM480&lt;&gt;"")),Data!$BK$2,"")</f>
        <v/>
      </c>
      <c r="CR480" s="197"/>
      <c r="CS480" s="197"/>
      <c r="CT480" s="328"/>
      <c r="CU480" s="259"/>
      <c r="CV480" s="209"/>
      <c r="CW480" s="227"/>
    </row>
    <row r="481" spans="1:101" x14ac:dyDescent="0.2">
      <c r="A481" s="227"/>
      <c r="B481" s="227"/>
      <c r="C481" s="168"/>
      <c r="D481" s="232"/>
      <c r="E481" s="136" t="s">
        <v>319</v>
      </c>
      <c r="F481" s="426"/>
      <c r="G481" s="432"/>
      <c r="H481" s="433"/>
      <c r="I481" s="349" t="str">
        <f t="shared" si="689"/>
        <v/>
      </c>
      <c r="J481" s="350" t="str">
        <f t="shared" si="690"/>
        <v/>
      </c>
      <c r="K481" s="351" t="str">
        <f t="shared" si="691"/>
        <v/>
      </c>
      <c r="L481" s="258"/>
      <c r="M481" s="332"/>
      <c r="N481" s="336"/>
      <c r="O481" s="200"/>
      <c r="P481" s="200"/>
      <c r="Q481" s="445"/>
      <c r="R481" s="446"/>
      <c r="S481" s="447" t="str">
        <f t="shared" si="692"/>
        <v/>
      </c>
      <c r="T481" s="328"/>
      <c r="U481" s="197" t="str">
        <f>IF(AND($I481="x",AND(MAX(Q481:S481)=Q481,Q481&gt;=0)),Data!$BI$2,"")</f>
        <v/>
      </c>
      <c r="V481" s="197" t="str">
        <f>IF(AND($J481="x",AND(MAX(Q481:S481)=R481,R481&gt;=0)),Data!$BJ$2,"")</f>
        <v/>
      </c>
      <c r="W481" s="197" t="str">
        <f>IF(AND($K481="x",AND(MAX(Q481:S481)=S481,S481&gt;=0)),Data!$BK$2,"")</f>
        <v/>
      </c>
      <c r="X481" s="197"/>
      <c r="Y481" s="328"/>
      <c r="Z481" s="455"/>
      <c r="AA481" s="456"/>
      <c r="AB481" s="447" t="str">
        <f t="shared" si="693"/>
        <v/>
      </c>
      <c r="AC481" s="328"/>
      <c r="AD481" s="197" t="str">
        <f>IF(AND($I481="x",AND(MAX(Z481:AB481)=Z481,Z481&lt;&gt;"")),Data!$BI$2,"")</f>
        <v/>
      </c>
      <c r="AE481" s="197" t="str">
        <f>IF(AND($J481="x",AND(MAX(Z481:AB481)=AA481,AA481&lt;&gt;"")),Data!$BJ$2,"")</f>
        <v/>
      </c>
      <c r="AF481" s="197" t="str">
        <f>IF(AND($K481="x",AND(MAX(Z481:AB481)=AB481,AB481&lt;&gt;"")),Data!$BK$2,"")</f>
        <v/>
      </c>
      <c r="AG481" s="197"/>
      <c r="AH481" s="328"/>
      <c r="AI481" s="455"/>
      <c r="AJ481" s="456"/>
      <c r="AK481" s="447" t="str">
        <f t="shared" si="694"/>
        <v/>
      </c>
      <c r="AL481" s="328"/>
      <c r="AM481" s="197" t="str">
        <f>IF(AND($I481="x",AND(MAX(AI481:AK481)=AI481,AI481&lt;&gt;"")),Data!$BI$2,"")</f>
        <v/>
      </c>
      <c r="AN481" s="197" t="str">
        <f>IF(AND($J481="x",AND(MAX(AI481:AK481)=AJ481,AJ481&lt;&gt;"")),Data!$BJ$2,"")</f>
        <v/>
      </c>
      <c r="AO481" s="197" t="str">
        <f>IF(AND($K481="x",AND(MAX(AI481:AK481)=AK481,AK481&lt;&gt;"")),Data!$BK$2,"")</f>
        <v/>
      </c>
      <c r="AP481" s="197"/>
      <c r="AQ481" s="328"/>
      <c r="AR481" s="455"/>
      <c r="AS481" s="456"/>
      <c r="AT481" s="447" t="str">
        <f t="shared" si="695"/>
        <v/>
      </c>
      <c r="AU481" s="328"/>
      <c r="AV481" s="197" t="str">
        <f>IF(AND($I481="x",AND(MAX(AR481:AT481)=AR481,AR481&lt;&gt;"")),Data!$BI$2,"")</f>
        <v/>
      </c>
      <c r="AW481" s="197" t="str">
        <f>IF(AND($J481="x",AND(MAX(AR481:AT481)=AS481,AS481&lt;&gt;"")),Data!$BJ$2,"")</f>
        <v/>
      </c>
      <c r="AX481" s="197" t="str">
        <f>IF(AND($K481="x",AND(MAX(AR481:AT481)=AT481,AT481&lt;&gt;"")),Data!$BK$2,"")</f>
        <v/>
      </c>
      <c r="AY481" s="197"/>
      <c r="AZ481" s="328"/>
      <c r="BA481" s="455"/>
      <c r="BB481" s="456"/>
      <c r="BC481" s="447" t="str">
        <f t="shared" si="696"/>
        <v/>
      </c>
      <c r="BD481" s="328"/>
      <c r="BE481" s="197" t="str">
        <f>IF(AND($I481="x",AND(MAX(BA481:BC481)=BA481,BA481&lt;&gt;"")),Data!$BI$2,"")</f>
        <v/>
      </c>
      <c r="BF481" s="197" t="str">
        <f>IF(AND($J481="x",AND(MAX(BA481:BC481)=BB481,BB481&lt;&gt;"")),Data!$BJ$2,"")</f>
        <v/>
      </c>
      <c r="BG481" s="197" t="str">
        <f>IF(AND($K481="x",AND(MAX(BA481:BC481)=BC481,BC481&lt;&gt;"")),Data!$BK$2,"")</f>
        <v/>
      </c>
      <c r="BH481" s="197"/>
      <c r="BI481" s="328"/>
      <c r="BJ481" s="455"/>
      <c r="BK481" s="456"/>
      <c r="BL481" s="447" t="str">
        <f t="shared" si="697"/>
        <v/>
      </c>
      <c r="BM481" s="328"/>
      <c r="BN481" s="197" t="str">
        <f>IF(AND($I481="x",AND(MAX(BJ481:BL481)=BJ481,BJ481&lt;&gt;"")),Data!$BI$2,"")</f>
        <v/>
      </c>
      <c r="BO481" s="197" t="str">
        <f>IF(AND($J481="x",AND(MAX(BJ481:BL481)=BK481,BK481&lt;&gt;"")),Data!$BJ$2,"")</f>
        <v/>
      </c>
      <c r="BP481" s="197" t="str">
        <f>IF(AND($K481="x",AND(MAX(BJ481:BL481)=BL481,BL481&lt;&gt;"")),Data!$BK$2,"")</f>
        <v/>
      </c>
      <c r="BQ481" s="197"/>
      <c r="BR481" s="328"/>
      <c r="BS481" s="455"/>
      <c r="BT481" s="456"/>
      <c r="BU481" s="447" t="str">
        <f t="shared" si="698"/>
        <v/>
      </c>
      <c r="BV481" s="328"/>
      <c r="BW481" s="197" t="str">
        <f>IF(AND($I481="x",AND(MAX(BS481:BU481)=BS481,BS481&lt;&gt;"")),Data!$BI$2,"")</f>
        <v/>
      </c>
      <c r="BX481" s="197" t="str">
        <f>IF(AND($J481="x",AND(MAX(BS481:BU481)=BT481,BT481&lt;&gt;"")),Data!$BJ$2,"")</f>
        <v/>
      </c>
      <c r="BY481" s="197" t="str">
        <f>IF(AND($K481="x",AND(MAX(BS481:BU481)=BU481,BU481&lt;&gt;"")),Data!$BK$2,"")</f>
        <v/>
      </c>
      <c r="BZ481" s="197"/>
      <c r="CA481" s="328"/>
      <c r="CB481" s="463" t="str">
        <f t="shared" si="699"/>
        <v/>
      </c>
      <c r="CC481" s="464" t="str">
        <f t="shared" si="700"/>
        <v/>
      </c>
      <c r="CD481" s="465" t="str">
        <f t="shared" si="701"/>
        <v/>
      </c>
      <c r="CE481" s="328"/>
      <c r="CF481" s="197" t="str">
        <f>IF(AND($I481="x",AND(MAX(CB481:CD481)=CB481,CB481&lt;&gt;"")),Data!$BI$2,"")</f>
        <v/>
      </c>
      <c r="CG481" s="197" t="str">
        <f>IF(AND($J481="x",AND(MAX(CB481:CD481)=CC481,CC481&lt;&gt;"")),Data!$BJ$2,"")</f>
        <v/>
      </c>
      <c r="CH481" s="197" t="str">
        <f>IF(AND($K481="x",AND(MAX(CB481:CD481)=CD481,CD481&lt;&gt;"")),Data!$BK$2,"")</f>
        <v/>
      </c>
      <c r="CI481" s="197"/>
      <c r="CJ481" s="197"/>
      <c r="CK481" s="455"/>
      <c r="CL481" s="456"/>
      <c r="CM481" s="447" t="str">
        <f t="shared" si="702"/>
        <v/>
      </c>
      <c r="CN481" s="328"/>
      <c r="CO481" s="197" t="str">
        <f>IF(AND($I481="x",AND(MAX(CK481:CM481)=CK481,CK481&lt;&gt;"")),Data!$BI$2,"")</f>
        <v/>
      </c>
      <c r="CP481" s="197" t="str">
        <f>IF(AND($J481="x",AND(MAX(CK481:CM481)=CL481,CL481&lt;&gt;"")),Data!$BJ$2,"")</f>
        <v/>
      </c>
      <c r="CQ481" s="197" t="str">
        <f>IF(AND($K481="x",AND(MAX(CK481:CM481)=CM481,CM481&lt;&gt;"")),Data!$BK$2,"")</f>
        <v/>
      </c>
      <c r="CR481" s="197"/>
      <c r="CS481" s="197"/>
      <c r="CT481" s="328"/>
      <c r="CU481" s="259"/>
      <c r="CV481" s="209"/>
      <c r="CW481" s="227"/>
    </row>
    <row r="482" spans="1:101" x14ac:dyDescent="0.2">
      <c r="A482" s="227"/>
      <c r="B482" s="227"/>
      <c r="C482" s="168"/>
      <c r="D482" s="233"/>
      <c r="E482" s="199"/>
      <c r="F482" s="352" t="str">
        <f>IF(SUM(F470:F481)=0,"",SUM(F470:F481))</f>
        <v/>
      </c>
      <c r="G482" s="327" t="s">
        <v>51</v>
      </c>
      <c r="H482" s="353" t="str">
        <f>IF(SUM(H470:H481)=0,"",SUM(H470:H481))</f>
        <v/>
      </c>
      <c r="I482" s="354" t="str">
        <f>IF(COUNTIF(I470:I481,"=x")=0,"",COUNTIF(I470:I481,"=x"))</f>
        <v/>
      </c>
      <c r="J482" s="355" t="str">
        <f>IF(COUNTIF(J470:J481,"=x")=0,"",COUNTIF(J470:J481,"=x"))</f>
        <v/>
      </c>
      <c r="K482" s="356" t="str">
        <f>IF(COUNTIF(K470:K481,"=x")=0,"",COUNTIF(K470:K481,"=x"))</f>
        <v/>
      </c>
      <c r="L482" s="258"/>
      <c r="M482" s="332"/>
      <c r="N482" s="336"/>
      <c r="O482" s="200"/>
      <c r="P482" s="326"/>
      <c r="Q482" s="422">
        <f>SUM(U470:U481)</f>
        <v>0</v>
      </c>
      <c r="R482" s="422">
        <f t="shared" ref="R482:S482" si="703">SUM(V470:V481)</f>
        <v>0</v>
      </c>
      <c r="S482" s="422">
        <f t="shared" si="703"/>
        <v>0</v>
      </c>
      <c r="T482" s="325"/>
      <c r="U482" s="197">
        <f>SUM(U470:U481)</f>
        <v>0</v>
      </c>
      <c r="V482" s="197">
        <f t="shared" ref="V482:W482" si="704">SUM(V470:V481)</f>
        <v>0</v>
      </c>
      <c r="W482" s="197">
        <f t="shared" si="704"/>
        <v>0</v>
      </c>
      <c r="X482" s="197"/>
      <c r="Y482" s="324"/>
      <c r="Z482" s="422">
        <f>SUM(AD470:AD481)</f>
        <v>0</v>
      </c>
      <c r="AA482" s="422">
        <f t="shared" ref="AA482:AB482" si="705">SUM(AE470:AE481)</f>
        <v>0</v>
      </c>
      <c r="AB482" s="422">
        <f t="shared" si="705"/>
        <v>0</v>
      </c>
      <c r="AC482" s="325"/>
      <c r="AD482" s="197">
        <f>SUM(AD470:AD481)</f>
        <v>0</v>
      </c>
      <c r="AE482" s="197">
        <f t="shared" ref="AE482:AF482" si="706">SUM(AE470:AE481)</f>
        <v>0</v>
      </c>
      <c r="AF482" s="197">
        <f t="shared" si="706"/>
        <v>0</v>
      </c>
      <c r="AG482" s="197"/>
      <c r="AH482" s="324"/>
      <c r="AI482" s="422">
        <f>SUM(AM470:AM481)</f>
        <v>0</v>
      </c>
      <c r="AJ482" s="422">
        <f t="shared" ref="AJ482:AK482" si="707">SUM(AN470:AN481)</f>
        <v>0</v>
      </c>
      <c r="AK482" s="422">
        <f t="shared" si="707"/>
        <v>0</v>
      </c>
      <c r="AL482" s="325"/>
      <c r="AM482" s="197">
        <f>SUM(AM470:AM481)</f>
        <v>0</v>
      </c>
      <c r="AN482" s="197">
        <f t="shared" ref="AN482:AO482" si="708">SUM(AN470:AN481)</f>
        <v>0</v>
      </c>
      <c r="AO482" s="197">
        <f t="shared" si="708"/>
        <v>0</v>
      </c>
      <c r="AP482" s="197"/>
      <c r="AQ482" s="324"/>
      <c r="AR482" s="422">
        <f>SUM(AV470:AV481)</f>
        <v>0</v>
      </c>
      <c r="AS482" s="422">
        <f t="shared" ref="AS482:AT482" si="709">SUM(AW470:AW481)</f>
        <v>0</v>
      </c>
      <c r="AT482" s="422">
        <f t="shared" si="709"/>
        <v>0</v>
      </c>
      <c r="AU482" s="325"/>
      <c r="AV482" s="197">
        <f>SUM(AV470:AV481)</f>
        <v>0</v>
      </c>
      <c r="AW482" s="197">
        <f t="shared" ref="AW482:AX482" si="710">SUM(AW470:AW481)</f>
        <v>0</v>
      </c>
      <c r="AX482" s="197">
        <f t="shared" si="710"/>
        <v>0</v>
      </c>
      <c r="AY482" s="197"/>
      <c r="AZ482" s="324"/>
      <c r="BA482" s="422">
        <f>SUM(BE470:BE481)</f>
        <v>0</v>
      </c>
      <c r="BB482" s="422">
        <f t="shared" ref="BB482:BC482" si="711">SUM(BF470:BF481)</f>
        <v>0</v>
      </c>
      <c r="BC482" s="422">
        <f t="shared" si="711"/>
        <v>0</v>
      </c>
      <c r="BD482" s="325"/>
      <c r="BE482" s="197">
        <f>SUM(BE470:BE481)</f>
        <v>0</v>
      </c>
      <c r="BF482" s="197">
        <f t="shared" ref="BF482:BG482" si="712">SUM(BF470:BF481)</f>
        <v>0</v>
      </c>
      <c r="BG482" s="197">
        <f t="shared" si="712"/>
        <v>0</v>
      </c>
      <c r="BH482" s="197"/>
      <c r="BI482" s="324"/>
      <c r="BJ482" s="422">
        <f>SUM(BN470:BN481)</f>
        <v>0</v>
      </c>
      <c r="BK482" s="422">
        <f t="shared" ref="BK482" si="713">SUM(BO470:BO481)</f>
        <v>0</v>
      </c>
      <c r="BL482" s="422">
        <f t="shared" ref="BL482" si="714">SUM(BP470:BP481)</f>
        <v>0</v>
      </c>
      <c r="BM482" s="325"/>
      <c r="BN482" s="197">
        <f>SUM(BN470:BN481)</f>
        <v>0</v>
      </c>
      <c r="BO482" s="197">
        <f t="shared" ref="BO482:BP482" si="715">SUM(BO470:BO481)</f>
        <v>0</v>
      </c>
      <c r="BP482" s="197">
        <f t="shared" si="715"/>
        <v>0</v>
      </c>
      <c r="BQ482" s="197"/>
      <c r="BR482" s="324"/>
      <c r="BS482" s="422">
        <f>SUM(BW470:BW481)</f>
        <v>0</v>
      </c>
      <c r="BT482" s="422">
        <f t="shared" ref="BT482:BU482" si="716">SUM(BX470:BX481)</f>
        <v>0</v>
      </c>
      <c r="BU482" s="422">
        <f t="shared" si="716"/>
        <v>0</v>
      </c>
      <c r="BV482" s="325"/>
      <c r="BW482" s="197">
        <f>SUM(BW470:BW481)</f>
        <v>0</v>
      </c>
      <c r="BX482" s="197">
        <f t="shared" ref="BX482:BY482" si="717">SUM(BX470:BX481)</f>
        <v>0</v>
      </c>
      <c r="BY482" s="197">
        <f t="shared" si="717"/>
        <v>0</v>
      </c>
      <c r="BZ482" s="197"/>
      <c r="CA482" s="326"/>
      <c r="CB482" s="422">
        <f>SUM(CF470:CF481)</f>
        <v>0</v>
      </c>
      <c r="CC482" s="422">
        <f t="shared" ref="CC482:CD482" si="718">SUM(CG470:CG481)</f>
        <v>0</v>
      </c>
      <c r="CD482" s="422">
        <f t="shared" si="718"/>
        <v>0</v>
      </c>
      <c r="CE482" s="325"/>
      <c r="CF482" s="197">
        <f>SUM(CF470:CF481)</f>
        <v>0</v>
      </c>
      <c r="CG482" s="197">
        <f t="shared" ref="CG482:CH482" si="719">SUM(CG470:CG481)</f>
        <v>0</v>
      </c>
      <c r="CH482" s="197">
        <f t="shared" si="719"/>
        <v>0</v>
      </c>
      <c r="CI482" s="197"/>
      <c r="CJ482" s="197"/>
      <c r="CK482" s="422">
        <f>SUM(CO470:CO481)</f>
        <v>0</v>
      </c>
      <c r="CL482" s="422">
        <f t="shared" ref="CL482:CM482" si="720">SUM(CP470:CP481)</f>
        <v>0</v>
      </c>
      <c r="CM482" s="422">
        <f t="shared" si="720"/>
        <v>0</v>
      </c>
      <c r="CN482" s="325"/>
      <c r="CO482" s="197">
        <f>SUM(CO470:CO481)</f>
        <v>0</v>
      </c>
      <c r="CP482" s="197">
        <f t="shared" ref="CP482:CQ482" si="721">SUM(CP470:CP481)</f>
        <v>0</v>
      </c>
      <c r="CQ482" s="197">
        <f t="shared" si="721"/>
        <v>0</v>
      </c>
      <c r="CR482" s="197"/>
      <c r="CS482" s="197"/>
      <c r="CT482" s="197"/>
      <c r="CU482" s="259"/>
      <c r="CV482" s="209"/>
      <c r="CW482" s="228"/>
    </row>
    <row r="483" spans="1:101" x14ac:dyDescent="0.2">
      <c r="A483" s="227"/>
      <c r="B483" s="227"/>
      <c r="C483" s="168"/>
      <c r="D483" s="249"/>
      <c r="E483" s="242"/>
      <c r="F483" s="243"/>
      <c r="G483" s="242"/>
      <c r="H483" s="242"/>
      <c r="I483" s="242"/>
      <c r="J483" s="242"/>
      <c r="K483" s="242"/>
      <c r="L483" s="252"/>
      <c r="M483" s="260"/>
      <c r="N483" s="337"/>
      <c r="O483" s="333"/>
      <c r="P483" s="244"/>
      <c r="Q483" s="245"/>
      <c r="R483" s="245"/>
      <c r="S483" s="245"/>
      <c r="T483" s="246"/>
      <c r="U483" s="247"/>
      <c r="V483" s="247"/>
      <c r="W483" s="247"/>
      <c r="X483" s="247"/>
      <c r="Y483" s="244"/>
      <c r="Z483" s="245"/>
      <c r="AA483" s="245"/>
      <c r="AB483" s="245"/>
      <c r="AC483" s="246"/>
      <c r="AD483" s="247"/>
      <c r="AE483" s="247"/>
      <c r="AF483" s="247"/>
      <c r="AG483" s="247"/>
      <c r="AH483" s="244"/>
      <c r="AI483" s="245"/>
      <c r="AJ483" s="245"/>
      <c r="AK483" s="245"/>
      <c r="AL483" s="246"/>
      <c r="AM483" s="247"/>
      <c r="AN483" s="247"/>
      <c r="AO483" s="247"/>
      <c r="AP483" s="247"/>
      <c r="AQ483" s="244"/>
      <c r="AR483" s="245"/>
      <c r="AS483" s="245"/>
      <c r="AT483" s="245"/>
      <c r="AU483" s="246"/>
      <c r="AV483" s="247"/>
      <c r="AW483" s="247"/>
      <c r="AX483" s="247"/>
      <c r="AY483" s="247"/>
      <c r="AZ483" s="244"/>
      <c r="BA483" s="245"/>
      <c r="BB483" s="245"/>
      <c r="BC483" s="245"/>
      <c r="BD483" s="246"/>
      <c r="BE483" s="247"/>
      <c r="BF483" s="247"/>
      <c r="BG483" s="247"/>
      <c r="BH483" s="247"/>
      <c r="BI483" s="244"/>
      <c r="BJ483" s="244"/>
      <c r="BK483" s="244"/>
      <c r="BL483" s="244"/>
      <c r="BM483" s="244"/>
      <c r="BN483" s="247"/>
      <c r="BO483" s="247"/>
      <c r="BP483" s="247"/>
      <c r="BQ483" s="247"/>
      <c r="BR483" s="244"/>
      <c r="BS483" s="244"/>
      <c r="BT483" s="244"/>
      <c r="BU483" s="244"/>
      <c r="BV483" s="244"/>
      <c r="BW483" s="247"/>
      <c r="BX483" s="247"/>
      <c r="BY483" s="247"/>
      <c r="BZ483" s="247"/>
      <c r="CA483" s="244"/>
      <c r="CB483" s="244"/>
      <c r="CC483" s="244"/>
      <c r="CD483" s="244"/>
      <c r="CE483" s="244"/>
      <c r="CF483" s="247"/>
      <c r="CG483" s="247"/>
      <c r="CH483" s="247"/>
      <c r="CI483" s="247"/>
      <c r="CJ483" s="248"/>
      <c r="CK483" s="248"/>
      <c r="CL483" s="248"/>
      <c r="CM483" s="248"/>
      <c r="CN483" s="248"/>
      <c r="CO483" s="247"/>
      <c r="CP483" s="247"/>
      <c r="CQ483" s="247"/>
      <c r="CR483" s="247"/>
      <c r="CS483" s="248"/>
      <c r="CT483" s="242"/>
      <c r="CU483" s="253"/>
      <c r="CV483" s="209"/>
      <c r="CW483" s="228"/>
    </row>
    <row r="484" spans="1:101" x14ac:dyDescent="0.2">
      <c r="A484" s="219"/>
      <c r="B484" s="219"/>
      <c r="C484" s="175"/>
      <c r="D484" s="176"/>
      <c r="E484" s="210"/>
      <c r="F484" s="211"/>
      <c r="G484" s="210"/>
      <c r="H484" s="210"/>
      <c r="I484" s="210"/>
      <c r="J484" s="210"/>
      <c r="K484" s="210"/>
      <c r="L484" s="212"/>
      <c r="M484" s="213"/>
      <c r="N484" s="213"/>
      <c r="O484" s="213"/>
      <c r="P484" s="213"/>
      <c r="Q484" s="210"/>
      <c r="R484" s="210"/>
      <c r="S484" s="210"/>
      <c r="T484" s="214"/>
      <c r="U484" s="215"/>
      <c r="V484" s="215"/>
      <c r="W484" s="215"/>
      <c r="X484" s="215"/>
      <c r="Y484" s="213"/>
      <c r="Z484" s="210"/>
      <c r="AA484" s="210"/>
      <c r="AB484" s="210"/>
      <c r="AC484" s="214"/>
      <c r="AD484" s="215"/>
      <c r="AE484" s="215"/>
      <c r="AF484" s="215"/>
      <c r="AG484" s="215"/>
      <c r="AH484" s="213"/>
      <c r="AI484" s="210"/>
      <c r="AJ484" s="210"/>
      <c r="AK484" s="210"/>
      <c r="AL484" s="214"/>
      <c r="AM484" s="215"/>
      <c r="AN484" s="215"/>
      <c r="AO484" s="215"/>
      <c r="AP484" s="215"/>
      <c r="AQ484" s="213"/>
      <c r="AR484" s="210"/>
      <c r="AS484" s="210"/>
      <c r="AT484" s="210"/>
      <c r="AU484" s="214"/>
      <c r="AV484" s="215"/>
      <c r="AW484" s="215"/>
      <c r="AX484" s="215"/>
      <c r="AY484" s="215"/>
      <c r="AZ484" s="213"/>
      <c r="BA484" s="210"/>
      <c r="BB484" s="210"/>
      <c r="BC484" s="210"/>
      <c r="BD484" s="214"/>
      <c r="BE484" s="215"/>
      <c r="BF484" s="215"/>
      <c r="BG484" s="215"/>
      <c r="BH484" s="215"/>
      <c r="BI484" s="213"/>
      <c r="BJ484" s="210"/>
      <c r="BK484" s="210"/>
      <c r="BL484" s="210"/>
      <c r="BM484" s="214"/>
      <c r="BN484" s="215"/>
      <c r="BO484" s="215"/>
      <c r="BP484" s="215"/>
      <c r="BQ484" s="215"/>
      <c r="BR484" s="177"/>
      <c r="BS484" s="210"/>
      <c r="BT484" s="210"/>
      <c r="BU484" s="210"/>
      <c r="BV484" s="213"/>
      <c r="BW484" s="215"/>
      <c r="BX484" s="215"/>
      <c r="BY484" s="215"/>
      <c r="BZ484" s="215"/>
      <c r="CA484" s="210"/>
      <c r="CB484" s="216"/>
      <c r="CC484" s="216"/>
      <c r="CD484" s="216"/>
      <c r="CE484" s="216"/>
      <c r="CF484" s="215"/>
      <c r="CG484" s="215"/>
      <c r="CH484" s="215"/>
      <c r="CI484" s="215"/>
      <c r="CJ484" s="210"/>
      <c r="CK484" s="210"/>
      <c r="CL484" s="210"/>
      <c r="CM484" s="210"/>
      <c r="CN484" s="210"/>
      <c r="CO484" s="215"/>
      <c r="CP484" s="215"/>
      <c r="CQ484" s="215"/>
      <c r="CR484" s="215"/>
      <c r="CS484" s="210"/>
      <c r="CT484" s="210"/>
      <c r="CU484" s="210"/>
      <c r="CV484" s="217"/>
      <c r="CW484" s="218"/>
    </row>
    <row r="485" spans="1:101" ht="14.25" thickTop="1" thickBot="1" x14ac:dyDescent="0.25">
      <c r="A485" s="218"/>
      <c r="B485" s="218"/>
      <c r="C485" s="218"/>
      <c r="D485" s="218"/>
      <c r="E485" s="218"/>
      <c r="F485" s="218"/>
      <c r="G485" s="218"/>
      <c r="H485" s="218"/>
      <c r="I485" s="218"/>
      <c r="J485" s="218"/>
      <c r="K485" s="218"/>
      <c r="L485" s="218"/>
      <c r="M485" s="218"/>
      <c r="N485" s="218"/>
      <c r="O485" s="218"/>
      <c r="P485" s="218"/>
      <c r="Q485" s="218"/>
      <c r="R485" s="218"/>
      <c r="S485" s="218"/>
      <c r="T485" s="218"/>
      <c r="U485" s="218"/>
      <c r="V485" s="218"/>
      <c r="W485" s="218"/>
      <c r="X485" s="218"/>
      <c r="Y485" s="218"/>
      <c r="Z485" s="218"/>
      <c r="AA485" s="218"/>
      <c r="AB485" s="218"/>
      <c r="AC485" s="218"/>
      <c r="AD485" s="218"/>
      <c r="AE485" s="218"/>
      <c r="AF485" s="218"/>
      <c r="AG485" s="218"/>
      <c r="AH485" s="218"/>
      <c r="AI485" s="218"/>
      <c r="AJ485" s="218"/>
      <c r="AK485" s="218"/>
      <c r="AL485" s="218"/>
      <c r="AM485" s="218"/>
      <c r="AN485" s="218"/>
      <c r="AO485" s="218"/>
      <c r="AP485" s="218"/>
      <c r="AQ485" s="218"/>
      <c r="AR485" s="218"/>
      <c r="AS485" s="218"/>
      <c r="AT485" s="218"/>
      <c r="AU485" s="218"/>
      <c r="AV485" s="218"/>
      <c r="AW485" s="218"/>
      <c r="AX485" s="218"/>
      <c r="AY485" s="218"/>
      <c r="AZ485" s="218"/>
      <c r="BA485" s="218"/>
      <c r="BB485" s="218"/>
      <c r="BC485" s="218"/>
      <c r="BD485" s="218"/>
      <c r="BE485" s="218"/>
      <c r="BF485" s="218"/>
      <c r="BG485" s="218"/>
      <c r="BH485" s="218"/>
      <c r="BI485" s="218"/>
      <c r="BJ485" s="218"/>
      <c r="BK485" s="218"/>
      <c r="BL485" s="218"/>
      <c r="BM485" s="218"/>
      <c r="BN485" s="218"/>
      <c r="BO485" s="218"/>
      <c r="BP485" s="218"/>
      <c r="BQ485" s="218"/>
      <c r="BR485" s="218"/>
      <c r="BS485" s="218"/>
      <c r="BT485" s="218"/>
      <c r="BU485" s="218"/>
      <c r="BV485" s="218"/>
      <c r="BW485" s="218"/>
      <c r="BX485" s="218"/>
      <c r="BY485" s="218"/>
      <c r="BZ485" s="218"/>
      <c r="CA485" s="218"/>
      <c r="CB485" s="392"/>
      <c r="CC485" s="392"/>
      <c r="CD485" s="392"/>
      <c r="CE485" s="392"/>
      <c r="CF485" s="218"/>
      <c r="CG485" s="218"/>
      <c r="CH485" s="218"/>
      <c r="CI485" s="218"/>
      <c r="CJ485" s="218"/>
      <c r="CK485" s="218"/>
      <c r="CL485" s="218"/>
      <c r="CM485" s="218"/>
      <c r="CN485" s="218"/>
      <c r="CO485" s="218"/>
      <c r="CP485" s="218"/>
      <c r="CQ485" s="218"/>
      <c r="CR485" s="218"/>
      <c r="CS485" s="218"/>
      <c r="CT485" s="218"/>
      <c r="CU485" s="218"/>
      <c r="CV485" s="218"/>
      <c r="CW485" s="218"/>
    </row>
    <row r="486" spans="1:101" ht="21" thickTop="1" x14ac:dyDescent="0.3">
      <c r="A486" s="219"/>
      <c r="B486" s="219"/>
      <c r="C486" s="157"/>
      <c r="D486" s="158"/>
      <c r="E486" s="731" t="s">
        <v>44</v>
      </c>
      <c r="F486" s="229"/>
      <c r="G486" s="229"/>
      <c r="H486" s="229"/>
      <c r="I486" s="877" t="e" vm="1">
        <v>#VALUE!</v>
      </c>
      <c r="J486" s="877"/>
      <c r="K486" s="877"/>
      <c r="L486" s="877"/>
      <c r="M486" s="159"/>
      <c r="N486" s="159"/>
      <c r="O486" s="159"/>
      <c r="P486" s="160"/>
      <c r="Q486" s="159"/>
      <c r="R486" s="159"/>
      <c r="S486" s="159"/>
      <c r="T486" s="161"/>
      <c r="U486" s="162"/>
      <c r="V486" s="162"/>
      <c r="W486" s="162"/>
      <c r="X486" s="162"/>
      <c r="Y486" s="160"/>
      <c r="Z486" s="159"/>
      <c r="AA486" s="159"/>
      <c r="AB486" s="159"/>
      <c r="AC486" s="161"/>
      <c r="AD486" s="162"/>
      <c r="AE486" s="162"/>
      <c r="AF486" s="162"/>
      <c r="AG486" s="162"/>
      <c r="AH486" s="160"/>
      <c r="AI486" s="159"/>
      <c r="AJ486" s="201"/>
      <c r="AK486" s="201"/>
      <c r="AL486" s="164"/>
      <c r="AM486" s="162"/>
      <c r="AN486" s="162"/>
      <c r="AO486" s="162"/>
      <c r="AP486" s="162"/>
      <c r="AQ486" s="202"/>
      <c r="AR486" s="203"/>
      <c r="AS486" s="165"/>
      <c r="AT486" s="166"/>
      <c r="AU486" s="164"/>
      <c r="AV486" s="162"/>
      <c r="AW486" s="162"/>
      <c r="AX486" s="162"/>
      <c r="AY486" s="162"/>
      <c r="AZ486" s="202"/>
      <c r="BA486" s="203"/>
      <c r="BB486" s="166"/>
      <c r="BC486" s="201"/>
      <c r="BD486" s="204"/>
      <c r="BE486" s="162"/>
      <c r="BF486" s="162"/>
      <c r="BG486" s="162"/>
      <c r="BH486" s="162"/>
      <c r="BI486" s="205"/>
      <c r="BJ486" s="201"/>
      <c r="BK486" s="201"/>
      <c r="BL486" s="201"/>
      <c r="BM486" s="204"/>
      <c r="BN486" s="162"/>
      <c r="BO486" s="162"/>
      <c r="BP486" s="162"/>
      <c r="BQ486" s="162"/>
      <c r="BR486" s="167"/>
      <c r="BS486" s="201"/>
      <c r="BT486" s="201"/>
      <c r="BU486" s="201"/>
      <c r="BV486" s="205"/>
      <c r="BW486" s="162"/>
      <c r="BX486" s="162"/>
      <c r="BY486" s="162"/>
      <c r="BZ486" s="162"/>
      <c r="CA486" s="201"/>
      <c r="CB486" s="393"/>
      <c r="CC486" s="393"/>
      <c r="CD486" s="393"/>
      <c r="CE486" s="393"/>
      <c r="CF486" s="162"/>
      <c r="CG486" s="162"/>
      <c r="CH486" s="162"/>
      <c r="CI486" s="162"/>
      <c r="CJ486" s="163"/>
      <c r="CK486" s="163"/>
      <c r="CL486" s="163"/>
      <c r="CM486" s="163"/>
      <c r="CN486" s="163"/>
      <c r="CO486" s="162"/>
      <c r="CP486" s="162"/>
      <c r="CQ486" s="162"/>
      <c r="CR486" s="162"/>
      <c r="CS486" s="163"/>
      <c r="CT486" s="358"/>
      <c r="CU486" s="201"/>
      <c r="CV486" s="206"/>
      <c r="CW486" s="218"/>
    </row>
    <row r="487" spans="1:101" ht="15.75" thickBot="1" x14ac:dyDescent="0.25">
      <c r="A487" s="219"/>
      <c r="B487" s="219"/>
      <c r="C487" s="168"/>
      <c r="D487" s="785"/>
      <c r="E487" s="869" t="s">
        <v>45</v>
      </c>
      <c r="F487" s="363"/>
      <c r="G487" s="363"/>
      <c r="H487" s="363"/>
      <c r="I487" s="878"/>
      <c r="J487" s="878"/>
      <c r="K487" s="878"/>
      <c r="L487" s="878"/>
      <c r="M487" s="363"/>
      <c r="N487" s="363"/>
      <c r="O487" s="363"/>
      <c r="P487" s="363"/>
      <c r="Q487" s="363"/>
      <c r="R487" s="363"/>
      <c r="S487" s="363"/>
      <c r="T487" s="363"/>
      <c r="U487" s="363"/>
      <c r="V487" s="363"/>
      <c r="W487" s="363"/>
      <c r="X487" s="363"/>
      <c r="Y487" s="363"/>
      <c r="Z487" s="363"/>
      <c r="AA487" s="363"/>
      <c r="AB487" s="363"/>
      <c r="AC487" s="363"/>
      <c r="AD487" s="363"/>
      <c r="AE487" s="363"/>
      <c r="AF487" s="363"/>
      <c r="AG487" s="363"/>
      <c r="AH487" s="363"/>
      <c r="AI487" s="363"/>
      <c r="AJ487" s="363"/>
      <c r="AK487" s="363"/>
      <c r="AL487" s="363"/>
      <c r="AM487" s="363"/>
      <c r="AN487" s="363"/>
      <c r="AO487" s="363"/>
      <c r="AP487" s="363"/>
      <c r="AQ487" s="363"/>
      <c r="AR487" s="363"/>
      <c r="AS487" s="363"/>
      <c r="AT487" s="363"/>
      <c r="AU487" s="363"/>
      <c r="AV487" s="363"/>
      <c r="AW487" s="363"/>
      <c r="AX487" s="363"/>
      <c r="AY487" s="363"/>
      <c r="AZ487" s="363"/>
      <c r="BA487" s="363"/>
      <c r="BB487" s="363"/>
      <c r="BC487" s="363"/>
      <c r="BD487" s="363"/>
      <c r="BE487" s="363"/>
      <c r="BF487" s="363"/>
      <c r="BG487" s="363"/>
      <c r="BH487" s="363"/>
      <c r="BI487" s="363"/>
      <c r="BJ487" s="363"/>
      <c r="BK487" s="363"/>
      <c r="BL487" s="363"/>
      <c r="BM487" s="363"/>
      <c r="BN487" s="363"/>
      <c r="BO487" s="363"/>
      <c r="BP487" s="363"/>
      <c r="BQ487" s="363"/>
      <c r="BR487" s="363"/>
      <c r="BS487" s="363"/>
      <c r="BT487" s="363"/>
      <c r="BU487" s="363"/>
      <c r="BV487" s="363"/>
      <c r="BW487" s="363"/>
      <c r="BX487" s="363"/>
      <c r="BY487" s="363"/>
      <c r="BZ487" s="363"/>
      <c r="CA487" s="363"/>
      <c r="CB487" s="394"/>
      <c r="CC487" s="394"/>
      <c r="CD487" s="394"/>
      <c r="CE487" s="394"/>
      <c r="CF487" s="363"/>
      <c r="CG487" s="363"/>
      <c r="CH487" s="363"/>
      <c r="CI487" s="363"/>
      <c r="CJ487" s="363"/>
      <c r="CK487" s="363"/>
      <c r="CL487" s="363"/>
      <c r="CM487" s="363"/>
      <c r="CN487" s="323"/>
      <c r="CO487" s="363"/>
      <c r="CP487" s="363"/>
      <c r="CQ487" s="363"/>
      <c r="CR487" s="363"/>
      <c r="CS487" s="323"/>
      <c r="CT487" s="155"/>
      <c r="CU487" s="269"/>
      <c r="CV487" s="209"/>
      <c r="CW487" s="218"/>
    </row>
    <row r="488" spans="1:101" ht="18.75" thickTop="1" x14ac:dyDescent="0.2">
      <c r="A488" s="219"/>
      <c r="B488" s="219"/>
      <c r="C488" s="174"/>
      <c r="D488" s="778"/>
      <c r="E488" s="777"/>
      <c r="F488" s="235"/>
      <c r="G488" s="234"/>
      <c r="H488" s="234"/>
      <c r="I488" s="875">
        <f>WEEKNUM(E489)</f>
        <v>3</v>
      </c>
      <c r="J488" s="875"/>
      <c r="K488" s="875"/>
      <c r="L488" s="250"/>
      <c r="M488" s="261"/>
      <c r="N488" s="205"/>
      <c r="O488" s="236"/>
      <c r="P488" s="236"/>
      <c r="Q488" s="675" t="str">
        <f>IF($F492="","",SUM(Q504:S504)-S490)</f>
        <v/>
      </c>
      <c r="R488" s="675"/>
      <c r="S488" s="675"/>
      <c r="T488" s="237"/>
      <c r="U488" s="238"/>
      <c r="V488" s="238"/>
      <c r="W488" s="238"/>
      <c r="X488" s="238"/>
      <c r="Y488" s="236"/>
      <c r="Z488" s="675" t="str">
        <f>IF($F492="","",SUM(Z504:AB504)-AB490)</f>
        <v/>
      </c>
      <c r="AA488" s="675"/>
      <c r="AB488" s="675"/>
      <c r="AC488" s="237"/>
      <c r="AD488" s="238"/>
      <c r="AE488" s="238"/>
      <c r="AF488" s="238"/>
      <c r="AG488" s="238"/>
      <c r="AH488" s="236"/>
      <c r="AI488" s="675" t="str">
        <f>IF($F492="","",SUM(AI504:AK504)-AK490)</f>
        <v/>
      </c>
      <c r="AJ488" s="675"/>
      <c r="AK488" s="675"/>
      <c r="AL488" s="237"/>
      <c r="AM488" s="238"/>
      <c r="AN488" s="238"/>
      <c r="AO488" s="238"/>
      <c r="AP488" s="238"/>
      <c r="AQ488" s="236"/>
      <c r="AR488" s="675" t="str">
        <f>IF($F492="","",SUM(AR504:AT504)-AT490)</f>
        <v/>
      </c>
      <c r="AS488" s="675"/>
      <c r="AT488" s="675"/>
      <c r="AU488" s="239"/>
      <c r="AV488" s="238"/>
      <c r="AW488" s="238"/>
      <c r="AX488" s="238"/>
      <c r="AY488" s="238"/>
      <c r="AZ488" s="240"/>
      <c r="BA488" s="675" t="str">
        <f>IF($F492="","",SUM(BA504:BC504)-BC490)</f>
        <v/>
      </c>
      <c r="BB488" s="675"/>
      <c r="BC488" s="675"/>
      <c r="BD488" s="239"/>
      <c r="BE488" s="238"/>
      <c r="BF488" s="238"/>
      <c r="BG488" s="238"/>
      <c r="BH488" s="238"/>
      <c r="BI488" s="240"/>
      <c r="BJ488" s="675" t="str">
        <f>IF($F492="","",SUM(BJ504:BL504)-BL490)</f>
        <v/>
      </c>
      <c r="BK488" s="675"/>
      <c r="BL488" s="675"/>
      <c r="BM488" s="239"/>
      <c r="BN488" s="238"/>
      <c r="BO488" s="238"/>
      <c r="BP488" s="238"/>
      <c r="BQ488" s="238"/>
      <c r="BR488" s="241"/>
      <c r="BS488" s="675" t="str">
        <f>IF($F492="","",SUM(BS504:BU504)-BU490)</f>
        <v/>
      </c>
      <c r="BT488" s="675"/>
      <c r="BU488" s="675"/>
      <c r="BV488" s="240"/>
      <c r="BW488" s="238"/>
      <c r="BX488" s="238"/>
      <c r="BY488" s="238"/>
      <c r="BZ488" s="238"/>
      <c r="CA488" s="241"/>
      <c r="CB488" s="675" t="str">
        <f>IF($F492="","",SUM(CB504:CD504)-CD490)</f>
        <v/>
      </c>
      <c r="CC488" s="675"/>
      <c r="CD488" s="675"/>
      <c r="CE488" s="240"/>
      <c r="CF488" s="238"/>
      <c r="CG488" s="238"/>
      <c r="CH488" s="238"/>
      <c r="CI488" s="238"/>
      <c r="CJ488" s="234"/>
      <c r="CK488" s="675" t="str">
        <f>IF($F492="","",SUM(CK504:CM504))</f>
        <v/>
      </c>
      <c r="CL488" s="675"/>
      <c r="CM488" s="675"/>
      <c r="CN488" s="240"/>
      <c r="CO488" s="238"/>
      <c r="CP488" s="238"/>
      <c r="CQ488" s="238"/>
      <c r="CR488" s="238"/>
      <c r="CS488" s="234"/>
      <c r="CT488" s="234"/>
      <c r="CU488" s="251"/>
      <c r="CV488" s="209"/>
      <c r="CW488" s="218"/>
    </row>
    <row r="489" spans="1:101" x14ac:dyDescent="0.2">
      <c r="A489" s="219"/>
      <c r="B489" s="219"/>
      <c r="C489" s="174"/>
      <c r="D489" s="779"/>
      <c r="E489" s="543">
        <f>E467+7</f>
        <v>46403</v>
      </c>
      <c r="F489" s="178"/>
      <c r="G489" s="179"/>
      <c r="H489" s="179"/>
      <c r="I489" s="876"/>
      <c r="J489" s="876"/>
      <c r="K489" s="876"/>
      <c r="L489" s="254"/>
      <c r="M489" s="329"/>
      <c r="N489" s="208"/>
      <c r="O489" s="180"/>
      <c r="P489" s="180"/>
      <c r="Q489" s="584" t="str">
        <f>IF(Q488="","",Q488/Data!$X$1)</f>
        <v/>
      </c>
      <c r="R489" s="584"/>
      <c r="S489" s="585" t="str">
        <f>IF(SUM(X492:X503)=0,"",SUM(X492:X503))</f>
        <v/>
      </c>
      <c r="T489" s="181"/>
      <c r="U489" s="182"/>
      <c r="V489" s="182"/>
      <c r="W489" s="182"/>
      <c r="X489" s="182"/>
      <c r="Y489" s="180"/>
      <c r="Z489" s="584" t="str">
        <f>IF(Z488="","",Z488/Data!$X$1)</f>
        <v/>
      </c>
      <c r="AA489" s="584"/>
      <c r="AB489" s="585" t="str">
        <f>IF(SUM(AG492:AG503)=0,"",SUM(AG492:AG503))</f>
        <v/>
      </c>
      <c r="AC489" s="181"/>
      <c r="AD489" s="182"/>
      <c r="AE489" s="182"/>
      <c r="AF489" s="182"/>
      <c r="AG489" s="182"/>
      <c r="AH489" s="180"/>
      <c r="AI489" s="584" t="str">
        <f>IF(AI488="","",AI488/Data!$X$1)</f>
        <v/>
      </c>
      <c r="AJ489" s="584"/>
      <c r="AK489" s="585" t="str">
        <f>IF(SUM(AP492:AP503)=0,"",SUM(AP492:AP503))</f>
        <v/>
      </c>
      <c r="AL489" s="181"/>
      <c r="AM489" s="182"/>
      <c r="AN489" s="182"/>
      <c r="AO489" s="182"/>
      <c r="AP489" s="182"/>
      <c r="AQ489" s="180"/>
      <c r="AR489" s="584" t="str">
        <f>IF(AR488="","",AR488/Data!$X$1)</f>
        <v/>
      </c>
      <c r="AS489" s="584"/>
      <c r="AT489" s="585" t="str">
        <f>IF(SUM(AY492:AY503)=0,"",SUM(AY492:AY503))</f>
        <v/>
      </c>
      <c r="AU489" s="183"/>
      <c r="AV489" s="182"/>
      <c r="AW489" s="182"/>
      <c r="AX489" s="182"/>
      <c r="AY489" s="182"/>
      <c r="AZ489" s="184"/>
      <c r="BA489" s="584" t="str">
        <f>IF(BA488="","",BA488/Data!$X$1)</f>
        <v/>
      </c>
      <c r="BB489" s="584"/>
      <c r="BC489" s="585" t="str">
        <f>IF(SUM(BH492:BH503)=0,"",SUM(BH492:BH503))</f>
        <v/>
      </c>
      <c r="BD489" s="183"/>
      <c r="BE489" s="182"/>
      <c r="BF489" s="182"/>
      <c r="BG489" s="182"/>
      <c r="BH489" s="182"/>
      <c r="BI489" s="184"/>
      <c r="BJ489" s="584" t="str">
        <f>IF(BJ488="","",BJ488/Data!$X$1)</f>
        <v/>
      </c>
      <c r="BK489" s="584"/>
      <c r="BL489" s="585" t="str">
        <f>IF(SUM(BQ492:BQ503)=0,"",SUM(BQ492:BQ503))</f>
        <v/>
      </c>
      <c r="BM489" s="183"/>
      <c r="BN489" s="182"/>
      <c r="BO489" s="182"/>
      <c r="BP489" s="182"/>
      <c r="BQ489" s="182"/>
      <c r="BR489" s="185"/>
      <c r="BS489" s="584" t="str">
        <f>IF(BS488="","",BS488/Data!$X$1)</f>
        <v/>
      </c>
      <c r="BT489" s="584"/>
      <c r="BU489" s="585" t="str">
        <f>IF(SUM(BZ492:BZ503)=0,"",SUM(BZ492:BZ503))</f>
        <v/>
      </c>
      <c r="BV489" s="184"/>
      <c r="BW489" s="182"/>
      <c r="BX489" s="182"/>
      <c r="BY489" s="182"/>
      <c r="BZ489" s="182"/>
      <c r="CA489" s="185"/>
      <c r="CB489" s="584" t="str">
        <f>IF(CB488="","",CB488/Data!$X$1)</f>
        <v/>
      </c>
      <c r="CC489" s="584"/>
      <c r="CD489" s="585" t="str">
        <f>IF(SUM(CI492:CI503)=0,"",SUM(CI492:CI503))</f>
        <v/>
      </c>
      <c r="CE489" s="184"/>
      <c r="CF489" s="182"/>
      <c r="CG489" s="182"/>
      <c r="CH489" s="182"/>
      <c r="CI489" s="182"/>
      <c r="CJ489" s="182"/>
      <c r="CK489" s="584" t="str">
        <f>IF(CK488="","",CK488/Data!$X$1)</f>
        <v/>
      </c>
      <c r="CL489" s="584"/>
      <c r="CM489" s="585" t="str">
        <f>IF(SUM(CR492:CR503)=0,"",SUM(CR492:CR503))</f>
        <v/>
      </c>
      <c r="CN489" s="184"/>
      <c r="CO489" s="182"/>
      <c r="CP489" s="182"/>
      <c r="CQ489" s="182"/>
      <c r="CR489" s="182"/>
      <c r="CS489" s="182"/>
      <c r="CT489" s="182"/>
      <c r="CU489" s="255"/>
      <c r="CV489" s="209"/>
      <c r="CW489" s="218"/>
    </row>
    <row r="490" spans="1:101" ht="13.5" thickBot="1" x14ac:dyDescent="0.25">
      <c r="A490" s="219"/>
      <c r="B490" s="219"/>
      <c r="C490" s="174"/>
      <c r="D490" s="230"/>
      <c r="E490" s="359"/>
      <c r="F490" s="186"/>
      <c r="G490" s="187"/>
      <c r="H490" s="187"/>
      <c r="I490" s="673"/>
      <c r="J490" s="674"/>
      <c r="K490" s="674"/>
      <c r="L490" s="256"/>
      <c r="M490" s="330"/>
      <c r="N490" s="334"/>
      <c r="O490" s="187"/>
      <c r="P490" s="187"/>
      <c r="Q490" s="342" t="str">
        <f>Data!$E$11</f>
        <v>AHH</v>
      </c>
      <c r="R490" s="343" t="str">
        <f>IF($F503="","",RANK(Q488,$Q488:$CL488))</f>
        <v/>
      </c>
      <c r="S490" s="466"/>
      <c r="T490" s="181"/>
      <c r="U490" s="182"/>
      <c r="V490" s="182"/>
      <c r="W490" s="182"/>
      <c r="X490" s="197">
        <f>COUNTIF(U492:W503,"&gt;0")</f>
        <v>0</v>
      </c>
      <c r="Y490" s="180"/>
      <c r="Z490" s="342" t="str">
        <f>Data!$E$12</f>
        <v>RB</v>
      </c>
      <c r="AA490" s="343" t="str">
        <f>IF($F503="","",RANK(Z488,$Q488:$CL488))</f>
        <v/>
      </c>
      <c r="AB490" s="466"/>
      <c r="AC490" s="181"/>
      <c r="AD490" s="182"/>
      <c r="AE490" s="182"/>
      <c r="AF490" s="182"/>
      <c r="AG490" s="197">
        <f>COUNTIF(AD492:AF503,"&gt;0")</f>
        <v>0</v>
      </c>
      <c r="AH490" s="180"/>
      <c r="AI490" s="342" t="str">
        <f>Data!$E$13</f>
        <v>EB</v>
      </c>
      <c r="AJ490" s="343" t="str">
        <f>IF($F503="","",RANK(AI488,$Q488:$CL488))</f>
        <v/>
      </c>
      <c r="AK490" s="466"/>
      <c r="AL490" s="181"/>
      <c r="AM490" s="182"/>
      <c r="AN490" s="182"/>
      <c r="AO490" s="182"/>
      <c r="AP490" s="197">
        <f>COUNTIF(AM492:AO503,"&gt;0")</f>
        <v>0</v>
      </c>
      <c r="AQ490" s="180"/>
      <c r="AR490" s="305" t="str">
        <f>Data!$E$14</f>
        <v>KAF</v>
      </c>
      <c r="AS490" s="343" t="str">
        <f>IF($F503="","",RANK(AR488,$Q488:$CL488))</f>
        <v/>
      </c>
      <c r="AT490" s="466"/>
      <c r="AU490" s="181"/>
      <c r="AV490" s="182"/>
      <c r="AW490" s="182"/>
      <c r="AX490" s="182"/>
      <c r="AY490" s="197">
        <f>COUNTIF(AV492:AX503,"&gt;0")</f>
        <v>0</v>
      </c>
      <c r="AZ490" s="180"/>
      <c r="BA490" s="305" t="str">
        <f>Data!$E$15</f>
        <v>ØG</v>
      </c>
      <c r="BB490" s="343" t="str">
        <f>IF($F503="","",RANK(BA488,$Q488:$CL488))</f>
        <v/>
      </c>
      <c r="BC490" s="466"/>
      <c r="BD490" s="181"/>
      <c r="BE490" s="182"/>
      <c r="BF490" s="182"/>
      <c r="BG490" s="182"/>
      <c r="BH490" s="197">
        <f>COUNTIF(BE492:BG503,"&gt;0")</f>
        <v>0</v>
      </c>
      <c r="BI490" s="180"/>
      <c r="BJ490" s="305" t="str">
        <f>Data!$E$16</f>
        <v>JH</v>
      </c>
      <c r="BK490" s="343" t="str">
        <f>IF($F503="","",RANK(BJ488,$Q488:$CL488))</f>
        <v/>
      </c>
      <c r="BL490" s="466"/>
      <c r="BM490" s="181"/>
      <c r="BN490" s="182"/>
      <c r="BO490" s="182"/>
      <c r="BP490" s="182"/>
      <c r="BQ490" s="197">
        <f>COUNTIF(BN492:BP503,"&gt;0")</f>
        <v>0</v>
      </c>
      <c r="BR490" s="188"/>
      <c r="BS490" s="305" t="str">
        <f>Data!$E$17</f>
        <v>TOH</v>
      </c>
      <c r="BT490" s="343" t="str">
        <f>IF($F503="","",RANK(BS488,$Q488:$CL488))</f>
        <v/>
      </c>
      <c r="BU490" s="466"/>
      <c r="BV490" s="180"/>
      <c r="BW490" s="182"/>
      <c r="BX490" s="182"/>
      <c r="BY490" s="182"/>
      <c r="BZ490" s="197">
        <f>COUNTIF(BW492:BY503,"&gt;0")</f>
        <v>0</v>
      </c>
      <c r="CA490" s="188"/>
      <c r="CB490" s="305" t="s">
        <v>26</v>
      </c>
      <c r="CC490" s="343" t="str">
        <f>IF($F503="","",RANK(CB488,$Q488:$CM488))</f>
        <v/>
      </c>
      <c r="CD490" s="467"/>
      <c r="CE490" s="180"/>
      <c r="CF490" s="182"/>
      <c r="CG490" s="182"/>
      <c r="CH490" s="182"/>
      <c r="CI490" s="197">
        <f>COUNTIF(CF492:CH503,"&gt;0")</f>
        <v>0</v>
      </c>
      <c r="CJ490" s="182"/>
      <c r="CK490" s="305" t="s">
        <v>27</v>
      </c>
      <c r="CL490" s="343" t="str">
        <f>IF($F503="","",RANK(CK488,$Q488:$CM488))</f>
        <v/>
      </c>
      <c r="CM490" s="669"/>
      <c r="CN490" s="180"/>
      <c r="CO490" s="182"/>
      <c r="CP490" s="182"/>
      <c r="CQ490" s="182"/>
      <c r="CR490" s="197">
        <f>COUNTIF(CO492:CQ503,"&gt;0")</f>
        <v>0</v>
      </c>
      <c r="CS490" s="182"/>
      <c r="CT490" s="182"/>
      <c r="CU490" s="255"/>
      <c r="CV490" s="209"/>
      <c r="CW490" s="218"/>
    </row>
    <row r="491" spans="1:101" ht="13.5" thickBot="1" x14ac:dyDescent="0.25">
      <c r="A491" s="227"/>
      <c r="B491" s="227"/>
      <c r="C491" s="168"/>
      <c r="D491" s="231"/>
      <c r="E491" s="189"/>
      <c r="F491" s="190"/>
      <c r="G491" s="191"/>
      <c r="H491" s="191"/>
      <c r="I491" s="192" t="s">
        <v>47</v>
      </c>
      <c r="J491" s="193" t="s">
        <v>48</v>
      </c>
      <c r="K491" s="194" t="s">
        <v>49</v>
      </c>
      <c r="L491" s="257"/>
      <c r="M491" s="331"/>
      <c r="N491" s="335"/>
      <c r="O491" s="195"/>
      <c r="P491" s="195"/>
      <c r="Q491" s="192" t="s">
        <v>47</v>
      </c>
      <c r="R491" s="193" t="s">
        <v>48</v>
      </c>
      <c r="S491" s="194" t="s">
        <v>49</v>
      </c>
      <c r="T491" s="196"/>
      <c r="U491" s="197"/>
      <c r="V491" s="197"/>
      <c r="W491" s="197"/>
      <c r="X491" s="197"/>
      <c r="Y491" s="195"/>
      <c r="Z491" s="192" t="s">
        <v>47</v>
      </c>
      <c r="AA491" s="193" t="s">
        <v>48</v>
      </c>
      <c r="AB491" s="194" t="s">
        <v>49</v>
      </c>
      <c r="AC491" s="196"/>
      <c r="AD491" s="197"/>
      <c r="AE491" s="197"/>
      <c r="AF491" s="197"/>
      <c r="AG491" s="197"/>
      <c r="AH491" s="195"/>
      <c r="AI491" s="192" t="s">
        <v>47</v>
      </c>
      <c r="AJ491" s="193" t="s">
        <v>48</v>
      </c>
      <c r="AK491" s="194" t="s">
        <v>49</v>
      </c>
      <c r="AL491" s="196"/>
      <c r="AM491" s="197"/>
      <c r="AN491" s="197"/>
      <c r="AO491" s="197"/>
      <c r="AP491" s="197"/>
      <c r="AQ491" s="195"/>
      <c r="AR491" s="192" t="s">
        <v>47</v>
      </c>
      <c r="AS491" s="193" t="s">
        <v>48</v>
      </c>
      <c r="AT491" s="194" t="s">
        <v>49</v>
      </c>
      <c r="AU491" s="196"/>
      <c r="AV491" s="197"/>
      <c r="AW491" s="197"/>
      <c r="AX491" s="197"/>
      <c r="AY491" s="197"/>
      <c r="AZ491" s="195"/>
      <c r="BA491" s="192" t="s">
        <v>47</v>
      </c>
      <c r="BB491" s="193" t="s">
        <v>48</v>
      </c>
      <c r="BC491" s="194" t="s">
        <v>49</v>
      </c>
      <c r="BD491" s="196"/>
      <c r="BE491" s="197"/>
      <c r="BF491" s="197"/>
      <c r="BG491" s="197"/>
      <c r="BH491" s="197"/>
      <c r="BI491" s="195"/>
      <c r="BJ491" s="192" t="s">
        <v>47</v>
      </c>
      <c r="BK491" s="193" t="s">
        <v>48</v>
      </c>
      <c r="BL491" s="194" t="s">
        <v>49</v>
      </c>
      <c r="BM491" s="196"/>
      <c r="BN491" s="197"/>
      <c r="BO491" s="197"/>
      <c r="BP491" s="197"/>
      <c r="BQ491" s="197"/>
      <c r="BR491" s="195"/>
      <c r="BS491" s="192" t="s">
        <v>47</v>
      </c>
      <c r="BT491" s="193" t="s">
        <v>48</v>
      </c>
      <c r="BU491" s="194" t="s">
        <v>49</v>
      </c>
      <c r="BV491" s="196"/>
      <c r="BW491" s="197"/>
      <c r="BX491" s="197"/>
      <c r="BY491" s="197"/>
      <c r="BZ491" s="197"/>
      <c r="CA491" s="195"/>
      <c r="CB491" s="192" t="s">
        <v>47</v>
      </c>
      <c r="CC491" s="193" t="s">
        <v>48</v>
      </c>
      <c r="CD491" s="194" t="s">
        <v>49</v>
      </c>
      <c r="CE491" s="196"/>
      <c r="CF491" s="197"/>
      <c r="CG491" s="197"/>
      <c r="CH491" s="197"/>
      <c r="CI491" s="197"/>
      <c r="CJ491" s="197"/>
      <c r="CK491" s="192" t="s">
        <v>47</v>
      </c>
      <c r="CL491" s="193" t="s">
        <v>48</v>
      </c>
      <c r="CM491" s="194" t="s">
        <v>49</v>
      </c>
      <c r="CN491" s="196"/>
      <c r="CO491" s="197"/>
      <c r="CP491" s="197"/>
      <c r="CQ491" s="197"/>
      <c r="CR491" s="197"/>
      <c r="CS491" s="197"/>
      <c r="CT491" s="198"/>
      <c r="CU491" s="255"/>
      <c r="CV491" s="209"/>
      <c r="CW491" s="228"/>
    </row>
    <row r="492" spans="1:101" x14ac:dyDescent="0.2">
      <c r="A492" s="227"/>
      <c r="B492" s="227"/>
      <c r="C492" s="168"/>
      <c r="D492" s="232"/>
      <c r="E492" s="134" t="s">
        <v>320</v>
      </c>
      <c r="F492" s="424"/>
      <c r="G492" s="428"/>
      <c r="H492" s="429"/>
      <c r="I492" s="138" t="str">
        <f t="shared" ref="I492:I503" si="722">IF($F492&gt;$H492,"x","")</f>
        <v/>
      </c>
      <c r="J492" s="344" t="str">
        <f t="shared" ref="J492:J503" si="723">IF(F492&lt;&gt;"",IF(H492&lt;&gt;"",IF(F492=H492,"x",""),""),"")</f>
        <v/>
      </c>
      <c r="K492" s="345" t="str">
        <f t="shared" ref="K492:K503" si="724">IF($F492&lt;$H492,"x","")</f>
        <v/>
      </c>
      <c r="L492" s="258"/>
      <c r="M492" s="332"/>
      <c r="N492" s="336"/>
      <c r="O492" s="200"/>
      <c r="P492" s="200"/>
      <c r="Q492" s="436"/>
      <c r="R492" s="437"/>
      <c r="S492" s="438" t="str">
        <f t="shared" ref="S492:S503" si="725">IF(Q492="","",100-SUM(Q492:R492))</f>
        <v/>
      </c>
      <c r="T492" s="328"/>
      <c r="U492" s="197" t="str">
        <f>IF(AND($I492="x",AND(MAX(Q492:S492)=Q492,Q492&gt;=0)),Data!$BI$2,"")</f>
        <v/>
      </c>
      <c r="V492" s="197" t="str">
        <f>IF(AND($J492="x",AND(MAX(Q492:S492)=R492,R492&gt;=0)),Data!$BJ$2,"")</f>
        <v/>
      </c>
      <c r="W492" s="197" t="str">
        <f>IF(AND($K492="x",AND(MAX(Q492:S492)=S492,S492&gt;=0)),Data!$BK$2,"")</f>
        <v/>
      </c>
      <c r="X492" s="197"/>
      <c r="Y492" s="328"/>
      <c r="Z492" s="451"/>
      <c r="AA492" s="452"/>
      <c r="AB492" s="438" t="str">
        <f t="shared" ref="AB492:AB503" si="726">IF(Z492="","",100-SUM(Z492:AA492))</f>
        <v/>
      </c>
      <c r="AC492" s="328"/>
      <c r="AD492" s="197" t="str">
        <f>IF(AND($I492="x",AND(MAX(Z492:AB492)=Z492,Z492&lt;&gt;"")),Data!$BI$2,"")</f>
        <v/>
      </c>
      <c r="AE492" s="197" t="str">
        <f>IF(AND($J492="x",AND(MAX(Z492:AB492)=AA492,AA492&lt;&gt;"")),Data!$BJ$2,"")</f>
        <v/>
      </c>
      <c r="AF492" s="197" t="str">
        <f>IF(AND($K492="x",AND(MAX(Z492:AB492)=AB492,AB492&lt;&gt;"")),Data!$BK$2,"")</f>
        <v/>
      </c>
      <c r="AG492" s="197"/>
      <c r="AH492" s="328"/>
      <c r="AI492" s="451"/>
      <c r="AJ492" s="452"/>
      <c r="AK492" s="438" t="str">
        <f t="shared" ref="AK492:AK503" si="727">IF(AI492="","",100-SUM(AI492:AJ492))</f>
        <v/>
      </c>
      <c r="AL492" s="328"/>
      <c r="AM492" s="197" t="str">
        <f>IF(AND($I492="x",AND(MAX(AI492:AK492)=AI492,AI492&lt;&gt;"")),Data!$BI$2,"")</f>
        <v/>
      </c>
      <c r="AN492" s="197" t="str">
        <f>IF(AND($J492="x",AND(MAX(AI492:AK492)=AJ492,AJ492&lt;&gt;"")),Data!$BJ$2,"")</f>
        <v/>
      </c>
      <c r="AO492" s="197" t="str">
        <f>IF(AND($K492="x",AND(MAX(AI492:AK492)=AK492,AK492&lt;&gt;"")),Data!$BK$2,"")</f>
        <v/>
      </c>
      <c r="AP492" s="197"/>
      <c r="AQ492" s="328"/>
      <c r="AR492" s="451"/>
      <c r="AS492" s="452"/>
      <c r="AT492" s="438" t="str">
        <f t="shared" ref="AT492:AT503" si="728">IF(AR492="","",100-SUM(AR492:AS492))</f>
        <v/>
      </c>
      <c r="AU492" s="328"/>
      <c r="AV492" s="197" t="str">
        <f>IF(AND($I492="x",AND(MAX(AR492:AT492)=AR492,AR492&lt;&gt;"")),Data!$BI$2,"")</f>
        <v/>
      </c>
      <c r="AW492" s="197" t="str">
        <f>IF(AND($J492="x",AND(MAX(AR492:AT492)=AS492,AS492&lt;&gt;"")),Data!$BJ$2,"")</f>
        <v/>
      </c>
      <c r="AX492" s="197" t="str">
        <f>IF(AND($K492="x",AND(MAX(AR492:AT492)=AT492,AT492&lt;&gt;"")),Data!$BK$2,"")</f>
        <v/>
      </c>
      <c r="AY492" s="197"/>
      <c r="AZ492" s="328"/>
      <c r="BA492" s="451"/>
      <c r="BB492" s="452"/>
      <c r="BC492" s="438" t="str">
        <f t="shared" ref="BC492:BC503" si="729">IF(BA492="","",100-SUM(BA492:BB492))</f>
        <v/>
      </c>
      <c r="BD492" s="328"/>
      <c r="BE492" s="197" t="str">
        <f>IF(AND($I492="x",AND(MAX(BA492:BC492)=BA492,BA492&lt;&gt;"")),Data!$BI$2,"")</f>
        <v/>
      </c>
      <c r="BF492" s="197" t="str">
        <f>IF(AND($J492="x",AND(MAX(BA492:BC492)=BB492,BB492&lt;&gt;"")),Data!$BJ$2,"")</f>
        <v/>
      </c>
      <c r="BG492" s="197" t="str">
        <f>IF(AND($K492="x",AND(MAX(BA492:BC492)=BC492,BC492&lt;&gt;"")),Data!$BK$2,"")</f>
        <v/>
      </c>
      <c r="BH492" s="197"/>
      <c r="BI492" s="328"/>
      <c r="BJ492" s="451"/>
      <c r="BK492" s="452"/>
      <c r="BL492" s="438" t="str">
        <f t="shared" ref="BL492:BL503" si="730">IF(BJ492="","",100-SUM(BJ492:BK492))</f>
        <v/>
      </c>
      <c r="BM492" s="328"/>
      <c r="BN492" s="197" t="str">
        <f>IF(AND($I492="x",AND(MAX(BJ492:BL492)=BJ492,BJ492&lt;&gt;"")),Data!$BI$2,"")</f>
        <v/>
      </c>
      <c r="BO492" s="197" t="str">
        <f>IF(AND($J492="x",AND(MAX(BJ492:BL492)=BK492,BK492&lt;&gt;"")),Data!$BJ$2,"")</f>
        <v/>
      </c>
      <c r="BP492" s="197" t="str">
        <f>IF(AND($K492="x",AND(MAX(BJ492:BL492)=BL492,BL492&lt;&gt;"")),Data!$BK$2,"")</f>
        <v/>
      </c>
      <c r="BQ492" s="197"/>
      <c r="BR492" s="328"/>
      <c r="BS492" s="451"/>
      <c r="BT492" s="452"/>
      <c r="BU492" s="438" t="str">
        <f t="shared" ref="BU492:BU503" si="731">IF(BS492="","",100-SUM(BS492:BT492))</f>
        <v/>
      </c>
      <c r="BV492" s="328"/>
      <c r="BW492" s="197" t="str">
        <f>IF(AND($I492="x",AND(MAX(BS492:BU492)=BS492,BS492&lt;&gt;"")),Data!$BI$2,"")</f>
        <v/>
      </c>
      <c r="BX492" s="197" t="str">
        <f>IF(AND($J492="x",AND(MAX(BS492:BU492)=BT492,BT492&lt;&gt;"")),Data!$BJ$2,"")</f>
        <v/>
      </c>
      <c r="BY492" s="197" t="str">
        <f>IF(AND($K492="x",AND(MAX(BS492:BU492)=BU492,BU492&lt;&gt;"")),Data!$BK$2,"")</f>
        <v/>
      </c>
      <c r="BZ492" s="197"/>
      <c r="CA492" s="328"/>
      <c r="CB492" s="457" t="str">
        <f t="shared" ref="CB492:CB503" si="732">IFERROR(ROUNDUP((SUM(Q492,Z492,AI492,AR492,BA492,BJ492,BS492)/SUM($Q492:$S492,$Z492:$AB492,$AI492:$AK492,$AR492:$AT492,$BA492:$BC492,$BJ492:$BL492,$BS492:$BU492))*100,-1),"")</f>
        <v/>
      </c>
      <c r="CC492" s="458" t="str">
        <f t="shared" ref="CC492:CC503" si="733">IFERROR(ROUNDDOWN((SUM(R492,AA492,AJ492,AS492,BB492,BK492,BT492)/SUM($Q492:$S492,$Z492:$AB492,$AI492:$AK492,$AR492:$AT492,$BA492:$BC492,$BJ492:$BL492,$BS492:$BU492))*100,-1),"")</f>
        <v/>
      </c>
      <c r="CD492" s="459" t="str">
        <f t="shared" ref="CD492:CD503" si="734">IF(CB492="","",100-SUM(CB492:CC492))</f>
        <v/>
      </c>
      <c r="CE492" s="328"/>
      <c r="CF492" s="197" t="str">
        <f>IF(AND($I492="x",AND(MAX(CB492:CD492)=CB492,CB492&lt;&gt;"")),Data!$BI$2,"")</f>
        <v/>
      </c>
      <c r="CG492" s="197" t="str">
        <f>IF(AND($J492="x",AND(MAX(CB492:CD492)=CC492,CC492&lt;&gt;"")),Data!$BJ$2,"")</f>
        <v/>
      </c>
      <c r="CH492" s="197" t="str">
        <f>IF(AND($K492="x",AND(MAX(CB492:CD492)=CD492,CD492&lt;&gt;"")),Data!$BK$2,"")</f>
        <v/>
      </c>
      <c r="CI492" s="197"/>
      <c r="CJ492" s="197"/>
      <c r="CK492" s="451"/>
      <c r="CL492" s="452"/>
      <c r="CM492" s="438" t="str">
        <f t="shared" ref="CM492:CM503" si="735">IF(CK492="","",100-SUM(CK492:CL492))</f>
        <v/>
      </c>
      <c r="CN492" s="328"/>
      <c r="CO492" s="197" t="str">
        <f>IF(AND($I492="x",AND(MAX(CK492:CM492)=CK492,CK492&lt;&gt;"")),Data!$BI$2,"")</f>
        <v/>
      </c>
      <c r="CP492" s="197" t="str">
        <f>IF(AND($J492="x",AND(MAX(CK492:CM492)=CL492,CL492&lt;&gt;"")),Data!$BJ$2,"")</f>
        <v/>
      </c>
      <c r="CQ492" s="197" t="str">
        <f>IF(AND($K492="x",AND(MAX(CK492:CM492)=CM492,CM492&lt;&gt;"")),Data!$BK$2,"")</f>
        <v/>
      </c>
      <c r="CR492" s="197"/>
      <c r="CS492" s="197"/>
      <c r="CT492" s="328"/>
      <c r="CU492" s="255"/>
      <c r="CV492" s="209"/>
      <c r="CW492" s="227"/>
    </row>
    <row r="493" spans="1:101" x14ac:dyDescent="0.2">
      <c r="A493" s="227"/>
      <c r="B493" s="227"/>
      <c r="C493" s="168"/>
      <c r="D493" s="232"/>
      <c r="E493" s="135" t="s">
        <v>321</v>
      </c>
      <c r="F493" s="425"/>
      <c r="G493" s="430"/>
      <c r="H493" s="431"/>
      <c r="I493" s="346" t="str">
        <f t="shared" si="722"/>
        <v/>
      </c>
      <c r="J493" s="347" t="str">
        <f t="shared" si="723"/>
        <v/>
      </c>
      <c r="K493" s="348" t="str">
        <f t="shared" si="724"/>
        <v/>
      </c>
      <c r="L493" s="258"/>
      <c r="M493" s="332"/>
      <c r="N493" s="336"/>
      <c r="O493" s="200"/>
      <c r="P493" s="200"/>
      <c r="Q493" s="439"/>
      <c r="R493" s="440"/>
      <c r="S493" s="441" t="str">
        <f t="shared" si="725"/>
        <v/>
      </c>
      <c r="T493" s="328"/>
      <c r="U493" s="197" t="str">
        <f>IF(AND($I493="x",AND(MAX(Q493:S493)=Q493,Q493&gt;=0)),Data!$BI$2,"")</f>
        <v/>
      </c>
      <c r="V493" s="197" t="str">
        <f>IF(AND($J493="x",AND(MAX(Q493:S493)=R493,R493&gt;=0)),Data!$BJ$2,"")</f>
        <v/>
      </c>
      <c r="W493" s="197" t="str">
        <f>IF(AND($K493="x",AND(MAX(Q493:S493)=S493,S493&gt;=0)),Data!$BK$2,"")</f>
        <v/>
      </c>
      <c r="X493" s="197"/>
      <c r="Y493" s="328"/>
      <c r="Z493" s="453"/>
      <c r="AA493" s="454"/>
      <c r="AB493" s="441" t="str">
        <f t="shared" si="726"/>
        <v/>
      </c>
      <c r="AC493" s="328"/>
      <c r="AD493" s="197" t="str">
        <f>IF(AND($I493="x",AND(MAX(Z493:AB493)=Z493,Z493&lt;&gt;"")),Data!$BI$2,"")</f>
        <v/>
      </c>
      <c r="AE493" s="197" t="str">
        <f>IF(AND($J493="x",AND(MAX(Z493:AB493)=AA493,AA493&lt;&gt;"")),Data!$BJ$2,"")</f>
        <v/>
      </c>
      <c r="AF493" s="197" t="str">
        <f>IF(AND($K493="x",AND(MAX(Z493:AB493)=AB493,AB493&lt;&gt;"")),Data!$BK$2,"")</f>
        <v/>
      </c>
      <c r="AG493" s="197"/>
      <c r="AH493" s="328"/>
      <c r="AI493" s="453"/>
      <c r="AJ493" s="454"/>
      <c r="AK493" s="441" t="str">
        <f t="shared" si="727"/>
        <v/>
      </c>
      <c r="AL493" s="328"/>
      <c r="AM493" s="197" t="str">
        <f>IF(AND($I493="x",AND(MAX(AI493:AK493)=AI493,AI493&lt;&gt;"")),Data!$BI$2,"")</f>
        <v/>
      </c>
      <c r="AN493" s="197" t="str">
        <f>IF(AND($J493="x",AND(MAX(AI493:AK493)=AJ493,AJ493&lt;&gt;"")),Data!$BJ$2,"")</f>
        <v/>
      </c>
      <c r="AO493" s="197" t="str">
        <f>IF(AND($K493="x",AND(MAX(AI493:AK493)=AK493,AK493&lt;&gt;"")),Data!$BK$2,"")</f>
        <v/>
      </c>
      <c r="AP493" s="197"/>
      <c r="AQ493" s="328"/>
      <c r="AR493" s="453"/>
      <c r="AS493" s="454"/>
      <c r="AT493" s="441" t="str">
        <f t="shared" si="728"/>
        <v/>
      </c>
      <c r="AU493" s="328"/>
      <c r="AV493" s="197" t="str">
        <f>IF(AND($I493="x",AND(MAX(AR493:AT493)=AR493,AR493&lt;&gt;"")),Data!$BI$2,"")</f>
        <v/>
      </c>
      <c r="AW493" s="197" t="str">
        <f>IF(AND($J493="x",AND(MAX(AR493:AT493)=AS493,AS493&lt;&gt;"")),Data!$BJ$2,"")</f>
        <v/>
      </c>
      <c r="AX493" s="197" t="str">
        <f>IF(AND($K493="x",AND(MAX(AR493:AT493)=AT493,AT493&lt;&gt;"")),Data!$BK$2,"")</f>
        <v/>
      </c>
      <c r="AY493" s="197"/>
      <c r="AZ493" s="328"/>
      <c r="BA493" s="453"/>
      <c r="BB493" s="454"/>
      <c r="BC493" s="441" t="str">
        <f t="shared" si="729"/>
        <v/>
      </c>
      <c r="BD493" s="328"/>
      <c r="BE493" s="197" t="str">
        <f>IF(AND($I493="x",AND(MAX(BA493:BC493)=BA493,BA493&lt;&gt;"")),Data!$BI$2,"")</f>
        <v/>
      </c>
      <c r="BF493" s="197" t="str">
        <f>IF(AND($J493="x",AND(MAX(BA493:BC493)=BB493,BB493&lt;&gt;"")),Data!$BJ$2,"")</f>
        <v/>
      </c>
      <c r="BG493" s="197" t="str">
        <f>IF(AND($K493="x",AND(MAX(BA493:BC493)=BC493,BC493&lt;&gt;"")),Data!$BK$2,"")</f>
        <v/>
      </c>
      <c r="BH493" s="197"/>
      <c r="BI493" s="328"/>
      <c r="BJ493" s="453"/>
      <c r="BK493" s="454"/>
      <c r="BL493" s="441" t="str">
        <f t="shared" si="730"/>
        <v/>
      </c>
      <c r="BM493" s="328"/>
      <c r="BN493" s="197" t="str">
        <f>IF(AND($I493="x",AND(MAX(BJ493:BL493)=BJ493,BJ493&lt;&gt;"")),Data!$BI$2,"")</f>
        <v/>
      </c>
      <c r="BO493" s="197" t="str">
        <f>IF(AND($J493="x",AND(MAX(BJ493:BL493)=BK493,BK493&lt;&gt;"")),Data!$BJ$2,"")</f>
        <v/>
      </c>
      <c r="BP493" s="197" t="str">
        <f>IF(AND($K493="x",AND(MAX(BJ493:BL493)=BL493,BL493&lt;&gt;"")),Data!$BK$2,"")</f>
        <v/>
      </c>
      <c r="BQ493" s="197"/>
      <c r="BR493" s="328"/>
      <c r="BS493" s="453"/>
      <c r="BT493" s="454"/>
      <c r="BU493" s="441" t="str">
        <f t="shared" si="731"/>
        <v/>
      </c>
      <c r="BV493" s="328"/>
      <c r="BW493" s="197" t="str">
        <f>IF(AND($I493="x",AND(MAX(BS493:BU493)=BS493,BS493&lt;&gt;"")),Data!$BI$2,"")</f>
        <v/>
      </c>
      <c r="BX493" s="197" t="str">
        <f>IF(AND($J493="x",AND(MAX(BS493:BU493)=BT493,BT493&lt;&gt;"")),Data!$BJ$2,"")</f>
        <v/>
      </c>
      <c r="BY493" s="197" t="str">
        <f>IF(AND($K493="x",AND(MAX(BS493:BU493)=BU493,BU493&lt;&gt;"")),Data!$BK$2,"")</f>
        <v/>
      </c>
      <c r="BZ493" s="197"/>
      <c r="CA493" s="328"/>
      <c r="CB493" s="460" t="str">
        <f t="shared" si="732"/>
        <v/>
      </c>
      <c r="CC493" s="461" t="str">
        <f t="shared" si="733"/>
        <v/>
      </c>
      <c r="CD493" s="462" t="str">
        <f t="shared" si="734"/>
        <v/>
      </c>
      <c r="CE493" s="328"/>
      <c r="CF493" s="197" t="str">
        <f>IF(AND($I493="x",AND(MAX(CB493:CD493)=CB493,CB493&lt;&gt;"")),Data!$BI$2,"")</f>
        <v/>
      </c>
      <c r="CG493" s="197" t="str">
        <f>IF(AND($J493="x",AND(MAX(CB493:CD493)=CC493,CC493&lt;&gt;"")),Data!$BJ$2,"")</f>
        <v/>
      </c>
      <c r="CH493" s="197" t="str">
        <f>IF(AND($K493="x",AND(MAX(CB493:CD493)=CD493,CD493&lt;&gt;"")),Data!$BK$2,"")</f>
        <v/>
      </c>
      <c r="CI493" s="197"/>
      <c r="CJ493" s="197"/>
      <c r="CK493" s="453"/>
      <c r="CL493" s="454"/>
      <c r="CM493" s="441" t="str">
        <f t="shared" si="735"/>
        <v/>
      </c>
      <c r="CN493" s="328"/>
      <c r="CO493" s="197" t="str">
        <f>IF(AND($I493="x",AND(MAX(CK493:CM493)=CK493,CK493&lt;&gt;"")),Data!$BI$2,"")</f>
        <v/>
      </c>
      <c r="CP493" s="197" t="str">
        <f>IF(AND($J493="x",AND(MAX(CK493:CM493)=CL493,CL493&lt;&gt;"")),Data!$BJ$2,"")</f>
        <v/>
      </c>
      <c r="CQ493" s="197" t="str">
        <f>IF(AND($K493="x",AND(MAX(CK493:CM493)=CM493,CM493&lt;&gt;"")),Data!$BK$2,"")</f>
        <v/>
      </c>
      <c r="CR493" s="197"/>
      <c r="CS493" s="197"/>
      <c r="CT493" s="328"/>
      <c r="CU493" s="255"/>
      <c r="CV493" s="209"/>
      <c r="CW493" s="227"/>
    </row>
    <row r="494" spans="1:101" x14ac:dyDescent="0.2">
      <c r="A494" s="227"/>
      <c r="B494" s="227"/>
      <c r="C494" s="168"/>
      <c r="D494" s="232"/>
      <c r="E494" s="136" t="s">
        <v>322</v>
      </c>
      <c r="F494" s="426"/>
      <c r="G494" s="432"/>
      <c r="H494" s="433"/>
      <c r="I494" s="349" t="str">
        <f t="shared" si="722"/>
        <v/>
      </c>
      <c r="J494" s="350" t="str">
        <f t="shared" si="723"/>
        <v/>
      </c>
      <c r="K494" s="351" t="str">
        <f t="shared" si="724"/>
        <v/>
      </c>
      <c r="L494" s="258"/>
      <c r="M494" s="332"/>
      <c r="N494" s="336"/>
      <c r="O494" s="200"/>
      <c r="P494" s="200"/>
      <c r="Q494" s="442"/>
      <c r="R494" s="443"/>
      <c r="S494" s="444" t="str">
        <f t="shared" si="725"/>
        <v/>
      </c>
      <c r="T494" s="328"/>
      <c r="U494" s="197" t="str">
        <f>IF(AND($I494="x",AND(MAX(Q494:S494)=Q494,Q494&gt;=0)),Data!$BI$2,"")</f>
        <v/>
      </c>
      <c r="V494" s="197" t="str">
        <f>IF(AND($J494="x",AND(MAX(Q494:S494)=R494,R494&gt;=0)),Data!$BJ$2,"")</f>
        <v/>
      </c>
      <c r="W494" s="197" t="str">
        <f>IF(AND($K494="x",AND(MAX(Q494:S494)=S494,S494&gt;=0)),Data!$BK$2,"")</f>
        <v/>
      </c>
      <c r="X494" s="197"/>
      <c r="Y494" s="328"/>
      <c r="Z494" s="455"/>
      <c r="AA494" s="456"/>
      <c r="AB494" s="444" t="str">
        <f t="shared" si="726"/>
        <v/>
      </c>
      <c r="AC494" s="328"/>
      <c r="AD494" s="197" t="str">
        <f>IF(AND($I494="x",AND(MAX(Z494:AB494)=Z494,Z494&lt;&gt;"")),Data!$BI$2,"")</f>
        <v/>
      </c>
      <c r="AE494" s="197" t="str">
        <f>IF(AND($J494="x",AND(MAX(Z494:AB494)=AA494,AA494&lt;&gt;"")),Data!$BJ$2,"")</f>
        <v/>
      </c>
      <c r="AF494" s="197" t="str">
        <f>IF(AND($K494="x",AND(MAX(Z494:AB494)=AB494,AB494&lt;&gt;"")),Data!$BK$2,"")</f>
        <v/>
      </c>
      <c r="AG494" s="197"/>
      <c r="AH494" s="328"/>
      <c r="AI494" s="455"/>
      <c r="AJ494" s="456"/>
      <c r="AK494" s="444" t="str">
        <f t="shared" si="727"/>
        <v/>
      </c>
      <c r="AL494" s="328"/>
      <c r="AM494" s="197" t="str">
        <f>IF(AND($I494="x",AND(MAX(AI494:AK494)=AI494,AI494&lt;&gt;"")),Data!$BI$2,"")</f>
        <v/>
      </c>
      <c r="AN494" s="197" t="str">
        <f>IF(AND($J494="x",AND(MAX(AI494:AK494)=AJ494,AJ494&lt;&gt;"")),Data!$BJ$2,"")</f>
        <v/>
      </c>
      <c r="AO494" s="197" t="str">
        <f>IF(AND($K494="x",AND(MAX(AI494:AK494)=AK494,AK494&lt;&gt;"")),Data!$BK$2,"")</f>
        <v/>
      </c>
      <c r="AP494" s="197"/>
      <c r="AQ494" s="328"/>
      <c r="AR494" s="455"/>
      <c r="AS494" s="456"/>
      <c r="AT494" s="444" t="str">
        <f t="shared" si="728"/>
        <v/>
      </c>
      <c r="AU494" s="328"/>
      <c r="AV494" s="197" t="str">
        <f>IF(AND($I494="x",AND(MAX(AR494:AT494)=AR494,AR494&lt;&gt;"")),Data!$BI$2,"")</f>
        <v/>
      </c>
      <c r="AW494" s="197" t="str">
        <f>IF(AND($J494="x",AND(MAX(AR494:AT494)=AS494,AS494&lt;&gt;"")),Data!$BJ$2,"")</f>
        <v/>
      </c>
      <c r="AX494" s="197" t="str">
        <f>IF(AND($K494="x",AND(MAX(AR494:AT494)=AT494,AT494&lt;&gt;"")),Data!$BK$2,"")</f>
        <v/>
      </c>
      <c r="AY494" s="197"/>
      <c r="AZ494" s="328"/>
      <c r="BA494" s="455"/>
      <c r="BB494" s="456"/>
      <c r="BC494" s="444" t="str">
        <f t="shared" si="729"/>
        <v/>
      </c>
      <c r="BD494" s="328"/>
      <c r="BE494" s="197" t="str">
        <f>IF(AND($I494="x",AND(MAX(BA494:BC494)=BA494,BA494&lt;&gt;"")),Data!$BI$2,"")</f>
        <v/>
      </c>
      <c r="BF494" s="197" t="str">
        <f>IF(AND($J494="x",AND(MAX(BA494:BC494)=BB494,BB494&lt;&gt;"")),Data!$BJ$2,"")</f>
        <v/>
      </c>
      <c r="BG494" s="197" t="str">
        <f>IF(AND($K494="x",AND(MAX(BA494:BC494)=BC494,BC494&lt;&gt;"")),Data!$BK$2,"")</f>
        <v/>
      </c>
      <c r="BH494" s="197"/>
      <c r="BI494" s="328"/>
      <c r="BJ494" s="455"/>
      <c r="BK494" s="456"/>
      <c r="BL494" s="444" t="str">
        <f t="shared" si="730"/>
        <v/>
      </c>
      <c r="BM494" s="328"/>
      <c r="BN494" s="197" t="str">
        <f>IF(AND($I494="x",AND(MAX(BJ494:BL494)=BJ494,BJ494&lt;&gt;"")),Data!$BI$2,"")</f>
        <v/>
      </c>
      <c r="BO494" s="197" t="str">
        <f>IF(AND($J494="x",AND(MAX(BJ494:BL494)=BK494,BK494&lt;&gt;"")),Data!$BJ$2,"")</f>
        <v/>
      </c>
      <c r="BP494" s="197" t="str">
        <f>IF(AND($K494="x",AND(MAX(BJ494:BL494)=BL494,BL494&lt;&gt;"")),Data!$BK$2,"")</f>
        <v/>
      </c>
      <c r="BQ494" s="197"/>
      <c r="BR494" s="328"/>
      <c r="BS494" s="455"/>
      <c r="BT494" s="456"/>
      <c r="BU494" s="444" t="str">
        <f t="shared" si="731"/>
        <v/>
      </c>
      <c r="BV494" s="328"/>
      <c r="BW494" s="197" t="str">
        <f>IF(AND($I494="x",AND(MAX(BS494:BU494)=BS494,BS494&lt;&gt;"")),Data!$BI$2,"")</f>
        <v/>
      </c>
      <c r="BX494" s="197" t="str">
        <f>IF(AND($J494="x",AND(MAX(BS494:BU494)=BT494,BT494&lt;&gt;"")),Data!$BJ$2,"")</f>
        <v/>
      </c>
      <c r="BY494" s="197" t="str">
        <f>IF(AND($K494="x",AND(MAX(BS494:BU494)=BU494,BU494&lt;&gt;"")),Data!$BK$2,"")</f>
        <v/>
      </c>
      <c r="BZ494" s="197"/>
      <c r="CA494" s="328"/>
      <c r="CB494" s="463" t="str">
        <f t="shared" si="732"/>
        <v/>
      </c>
      <c r="CC494" s="464" t="str">
        <f t="shared" si="733"/>
        <v/>
      </c>
      <c r="CD494" s="465" t="str">
        <f t="shared" si="734"/>
        <v/>
      </c>
      <c r="CE494" s="328"/>
      <c r="CF494" s="197" t="str">
        <f>IF(AND($I494="x",AND(MAX(CB494:CD494)=CB494,CB494&lt;&gt;"")),Data!$BI$2,"")</f>
        <v/>
      </c>
      <c r="CG494" s="197" t="str">
        <f>IF(AND($J494="x",AND(MAX(CB494:CD494)=CC494,CC494&lt;&gt;"")),Data!$BJ$2,"")</f>
        <v/>
      </c>
      <c r="CH494" s="197" t="str">
        <f>IF(AND($K494="x",AND(MAX(CB494:CD494)=CD494,CD494&lt;&gt;"")),Data!$BK$2,"")</f>
        <v/>
      </c>
      <c r="CI494" s="197"/>
      <c r="CJ494" s="197"/>
      <c r="CK494" s="455"/>
      <c r="CL494" s="456"/>
      <c r="CM494" s="444" t="str">
        <f t="shared" si="735"/>
        <v/>
      </c>
      <c r="CN494" s="328"/>
      <c r="CO494" s="197" t="str">
        <f>IF(AND($I494="x",AND(MAX(CK494:CM494)=CK494,CK494&lt;&gt;"")),Data!$BI$2,"")</f>
        <v/>
      </c>
      <c r="CP494" s="197" t="str">
        <f>IF(AND($J494="x",AND(MAX(CK494:CM494)=CL494,CL494&lt;&gt;"")),Data!$BJ$2,"")</f>
        <v/>
      </c>
      <c r="CQ494" s="197" t="str">
        <f>IF(AND($K494="x",AND(MAX(CK494:CM494)=CM494,CM494&lt;&gt;"")),Data!$BK$2,"")</f>
        <v/>
      </c>
      <c r="CR494" s="197"/>
      <c r="CS494" s="197"/>
      <c r="CT494" s="328"/>
      <c r="CU494" s="255"/>
      <c r="CV494" s="209"/>
      <c r="CW494" s="227"/>
    </row>
    <row r="495" spans="1:101" x14ac:dyDescent="0.2">
      <c r="A495" s="227"/>
      <c r="B495" s="227"/>
      <c r="C495" s="168"/>
      <c r="D495" s="232"/>
      <c r="E495" s="134" t="s">
        <v>323</v>
      </c>
      <c r="F495" s="424"/>
      <c r="G495" s="428"/>
      <c r="H495" s="429"/>
      <c r="I495" s="138" t="str">
        <f t="shared" si="722"/>
        <v/>
      </c>
      <c r="J495" s="344" t="str">
        <f t="shared" si="723"/>
        <v/>
      </c>
      <c r="K495" s="345" t="str">
        <f t="shared" si="724"/>
        <v/>
      </c>
      <c r="L495" s="258"/>
      <c r="M495" s="332"/>
      <c r="N495" s="336"/>
      <c r="O495" s="200"/>
      <c r="P495" s="200"/>
      <c r="Q495" s="436"/>
      <c r="R495" s="437"/>
      <c r="S495" s="438" t="str">
        <f t="shared" si="725"/>
        <v/>
      </c>
      <c r="T495" s="328"/>
      <c r="U495" s="197" t="str">
        <f>IF(AND($I495="x",AND(MAX(Q495:S495)=Q495,Q495&gt;=0)),Data!$BI$2,"")</f>
        <v/>
      </c>
      <c r="V495" s="197" t="str">
        <f>IF(AND($J495="x",AND(MAX(Q495:S495)=R495,R495&gt;=0)),Data!$BJ$2,"")</f>
        <v/>
      </c>
      <c r="W495" s="197" t="str">
        <f>IF(AND($K495="x",AND(MAX(Q495:S495)=S495,S495&gt;=0)),Data!$BK$2,"")</f>
        <v/>
      </c>
      <c r="X495" s="197"/>
      <c r="Y495" s="328"/>
      <c r="Z495" s="451"/>
      <c r="AA495" s="452"/>
      <c r="AB495" s="438" t="str">
        <f t="shared" si="726"/>
        <v/>
      </c>
      <c r="AC495" s="328"/>
      <c r="AD495" s="197" t="str">
        <f>IF(AND($I495="x",AND(MAX(Z495:AB495)=Z495,Z495&lt;&gt;"")),Data!$BI$2,"")</f>
        <v/>
      </c>
      <c r="AE495" s="197" t="str">
        <f>IF(AND($J495="x",AND(MAX(Z495:AB495)=AA495,AA495&lt;&gt;"")),Data!$BJ$2,"")</f>
        <v/>
      </c>
      <c r="AF495" s="197" t="str">
        <f>IF(AND($K495="x",AND(MAX(Z495:AB495)=AB495,AB495&lt;&gt;"")),Data!$BK$2,"")</f>
        <v/>
      </c>
      <c r="AG495" s="197"/>
      <c r="AH495" s="328"/>
      <c r="AI495" s="451"/>
      <c r="AJ495" s="452"/>
      <c r="AK495" s="438" t="str">
        <f t="shared" si="727"/>
        <v/>
      </c>
      <c r="AL495" s="328"/>
      <c r="AM495" s="197" t="str">
        <f>IF(AND($I495="x",AND(MAX(AI495:AK495)=AI495,AI495&lt;&gt;"")),Data!$BI$2,"")</f>
        <v/>
      </c>
      <c r="AN495" s="197" t="str">
        <f>IF(AND($J495="x",AND(MAX(AI495:AK495)=AJ495,AJ495&lt;&gt;"")),Data!$BJ$2,"")</f>
        <v/>
      </c>
      <c r="AO495" s="197" t="str">
        <f>IF(AND($K495="x",AND(MAX(AI495:AK495)=AK495,AK495&lt;&gt;"")),Data!$BK$2,"")</f>
        <v/>
      </c>
      <c r="AP495" s="197"/>
      <c r="AQ495" s="328"/>
      <c r="AR495" s="451"/>
      <c r="AS495" s="452"/>
      <c r="AT495" s="438" t="str">
        <f t="shared" si="728"/>
        <v/>
      </c>
      <c r="AU495" s="328"/>
      <c r="AV495" s="197" t="str">
        <f>IF(AND($I495="x",AND(MAX(AR495:AT495)=AR495,AR495&lt;&gt;"")),Data!$BI$2,"")</f>
        <v/>
      </c>
      <c r="AW495" s="197" t="str">
        <f>IF(AND($J495="x",AND(MAX(AR495:AT495)=AS495,AS495&lt;&gt;"")),Data!$BJ$2,"")</f>
        <v/>
      </c>
      <c r="AX495" s="197" t="str">
        <f>IF(AND($K495="x",AND(MAX(AR495:AT495)=AT495,AT495&lt;&gt;"")),Data!$BK$2,"")</f>
        <v/>
      </c>
      <c r="AY495" s="197"/>
      <c r="AZ495" s="328"/>
      <c r="BA495" s="451"/>
      <c r="BB495" s="452"/>
      <c r="BC495" s="438" t="str">
        <f t="shared" si="729"/>
        <v/>
      </c>
      <c r="BD495" s="328"/>
      <c r="BE495" s="197" t="str">
        <f>IF(AND($I495="x",AND(MAX(BA495:BC495)=BA495,BA495&lt;&gt;"")),Data!$BI$2,"")</f>
        <v/>
      </c>
      <c r="BF495" s="197" t="str">
        <f>IF(AND($J495="x",AND(MAX(BA495:BC495)=BB495,BB495&lt;&gt;"")),Data!$BJ$2,"")</f>
        <v/>
      </c>
      <c r="BG495" s="197" t="str">
        <f>IF(AND($K495="x",AND(MAX(BA495:BC495)=BC495,BC495&lt;&gt;"")),Data!$BK$2,"")</f>
        <v/>
      </c>
      <c r="BH495" s="197"/>
      <c r="BI495" s="328"/>
      <c r="BJ495" s="451"/>
      <c r="BK495" s="452"/>
      <c r="BL495" s="438" t="str">
        <f t="shared" si="730"/>
        <v/>
      </c>
      <c r="BM495" s="328"/>
      <c r="BN495" s="197" t="str">
        <f>IF(AND($I495="x",AND(MAX(BJ495:BL495)=BJ495,BJ495&lt;&gt;"")),Data!$BI$2,"")</f>
        <v/>
      </c>
      <c r="BO495" s="197" t="str">
        <f>IF(AND($J495="x",AND(MAX(BJ495:BL495)=BK495,BK495&lt;&gt;"")),Data!$BJ$2,"")</f>
        <v/>
      </c>
      <c r="BP495" s="197" t="str">
        <f>IF(AND($K495="x",AND(MAX(BJ495:BL495)=BL495,BL495&lt;&gt;"")),Data!$BK$2,"")</f>
        <v/>
      </c>
      <c r="BQ495" s="197"/>
      <c r="BR495" s="328"/>
      <c r="BS495" s="451"/>
      <c r="BT495" s="452"/>
      <c r="BU495" s="438" t="str">
        <f t="shared" si="731"/>
        <v/>
      </c>
      <c r="BV495" s="328"/>
      <c r="BW495" s="197" t="str">
        <f>IF(AND($I495="x",AND(MAX(BS495:BU495)=BS495,BS495&lt;&gt;"")),Data!$BI$2,"")</f>
        <v/>
      </c>
      <c r="BX495" s="197" t="str">
        <f>IF(AND($J495="x",AND(MAX(BS495:BU495)=BT495,BT495&lt;&gt;"")),Data!$BJ$2,"")</f>
        <v/>
      </c>
      <c r="BY495" s="197" t="str">
        <f>IF(AND($K495="x",AND(MAX(BS495:BU495)=BU495,BU495&lt;&gt;"")),Data!$BK$2,"")</f>
        <v/>
      </c>
      <c r="BZ495" s="197"/>
      <c r="CA495" s="328"/>
      <c r="CB495" s="457" t="str">
        <f t="shared" si="732"/>
        <v/>
      </c>
      <c r="CC495" s="458" t="str">
        <f t="shared" si="733"/>
        <v/>
      </c>
      <c r="CD495" s="459" t="str">
        <f t="shared" si="734"/>
        <v/>
      </c>
      <c r="CE495" s="328"/>
      <c r="CF495" s="197" t="str">
        <f>IF(AND($I495="x",AND(MAX(CB495:CD495)=CB495,CB495&lt;&gt;"")),Data!$BI$2,"")</f>
        <v/>
      </c>
      <c r="CG495" s="197" t="str">
        <f>IF(AND($J495="x",AND(MAX(CB495:CD495)=CC495,CC495&lt;&gt;"")),Data!$BJ$2,"")</f>
        <v/>
      </c>
      <c r="CH495" s="197" t="str">
        <f>IF(AND($K495="x",AND(MAX(CB495:CD495)=CD495,CD495&lt;&gt;"")),Data!$BK$2,"")</f>
        <v/>
      </c>
      <c r="CI495" s="197"/>
      <c r="CJ495" s="197"/>
      <c r="CK495" s="451"/>
      <c r="CL495" s="452"/>
      <c r="CM495" s="438" t="str">
        <f t="shared" si="735"/>
        <v/>
      </c>
      <c r="CN495" s="328"/>
      <c r="CO495" s="197" t="str">
        <f>IF(AND($I495="x",AND(MAX(CK495:CM495)=CK495,CK495&lt;&gt;"")),Data!$BI$2,"")</f>
        <v/>
      </c>
      <c r="CP495" s="197" t="str">
        <f>IF(AND($J495="x",AND(MAX(CK495:CM495)=CL495,CL495&lt;&gt;"")),Data!$BJ$2,"")</f>
        <v/>
      </c>
      <c r="CQ495" s="197" t="str">
        <f>IF(AND($K495="x",AND(MAX(CK495:CM495)=CM495,CM495&lt;&gt;"")),Data!$BK$2,"")</f>
        <v/>
      </c>
      <c r="CR495" s="197"/>
      <c r="CS495" s="197"/>
      <c r="CT495" s="328"/>
      <c r="CU495" s="255"/>
      <c r="CV495" s="209"/>
      <c r="CW495" s="227"/>
    </row>
    <row r="496" spans="1:101" x14ac:dyDescent="0.2">
      <c r="A496" s="227"/>
      <c r="B496" s="227"/>
      <c r="C496" s="168"/>
      <c r="D496" s="232"/>
      <c r="E496" s="135" t="s">
        <v>324</v>
      </c>
      <c r="F496" s="425"/>
      <c r="G496" s="430"/>
      <c r="H496" s="431"/>
      <c r="I496" s="346" t="str">
        <f t="shared" si="722"/>
        <v/>
      </c>
      <c r="J496" s="347" t="str">
        <f t="shared" si="723"/>
        <v/>
      </c>
      <c r="K496" s="348" t="str">
        <f t="shared" si="724"/>
        <v/>
      </c>
      <c r="L496" s="258"/>
      <c r="M496" s="332"/>
      <c r="N496" s="336"/>
      <c r="O496" s="200"/>
      <c r="P496" s="200"/>
      <c r="Q496" s="439"/>
      <c r="R496" s="440"/>
      <c r="S496" s="441" t="str">
        <f t="shared" si="725"/>
        <v/>
      </c>
      <c r="T496" s="328"/>
      <c r="U496" s="197" t="str">
        <f>IF(AND($I496="x",AND(MAX(Q496:S496)=Q496,Q496&gt;=0)),Data!$BI$2,"")</f>
        <v/>
      </c>
      <c r="V496" s="197" t="str">
        <f>IF(AND($J496="x",AND(MAX(Q496:S496)=R496,R496&gt;=0)),Data!$BJ$2,"")</f>
        <v/>
      </c>
      <c r="W496" s="197" t="str">
        <f>IF(AND($K496="x",AND(MAX(Q496:S496)=S496,S496&gt;=0)),Data!$BK$2,"")</f>
        <v/>
      </c>
      <c r="X496" s="197"/>
      <c r="Y496" s="328"/>
      <c r="Z496" s="453"/>
      <c r="AA496" s="454"/>
      <c r="AB496" s="441" t="str">
        <f t="shared" si="726"/>
        <v/>
      </c>
      <c r="AC496" s="328"/>
      <c r="AD496" s="197" t="str">
        <f>IF(AND($I496="x",AND(MAX(Z496:AB496)=Z496,Z496&lt;&gt;"")),Data!$BI$2,"")</f>
        <v/>
      </c>
      <c r="AE496" s="197" t="str">
        <f>IF(AND($J496="x",AND(MAX(Z496:AB496)=AA496,AA496&lt;&gt;"")),Data!$BJ$2,"")</f>
        <v/>
      </c>
      <c r="AF496" s="197" t="str">
        <f>IF(AND($K496="x",AND(MAX(Z496:AB496)=AB496,AB496&lt;&gt;"")),Data!$BK$2,"")</f>
        <v/>
      </c>
      <c r="AG496" s="197"/>
      <c r="AH496" s="328"/>
      <c r="AI496" s="453"/>
      <c r="AJ496" s="454"/>
      <c r="AK496" s="441" t="str">
        <f t="shared" si="727"/>
        <v/>
      </c>
      <c r="AL496" s="328"/>
      <c r="AM496" s="197" t="str">
        <f>IF(AND($I496="x",AND(MAX(AI496:AK496)=AI496,AI496&lt;&gt;"")),Data!$BI$2,"")</f>
        <v/>
      </c>
      <c r="AN496" s="197" t="str">
        <f>IF(AND($J496="x",AND(MAX(AI496:AK496)=AJ496,AJ496&lt;&gt;"")),Data!$BJ$2,"")</f>
        <v/>
      </c>
      <c r="AO496" s="197" t="str">
        <f>IF(AND($K496="x",AND(MAX(AI496:AK496)=AK496,AK496&lt;&gt;"")),Data!$BK$2,"")</f>
        <v/>
      </c>
      <c r="AP496" s="197"/>
      <c r="AQ496" s="328"/>
      <c r="AR496" s="453"/>
      <c r="AS496" s="454"/>
      <c r="AT496" s="441" t="str">
        <f t="shared" si="728"/>
        <v/>
      </c>
      <c r="AU496" s="328"/>
      <c r="AV496" s="197" t="str">
        <f>IF(AND($I496="x",AND(MAX(AR496:AT496)=AR496,AR496&lt;&gt;"")),Data!$BI$2,"")</f>
        <v/>
      </c>
      <c r="AW496" s="197" t="str">
        <f>IF(AND($J496="x",AND(MAX(AR496:AT496)=AS496,AS496&lt;&gt;"")),Data!$BJ$2,"")</f>
        <v/>
      </c>
      <c r="AX496" s="197" t="str">
        <f>IF(AND($K496="x",AND(MAX(AR496:AT496)=AT496,AT496&lt;&gt;"")),Data!$BK$2,"")</f>
        <v/>
      </c>
      <c r="AY496" s="197"/>
      <c r="AZ496" s="328"/>
      <c r="BA496" s="453"/>
      <c r="BB496" s="454"/>
      <c r="BC496" s="441" t="str">
        <f t="shared" si="729"/>
        <v/>
      </c>
      <c r="BD496" s="328"/>
      <c r="BE496" s="197" t="str">
        <f>IF(AND($I496="x",AND(MAX(BA496:BC496)=BA496,BA496&lt;&gt;"")),Data!$BI$2,"")</f>
        <v/>
      </c>
      <c r="BF496" s="197" t="str">
        <f>IF(AND($J496="x",AND(MAX(BA496:BC496)=BB496,BB496&lt;&gt;"")),Data!$BJ$2,"")</f>
        <v/>
      </c>
      <c r="BG496" s="197" t="str">
        <f>IF(AND($K496="x",AND(MAX(BA496:BC496)=BC496,BC496&lt;&gt;"")),Data!$BK$2,"")</f>
        <v/>
      </c>
      <c r="BH496" s="197"/>
      <c r="BI496" s="328"/>
      <c r="BJ496" s="453"/>
      <c r="BK496" s="454"/>
      <c r="BL496" s="441" t="str">
        <f t="shared" si="730"/>
        <v/>
      </c>
      <c r="BM496" s="328"/>
      <c r="BN496" s="197" t="str">
        <f>IF(AND($I496="x",AND(MAX(BJ496:BL496)=BJ496,BJ496&lt;&gt;"")),Data!$BI$2,"")</f>
        <v/>
      </c>
      <c r="BO496" s="197" t="str">
        <f>IF(AND($J496="x",AND(MAX(BJ496:BL496)=BK496,BK496&lt;&gt;"")),Data!$BJ$2,"")</f>
        <v/>
      </c>
      <c r="BP496" s="197" t="str">
        <f>IF(AND($K496="x",AND(MAX(BJ496:BL496)=BL496,BL496&lt;&gt;"")),Data!$BK$2,"")</f>
        <v/>
      </c>
      <c r="BQ496" s="197"/>
      <c r="BR496" s="328"/>
      <c r="BS496" s="453"/>
      <c r="BT496" s="454"/>
      <c r="BU496" s="441" t="str">
        <f t="shared" si="731"/>
        <v/>
      </c>
      <c r="BV496" s="328"/>
      <c r="BW496" s="197" t="str">
        <f>IF(AND($I496="x",AND(MAX(BS496:BU496)=BS496,BS496&lt;&gt;"")),Data!$BI$2,"")</f>
        <v/>
      </c>
      <c r="BX496" s="197" t="str">
        <f>IF(AND($J496="x",AND(MAX(BS496:BU496)=BT496,BT496&lt;&gt;"")),Data!$BJ$2,"")</f>
        <v/>
      </c>
      <c r="BY496" s="197" t="str">
        <f>IF(AND($K496="x",AND(MAX(BS496:BU496)=BU496,BU496&lt;&gt;"")),Data!$BK$2,"")</f>
        <v/>
      </c>
      <c r="BZ496" s="197"/>
      <c r="CA496" s="328"/>
      <c r="CB496" s="460" t="str">
        <f t="shared" si="732"/>
        <v/>
      </c>
      <c r="CC496" s="461" t="str">
        <f t="shared" si="733"/>
        <v/>
      </c>
      <c r="CD496" s="462" t="str">
        <f t="shared" si="734"/>
        <v/>
      </c>
      <c r="CE496" s="328"/>
      <c r="CF496" s="197" t="str">
        <f>IF(AND($I496="x",AND(MAX(CB496:CD496)=CB496,CB496&lt;&gt;"")),Data!$BI$2,"")</f>
        <v/>
      </c>
      <c r="CG496" s="197" t="str">
        <f>IF(AND($J496="x",AND(MAX(CB496:CD496)=CC496,CC496&lt;&gt;"")),Data!$BJ$2,"")</f>
        <v/>
      </c>
      <c r="CH496" s="197" t="str">
        <f>IF(AND($K496="x",AND(MAX(CB496:CD496)=CD496,CD496&lt;&gt;"")),Data!$BK$2,"")</f>
        <v/>
      </c>
      <c r="CI496" s="197"/>
      <c r="CJ496" s="197"/>
      <c r="CK496" s="453"/>
      <c r="CL496" s="454"/>
      <c r="CM496" s="441" t="str">
        <f t="shared" si="735"/>
        <v/>
      </c>
      <c r="CN496" s="328"/>
      <c r="CO496" s="197" t="str">
        <f>IF(AND($I496="x",AND(MAX(CK496:CM496)=CK496,CK496&lt;&gt;"")),Data!$BI$2,"")</f>
        <v/>
      </c>
      <c r="CP496" s="197" t="str">
        <f>IF(AND($J496="x",AND(MAX(CK496:CM496)=CL496,CL496&lt;&gt;"")),Data!$BJ$2,"")</f>
        <v/>
      </c>
      <c r="CQ496" s="197" t="str">
        <f>IF(AND($K496="x",AND(MAX(CK496:CM496)=CM496,CM496&lt;&gt;"")),Data!$BK$2,"")</f>
        <v/>
      </c>
      <c r="CR496" s="197"/>
      <c r="CS496" s="197"/>
      <c r="CT496" s="328"/>
      <c r="CU496" s="255"/>
      <c r="CV496" s="209"/>
      <c r="CW496" s="227"/>
    </row>
    <row r="497" spans="1:101" x14ac:dyDescent="0.2">
      <c r="A497" s="227"/>
      <c r="B497" s="227"/>
      <c r="C497" s="168"/>
      <c r="D497" s="232"/>
      <c r="E497" s="136" t="s">
        <v>325</v>
      </c>
      <c r="F497" s="426"/>
      <c r="G497" s="432"/>
      <c r="H497" s="433"/>
      <c r="I497" s="349" t="str">
        <f t="shared" si="722"/>
        <v/>
      </c>
      <c r="J497" s="350" t="str">
        <f t="shared" si="723"/>
        <v/>
      </c>
      <c r="K497" s="351" t="str">
        <f t="shared" si="724"/>
        <v/>
      </c>
      <c r="L497" s="258"/>
      <c r="M497" s="332"/>
      <c r="N497" s="336"/>
      <c r="O497" s="200"/>
      <c r="P497" s="200"/>
      <c r="Q497" s="445"/>
      <c r="R497" s="446"/>
      <c r="S497" s="447" t="str">
        <f t="shared" si="725"/>
        <v/>
      </c>
      <c r="T497" s="328"/>
      <c r="U497" s="197" t="str">
        <f>IF(AND($I497="x",AND(MAX(Q497:S497)=Q497,Q497&gt;=0)),Data!$BI$2,"")</f>
        <v/>
      </c>
      <c r="V497" s="197" t="str">
        <f>IF(AND($J497="x",AND(MAX(Q497:S497)=R497,R497&gt;=0)),Data!$BJ$2,"")</f>
        <v/>
      </c>
      <c r="W497" s="197" t="str">
        <f>IF(AND($K497="x",AND(MAX(Q497:S497)=S497,S497&gt;=0)),Data!$BK$2,"")</f>
        <v/>
      </c>
      <c r="X497" s="197"/>
      <c r="Y497" s="328"/>
      <c r="Z497" s="455"/>
      <c r="AA497" s="456"/>
      <c r="AB497" s="447" t="str">
        <f t="shared" si="726"/>
        <v/>
      </c>
      <c r="AC497" s="328"/>
      <c r="AD497" s="197" t="str">
        <f>IF(AND($I497="x",AND(MAX(Z497:AB497)=Z497,Z497&lt;&gt;"")),Data!$BI$2,"")</f>
        <v/>
      </c>
      <c r="AE497" s="197" t="str">
        <f>IF(AND($J497="x",AND(MAX(Z497:AB497)=AA497,AA497&lt;&gt;"")),Data!$BJ$2,"")</f>
        <v/>
      </c>
      <c r="AF497" s="197" t="str">
        <f>IF(AND($K497="x",AND(MAX(Z497:AB497)=AB497,AB497&lt;&gt;"")),Data!$BK$2,"")</f>
        <v/>
      </c>
      <c r="AG497" s="197"/>
      <c r="AH497" s="328"/>
      <c r="AI497" s="455"/>
      <c r="AJ497" s="456"/>
      <c r="AK497" s="447" t="str">
        <f t="shared" si="727"/>
        <v/>
      </c>
      <c r="AL497" s="328"/>
      <c r="AM497" s="197" t="str">
        <f>IF(AND($I497="x",AND(MAX(AI497:AK497)=AI497,AI497&lt;&gt;"")),Data!$BI$2,"")</f>
        <v/>
      </c>
      <c r="AN497" s="197" t="str">
        <f>IF(AND($J497="x",AND(MAX(AI497:AK497)=AJ497,AJ497&lt;&gt;"")),Data!$BJ$2,"")</f>
        <v/>
      </c>
      <c r="AO497" s="197" t="str">
        <f>IF(AND($K497="x",AND(MAX(AI497:AK497)=AK497,AK497&lt;&gt;"")),Data!$BK$2,"")</f>
        <v/>
      </c>
      <c r="AP497" s="197"/>
      <c r="AQ497" s="328"/>
      <c r="AR497" s="455"/>
      <c r="AS497" s="456"/>
      <c r="AT497" s="447" t="str">
        <f t="shared" si="728"/>
        <v/>
      </c>
      <c r="AU497" s="328"/>
      <c r="AV497" s="197" t="str">
        <f>IF(AND($I497="x",AND(MAX(AR497:AT497)=AR497,AR497&lt;&gt;"")),Data!$BI$2,"")</f>
        <v/>
      </c>
      <c r="AW497" s="197" t="str">
        <f>IF(AND($J497="x",AND(MAX(AR497:AT497)=AS497,AS497&lt;&gt;"")),Data!$BJ$2,"")</f>
        <v/>
      </c>
      <c r="AX497" s="197" t="str">
        <f>IF(AND($K497="x",AND(MAX(AR497:AT497)=AT497,AT497&lt;&gt;"")),Data!$BK$2,"")</f>
        <v/>
      </c>
      <c r="AY497" s="197"/>
      <c r="AZ497" s="328"/>
      <c r="BA497" s="455"/>
      <c r="BB497" s="456"/>
      <c r="BC497" s="447" t="str">
        <f t="shared" si="729"/>
        <v/>
      </c>
      <c r="BD497" s="328"/>
      <c r="BE497" s="197" t="str">
        <f>IF(AND($I497="x",AND(MAX(BA497:BC497)=BA497,BA497&lt;&gt;"")),Data!$BI$2,"")</f>
        <v/>
      </c>
      <c r="BF497" s="197" t="str">
        <f>IF(AND($J497="x",AND(MAX(BA497:BC497)=BB497,BB497&lt;&gt;"")),Data!$BJ$2,"")</f>
        <v/>
      </c>
      <c r="BG497" s="197" t="str">
        <f>IF(AND($K497="x",AND(MAX(BA497:BC497)=BC497,BC497&lt;&gt;"")),Data!$BK$2,"")</f>
        <v/>
      </c>
      <c r="BH497" s="197"/>
      <c r="BI497" s="328"/>
      <c r="BJ497" s="455"/>
      <c r="BK497" s="456"/>
      <c r="BL497" s="447" t="str">
        <f t="shared" si="730"/>
        <v/>
      </c>
      <c r="BM497" s="328"/>
      <c r="BN497" s="197" t="str">
        <f>IF(AND($I497="x",AND(MAX(BJ497:BL497)=BJ497,BJ497&lt;&gt;"")),Data!$BI$2,"")</f>
        <v/>
      </c>
      <c r="BO497" s="197" t="str">
        <f>IF(AND($J497="x",AND(MAX(BJ497:BL497)=BK497,BK497&lt;&gt;"")),Data!$BJ$2,"")</f>
        <v/>
      </c>
      <c r="BP497" s="197" t="str">
        <f>IF(AND($K497="x",AND(MAX(BJ497:BL497)=BL497,BL497&lt;&gt;"")),Data!$BK$2,"")</f>
        <v/>
      </c>
      <c r="BQ497" s="197"/>
      <c r="BR497" s="328"/>
      <c r="BS497" s="455"/>
      <c r="BT497" s="456"/>
      <c r="BU497" s="447" t="str">
        <f t="shared" si="731"/>
        <v/>
      </c>
      <c r="BV497" s="328"/>
      <c r="BW497" s="197" t="str">
        <f>IF(AND($I497="x",AND(MAX(BS497:BU497)=BS497,BS497&lt;&gt;"")),Data!$BI$2,"")</f>
        <v/>
      </c>
      <c r="BX497" s="197" t="str">
        <f>IF(AND($J497="x",AND(MAX(BS497:BU497)=BT497,BT497&lt;&gt;"")),Data!$BJ$2,"")</f>
        <v/>
      </c>
      <c r="BY497" s="197" t="str">
        <f>IF(AND($K497="x",AND(MAX(BS497:BU497)=BU497,BU497&lt;&gt;"")),Data!$BK$2,"")</f>
        <v/>
      </c>
      <c r="BZ497" s="197"/>
      <c r="CA497" s="328"/>
      <c r="CB497" s="463" t="str">
        <f t="shared" si="732"/>
        <v/>
      </c>
      <c r="CC497" s="464" t="str">
        <f t="shared" si="733"/>
        <v/>
      </c>
      <c r="CD497" s="465" t="str">
        <f t="shared" si="734"/>
        <v/>
      </c>
      <c r="CE497" s="328"/>
      <c r="CF497" s="197" t="str">
        <f>IF(AND($I497="x",AND(MAX(CB497:CD497)=CB497,CB497&lt;&gt;"")),Data!$BI$2,"")</f>
        <v/>
      </c>
      <c r="CG497" s="197" t="str">
        <f>IF(AND($J497="x",AND(MAX(CB497:CD497)=CC497,CC497&lt;&gt;"")),Data!$BJ$2,"")</f>
        <v/>
      </c>
      <c r="CH497" s="197" t="str">
        <f>IF(AND($K497="x",AND(MAX(CB497:CD497)=CD497,CD497&lt;&gt;"")),Data!$BK$2,"")</f>
        <v/>
      </c>
      <c r="CI497" s="197"/>
      <c r="CJ497" s="197"/>
      <c r="CK497" s="455"/>
      <c r="CL497" s="456"/>
      <c r="CM497" s="447" t="str">
        <f t="shared" si="735"/>
        <v/>
      </c>
      <c r="CN497" s="328"/>
      <c r="CO497" s="197" t="str">
        <f>IF(AND($I497="x",AND(MAX(CK497:CM497)=CK497,CK497&lt;&gt;"")),Data!$BI$2,"")</f>
        <v/>
      </c>
      <c r="CP497" s="197" t="str">
        <f>IF(AND($J497="x",AND(MAX(CK497:CM497)=CL497,CL497&lt;&gt;"")),Data!$BJ$2,"")</f>
        <v/>
      </c>
      <c r="CQ497" s="197" t="str">
        <f>IF(AND($K497="x",AND(MAX(CK497:CM497)=CM497,CM497&lt;&gt;"")),Data!$BK$2,"")</f>
        <v/>
      </c>
      <c r="CR497" s="197"/>
      <c r="CS497" s="197"/>
      <c r="CT497" s="328"/>
      <c r="CU497" s="255"/>
      <c r="CV497" s="209"/>
      <c r="CW497" s="227"/>
    </row>
    <row r="498" spans="1:101" x14ac:dyDescent="0.2">
      <c r="A498" s="227"/>
      <c r="B498" s="227"/>
      <c r="C498" s="168"/>
      <c r="D498" s="232"/>
      <c r="E498" s="134" t="s">
        <v>326</v>
      </c>
      <c r="F498" s="424"/>
      <c r="G498" s="428"/>
      <c r="H498" s="429"/>
      <c r="I498" s="138" t="str">
        <f t="shared" si="722"/>
        <v/>
      </c>
      <c r="J498" s="344" t="str">
        <f t="shared" si="723"/>
        <v/>
      </c>
      <c r="K498" s="345" t="str">
        <f t="shared" si="724"/>
        <v/>
      </c>
      <c r="L498" s="258"/>
      <c r="M498" s="332"/>
      <c r="N498" s="336"/>
      <c r="O498" s="200"/>
      <c r="P498" s="200"/>
      <c r="Q498" s="436"/>
      <c r="R498" s="437"/>
      <c r="S498" s="438" t="str">
        <f t="shared" si="725"/>
        <v/>
      </c>
      <c r="T498" s="328"/>
      <c r="U498" s="197" t="str">
        <f>IF(AND($I498="x",AND(MAX(Q498:S498)=Q498,Q498&gt;=0)),Data!$BI$2,"")</f>
        <v/>
      </c>
      <c r="V498" s="197" t="str">
        <f>IF(AND($J498="x",AND(MAX(Q498:S498)=R498,R498&gt;=0)),Data!$BJ$2,"")</f>
        <v/>
      </c>
      <c r="W498" s="197" t="str">
        <f>IF(AND($K498="x",AND(MAX(Q498:S498)=S498,S498&gt;=0)),Data!$BK$2,"")</f>
        <v/>
      </c>
      <c r="X498" s="197"/>
      <c r="Y498" s="328"/>
      <c r="Z498" s="451"/>
      <c r="AA498" s="452"/>
      <c r="AB498" s="438" t="str">
        <f t="shared" si="726"/>
        <v/>
      </c>
      <c r="AC498" s="328"/>
      <c r="AD498" s="197" t="str">
        <f>IF(AND($I498="x",AND(MAX(Z498:AB498)=Z498,Z498&lt;&gt;"")),Data!$BI$2,"")</f>
        <v/>
      </c>
      <c r="AE498" s="197" t="str">
        <f>IF(AND($J498="x",AND(MAX(Z498:AB498)=AA498,AA498&lt;&gt;"")),Data!$BJ$2,"")</f>
        <v/>
      </c>
      <c r="AF498" s="197" t="str">
        <f>IF(AND($K498="x",AND(MAX(Z498:AB498)=AB498,AB498&lt;&gt;"")),Data!$BK$2,"")</f>
        <v/>
      </c>
      <c r="AG498" s="197"/>
      <c r="AH498" s="328"/>
      <c r="AI498" s="451"/>
      <c r="AJ498" s="452"/>
      <c r="AK498" s="438" t="str">
        <f t="shared" si="727"/>
        <v/>
      </c>
      <c r="AL498" s="328"/>
      <c r="AM498" s="197" t="str">
        <f>IF(AND($I498="x",AND(MAX(AI498:AK498)=AI498,AI498&lt;&gt;"")),Data!$BI$2,"")</f>
        <v/>
      </c>
      <c r="AN498" s="197" t="str">
        <f>IF(AND($J498="x",AND(MAX(AI498:AK498)=AJ498,AJ498&lt;&gt;"")),Data!$BJ$2,"")</f>
        <v/>
      </c>
      <c r="AO498" s="197" t="str">
        <f>IF(AND($K498="x",AND(MAX(AI498:AK498)=AK498,AK498&lt;&gt;"")),Data!$BK$2,"")</f>
        <v/>
      </c>
      <c r="AP498" s="197"/>
      <c r="AQ498" s="328"/>
      <c r="AR498" s="451"/>
      <c r="AS498" s="452"/>
      <c r="AT498" s="438" t="str">
        <f t="shared" si="728"/>
        <v/>
      </c>
      <c r="AU498" s="328"/>
      <c r="AV498" s="197" t="str">
        <f>IF(AND($I498="x",AND(MAX(AR498:AT498)=AR498,AR498&lt;&gt;"")),Data!$BI$2,"")</f>
        <v/>
      </c>
      <c r="AW498" s="197" t="str">
        <f>IF(AND($J498="x",AND(MAX(AR498:AT498)=AS498,AS498&lt;&gt;"")),Data!$BJ$2,"")</f>
        <v/>
      </c>
      <c r="AX498" s="197" t="str">
        <f>IF(AND($K498="x",AND(MAX(AR498:AT498)=AT498,AT498&lt;&gt;"")),Data!$BK$2,"")</f>
        <v/>
      </c>
      <c r="AY498" s="197"/>
      <c r="AZ498" s="328"/>
      <c r="BA498" s="451"/>
      <c r="BB498" s="452"/>
      <c r="BC498" s="438" t="str">
        <f t="shared" si="729"/>
        <v/>
      </c>
      <c r="BD498" s="328"/>
      <c r="BE498" s="197" t="str">
        <f>IF(AND($I498="x",AND(MAX(BA498:BC498)=BA498,BA498&lt;&gt;"")),Data!$BI$2,"")</f>
        <v/>
      </c>
      <c r="BF498" s="197" t="str">
        <f>IF(AND($J498="x",AND(MAX(BA498:BC498)=BB498,BB498&lt;&gt;"")),Data!$BJ$2,"")</f>
        <v/>
      </c>
      <c r="BG498" s="197" t="str">
        <f>IF(AND($K498="x",AND(MAX(BA498:BC498)=BC498,BC498&lt;&gt;"")),Data!$BK$2,"")</f>
        <v/>
      </c>
      <c r="BH498" s="197"/>
      <c r="BI498" s="328"/>
      <c r="BJ498" s="451"/>
      <c r="BK498" s="452"/>
      <c r="BL498" s="438" t="str">
        <f t="shared" si="730"/>
        <v/>
      </c>
      <c r="BM498" s="328"/>
      <c r="BN498" s="197" t="str">
        <f>IF(AND($I498="x",AND(MAX(BJ498:BL498)=BJ498,BJ498&lt;&gt;"")),Data!$BI$2,"")</f>
        <v/>
      </c>
      <c r="BO498" s="197" t="str">
        <f>IF(AND($J498="x",AND(MAX(BJ498:BL498)=BK498,BK498&lt;&gt;"")),Data!$BJ$2,"")</f>
        <v/>
      </c>
      <c r="BP498" s="197" t="str">
        <f>IF(AND($K498="x",AND(MAX(BJ498:BL498)=BL498,BL498&lt;&gt;"")),Data!$BK$2,"")</f>
        <v/>
      </c>
      <c r="BQ498" s="197"/>
      <c r="BR498" s="328"/>
      <c r="BS498" s="451"/>
      <c r="BT498" s="452"/>
      <c r="BU498" s="438" t="str">
        <f t="shared" si="731"/>
        <v/>
      </c>
      <c r="BV498" s="328"/>
      <c r="BW498" s="197" t="str">
        <f>IF(AND($I498="x",AND(MAX(BS498:BU498)=BS498,BS498&lt;&gt;"")),Data!$BI$2,"")</f>
        <v/>
      </c>
      <c r="BX498" s="197" t="str">
        <f>IF(AND($J498="x",AND(MAX(BS498:BU498)=BT498,BT498&lt;&gt;"")),Data!$BJ$2,"")</f>
        <v/>
      </c>
      <c r="BY498" s="197" t="str">
        <f>IF(AND($K498="x",AND(MAX(BS498:BU498)=BU498,BU498&lt;&gt;"")),Data!$BK$2,"")</f>
        <v/>
      </c>
      <c r="BZ498" s="197"/>
      <c r="CA498" s="328"/>
      <c r="CB498" s="457" t="str">
        <f t="shared" si="732"/>
        <v/>
      </c>
      <c r="CC498" s="458" t="str">
        <f t="shared" si="733"/>
        <v/>
      </c>
      <c r="CD498" s="459" t="str">
        <f t="shared" si="734"/>
        <v/>
      </c>
      <c r="CE498" s="328"/>
      <c r="CF498" s="197" t="str">
        <f>IF(AND($I498="x",AND(MAX(CB498:CD498)=CB498,CB498&lt;&gt;"")),Data!$BI$2,"")</f>
        <v/>
      </c>
      <c r="CG498" s="197" t="str">
        <f>IF(AND($J498="x",AND(MAX(CB498:CD498)=CC498,CC498&lt;&gt;"")),Data!$BJ$2,"")</f>
        <v/>
      </c>
      <c r="CH498" s="197" t="str">
        <f>IF(AND($K498="x",AND(MAX(CB498:CD498)=CD498,CD498&lt;&gt;"")),Data!$BK$2,"")</f>
        <v/>
      </c>
      <c r="CI498" s="197"/>
      <c r="CJ498" s="197"/>
      <c r="CK498" s="451"/>
      <c r="CL498" s="452"/>
      <c r="CM498" s="438" t="str">
        <f t="shared" si="735"/>
        <v/>
      </c>
      <c r="CN498" s="328"/>
      <c r="CO498" s="197" t="str">
        <f>IF(AND($I498="x",AND(MAX(CK498:CM498)=CK498,CK498&lt;&gt;"")),Data!$BI$2,"")</f>
        <v/>
      </c>
      <c r="CP498" s="197" t="str">
        <f>IF(AND($J498="x",AND(MAX(CK498:CM498)=CL498,CL498&lt;&gt;"")),Data!$BJ$2,"")</f>
        <v/>
      </c>
      <c r="CQ498" s="197" t="str">
        <f>IF(AND($K498="x",AND(MAX(CK498:CM498)=CM498,CM498&lt;&gt;"")),Data!$BK$2,"")</f>
        <v/>
      </c>
      <c r="CR498" s="197"/>
      <c r="CS498" s="197"/>
      <c r="CT498" s="328"/>
      <c r="CU498" s="259"/>
      <c r="CV498" s="209"/>
      <c r="CW498" s="227"/>
    </row>
    <row r="499" spans="1:101" x14ac:dyDescent="0.2">
      <c r="A499" s="227"/>
      <c r="B499" s="227"/>
      <c r="C499" s="168"/>
      <c r="D499" s="232"/>
      <c r="E499" s="135" t="s">
        <v>327</v>
      </c>
      <c r="F499" s="425"/>
      <c r="G499" s="430"/>
      <c r="H499" s="431"/>
      <c r="I499" s="346" t="str">
        <f t="shared" si="722"/>
        <v/>
      </c>
      <c r="J499" s="347" t="str">
        <f t="shared" si="723"/>
        <v/>
      </c>
      <c r="K499" s="348" t="str">
        <f t="shared" si="724"/>
        <v/>
      </c>
      <c r="L499" s="258"/>
      <c r="M499" s="332"/>
      <c r="N499" s="336"/>
      <c r="O499" s="200"/>
      <c r="P499" s="200"/>
      <c r="Q499" s="439"/>
      <c r="R499" s="440"/>
      <c r="S499" s="441" t="str">
        <f t="shared" si="725"/>
        <v/>
      </c>
      <c r="T499" s="328"/>
      <c r="U499" s="197" t="str">
        <f>IF(AND($I499="x",AND(MAX(Q499:S499)=Q499,Q499&gt;=0)),Data!$BI$2,"")</f>
        <v/>
      </c>
      <c r="V499" s="197" t="str">
        <f>IF(AND($J499="x",AND(MAX(Q499:S499)=R499,R499&gt;=0)),Data!$BJ$2,"")</f>
        <v/>
      </c>
      <c r="W499" s="197" t="str">
        <f>IF(AND($K499="x",AND(MAX(Q499:S499)=S499,S499&gt;=0)),Data!$BK$2,"")</f>
        <v/>
      </c>
      <c r="X499" s="197"/>
      <c r="Y499" s="328"/>
      <c r="Z499" s="453"/>
      <c r="AA499" s="454"/>
      <c r="AB499" s="441" t="str">
        <f t="shared" si="726"/>
        <v/>
      </c>
      <c r="AC499" s="328"/>
      <c r="AD499" s="197" t="str">
        <f>IF(AND($I499="x",AND(MAX(Z499:AB499)=Z499,Z499&lt;&gt;"")),Data!$BI$2,"")</f>
        <v/>
      </c>
      <c r="AE499" s="197" t="str">
        <f>IF(AND($J499="x",AND(MAX(Z499:AB499)=AA499,AA499&lt;&gt;"")),Data!$BJ$2,"")</f>
        <v/>
      </c>
      <c r="AF499" s="197" t="str">
        <f>IF(AND($K499="x",AND(MAX(Z499:AB499)=AB499,AB499&lt;&gt;"")),Data!$BK$2,"")</f>
        <v/>
      </c>
      <c r="AG499" s="197"/>
      <c r="AH499" s="328"/>
      <c r="AI499" s="453"/>
      <c r="AJ499" s="454"/>
      <c r="AK499" s="441" t="str">
        <f t="shared" si="727"/>
        <v/>
      </c>
      <c r="AL499" s="328"/>
      <c r="AM499" s="197" t="str">
        <f>IF(AND($I499="x",AND(MAX(AI499:AK499)=AI499,AI499&lt;&gt;"")),Data!$BI$2,"")</f>
        <v/>
      </c>
      <c r="AN499" s="197" t="str">
        <f>IF(AND($J499="x",AND(MAX(AI499:AK499)=AJ499,AJ499&lt;&gt;"")),Data!$BJ$2,"")</f>
        <v/>
      </c>
      <c r="AO499" s="197" t="str">
        <f>IF(AND($K499="x",AND(MAX(AI499:AK499)=AK499,AK499&lt;&gt;"")),Data!$BK$2,"")</f>
        <v/>
      </c>
      <c r="AP499" s="197"/>
      <c r="AQ499" s="328"/>
      <c r="AR499" s="453"/>
      <c r="AS499" s="454"/>
      <c r="AT499" s="441" t="str">
        <f t="shared" si="728"/>
        <v/>
      </c>
      <c r="AU499" s="328"/>
      <c r="AV499" s="197" t="str">
        <f>IF(AND($I499="x",AND(MAX(AR499:AT499)=AR499,AR499&lt;&gt;"")),Data!$BI$2,"")</f>
        <v/>
      </c>
      <c r="AW499" s="197" t="str">
        <f>IF(AND($J499="x",AND(MAX(AR499:AT499)=AS499,AS499&lt;&gt;"")),Data!$BJ$2,"")</f>
        <v/>
      </c>
      <c r="AX499" s="197" t="str">
        <f>IF(AND($K499="x",AND(MAX(AR499:AT499)=AT499,AT499&lt;&gt;"")),Data!$BK$2,"")</f>
        <v/>
      </c>
      <c r="AY499" s="197"/>
      <c r="AZ499" s="328"/>
      <c r="BA499" s="453"/>
      <c r="BB499" s="454"/>
      <c r="BC499" s="441" t="str">
        <f t="shared" si="729"/>
        <v/>
      </c>
      <c r="BD499" s="328"/>
      <c r="BE499" s="197" t="str">
        <f>IF(AND($I499="x",AND(MAX(BA499:BC499)=BA499,BA499&lt;&gt;"")),Data!$BI$2,"")</f>
        <v/>
      </c>
      <c r="BF499" s="197" t="str">
        <f>IF(AND($J499="x",AND(MAX(BA499:BC499)=BB499,BB499&lt;&gt;"")),Data!$BJ$2,"")</f>
        <v/>
      </c>
      <c r="BG499" s="197" t="str">
        <f>IF(AND($K499="x",AND(MAX(BA499:BC499)=BC499,BC499&lt;&gt;"")),Data!$BK$2,"")</f>
        <v/>
      </c>
      <c r="BH499" s="197"/>
      <c r="BI499" s="328"/>
      <c r="BJ499" s="453"/>
      <c r="BK499" s="454"/>
      <c r="BL499" s="441" t="str">
        <f t="shared" si="730"/>
        <v/>
      </c>
      <c r="BM499" s="328"/>
      <c r="BN499" s="197" t="str">
        <f>IF(AND($I499="x",AND(MAX(BJ499:BL499)=BJ499,BJ499&lt;&gt;"")),Data!$BI$2,"")</f>
        <v/>
      </c>
      <c r="BO499" s="197" t="str">
        <f>IF(AND($J499="x",AND(MAX(BJ499:BL499)=BK499,BK499&lt;&gt;"")),Data!$BJ$2,"")</f>
        <v/>
      </c>
      <c r="BP499" s="197" t="str">
        <f>IF(AND($K499="x",AND(MAX(BJ499:BL499)=BL499,BL499&lt;&gt;"")),Data!$BK$2,"")</f>
        <v/>
      </c>
      <c r="BQ499" s="197"/>
      <c r="BR499" s="328"/>
      <c r="BS499" s="453"/>
      <c r="BT499" s="454"/>
      <c r="BU499" s="441" t="str">
        <f t="shared" si="731"/>
        <v/>
      </c>
      <c r="BV499" s="328"/>
      <c r="BW499" s="197" t="str">
        <f>IF(AND($I499="x",AND(MAX(BS499:BU499)=BS499,BS499&lt;&gt;"")),Data!$BI$2,"")</f>
        <v/>
      </c>
      <c r="BX499" s="197" t="str">
        <f>IF(AND($J499="x",AND(MAX(BS499:BU499)=BT499,BT499&lt;&gt;"")),Data!$BJ$2,"")</f>
        <v/>
      </c>
      <c r="BY499" s="197" t="str">
        <f>IF(AND($K499="x",AND(MAX(BS499:BU499)=BU499,BU499&lt;&gt;"")),Data!$BK$2,"")</f>
        <v/>
      </c>
      <c r="BZ499" s="197"/>
      <c r="CA499" s="328"/>
      <c r="CB499" s="460" t="str">
        <f t="shared" si="732"/>
        <v/>
      </c>
      <c r="CC499" s="461" t="str">
        <f t="shared" si="733"/>
        <v/>
      </c>
      <c r="CD499" s="462" t="str">
        <f t="shared" si="734"/>
        <v/>
      </c>
      <c r="CE499" s="328"/>
      <c r="CF499" s="197" t="str">
        <f>IF(AND($I499="x",AND(MAX(CB499:CD499)=CB499,CB499&lt;&gt;"")),Data!$BI$2,"")</f>
        <v/>
      </c>
      <c r="CG499" s="197" t="str">
        <f>IF(AND($J499="x",AND(MAX(CB499:CD499)=CC499,CC499&lt;&gt;"")),Data!$BJ$2,"")</f>
        <v/>
      </c>
      <c r="CH499" s="197" t="str">
        <f>IF(AND($K499="x",AND(MAX(CB499:CD499)=CD499,CD499&lt;&gt;"")),Data!$BK$2,"")</f>
        <v/>
      </c>
      <c r="CI499" s="197"/>
      <c r="CJ499" s="197"/>
      <c r="CK499" s="453"/>
      <c r="CL499" s="454"/>
      <c r="CM499" s="441" t="str">
        <f t="shared" si="735"/>
        <v/>
      </c>
      <c r="CN499" s="328"/>
      <c r="CO499" s="197" t="str">
        <f>IF(AND($I499="x",AND(MAX(CK499:CM499)=CK499,CK499&lt;&gt;"")),Data!$BI$2,"")</f>
        <v/>
      </c>
      <c r="CP499" s="197" t="str">
        <f>IF(AND($J499="x",AND(MAX(CK499:CM499)=CL499,CL499&lt;&gt;"")),Data!$BJ$2,"")</f>
        <v/>
      </c>
      <c r="CQ499" s="197" t="str">
        <f>IF(AND($K499="x",AND(MAX(CK499:CM499)=CM499,CM499&lt;&gt;"")),Data!$BK$2,"")</f>
        <v/>
      </c>
      <c r="CR499" s="197"/>
      <c r="CS499" s="197"/>
      <c r="CT499" s="328"/>
      <c r="CU499" s="259"/>
      <c r="CV499" s="209"/>
      <c r="CW499" s="227"/>
    </row>
    <row r="500" spans="1:101" x14ac:dyDescent="0.2">
      <c r="A500" s="227"/>
      <c r="B500" s="227"/>
      <c r="C500" s="168"/>
      <c r="D500" s="232"/>
      <c r="E500" s="136" t="s">
        <v>328</v>
      </c>
      <c r="F500" s="426"/>
      <c r="G500" s="432"/>
      <c r="H500" s="433"/>
      <c r="I500" s="349" t="str">
        <f t="shared" si="722"/>
        <v/>
      </c>
      <c r="J500" s="350" t="str">
        <f t="shared" si="723"/>
        <v/>
      </c>
      <c r="K500" s="351" t="str">
        <f t="shared" si="724"/>
        <v/>
      </c>
      <c r="L500" s="258"/>
      <c r="M500" s="332"/>
      <c r="N500" s="336"/>
      <c r="O500" s="200"/>
      <c r="P500" s="200"/>
      <c r="Q500" s="445"/>
      <c r="R500" s="446"/>
      <c r="S500" s="447" t="str">
        <f t="shared" si="725"/>
        <v/>
      </c>
      <c r="T500" s="328"/>
      <c r="U500" s="197" t="str">
        <f>IF(AND($I500="x",AND(MAX(Q500:S500)=Q500,Q500&gt;=0)),Data!$BI$2,"")</f>
        <v/>
      </c>
      <c r="V500" s="197" t="str">
        <f>IF(AND($J500="x",AND(MAX(Q500:S500)=R500,R500&gt;=0)),Data!$BJ$2,"")</f>
        <v/>
      </c>
      <c r="W500" s="197" t="str">
        <f>IF(AND($K500="x",AND(MAX(Q500:S500)=S500,S500&gt;=0)),Data!$BK$2,"")</f>
        <v/>
      </c>
      <c r="X500" s="197"/>
      <c r="Y500" s="328"/>
      <c r="Z500" s="455"/>
      <c r="AA500" s="456"/>
      <c r="AB500" s="447" t="str">
        <f t="shared" si="726"/>
        <v/>
      </c>
      <c r="AC500" s="328"/>
      <c r="AD500" s="197" t="str">
        <f>IF(AND($I500="x",AND(MAX(Z500:AB500)=Z500,Z500&lt;&gt;"")),Data!$BI$2,"")</f>
        <v/>
      </c>
      <c r="AE500" s="197" t="str">
        <f>IF(AND($J500="x",AND(MAX(Z500:AB500)=AA500,AA500&lt;&gt;"")),Data!$BJ$2,"")</f>
        <v/>
      </c>
      <c r="AF500" s="197" t="str">
        <f>IF(AND($K500="x",AND(MAX(Z500:AB500)=AB500,AB500&lt;&gt;"")),Data!$BK$2,"")</f>
        <v/>
      </c>
      <c r="AG500" s="197"/>
      <c r="AH500" s="328"/>
      <c r="AI500" s="455"/>
      <c r="AJ500" s="456"/>
      <c r="AK500" s="447" t="str">
        <f t="shared" si="727"/>
        <v/>
      </c>
      <c r="AL500" s="328"/>
      <c r="AM500" s="197" t="str">
        <f>IF(AND($I500="x",AND(MAX(AI500:AK500)=AI500,AI500&lt;&gt;"")),Data!$BI$2,"")</f>
        <v/>
      </c>
      <c r="AN500" s="197" t="str">
        <f>IF(AND($J500="x",AND(MAX(AI500:AK500)=AJ500,AJ500&lt;&gt;"")),Data!$BJ$2,"")</f>
        <v/>
      </c>
      <c r="AO500" s="197" t="str">
        <f>IF(AND($K500="x",AND(MAX(AI500:AK500)=AK500,AK500&lt;&gt;"")),Data!$BK$2,"")</f>
        <v/>
      </c>
      <c r="AP500" s="197"/>
      <c r="AQ500" s="328"/>
      <c r="AR500" s="455"/>
      <c r="AS500" s="456"/>
      <c r="AT500" s="447" t="str">
        <f t="shared" si="728"/>
        <v/>
      </c>
      <c r="AU500" s="328"/>
      <c r="AV500" s="197" t="str">
        <f>IF(AND($I500="x",AND(MAX(AR500:AT500)=AR500,AR500&lt;&gt;"")),Data!$BI$2,"")</f>
        <v/>
      </c>
      <c r="AW500" s="197" t="str">
        <f>IF(AND($J500="x",AND(MAX(AR500:AT500)=AS500,AS500&lt;&gt;"")),Data!$BJ$2,"")</f>
        <v/>
      </c>
      <c r="AX500" s="197" t="str">
        <f>IF(AND($K500="x",AND(MAX(AR500:AT500)=AT500,AT500&lt;&gt;"")),Data!$BK$2,"")</f>
        <v/>
      </c>
      <c r="AY500" s="197"/>
      <c r="AZ500" s="328"/>
      <c r="BA500" s="455"/>
      <c r="BB500" s="456"/>
      <c r="BC500" s="447" t="str">
        <f t="shared" si="729"/>
        <v/>
      </c>
      <c r="BD500" s="328"/>
      <c r="BE500" s="197" t="str">
        <f>IF(AND($I500="x",AND(MAX(BA500:BC500)=BA500,BA500&lt;&gt;"")),Data!$BI$2,"")</f>
        <v/>
      </c>
      <c r="BF500" s="197" t="str">
        <f>IF(AND($J500="x",AND(MAX(BA500:BC500)=BB500,BB500&lt;&gt;"")),Data!$BJ$2,"")</f>
        <v/>
      </c>
      <c r="BG500" s="197" t="str">
        <f>IF(AND($K500="x",AND(MAX(BA500:BC500)=BC500,BC500&lt;&gt;"")),Data!$BK$2,"")</f>
        <v/>
      </c>
      <c r="BH500" s="197"/>
      <c r="BI500" s="328"/>
      <c r="BJ500" s="455"/>
      <c r="BK500" s="456"/>
      <c r="BL500" s="447" t="str">
        <f t="shared" si="730"/>
        <v/>
      </c>
      <c r="BM500" s="328"/>
      <c r="BN500" s="197" t="str">
        <f>IF(AND($I500="x",AND(MAX(BJ500:BL500)=BJ500,BJ500&lt;&gt;"")),Data!$BI$2,"")</f>
        <v/>
      </c>
      <c r="BO500" s="197" t="str">
        <f>IF(AND($J500="x",AND(MAX(BJ500:BL500)=BK500,BK500&lt;&gt;"")),Data!$BJ$2,"")</f>
        <v/>
      </c>
      <c r="BP500" s="197" t="str">
        <f>IF(AND($K500="x",AND(MAX(BJ500:BL500)=BL500,BL500&lt;&gt;"")),Data!$BK$2,"")</f>
        <v/>
      </c>
      <c r="BQ500" s="197"/>
      <c r="BR500" s="328"/>
      <c r="BS500" s="455"/>
      <c r="BT500" s="456"/>
      <c r="BU500" s="447" t="str">
        <f t="shared" si="731"/>
        <v/>
      </c>
      <c r="BV500" s="328"/>
      <c r="BW500" s="197" t="str">
        <f>IF(AND($I500="x",AND(MAX(BS500:BU500)=BS500,BS500&lt;&gt;"")),Data!$BI$2,"")</f>
        <v/>
      </c>
      <c r="BX500" s="197" t="str">
        <f>IF(AND($J500="x",AND(MAX(BS500:BU500)=BT500,BT500&lt;&gt;"")),Data!$BJ$2,"")</f>
        <v/>
      </c>
      <c r="BY500" s="197" t="str">
        <f>IF(AND($K500="x",AND(MAX(BS500:BU500)=BU500,BU500&lt;&gt;"")),Data!$BK$2,"")</f>
        <v/>
      </c>
      <c r="BZ500" s="197"/>
      <c r="CA500" s="328"/>
      <c r="CB500" s="463" t="str">
        <f t="shared" si="732"/>
        <v/>
      </c>
      <c r="CC500" s="464" t="str">
        <f t="shared" si="733"/>
        <v/>
      </c>
      <c r="CD500" s="465" t="str">
        <f t="shared" si="734"/>
        <v/>
      </c>
      <c r="CE500" s="328"/>
      <c r="CF500" s="197" t="str">
        <f>IF(AND($I500="x",AND(MAX(CB500:CD500)=CB500,CB500&lt;&gt;"")),Data!$BI$2,"")</f>
        <v/>
      </c>
      <c r="CG500" s="197" t="str">
        <f>IF(AND($J500="x",AND(MAX(CB500:CD500)=CC500,CC500&lt;&gt;"")),Data!$BJ$2,"")</f>
        <v/>
      </c>
      <c r="CH500" s="197" t="str">
        <f>IF(AND($K500="x",AND(MAX(CB500:CD500)=CD500,CD500&lt;&gt;"")),Data!$BK$2,"")</f>
        <v/>
      </c>
      <c r="CI500" s="197"/>
      <c r="CJ500" s="197"/>
      <c r="CK500" s="455"/>
      <c r="CL500" s="456"/>
      <c r="CM500" s="447" t="str">
        <f t="shared" si="735"/>
        <v/>
      </c>
      <c r="CN500" s="328"/>
      <c r="CO500" s="197" t="str">
        <f>IF(AND($I500="x",AND(MAX(CK500:CM500)=CK500,CK500&lt;&gt;"")),Data!$BI$2,"")</f>
        <v/>
      </c>
      <c r="CP500" s="197" t="str">
        <f>IF(AND($J500="x",AND(MAX(CK500:CM500)=CL500,CL500&lt;&gt;"")),Data!$BJ$2,"")</f>
        <v/>
      </c>
      <c r="CQ500" s="197" t="str">
        <f>IF(AND($K500="x",AND(MAX(CK500:CM500)=CM500,CM500&lt;&gt;"")),Data!$BK$2,"")</f>
        <v/>
      </c>
      <c r="CR500" s="197"/>
      <c r="CS500" s="197"/>
      <c r="CT500" s="328"/>
      <c r="CU500" s="259"/>
      <c r="CV500" s="209"/>
      <c r="CW500" s="227"/>
    </row>
    <row r="501" spans="1:101" x14ac:dyDescent="0.2">
      <c r="A501" s="227"/>
      <c r="B501" s="227"/>
      <c r="C501" s="168"/>
      <c r="D501" s="232"/>
      <c r="E501" s="137" t="s">
        <v>329</v>
      </c>
      <c r="F501" s="427"/>
      <c r="G501" s="434"/>
      <c r="H501" s="435"/>
      <c r="I501" s="138" t="str">
        <f t="shared" si="722"/>
        <v/>
      </c>
      <c r="J501" s="344" t="str">
        <f t="shared" si="723"/>
        <v/>
      </c>
      <c r="K501" s="345" t="str">
        <f t="shared" si="724"/>
        <v/>
      </c>
      <c r="L501" s="258"/>
      <c r="M501" s="332"/>
      <c r="N501" s="336"/>
      <c r="O501" s="200"/>
      <c r="P501" s="200"/>
      <c r="Q501" s="448"/>
      <c r="R501" s="449"/>
      <c r="S501" s="450" t="str">
        <f t="shared" si="725"/>
        <v/>
      </c>
      <c r="T501" s="328"/>
      <c r="U501" s="197" t="str">
        <f>IF(AND($I501="x",AND(MAX(Q501:S501)=Q501,Q501&gt;=0)),Data!$BI$2,"")</f>
        <v/>
      </c>
      <c r="V501" s="197" t="str">
        <f>IF(AND($J501="x",AND(MAX(Q501:S501)=R501,R501&gt;=0)),Data!$BJ$2,"")</f>
        <v/>
      </c>
      <c r="W501" s="197" t="str">
        <f>IF(AND($K501="x",AND(MAX(Q501:S501)=S501,S501&gt;=0)),Data!$BK$2,"")</f>
        <v/>
      </c>
      <c r="X501" s="197"/>
      <c r="Y501" s="328"/>
      <c r="Z501" s="451"/>
      <c r="AA501" s="452"/>
      <c r="AB501" s="450" t="str">
        <f t="shared" si="726"/>
        <v/>
      </c>
      <c r="AC501" s="328"/>
      <c r="AD501" s="197" t="str">
        <f>IF(AND($I501="x",AND(MAX(Z501:AB501)=Z501,Z501&lt;&gt;"")),Data!$BI$2,"")</f>
        <v/>
      </c>
      <c r="AE501" s="197" t="str">
        <f>IF(AND($J501="x",AND(MAX(Z501:AB501)=AA501,AA501&lt;&gt;"")),Data!$BJ$2,"")</f>
        <v/>
      </c>
      <c r="AF501" s="197" t="str">
        <f>IF(AND($K501="x",AND(MAX(Z501:AB501)=AB501,AB501&lt;&gt;"")),Data!$BK$2,"")</f>
        <v/>
      </c>
      <c r="AG501" s="197"/>
      <c r="AH501" s="328"/>
      <c r="AI501" s="451"/>
      <c r="AJ501" s="452"/>
      <c r="AK501" s="450" t="str">
        <f t="shared" si="727"/>
        <v/>
      </c>
      <c r="AL501" s="328"/>
      <c r="AM501" s="197" t="str">
        <f>IF(AND($I501="x",AND(MAX(AI501:AK501)=AI501,AI501&lt;&gt;"")),Data!$BI$2,"")</f>
        <v/>
      </c>
      <c r="AN501" s="197" t="str">
        <f>IF(AND($J501="x",AND(MAX(AI501:AK501)=AJ501,AJ501&lt;&gt;"")),Data!$BJ$2,"")</f>
        <v/>
      </c>
      <c r="AO501" s="197" t="str">
        <f>IF(AND($K501="x",AND(MAX(AI501:AK501)=AK501,AK501&lt;&gt;"")),Data!$BK$2,"")</f>
        <v/>
      </c>
      <c r="AP501" s="197"/>
      <c r="AQ501" s="328"/>
      <c r="AR501" s="451"/>
      <c r="AS501" s="452"/>
      <c r="AT501" s="450" t="str">
        <f t="shared" si="728"/>
        <v/>
      </c>
      <c r="AU501" s="328"/>
      <c r="AV501" s="197" t="str">
        <f>IF(AND($I501="x",AND(MAX(AR501:AT501)=AR501,AR501&lt;&gt;"")),Data!$BI$2,"")</f>
        <v/>
      </c>
      <c r="AW501" s="197" t="str">
        <f>IF(AND($J501="x",AND(MAX(AR501:AT501)=AS501,AS501&lt;&gt;"")),Data!$BJ$2,"")</f>
        <v/>
      </c>
      <c r="AX501" s="197" t="str">
        <f>IF(AND($K501="x",AND(MAX(AR501:AT501)=AT501,AT501&lt;&gt;"")),Data!$BK$2,"")</f>
        <v/>
      </c>
      <c r="AY501" s="197"/>
      <c r="AZ501" s="328"/>
      <c r="BA501" s="451"/>
      <c r="BB501" s="452"/>
      <c r="BC501" s="450" t="str">
        <f t="shared" si="729"/>
        <v/>
      </c>
      <c r="BD501" s="328"/>
      <c r="BE501" s="197" t="str">
        <f>IF(AND($I501="x",AND(MAX(BA501:BC501)=BA501,BA501&lt;&gt;"")),Data!$BI$2,"")</f>
        <v/>
      </c>
      <c r="BF501" s="197" t="str">
        <f>IF(AND($J501="x",AND(MAX(BA501:BC501)=BB501,BB501&lt;&gt;"")),Data!$BJ$2,"")</f>
        <v/>
      </c>
      <c r="BG501" s="197" t="str">
        <f>IF(AND($K501="x",AND(MAX(BA501:BC501)=BC501,BC501&lt;&gt;"")),Data!$BK$2,"")</f>
        <v/>
      </c>
      <c r="BH501" s="197"/>
      <c r="BI501" s="328"/>
      <c r="BJ501" s="451"/>
      <c r="BK501" s="452"/>
      <c r="BL501" s="450" t="str">
        <f t="shared" si="730"/>
        <v/>
      </c>
      <c r="BM501" s="328"/>
      <c r="BN501" s="197" t="str">
        <f>IF(AND($I501="x",AND(MAX(BJ501:BL501)=BJ501,BJ501&lt;&gt;"")),Data!$BI$2,"")</f>
        <v/>
      </c>
      <c r="BO501" s="197" t="str">
        <f>IF(AND($J501="x",AND(MAX(BJ501:BL501)=BK501,BK501&lt;&gt;"")),Data!$BJ$2,"")</f>
        <v/>
      </c>
      <c r="BP501" s="197" t="str">
        <f>IF(AND($K501="x",AND(MAX(BJ501:BL501)=BL501,BL501&lt;&gt;"")),Data!$BK$2,"")</f>
        <v/>
      </c>
      <c r="BQ501" s="197"/>
      <c r="BR501" s="328"/>
      <c r="BS501" s="451"/>
      <c r="BT501" s="452"/>
      <c r="BU501" s="450" t="str">
        <f t="shared" si="731"/>
        <v/>
      </c>
      <c r="BV501" s="328"/>
      <c r="BW501" s="197" t="str">
        <f>IF(AND($I501="x",AND(MAX(BS501:BU501)=BS501,BS501&lt;&gt;"")),Data!$BI$2,"")</f>
        <v/>
      </c>
      <c r="BX501" s="197" t="str">
        <f>IF(AND($J501="x",AND(MAX(BS501:BU501)=BT501,BT501&lt;&gt;"")),Data!$BJ$2,"")</f>
        <v/>
      </c>
      <c r="BY501" s="197" t="str">
        <f>IF(AND($K501="x",AND(MAX(BS501:BU501)=BU501,BU501&lt;&gt;"")),Data!$BK$2,"")</f>
        <v/>
      </c>
      <c r="BZ501" s="197"/>
      <c r="CA501" s="328"/>
      <c r="CB501" s="457" t="str">
        <f t="shared" si="732"/>
        <v/>
      </c>
      <c r="CC501" s="458" t="str">
        <f t="shared" si="733"/>
        <v/>
      </c>
      <c r="CD501" s="459" t="str">
        <f t="shared" si="734"/>
        <v/>
      </c>
      <c r="CE501" s="328"/>
      <c r="CF501" s="197" t="str">
        <f>IF(AND($I501="x",AND(MAX(CB501:CD501)=CB501,CB501&lt;&gt;"")),Data!$BI$2,"")</f>
        <v/>
      </c>
      <c r="CG501" s="197" t="str">
        <f>IF(AND($J501="x",AND(MAX(CB501:CD501)=CC501,CC501&lt;&gt;"")),Data!$BJ$2,"")</f>
        <v/>
      </c>
      <c r="CH501" s="197" t="str">
        <f>IF(AND($K501="x",AND(MAX(CB501:CD501)=CD501,CD501&lt;&gt;"")),Data!$BK$2,"")</f>
        <v/>
      </c>
      <c r="CI501" s="197"/>
      <c r="CJ501" s="197"/>
      <c r="CK501" s="451"/>
      <c r="CL501" s="452"/>
      <c r="CM501" s="450" t="str">
        <f t="shared" si="735"/>
        <v/>
      </c>
      <c r="CN501" s="328"/>
      <c r="CO501" s="197" t="str">
        <f>IF(AND($I501="x",AND(MAX(CK501:CM501)=CK501,CK501&lt;&gt;"")),Data!$BI$2,"")</f>
        <v/>
      </c>
      <c r="CP501" s="197" t="str">
        <f>IF(AND($J501="x",AND(MAX(CK501:CM501)=CL501,CL501&lt;&gt;"")),Data!$BJ$2,"")</f>
        <v/>
      </c>
      <c r="CQ501" s="197" t="str">
        <f>IF(AND($K501="x",AND(MAX(CK501:CM501)=CM501,CM501&lt;&gt;"")),Data!$BK$2,"")</f>
        <v/>
      </c>
      <c r="CR501" s="197"/>
      <c r="CS501" s="197"/>
      <c r="CT501" s="328"/>
      <c r="CU501" s="259"/>
      <c r="CV501" s="209"/>
      <c r="CW501" s="227"/>
    </row>
    <row r="502" spans="1:101" x14ac:dyDescent="0.2">
      <c r="A502" s="227"/>
      <c r="B502" s="227"/>
      <c r="C502" s="168"/>
      <c r="D502" s="232"/>
      <c r="E502" s="135" t="s">
        <v>330</v>
      </c>
      <c r="F502" s="425"/>
      <c r="G502" s="430"/>
      <c r="H502" s="431"/>
      <c r="I502" s="346" t="str">
        <f t="shared" si="722"/>
        <v/>
      </c>
      <c r="J502" s="347" t="str">
        <f t="shared" si="723"/>
        <v/>
      </c>
      <c r="K502" s="348" t="str">
        <f t="shared" si="724"/>
        <v/>
      </c>
      <c r="L502" s="258"/>
      <c r="M502" s="332"/>
      <c r="N502" s="336"/>
      <c r="O502" s="200"/>
      <c r="P502" s="200"/>
      <c r="Q502" s="439"/>
      <c r="R502" s="440"/>
      <c r="S502" s="441" t="str">
        <f t="shared" si="725"/>
        <v/>
      </c>
      <c r="T502" s="328"/>
      <c r="U502" s="197" t="str">
        <f>IF(AND($I502="x",AND(MAX(Q502:S502)=Q502,Q502&gt;=0)),Data!$BI$2,"")</f>
        <v/>
      </c>
      <c r="V502" s="197" t="str">
        <f>IF(AND($J502="x",AND(MAX(Q502:S502)=R502,R502&gt;=0)),Data!$BJ$2,"")</f>
        <v/>
      </c>
      <c r="W502" s="197" t="str">
        <f>IF(AND($K502="x",AND(MAX(Q502:S502)=S502,S502&gt;=0)),Data!$BK$2,"")</f>
        <v/>
      </c>
      <c r="X502" s="197"/>
      <c r="Y502" s="328"/>
      <c r="Z502" s="453"/>
      <c r="AA502" s="454"/>
      <c r="AB502" s="441" t="str">
        <f t="shared" si="726"/>
        <v/>
      </c>
      <c r="AC502" s="328"/>
      <c r="AD502" s="197" t="str">
        <f>IF(AND($I502="x",AND(MAX(Z502:AB502)=Z502,Z502&lt;&gt;"")),Data!$BI$2,"")</f>
        <v/>
      </c>
      <c r="AE502" s="197" t="str">
        <f>IF(AND($J502="x",AND(MAX(Z502:AB502)=AA502,AA502&lt;&gt;"")),Data!$BJ$2,"")</f>
        <v/>
      </c>
      <c r="AF502" s="197" t="str">
        <f>IF(AND($K502="x",AND(MAX(Z502:AB502)=AB502,AB502&lt;&gt;"")),Data!$BK$2,"")</f>
        <v/>
      </c>
      <c r="AG502" s="197"/>
      <c r="AH502" s="328"/>
      <c r="AI502" s="453"/>
      <c r="AJ502" s="454"/>
      <c r="AK502" s="441" t="str">
        <f t="shared" si="727"/>
        <v/>
      </c>
      <c r="AL502" s="328"/>
      <c r="AM502" s="197" t="str">
        <f>IF(AND($I502="x",AND(MAX(AI502:AK502)=AI502,AI502&lt;&gt;"")),Data!$BI$2,"")</f>
        <v/>
      </c>
      <c r="AN502" s="197" t="str">
        <f>IF(AND($J502="x",AND(MAX(AI502:AK502)=AJ502,AJ502&lt;&gt;"")),Data!$BJ$2,"")</f>
        <v/>
      </c>
      <c r="AO502" s="197" t="str">
        <f>IF(AND($K502="x",AND(MAX(AI502:AK502)=AK502,AK502&lt;&gt;"")),Data!$BK$2,"")</f>
        <v/>
      </c>
      <c r="AP502" s="197"/>
      <c r="AQ502" s="328"/>
      <c r="AR502" s="453"/>
      <c r="AS502" s="454"/>
      <c r="AT502" s="441" t="str">
        <f t="shared" si="728"/>
        <v/>
      </c>
      <c r="AU502" s="328"/>
      <c r="AV502" s="197" t="str">
        <f>IF(AND($I502="x",AND(MAX(AR502:AT502)=AR502,AR502&lt;&gt;"")),Data!$BI$2,"")</f>
        <v/>
      </c>
      <c r="AW502" s="197" t="str">
        <f>IF(AND($J502="x",AND(MAX(AR502:AT502)=AS502,AS502&lt;&gt;"")),Data!$BJ$2,"")</f>
        <v/>
      </c>
      <c r="AX502" s="197" t="str">
        <f>IF(AND($K502="x",AND(MAX(AR502:AT502)=AT502,AT502&lt;&gt;"")),Data!$BK$2,"")</f>
        <v/>
      </c>
      <c r="AY502" s="197"/>
      <c r="AZ502" s="328"/>
      <c r="BA502" s="453"/>
      <c r="BB502" s="454"/>
      <c r="BC502" s="441" t="str">
        <f t="shared" si="729"/>
        <v/>
      </c>
      <c r="BD502" s="328"/>
      <c r="BE502" s="197" t="str">
        <f>IF(AND($I502="x",AND(MAX(BA502:BC502)=BA502,BA502&lt;&gt;"")),Data!$BI$2,"")</f>
        <v/>
      </c>
      <c r="BF502" s="197" t="str">
        <f>IF(AND($J502="x",AND(MAX(BA502:BC502)=BB502,BB502&lt;&gt;"")),Data!$BJ$2,"")</f>
        <v/>
      </c>
      <c r="BG502" s="197" t="str">
        <f>IF(AND($K502="x",AND(MAX(BA502:BC502)=BC502,BC502&lt;&gt;"")),Data!$BK$2,"")</f>
        <v/>
      </c>
      <c r="BH502" s="197"/>
      <c r="BI502" s="328"/>
      <c r="BJ502" s="453"/>
      <c r="BK502" s="454"/>
      <c r="BL502" s="441" t="str">
        <f t="shared" si="730"/>
        <v/>
      </c>
      <c r="BM502" s="328"/>
      <c r="BN502" s="197" t="str">
        <f>IF(AND($I502="x",AND(MAX(BJ502:BL502)=BJ502,BJ502&lt;&gt;"")),Data!$BI$2,"")</f>
        <v/>
      </c>
      <c r="BO502" s="197" t="str">
        <f>IF(AND($J502="x",AND(MAX(BJ502:BL502)=BK502,BK502&lt;&gt;"")),Data!$BJ$2,"")</f>
        <v/>
      </c>
      <c r="BP502" s="197" t="str">
        <f>IF(AND($K502="x",AND(MAX(BJ502:BL502)=BL502,BL502&lt;&gt;"")),Data!$BK$2,"")</f>
        <v/>
      </c>
      <c r="BQ502" s="197"/>
      <c r="BR502" s="328"/>
      <c r="BS502" s="453"/>
      <c r="BT502" s="454"/>
      <c r="BU502" s="441" t="str">
        <f t="shared" si="731"/>
        <v/>
      </c>
      <c r="BV502" s="328"/>
      <c r="BW502" s="197" t="str">
        <f>IF(AND($I502="x",AND(MAX(BS502:BU502)=BS502,BS502&lt;&gt;"")),Data!$BI$2,"")</f>
        <v/>
      </c>
      <c r="BX502" s="197" t="str">
        <f>IF(AND($J502="x",AND(MAX(BS502:BU502)=BT502,BT502&lt;&gt;"")),Data!$BJ$2,"")</f>
        <v/>
      </c>
      <c r="BY502" s="197" t="str">
        <f>IF(AND($K502="x",AND(MAX(BS502:BU502)=BU502,BU502&lt;&gt;"")),Data!$BK$2,"")</f>
        <v/>
      </c>
      <c r="BZ502" s="197"/>
      <c r="CA502" s="328"/>
      <c r="CB502" s="460" t="str">
        <f t="shared" si="732"/>
        <v/>
      </c>
      <c r="CC502" s="461" t="str">
        <f t="shared" si="733"/>
        <v/>
      </c>
      <c r="CD502" s="462" t="str">
        <f t="shared" si="734"/>
        <v/>
      </c>
      <c r="CE502" s="328"/>
      <c r="CF502" s="197" t="str">
        <f>IF(AND($I502="x",AND(MAX(CB502:CD502)=CB502,CB502&lt;&gt;"")),Data!$BI$2,"")</f>
        <v/>
      </c>
      <c r="CG502" s="197" t="str">
        <f>IF(AND($J502="x",AND(MAX(CB502:CD502)=CC502,CC502&lt;&gt;"")),Data!$BJ$2,"")</f>
        <v/>
      </c>
      <c r="CH502" s="197" t="str">
        <f>IF(AND($K502="x",AND(MAX(CB502:CD502)=CD502,CD502&lt;&gt;"")),Data!$BK$2,"")</f>
        <v/>
      </c>
      <c r="CI502" s="197"/>
      <c r="CJ502" s="197"/>
      <c r="CK502" s="453"/>
      <c r="CL502" s="454"/>
      <c r="CM502" s="441" t="str">
        <f t="shared" si="735"/>
        <v/>
      </c>
      <c r="CN502" s="328"/>
      <c r="CO502" s="197" t="str">
        <f>IF(AND($I502="x",AND(MAX(CK502:CM502)=CK502,CK502&lt;&gt;"")),Data!$BI$2,"")</f>
        <v/>
      </c>
      <c r="CP502" s="197" t="str">
        <f>IF(AND($J502="x",AND(MAX(CK502:CM502)=CL502,CL502&lt;&gt;"")),Data!$BJ$2,"")</f>
        <v/>
      </c>
      <c r="CQ502" s="197" t="str">
        <f>IF(AND($K502="x",AND(MAX(CK502:CM502)=CM502,CM502&lt;&gt;"")),Data!$BK$2,"")</f>
        <v/>
      </c>
      <c r="CR502" s="197"/>
      <c r="CS502" s="197"/>
      <c r="CT502" s="328"/>
      <c r="CU502" s="259"/>
      <c r="CV502" s="209"/>
      <c r="CW502" s="227"/>
    </row>
    <row r="503" spans="1:101" x14ac:dyDescent="0.2">
      <c r="A503" s="227"/>
      <c r="B503" s="227"/>
      <c r="C503" s="168"/>
      <c r="D503" s="232"/>
      <c r="E503" s="136" t="s">
        <v>331</v>
      </c>
      <c r="F503" s="426"/>
      <c r="G503" s="432"/>
      <c r="H503" s="433"/>
      <c r="I503" s="349" t="str">
        <f t="shared" si="722"/>
        <v/>
      </c>
      <c r="J503" s="350" t="str">
        <f t="shared" si="723"/>
        <v/>
      </c>
      <c r="K503" s="351" t="str">
        <f t="shared" si="724"/>
        <v/>
      </c>
      <c r="L503" s="258"/>
      <c r="M503" s="332"/>
      <c r="N503" s="336"/>
      <c r="O503" s="200"/>
      <c r="P503" s="200"/>
      <c r="Q503" s="445"/>
      <c r="R503" s="446"/>
      <c r="S503" s="447" t="str">
        <f t="shared" si="725"/>
        <v/>
      </c>
      <c r="T503" s="328"/>
      <c r="U503" s="197" t="str">
        <f>IF(AND($I503="x",AND(MAX(Q503:S503)=Q503,Q503&gt;=0)),Data!$BI$2,"")</f>
        <v/>
      </c>
      <c r="V503" s="197" t="str">
        <f>IF(AND($J503="x",AND(MAX(Q503:S503)=R503,R503&gt;=0)),Data!$BJ$2,"")</f>
        <v/>
      </c>
      <c r="W503" s="197" t="str">
        <f>IF(AND($K503="x",AND(MAX(Q503:S503)=S503,S503&gt;=0)),Data!$BK$2,"")</f>
        <v/>
      </c>
      <c r="X503" s="197"/>
      <c r="Y503" s="328"/>
      <c r="Z503" s="455"/>
      <c r="AA503" s="456"/>
      <c r="AB503" s="447" t="str">
        <f t="shared" si="726"/>
        <v/>
      </c>
      <c r="AC503" s="328"/>
      <c r="AD503" s="197" t="str">
        <f>IF(AND($I503="x",AND(MAX(Z503:AB503)=Z503,Z503&lt;&gt;"")),Data!$BI$2,"")</f>
        <v/>
      </c>
      <c r="AE503" s="197" t="str">
        <f>IF(AND($J503="x",AND(MAX(Z503:AB503)=AA503,AA503&lt;&gt;"")),Data!$BJ$2,"")</f>
        <v/>
      </c>
      <c r="AF503" s="197" t="str">
        <f>IF(AND($K503="x",AND(MAX(Z503:AB503)=AB503,AB503&lt;&gt;"")),Data!$BK$2,"")</f>
        <v/>
      </c>
      <c r="AG503" s="197"/>
      <c r="AH503" s="328"/>
      <c r="AI503" s="455"/>
      <c r="AJ503" s="456"/>
      <c r="AK503" s="447" t="str">
        <f t="shared" si="727"/>
        <v/>
      </c>
      <c r="AL503" s="328"/>
      <c r="AM503" s="197" t="str">
        <f>IF(AND($I503="x",AND(MAX(AI503:AK503)=AI503,AI503&lt;&gt;"")),Data!$BI$2,"")</f>
        <v/>
      </c>
      <c r="AN503" s="197" t="str">
        <f>IF(AND($J503="x",AND(MAX(AI503:AK503)=AJ503,AJ503&lt;&gt;"")),Data!$BJ$2,"")</f>
        <v/>
      </c>
      <c r="AO503" s="197" t="str">
        <f>IF(AND($K503="x",AND(MAX(AI503:AK503)=AK503,AK503&lt;&gt;"")),Data!$BK$2,"")</f>
        <v/>
      </c>
      <c r="AP503" s="197"/>
      <c r="AQ503" s="328"/>
      <c r="AR503" s="455"/>
      <c r="AS503" s="456"/>
      <c r="AT503" s="447" t="str">
        <f t="shared" si="728"/>
        <v/>
      </c>
      <c r="AU503" s="328"/>
      <c r="AV503" s="197" t="str">
        <f>IF(AND($I503="x",AND(MAX(AR503:AT503)=AR503,AR503&lt;&gt;"")),Data!$BI$2,"")</f>
        <v/>
      </c>
      <c r="AW503" s="197" t="str">
        <f>IF(AND($J503="x",AND(MAX(AR503:AT503)=AS503,AS503&lt;&gt;"")),Data!$BJ$2,"")</f>
        <v/>
      </c>
      <c r="AX503" s="197" t="str">
        <f>IF(AND($K503="x",AND(MAX(AR503:AT503)=AT503,AT503&lt;&gt;"")),Data!$BK$2,"")</f>
        <v/>
      </c>
      <c r="AY503" s="197"/>
      <c r="AZ503" s="328"/>
      <c r="BA503" s="455"/>
      <c r="BB503" s="456"/>
      <c r="BC503" s="447" t="str">
        <f t="shared" si="729"/>
        <v/>
      </c>
      <c r="BD503" s="328"/>
      <c r="BE503" s="197" t="str">
        <f>IF(AND($I503="x",AND(MAX(BA503:BC503)=BA503,BA503&lt;&gt;"")),Data!$BI$2,"")</f>
        <v/>
      </c>
      <c r="BF503" s="197" t="str">
        <f>IF(AND($J503="x",AND(MAX(BA503:BC503)=BB503,BB503&lt;&gt;"")),Data!$BJ$2,"")</f>
        <v/>
      </c>
      <c r="BG503" s="197" t="str">
        <f>IF(AND($K503="x",AND(MAX(BA503:BC503)=BC503,BC503&lt;&gt;"")),Data!$BK$2,"")</f>
        <v/>
      </c>
      <c r="BH503" s="197"/>
      <c r="BI503" s="328"/>
      <c r="BJ503" s="455"/>
      <c r="BK503" s="456"/>
      <c r="BL503" s="447" t="str">
        <f t="shared" si="730"/>
        <v/>
      </c>
      <c r="BM503" s="328"/>
      <c r="BN503" s="197" t="str">
        <f>IF(AND($I503="x",AND(MAX(BJ503:BL503)=BJ503,BJ503&lt;&gt;"")),Data!$BI$2,"")</f>
        <v/>
      </c>
      <c r="BO503" s="197" t="str">
        <f>IF(AND($J503="x",AND(MAX(BJ503:BL503)=BK503,BK503&lt;&gt;"")),Data!$BJ$2,"")</f>
        <v/>
      </c>
      <c r="BP503" s="197" t="str">
        <f>IF(AND($K503="x",AND(MAX(BJ503:BL503)=BL503,BL503&lt;&gt;"")),Data!$BK$2,"")</f>
        <v/>
      </c>
      <c r="BQ503" s="197"/>
      <c r="BR503" s="328"/>
      <c r="BS503" s="455"/>
      <c r="BT503" s="456"/>
      <c r="BU503" s="447" t="str">
        <f t="shared" si="731"/>
        <v/>
      </c>
      <c r="BV503" s="328"/>
      <c r="BW503" s="197" t="str">
        <f>IF(AND($I503="x",AND(MAX(BS503:BU503)=BS503,BS503&lt;&gt;"")),Data!$BI$2,"")</f>
        <v/>
      </c>
      <c r="BX503" s="197" t="str">
        <f>IF(AND($J503="x",AND(MAX(BS503:BU503)=BT503,BT503&lt;&gt;"")),Data!$BJ$2,"")</f>
        <v/>
      </c>
      <c r="BY503" s="197" t="str">
        <f>IF(AND($K503="x",AND(MAX(BS503:BU503)=BU503,BU503&lt;&gt;"")),Data!$BK$2,"")</f>
        <v/>
      </c>
      <c r="BZ503" s="197"/>
      <c r="CA503" s="328"/>
      <c r="CB503" s="463" t="str">
        <f t="shared" si="732"/>
        <v/>
      </c>
      <c r="CC503" s="464" t="str">
        <f t="shared" si="733"/>
        <v/>
      </c>
      <c r="CD503" s="465" t="str">
        <f t="shared" si="734"/>
        <v/>
      </c>
      <c r="CE503" s="328"/>
      <c r="CF503" s="197" t="str">
        <f>IF(AND($I503="x",AND(MAX(CB503:CD503)=CB503,CB503&lt;&gt;"")),Data!$BI$2,"")</f>
        <v/>
      </c>
      <c r="CG503" s="197" t="str">
        <f>IF(AND($J503="x",AND(MAX(CB503:CD503)=CC503,CC503&lt;&gt;"")),Data!$BJ$2,"")</f>
        <v/>
      </c>
      <c r="CH503" s="197" t="str">
        <f>IF(AND($K503="x",AND(MAX(CB503:CD503)=CD503,CD503&lt;&gt;"")),Data!$BK$2,"")</f>
        <v/>
      </c>
      <c r="CI503" s="197"/>
      <c r="CJ503" s="197"/>
      <c r="CK503" s="455"/>
      <c r="CL503" s="456"/>
      <c r="CM503" s="447" t="str">
        <f t="shared" si="735"/>
        <v/>
      </c>
      <c r="CN503" s="328"/>
      <c r="CO503" s="197" t="str">
        <f>IF(AND($I503="x",AND(MAX(CK503:CM503)=CK503,CK503&lt;&gt;"")),Data!$BI$2,"")</f>
        <v/>
      </c>
      <c r="CP503" s="197" t="str">
        <f>IF(AND($J503="x",AND(MAX(CK503:CM503)=CL503,CL503&lt;&gt;"")),Data!$BJ$2,"")</f>
        <v/>
      </c>
      <c r="CQ503" s="197" t="str">
        <f>IF(AND($K503="x",AND(MAX(CK503:CM503)=CM503,CM503&lt;&gt;"")),Data!$BK$2,"")</f>
        <v/>
      </c>
      <c r="CR503" s="197"/>
      <c r="CS503" s="197"/>
      <c r="CT503" s="328"/>
      <c r="CU503" s="259"/>
      <c r="CV503" s="209"/>
      <c r="CW503" s="227"/>
    </row>
    <row r="504" spans="1:101" x14ac:dyDescent="0.2">
      <c r="A504" s="227"/>
      <c r="B504" s="227"/>
      <c r="C504" s="168"/>
      <c r="D504" s="233"/>
      <c r="E504" s="199"/>
      <c r="F504" s="352" t="str">
        <f>IF(SUM(F492:F503)=0,"",SUM(F492:F503))</f>
        <v/>
      </c>
      <c r="G504" s="327" t="s">
        <v>51</v>
      </c>
      <c r="H504" s="353" t="str">
        <f>IF(SUM(H492:H503)=0,"",SUM(H492:H503))</f>
        <v/>
      </c>
      <c r="I504" s="354" t="str">
        <f>IF(COUNTIF(I492:I503,"=x")=0,"",COUNTIF(I492:I503,"=x"))</f>
        <v/>
      </c>
      <c r="J504" s="355" t="str">
        <f>IF(COUNTIF(J492:J503,"=x")=0,"",COUNTIF(J492:J503,"=x"))</f>
        <v/>
      </c>
      <c r="K504" s="356" t="str">
        <f>IF(COUNTIF(K492:K503,"=x")=0,"",COUNTIF(K492:K503,"=x"))</f>
        <v/>
      </c>
      <c r="L504" s="258"/>
      <c r="M504" s="332"/>
      <c r="N504" s="336"/>
      <c r="O504" s="200"/>
      <c r="P504" s="326"/>
      <c r="Q504" s="422">
        <f>SUM(U492:U503)</f>
        <v>0</v>
      </c>
      <c r="R504" s="422">
        <f t="shared" ref="R504:S504" si="736">SUM(V492:V503)</f>
        <v>0</v>
      </c>
      <c r="S504" s="422">
        <f t="shared" si="736"/>
        <v>0</v>
      </c>
      <c r="T504" s="325"/>
      <c r="U504" s="197">
        <f>SUM(U492:U503)</f>
        <v>0</v>
      </c>
      <c r="V504" s="197">
        <f t="shared" ref="V504:W504" si="737">SUM(V492:V503)</f>
        <v>0</v>
      </c>
      <c r="W504" s="197">
        <f t="shared" si="737"/>
        <v>0</v>
      </c>
      <c r="X504" s="197"/>
      <c r="Y504" s="324"/>
      <c r="Z504" s="422">
        <f>SUM(AD492:AD503)</f>
        <v>0</v>
      </c>
      <c r="AA504" s="422">
        <f t="shared" ref="AA504:AB504" si="738">SUM(AE492:AE503)</f>
        <v>0</v>
      </c>
      <c r="AB504" s="422">
        <f t="shared" si="738"/>
        <v>0</v>
      </c>
      <c r="AC504" s="325"/>
      <c r="AD504" s="197">
        <f>SUM(AD492:AD503)</f>
        <v>0</v>
      </c>
      <c r="AE504" s="197">
        <f t="shared" ref="AE504:AF504" si="739">SUM(AE492:AE503)</f>
        <v>0</v>
      </c>
      <c r="AF504" s="197">
        <f t="shared" si="739"/>
        <v>0</v>
      </c>
      <c r="AG504" s="197"/>
      <c r="AH504" s="324"/>
      <c r="AI504" s="422">
        <f>SUM(AM492:AM503)</f>
        <v>0</v>
      </c>
      <c r="AJ504" s="422">
        <f t="shared" ref="AJ504:AK504" si="740">SUM(AN492:AN503)</f>
        <v>0</v>
      </c>
      <c r="AK504" s="422">
        <f t="shared" si="740"/>
        <v>0</v>
      </c>
      <c r="AL504" s="325"/>
      <c r="AM504" s="197">
        <f>SUM(AM492:AM503)</f>
        <v>0</v>
      </c>
      <c r="AN504" s="197">
        <f t="shared" ref="AN504:AO504" si="741">SUM(AN492:AN503)</f>
        <v>0</v>
      </c>
      <c r="AO504" s="197">
        <f t="shared" si="741"/>
        <v>0</v>
      </c>
      <c r="AP504" s="197"/>
      <c r="AQ504" s="324"/>
      <c r="AR504" s="422">
        <f>SUM(AV492:AV503)</f>
        <v>0</v>
      </c>
      <c r="AS504" s="422">
        <f t="shared" ref="AS504:AT504" si="742">SUM(AW492:AW503)</f>
        <v>0</v>
      </c>
      <c r="AT504" s="422">
        <f t="shared" si="742"/>
        <v>0</v>
      </c>
      <c r="AU504" s="325"/>
      <c r="AV504" s="197">
        <f>SUM(AV492:AV503)</f>
        <v>0</v>
      </c>
      <c r="AW504" s="197">
        <f t="shared" ref="AW504:AX504" si="743">SUM(AW492:AW503)</f>
        <v>0</v>
      </c>
      <c r="AX504" s="197">
        <f t="shared" si="743"/>
        <v>0</v>
      </c>
      <c r="AY504" s="197"/>
      <c r="AZ504" s="324"/>
      <c r="BA504" s="422">
        <f>SUM(BE492:BE503)</f>
        <v>0</v>
      </c>
      <c r="BB504" s="422">
        <f t="shared" ref="BB504:BC504" si="744">SUM(BF492:BF503)</f>
        <v>0</v>
      </c>
      <c r="BC504" s="422">
        <f t="shared" si="744"/>
        <v>0</v>
      </c>
      <c r="BD504" s="325"/>
      <c r="BE504" s="197">
        <f>SUM(BE492:BE503)</f>
        <v>0</v>
      </c>
      <c r="BF504" s="197">
        <f t="shared" ref="BF504:BG504" si="745">SUM(BF492:BF503)</f>
        <v>0</v>
      </c>
      <c r="BG504" s="197">
        <f t="shared" si="745"/>
        <v>0</v>
      </c>
      <c r="BH504" s="197"/>
      <c r="BI504" s="324"/>
      <c r="BJ504" s="422">
        <f>SUM(BN492:BN503)</f>
        <v>0</v>
      </c>
      <c r="BK504" s="422">
        <f t="shared" ref="BK504" si="746">SUM(BO492:BO503)</f>
        <v>0</v>
      </c>
      <c r="BL504" s="422">
        <f t="shared" ref="BL504" si="747">SUM(BP492:BP503)</f>
        <v>0</v>
      </c>
      <c r="BM504" s="325"/>
      <c r="BN504" s="197">
        <f>SUM(BN492:BN503)</f>
        <v>0</v>
      </c>
      <c r="BO504" s="197">
        <f t="shared" ref="BO504:BP504" si="748">SUM(BO492:BO503)</f>
        <v>0</v>
      </c>
      <c r="BP504" s="197">
        <f t="shared" si="748"/>
        <v>0</v>
      </c>
      <c r="BQ504" s="197"/>
      <c r="BR504" s="324"/>
      <c r="BS504" s="422">
        <f>SUM(BW492:BW503)</f>
        <v>0</v>
      </c>
      <c r="BT504" s="422">
        <f t="shared" ref="BT504:BU504" si="749">SUM(BX492:BX503)</f>
        <v>0</v>
      </c>
      <c r="BU504" s="422">
        <f t="shared" si="749"/>
        <v>0</v>
      </c>
      <c r="BV504" s="325"/>
      <c r="BW504" s="197">
        <f>SUM(BW492:BW503)</f>
        <v>0</v>
      </c>
      <c r="BX504" s="197">
        <f t="shared" ref="BX504:BY504" si="750">SUM(BX492:BX503)</f>
        <v>0</v>
      </c>
      <c r="BY504" s="197">
        <f t="shared" si="750"/>
        <v>0</v>
      </c>
      <c r="BZ504" s="197"/>
      <c r="CA504" s="326"/>
      <c r="CB504" s="422">
        <f>SUM(CF492:CF503)</f>
        <v>0</v>
      </c>
      <c r="CC504" s="422">
        <f t="shared" ref="CC504:CD504" si="751">SUM(CG492:CG503)</f>
        <v>0</v>
      </c>
      <c r="CD504" s="422">
        <f t="shared" si="751"/>
        <v>0</v>
      </c>
      <c r="CE504" s="325"/>
      <c r="CF504" s="197">
        <f>SUM(CF492:CF503)</f>
        <v>0</v>
      </c>
      <c r="CG504" s="197">
        <f t="shared" ref="CG504:CH504" si="752">SUM(CG492:CG503)</f>
        <v>0</v>
      </c>
      <c r="CH504" s="197">
        <f t="shared" si="752"/>
        <v>0</v>
      </c>
      <c r="CI504" s="197"/>
      <c r="CJ504" s="197"/>
      <c r="CK504" s="422">
        <f>SUM(CO492:CO503)</f>
        <v>0</v>
      </c>
      <c r="CL504" s="422">
        <f t="shared" ref="CL504:CM504" si="753">SUM(CP492:CP503)</f>
        <v>0</v>
      </c>
      <c r="CM504" s="422">
        <f t="shared" si="753"/>
        <v>0</v>
      </c>
      <c r="CN504" s="325"/>
      <c r="CO504" s="197">
        <f>SUM(CO492:CO503)</f>
        <v>0</v>
      </c>
      <c r="CP504" s="197">
        <f t="shared" ref="CP504:CQ504" si="754">SUM(CP492:CP503)</f>
        <v>0</v>
      </c>
      <c r="CQ504" s="197">
        <f t="shared" si="754"/>
        <v>0</v>
      </c>
      <c r="CR504" s="197"/>
      <c r="CS504" s="197"/>
      <c r="CT504" s="197"/>
      <c r="CU504" s="259"/>
      <c r="CV504" s="209"/>
      <c r="CW504" s="228"/>
    </row>
    <row r="505" spans="1:101" x14ac:dyDescent="0.2">
      <c r="A505" s="227"/>
      <c r="B505" s="227"/>
      <c r="C505" s="168"/>
      <c r="D505" s="249"/>
      <c r="E505" s="242"/>
      <c r="F505" s="243"/>
      <c r="G505" s="242"/>
      <c r="H505" s="242"/>
      <c r="I505" s="242"/>
      <c r="J505" s="242"/>
      <c r="K505" s="242"/>
      <c r="L505" s="252"/>
      <c r="M505" s="260"/>
      <c r="N505" s="337"/>
      <c r="O505" s="333"/>
      <c r="P505" s="244"/>
      <c r="Q505" s="245"/>
      <c r="R505" s="245"/>
      <c r="S505" s="245"/>
      <c r="T505" s="246"/>
      <c r="U505" s="247"/>
      <c r="V505" s="247"/>
      <c r="W505" s="247"/>
      <c r="X505" s="247"/>
      <c r="Y505" s="244"/>
      <c r="Z505" s="245"/>
      <c r="AA505" s="245"/>
      <c r="AB505" s="245"/>
      <c r="AC505" s="246"/>
      <c r="AD505" s="247"/>
      <c r="AE505" s="247"/>
      <c r="AF505" s="247"/>
      <c r="AG505" s="247"/>
      <c r="AH505" s="244"/>
      <c r="AI505" s="245"/>
      <c r="AJ505" s="245"/>
      <c r="AK505" s="245"/>
      <c r="AL505" s="246"/>
      <c r="AM505" s="247"/>
      <c r="AN505" s="247"/>
      <c r="AO505" s="247"/>
      <c r="AP505" s="247"/>
      <c r="AQ505" s="244"/>
      <c r="AR505" s="245"/>
      <c r="AS505" s="245"/>
      <c r="AT505" s="245"/>
      <c r="AU505" s="246"/>
      <c r="AV505" s="247"/>
      <c r="AW505" s="247"/>
      <c r="AX505" s="247"/>
      <c r="AY505" s="247"/>
      <c r="AZ505" s="244"/>
      <c r="BA505" s="245"/>
      <c r="BB505" s="245"/>
      <c r="BC505" s="245"/>
      <c r="BD505" s="246"/>
      <c r="BE505" s="247"/>
      <c r="BF505" s="247"/>
      <c r="BG505" s="247"/>
      <c r="BH505" s="247"/>
      <c r="BI505" s="244"/>
      <c r="BJ505" s="244"/>
      <c r="BK505" s="244"/>
      <c r="BL505" s="244"/>
      <c r="BM505" s="244"/>
      <c r="BN505" s="247"/>
      <c r="BO505" s="247"/>
      <c r="BP505" s="247"/>
      <c r="BQ505" s="247"/>
      <c r="BR505" s="244"/>
      <c r="BS505" s="244"/>
      <c r="BT505" s="244"/>
      <c r="BU505" s="244"/>
      <c r="BV505" s="244"/>
      <c r="BW505" s="247"/>
      <c r="BX505" s="247"/>
      <c r="BY505" s="247"/>
      <c r="BZ505" s="247"/>
      <c r="CA505" s="244"/>
      <c r="CB505" s="244"/>
      <c r="CC505" s="244"/>
      <c r="CD505" s="244"/>
      <c r="CE505" s="244"/>
      <c r="CF505" s="247"/>
      <c r="CG505" s="247"/>
      <c r="CH505" s="247"/>
      <c r="CI505" s="247"/>
      <c r="CJ505" s="248"/>
      <c r="CK505" s="248"/>
      <c r="CL505" s="248"/>
      <c r="CM505" s="248"/>
      <c r="CN505" s="248"/>
      <c r="CO505" s="247"/>
      <c r="CP505" s="247"/>
      <c r="CQ505" s="247"/>
      <c r="CR505" s="247"/>
      <c r="CS505" s="248"/>
      <c r="CT505" s="242"/>
      <c r="CU505" s="253"/>
      <c r="CV505" s="209"/>
      <c r="CW505" s="228"/>
    </row>
    <row r="506" spans="1:101" x14ac:dyDescent="0.2">
      <c r="A506" s="219"/>
      <c r="B506" s="219"/>
      <c r="C506" s="175"/>
      <c r="D506" s="176"/>
      <c r="E506" s="210"/>
      <c r="F506" s="211"/>
      <c r="G506" s="210"/>
      <c r="H506" s="210"/>
      <c r="I506" s="210"/>
      <c r="J506" s="210"/>
      <c r="K506" s="210"/>
      <c r="L506" s="212"/>
      <c r="M506" s="213"/>
      <c r="N506" s="213"/>
      <c r="O506" s="213"/>
      <c r="P506" s="213"/>
      <c r="Q506" s="210"/>
      <c r="R506" s="210"/>
      <c r="S506" s="210"/>
      <c r="T506" s="214"/>
      <c r="U506" s="215"/>
      <c r="V506" s="215"/>
      <c r="W506" s="215"/>
      <c r="X506" s="215"/>
      <c r="Y506" s="213"/>
      <c r="Z506" s="210"/>
      <c r="AA506" s="210"/>
      <c r="AB506" s="210"/>
      <c r="AC506" s="214"/>
      <c r="AD506" s="215"/>
      <c r="AE506" s="215"/>
      <c r="AF506" s="215"/>
      <c r="AG506" s="215"/>
      <c r="AH506" s="213"/>
      <c r="AI506" s="210"/>
      <c r="AJ506" s="210"/>
      <c r="AK506" s="210"/>
      <c r="AL506" s="214"/>
      <c r="AM506" s="215"/>
      <c r="AN506" s="215"/>
      <c r="AO506" s="215"/>
      <c r="AP506" s="215"/>
      <c r="AQ506" s="213"/>
      <c r="AR506" s="210"/>
      <c r="AS506" s="210"/>
      <c r="AT506" s="210"/>
      <c r="AU506" s="214"/>
      <c r="AV506" s="215"/>
      <c r="AW506" s="215"/>
      <c r="AX506" s="215"/>
      <c r="AY506" s="215"/>
      <c r="AZ506" s="213"/>
      <c r="BA506" s="210"/>
      <c r="BB506" s="210"/>
      <c r="BC506" s="210"/>
      <c r="BD506" s="214"/>
      <c r="BE506" s="215"/>
      <c r="BF506" s="215"/>
      <c r="BG506" s="215"/>
      <c r="BH506" s="215"/>
      <c r="BI506" s="213"/>
      <c r="BJ506" s="210"/>
      <c r="BK506" s="210"/>
      <c r="BL506" s="210"/>
      <c r="BM506" s="214"/>
      <c r="BN506" s="215"/>
      <c r="BO506" s="215"/>
      <c r="BP506" s="215"/>
      <c r="BQ506" s="215"/>
      <c r="BR506" s="177"/>
      <c r="BS506" s="210"/>
      <c r="BT506" s="210"/>
      <c r="BU506" s="210"/>
      <c r="BV506" s="213"/>
      <c r="BW506" s="215"/>
      <c r="BX506" s="215"/>
      <c r="BY506" s="215"/>
      <c r="BZ506" s="215"/>
      <c r="CA506" s="210"/>
      <c r="CB506" s="216"/>
      <c r="CC506" s="216"/>
      <c r="CD506" s="216"/>
      <c r="CE506" s="216"/>
      <c r="CF506" s="215"/>
      <c r="CG506" s="215"/>
      <c r="CH506" s="215"/>
      <c r="CI506" s="215"/>
      <c r="CJ506" s="210"/>
      <c r="CK506" s="210"/>
      <c r="CL506" s="210"/>
      <c r="CM506" s="210"/>
      <c r="CN506" s="210"/>
      <c r="CO506" s="215"/>
      <c r="CP506" s="215"/>
      <c r="CQ506" s="215"/>
      <c r="CR506" s="215"/>
      <c r="CS506" s="210"/>
      <c r="CT506" s="210"/>
      <c r="CU506" s="210"/>
      <c r="CV506" s="217"/>
      <c r="CW506" s="218"/>
    </row>
    <row r="507" spans="1:101" ht="14.25" thickTop="1" thickBot="1" x14ac:dyDescent="0.25">
      <c r="A507" s="218"/>
      <c r="B507" s="218"/>
      <c r="C507" s="218"/>
      <c r="D507" s="218"/>
      <c r="E507" s="218"/>
      <c r="F507" s="218"/>
      <c r="G507" s="218"/>
      <c r="H507" s="218"/>
      <c r="I507" s="218"/>
      <c r="J507" s="218"/>
      <c r="K507" s="218"/>
      <c r="L507" s="218"/>
      <c r="M507" s="218"/>
      <c r="N507" s="218"/>
      <c r="O507" s="218"/>
      <c r="P507" s="218"/>
      <c r="Q507" s="218"/>
      <c r="R507" s="218"/>
      <c r="S507" s="218"/>
      <c r="T507" s="218"/>
      <c r="U507" s="218"/>
      <c r="V507" s="218"/>
      <c r="W507" s="218"/>
      <c r="X507" s="218"/>
      <c r="Y507" s="218"/>
      <c r="Z507" s="218"/>
      <c r="AA507" s="218"/>
      <c r="AB507" s="218"/>
      <c r="AC507" s="218"/>
      <c r="AD507" s="218"/>
      <c r="AE507" s="218"/>
      <c r="AF507" s="218"/>
      <c r="AG507" s="218"/>
      <c r="AH507" s="218"/>
      <c r="AI507" s="218"/>
      <c r="AJ507" s="218"/>
      <c r="AK507" s="218"/>
      <c r="AL507" s="218"/>
      <c r="AM507" s="218"/>
      <c r="AN507" s="218"/>
      <c r="AO507" s="218"/>
      <c r="AP507" s="218"/>
      <c r="AQ507" s="218"/>
      <c r="AR507" s="218"/>
      <c r="AS507" s="218"/>
      <c r="AT507" s="218"/>
      <c r="AU507" s="218"/>
      <c r="AV507" s="218"/>
      <c r="AW507" s="218"/>
      <c r="AX507" s="218"/>
      <c r="AY507" s="218"/>
      <c r="AZ507" s="218"/>
      <c r="BA507" s="218"/>
      <c r="BB507" s="218"/>
      <c r="BC507" s="218"/>
      <c r="BD507" s="218"/>
      <c r="BE507" s="218"/>
      <c r="BF507" s="218"/>
      <c r="BG507" s="218"/>
      <c r="BH507" s="218"/>
      <c r="BI507" s="218"/>
      <c r="BJ507" s="218"/>
      <c r="BK507" s="218"/>
      <c r="BL507" s="218"/>
      <c r="BM507" s="218"/>
      <c r="BN507" s="218"/>
      <c r="BO507" s="218"/>
      <c r="BP507" s="218"/>
      <c r="BQ507" s="218"/>
      <c r="BR507" s="218"/>
      <c r="BS507" s="218"/>
      <c r="BT507" s="218"/>
      <c r="BU507" s="218"/>
      <c r="BV507" s="218"/>
      <c r="BW507" s="218"/>
      <c r="BX507" s="218"/>
      <c r="BY507" s="218"/>
      <c r="BZ507" s="218"/>
      <c r="CA507" s="218"/>
      <c r="CB507" s="392"/>
      <c r="CC507" s="392"/>
      <c r="CD507" s="392"/>
      <c r="CE507" s="392"/>
      <c r="CF507" s="218"/>
      <c r="CG507" s="218"/>
      <c r="CH507" s="218"/>
      <c r="CI507" s="218"/>
      <c r="CJ507" s="218"/>
      <c r="CK507" s="218"/>
      <c r="CL507" s="218"/>
      <c r="CM507" s="218"/>
      <c r="CN507" s="218"/>
      <c r="CO507" s="218"/>
      <c r="CP507" s="218"/>
      <c r="CQ507" s="218"/>
      <c r="CR507" s="218"/>
      <c r="CS507" s="218"/>
      <c r="CT507" s="218"/>
      <c r="CU507" s="218"/>
      <c r="CV507" s="218"/>
      <c r="CW507" s="218"/>
    </row>
    <row r="508" spans="1:101" ht="21" thickTop="1" x14ac:dyDescent="0.3">
      <c r="A508" s="219"/>
      <c r="B508" s="219"/>
      <c r="C508" s="157"/>
      <c r="D508" s="158"/>
      <c r="E508" s="731" t="s">
        <v>44</v>
      </c>
      <c r="F508" s="229"/>
      <c r="G508" s="229"/>
      <c r="H508" s="229"/>
      <c r="I508" s="877" t="e" vm="1">
        <v>#VALUE!</v>
      </c>
      <c r="J508" s="877"/>
      <c r="K508" s="877"/>
      <c r="L508" s="877"/>
      <c r="M508" s="159"/>
      <c r="N508" s="159"/>
      <c r="O508" s="159"/>
      <c r="P508" s="160"/>
      <c r="Q508" s="159"/>
      <c r="R508" s="159"/>
      <c r="S508" s="159"/>
      <c r="T508" s="161"/>
      <c r="U508" s="162"/>
      <c r="V508" s="162"/>
      <c r="W508" s="162"/>
      <c r="X508" s="162"/>
      <c r="Y508" s="160"/>
      <c r="Z508" s="159"/>
      <c r="AA508" s="159"/>
      <c r="AB508" s="159"/>
      <c r="AC508" s="161"/>
      <c r="AD508" s="162"/>
      <c r="AE508" s="162"/>
      <c r="AF508" s="162"/>
      <c r="AG508" s="162"/>
      <c r="AH508" s="160"/>
      <c r="AI508" s="159"/>
      <c r="AJ508" s="201"/>
      <c r="AK508" s="201"/>
      <c r="AL508" s="164"/>
      <c r="AM508" s="162"/>
      <c r="AN508" s="162"/>
      <c r="AO508" s="162"/>
      <c r="AP508" s="162"/>
      <c r="AQ508" s="202"/>
      <c r="AR508" s="203"/>
      <c r="AS508" s="165"/>
      <c r="AT508" s="166"/>
      <c r="AU508" s="164"/>
      <c r="AV508" s="162"/>
      <c r="AW508" s="162"/>
      <c r="AX508" s="162"/>
      <c r="AY508" s="162"/>
      <c r="AZ508" s="202"/>
      <c r="BA508" s="203"/>
      <c r="BB508" s="166"/>
      <c r="BC508" s="201"/>
      <c r="BD508" s="204"/>
      <c r="BE508" s="162"/>
      <c r="BF508" s="162"/>
      <c r="BG508" s="162"/>
      <c r="BH508" s="162"/>
      <c r="BI508" s="205"/>
      <c r="BJ508" s="201"/>
      <c r="BK508" s="201"/>
      <c r="BL508" s="201"/>
      <c r="BM508" s="204"/>
      <c r="BN508" s="162"/>
      <c r="BO508" s="162"/>
      <c r="BP508" s="162"/>
      <c r="BQ508" s="162"/>
      <c r="BR508" s="167"/>
      <c r="BS508" s="201"/>
      <c r="BT508" s="201"/>
      <c r="BU508" s="201"/>
      <c r="BV508" s="205"/>
      <c r="BW508" s="162"/>
      <c r="BX508" s="162"/>
      <c r="BY508" s="162"/>
      <c r="BZ508" s="162"/>
      <c r="CA508" s="201"/>
      <c r="CB508" s="393"/>
      <c r="CC508" s="393"/>
      <c r="CD508" s="393"/>
      <c r="CE508" s="393"/>
      <c r="CF508" s="162"/>
      <c r="CG508" s="162"/>
      <c r="CH508" s="162"/>
      <c r="CI508" s="162"/>
      <c r="CJ508" s="163"/>
      <c r="CK508" s="163"/>
      <c r="CL508" s="163"/>
      <c r="CM508" s="163"/>
      <c r="CN508" s="163"/>
      <c r="CO508" s="162"/>
      <c r="CP508" s="162"/>
      <c r="CQ508" s="162"/>
      <c r="CR508" s="162"/>
      <c r="CS508" s="163"/>
      <c r="CT508" s="358"/>
      <c r="CU508" s="201"/>
      <c r="CV508" s="206"/>
      <c r="CW508" s="218"/>
    </row>
    <row r="509" spans="1:101" ht="15.75" thickBot="1" x14ac:dyDescent="0.25">
      <c r="A509" s="219"/>
      <c r="B509" s="219"/>
      <c r="C509" s="168"/>
      <c r="D509" s="785"/>
      <c r="E509" s="869" t="s">
        <v>45</v>
      </c>
      <c r="F509" s="363"/>
      <c r="G509" s="363"/>
      <c r="H509" s="363"/>
      <c r="I509" s="878"/>
      <c r="J509" s="878"/>
      <c r="K509" s="878"/>
      <c r="L509" s="878"/>
      <c r="M509" s="363"/>
      <c r="N509" s="363"/>
      <c r="O509" s="363"/>
      <c r="P509" s="363"/>
      <c r="Q509" s="363"/>
      <c r="R509" s="363"/>
      <c r="S509" s="363"/>
      <c r="T509" s="363"/>
      <c r="U509" s="363"/>
      <c r="V509" s="363"/>
      <c r="W509" s="363"/>
      <c r="X509" s="363"/>
      <c r="Y509" s="363"/>
      <c r="Z509" s="363"/>
      <c r="AA509" s="363"/>
      <c r="AB509" s="363"/>
      <c r="AC509" s="363"/>
      <c r="AD509" s="363"/>
      <c r="AE509" s="363"/>
      <c r="AF509" s="363"/>
      <c r="AG509" s="363"/>
      <c r="AH509" s="363"/>
      <c r="AI509" s="363"/>
      <c r="AJ509" s="363"/>
      <c r="AK509" s="363"/>
      <c r="AL509" s="363"/>
      <c r="AM509" s="363"/>
      <c r="AN509" s="363"/>
      <c r="AO509" s="363"/>
      <c r="AP509" s="363"/>
      <c r="AQ509" s="363"/>
      <c r="AR509" s="363"/>
      <c r="AS509" s="363"/>
      <c r="AT509" s="363"/>
      <c r="AU509" s="363"/>
      <c r="AV509" s="363"/>
      <c r="AW509" s="363"/>
      <c r="AX509" s="363"/>
      <c r="AY509" s="363"/>
      <c r="AZ509" s="363"/>
      <c r="BA509" s="363"/>
      <c r="BB509" s="363"/>
      <c r="BC509" s="363"/>
      <c r="BD509" s="363"/>
      <c r="BE509" s="363"/>
      <c r="BF509" s="363"/>
      <c r="BG509" s="363"/>
      <c r="BH509" s="363"/>
      <c r="BI509" s="363"/>
      <c r="BJ509" s="363"/>
      <c r="BK509" s="363"/>
      <c r="BL509" s="363"/>
      <c r="BM509" s="363"/>
      <c r="BN509" s="363"/>
      <c r="BO509" s="363"/>
      <c r="BP509" s="363"/>
      <c r="BQ509" s="363"/>
      <c r="BR509" s="363"/>
      <c r="BS509" s="363"/>
      <c r="BT509" s="363"/>
      <c r="BU509" s="363"/>
      <c r="BV509" s="363"/>
      <c r="BW509" s="363"/>
      <c r="BX509" s="363"/>
      <c r="BY509" s="363"/>
      <c r="BZ509" s="363"/>
      <c r="CA509" s="363"/>
      <c r="CB509" s="394"/>
      <c r="CC509" s="394"/>
      <c r="CD509" s="394"/>
      <c r="CE509" s="394"/>
      <c r="CF509" s="363"/>
      <c r="CG509" s="363"/>
      <c r="CH509" s="363"/>
      <c r="CI509" s="363"/>
      <c r="CJ509" s="363"/>
      <c r="CK509" s="363"/>
      <c r="CL509" s="363"/>
      <c r="CM509" s="363"/>
      <c r="CN509" s="323"/>
      <c r="CO509" s="363"/>
      <c r="CP509" s="363"/>
      <c r="CQ509" s="363"/>
      <c r="CR509" s="363"/>
      <c r="CS509" s="323"/>
      <c r="CT509" s="155"/>
      <c r="CU509" s="269"/>
      <c r="CV509" s="209"/>
      <c r="CW509" s="218"/>
    </row>
    <row r="510" spans="1:101" ht="18.75" thickTop="1" x14ac:dyDescent="0.2">
      <c r="A510" s="219"/>
      <c r="B510" s="219"/>
      <c r="C510" s="174"/>
      <c r="D510" s="778"/>
      <c r="E510" s="777"/>
      <c r="F510" s="235"/>
      <c r="G510" s="234"/>
      <c r="H510" s="234"/>
      <c r="I510" s="875">
        <f>WEEKNUM(E511)</f>
        <v>4</v>
      </c>
      <c r="J510" s="875"/>
      <c r="K510" s="875"/>
      <c r="L510" s="250"/>
      <c r="M510" s="261"/>
      <c r="N510" s="205"/>
      <c r="O510" s="236"/>
      <c r="P510" s="236"/>
      <c r="Q510" s="675" t="str">
        <f>IF($F514="","",SUM(Q526:S526)-S512)</f>
        <v/>
      </c>
      <c r="R510" s="675"/>
      <c r="S510" s="675"/>
      <c r="T510" s="237"/>
      <c r="U510" s="238"/>
      <c r="V510" s="238"/>
      <c r="W510" s="238"/>
      <c r="X510" s="238"/>
      <c r="Y510" s="236"/>
      <c r="Z510" s="675" t="str">
        <f>IF($F514="","",SUM(Z526:AB526)-AB512)</f>
        <v/>
      </c>
      <c r="AA510" s="675"/>
      <c r="AB510" s="675"/>
      <c r="AC510" s="237"/>
      <c r="AD510" s="238"/>
      <c r="AE510" s="238"/>
      <c r="AF510" s="238"/>
      <c r="AG510" s="238"/>
      <c r="AH510" s="236"/>
      <c r="AI510" s="675" t="str">
        <f>IF($F514="","",SUM(AI526:AK526)-AK512)</f>
        <v/>
      </c>
      <c r="AJ510" s="675"/>
      <c r="AK510" s="675"/>
      <c r="AL510" s="237"/>
      <c r="AM510" s="238"/>
      <c r="AN510" s="238"/>
      <c r="AO510" s="238"/>
      <c r="AP510" s="238"/>
      <c r="AQ510" s="236"/>
      <c r="AR510" s="675" t="str">
        <f>IF($F514="","",SUM(AR526:AT526)-AT512)</f>
        <v/>
      </c>
      <c r="AS510" s="675"/>
      <c r="AT510" s="675"/>
      <c r="AU510" s="239"/>
      <c r="AV510" s="238"/>
      <c r="AW510" s="238"/>
      <c r="AX510" s="238"/>
      <c r="AY510" s="238"/>
      <c r="AZ510" s="240"/>
      <c r="BA510" s="675" t="str">
        <f>IF($F514="","",SUM(BA526:BC526)-BC512)</f>
        <v/>
      </c>
      <c r="BB510" s="675"/>
      <c r="BC510" s="675"/>
      <c r="BD510" s="239"/>
      <c r="BE510" s="238"/>
      <c r="BF510" s="238"/>
      <c r="BG510" s="238"/>
      <c r="BH510" s="238"/>
      <c r="BI510" s="240"/>
      <c r="BJ510" s="675" t="str">
        <f>IF($F514="","",SUM(BJ526:BL526)-BL512)</f>
        <v/>
      </c>
      <c r="BK510" s="675"/>
      <c r="BL510" s="675"/>
      <c r="BM510" s="239"/>
      <c r="BN510" s="238"/>
      <c r="BO510" s="238"/>
      <c r="BP510" s="238"/>
      <c r="BQ510" s="238"/>
      <c r="BR510" s="241"/>
      <c r="BS510" s="675" t="str">
        <f>IF($F514="","",SUM(BS526:BU526)-BU512)</f>
        <v/>
      </c>
      <c r="BT510" s="675"/>
      <c r="BU510" s="675"/>
      <c r="BV510" s="240"/>
      <c r="BW510" s="238"/>
      <c r="BX510" s="238"/>
      <c r="BY510" s="238"/>
      <c r="BZ510" s="238"/>
      <c r="CA510" s="241"/>
      <c r="CB510" s="675" t="str">
        <f>IF($F514="","",SUM(CB526:CD526)-CD512)</f>
        <v/>
      </c>
      <c r="CC510" s="675"/>
      <c r="CD510" s="675"/>
      <c r="CE510" s="240"/>
      <c r="CF510" s="238"/>
      <c r="CG510" s="238"/>
      <c r="CH510" s="238"/>
      <c r="CI510" s="238"/>
      <c r="CJ510" s="234"/>
      <c r="CK510" s="675" t="str">
        <f>IF($F514="","",SUM(CK526:CM526))</f>
        <v/>
      </c>
      <c r="CL510" s="675"/>
      <c r="CM510" s="675"/>
      <c r="CN510" s="240"/>
      <c r="CO510" s="238"/>
      <c r="CP510" s="238"/>
      <c r="CQ510" s="238"/>
      <c r="CR510" s="238"/>
      <c r="CS510" s="234"/>
      <c r="CT510" s="234"/>
      <c r="CU510" s="251"/>
      <c r="CV510" s="209"/>
      <c r="CW510" s="218"/>
    </row>
    <row r="511" spans="1:101" x14ac:dyDescent="0.2">
      <c r="A511" s="219"/>
      <c r="B511" s="219"/>
      <c r="C511" s="174"/>
      <c r="D511" s="779"/>
      <c r="E511" s="543">
        <f>E489+7</f>
        <v>46410</v>
      </c>
      <c r="F511" s="178"/>
      <c r="G511" s="179"/>
      <c r="H511" s="179"/>
      <c r="I511" s="876"/>
      <c r="J511" s="876"/>
      <c r="K511" s="876"/>
      <c r="L511" s="254"/>
      <c r="M511" s="329"/>
      <c r="N511" s="208"/>
      <c r="O511" s="180"/>
      <c r="P511" s="180"/>
      <c r="Q511" s="584" t="str">
        <f>IF(Q510="","",Q510/Data!$X$1)</f>
        <v/>
      </c>
      <c r="R511" s="584"/>
      <c r="S511" s="585" t="str">
        <f>IF(SUM(X514:X525)=0,"",SUM(X514:X525))</f>
        <v/>
      </c>
      <c r="T511" s="181"/>
      <c r="U511" s="182"/>
      <c r="V511" s="182"/>
      <c r="W511" s="182"/>
      <c r="X511" s="182"/>
      <c r="Y511" s="180"/>
      <c r="Z511" s="584" t="str">
        <f>IF(Z510="","",Z510/Data!$X$1)</f>
        <v/>
      </c>
      <c r="AA511" s="584"/>
      <c r="AB511" s="585" t="str">
        <f>IF(SUM(AG514:AG525)=0,"",SUM(AG514:AG525))</f>
        <v/>
      </c>
      <c r="AC511" s="181"/>
      <c r="AD511" s="182"/>
      <c r="AE511" s="182"/>
      <c r="AF511" s="182"/>
      <c r="AG511" s="182"/>
      <c r="AH511" s="180"/>
      <c r="AI511" s="584" t="str">
        <f>IF(AI510="","",AI510/Data!$X$1)</f>
        <v/>
      </c>
      <c r="AJ511" s="584"/>
      <c r="AK511" s="585" t="str">
        <f>IF(SUM(AP514:AP525)=0,"",SUM(AP514:AP525))</f>
        <v/>
      </c>
      <c r="AL511" s="181"/>
      <c r="AM511" s="182"/>
      <c r="AN511" s="182"/>
      <c r="AO511" s="182"/>
      <c r="AP511" s="182"/>
      <c r="AQ511" s="180"/>
      <c r="AR511" s="584" t="str">
        <f>IF(AR510="","",AR510/Data!$X$1)</f>
        <v/>
      </c>
      <c r="AS511" s="584"/>
      <c r="AT511" s="585" t="str">
        <f>IF(SUM(AY514:AY525)=0,"",SUM(AY514:AY525))</f>
        <v/>
      </c>
      <c r="AU511" s="183"/>
      <c r="AV511" s="182"/>
      <c r="AW511" s="182"/>
      <c r="AX511" s="182"/>
      <c r="AY511" s="182"/>
      <c r="AZ511" s="184"/>
      <c r="BA511" s="584" t="str">
        <f>IF(BA510="","",BA510/Data!$X$1)</f>
        <v/>
      </c>
      <c r="BB511" s="584"/>
      <c r="BC511" s="585" t="str">
        <f>IF(SUM(BH514:BH525)=0,"",SUM(BH514:BH525))</f>
        <v/>
      </c>
      <c r="BD511" s="183"/>
      <c r="BE511" s="182"/>
      <c r="BF511" s="182"/>
      <c r="BG511" s="182"/>
      <c r="BH511" s="182"/>
      <c r="BI511" s="184"/>
      <c r="BJ511" s="584" t="str">
        <f>IF(BJ510="","",BJ510/Data!$X$1)</f>
        <v/>
      </c>
      <c r="BK511" s="584"/>
      <c r="BL511" s="585" t="str">
        <f>IF(SUM(BQ514:BQ525)=0,"",SUM(BQ514:BQ525))</f>
        <v/>
      </c>
      <c r="BM511" s="183"/>
      <c r="BN511" s="182"/>
      <c r="BO511" s="182"/>
      <c r="BP511" s="182"/>
      <c r="BQ511" s="182"/>
      <c r="BR511" s="185"/>
      <c r="BS511" s="584" t="str">
        <f>IF(BS510="","",BS510/Data!$X$1)</f>
        <v/>
      </c>
      <c r="BT511" s="584"/>
      <c r="BU511" s="585" t="str">
        <f>IF(SUM(BZ514:BZ525)=0,"",SUM(BZ514:BZ525))</f>
        <v/>
      </c>
      <c r="BV511" s="184"/>
      <c r="BW511" s="182"/>
      <c r="BX511" s="182"/>
      <c r="BY511" s="182"/>
      <c r="BZ511" s="182"/>
      <c r="CA511" s="185"/>
      <c r="CB511" s="584" t="str">
        <f>IF(CB510="","",CB510/Data!$X$1)</f>
        <v/>
      </c>
      <c r="CC511" s="584"/>
      <c r="CD511" s="585" t="str">
        <f>IF(SUM(CI514:CI525)=0,"",SUM(CI514:CI525))</f>
        <v/>
      </c>
      <c r="CE511" s="184"/>
      <c r="CF511" s="182"/>
      <c r="CG511" s="182"/>
      <c r="CH511" s="182"/>
      <c r="CI511" s="182"/>
      <c r="CJ511" s="182"/>
      <c r="CK511" s="584" t="str">
        <f>IF(CK510="","",CK510/Data!$X$1)</f>
        <v/>
      </c>
      <c r="CL511" s="584"/>
      <c r="CM511" s="585" t="str">
        <f>IF(SUM(CR514:CR525)=0,"",SUM(CR514:CR525))</f>
        <v/>
      </c>
      <c r="CN511" s="184"/>
      <c r="CO511" s="182"/>
      <c r="CP511" s="182"/>
      <c r="CQ511" s="182"/>
      <c r="CR511" s="182"/>
      <c r="CS511" s="182"/>
      <c r="CT511" s="182"/>
      <c r="CU511" s="255"/>
      <c r="CV511" s="209"/>
      <c r="CW511" s="218"/>
    </row>
    <row r="512" spans="1:101" ht="13.5" thickBot="1" x14ac:dyDescent="0.25">
      <c r="A512" s="219"/>
      <c r="B512" s="219"/>
      <c r="C512" s="174"/>
      <c r="D512" s="230"/>
      <c r="E512" s="359"/>
      <c r="F512" s="186"/>
      <c r="G512" s="187"/>
      <c r="H512" s="187"/>
      <c r="I512" s="673"/>
      <c r="J512" s="674"/>
      <c r="K512" s="674"/>
      <c r="L512" s="256"/>
      <c r="M512" s="330"/>
      <c r="N512" s="334"/>
      <c r="O512" s="187"/>
      <c r="P512" s="187"/>
      <c r="Q512" s="342" t="str">
        <f>Data!$E$11</f>
        <v>AHH</v>
      </c>
      <c r="R512" s="343" t="str">
        <f>IF($F525="","",RANK(Q510,$Q510:$CL510))</f>
        <v/>
      </c>
      <c r="S512" s="466"/>
      <c r="T512" s="181"/>
      <c r="U512" s="182"/>
      <c r="V512" s="182"/>
      <c r="W512" s="182"/>
      <c r="X512" s="197">
        <f>COUNTIF(U514:W525,"&gt;0")</f>
        <v>0</v>
      </c>
      <c r="Y512" s="180"/>
      <c r="Z512" s="342" t="str">
        <f>Data!$E$12</f>
        <v>RB</v>
      </c>
      <c r="AA512" s="343" t="str">
        <f>IF($F525="","",RANK(Z510,$Q510:$CL510))</f>
        <v/>
      </c>
      <c r="AB512" s="466"/>
      <c r="AC512" s="181"/>
      <c r="AD512" s="182"/>
      <c r="AE512" s="182"/>
      <c r="AF512" s="182"/>
      <c r="AG512" s="197">
        <f>COUNTIF(AD514:AF525,"&gt;0")</f>
        <v>0</v>
      </c>
      <c r="AH512" s="180"/>
      <c r="AI512" s="342" t="str">
        <f>Data!$E$13</f>
        <v>EB</v>
      </c>
      <c r="AJ512" s="343" t="str">
        <f>IF($F525="","",RANK(AI510,$Q510:$CL510))</f>
        <v/>
      </c>
      <c r="AK512" s="466"/>
      <c r="AL512" s="181"/>
      <c r="AM512" s="182"/>
      <c r="AN512" s="182"/>
      <c r="AO512" s="182"/>
      <c r="AP512" s="197">
        <f>COUNTIF(AM514:AO525,"&gt;0")</f>
        <v>0</v>
      </c>
      <c r="AQ512" s="180"/>
      <c r="AR512" s="305" t="str">
        <f>Data!$E$14</f>
        <v>KAF</v>
      </c>
      <c r="AS512" s="343" t="str">
        <f>IF($F525="","",RANK(AR510,$Q510:$CL510))</f>
        <v/>
      </c>
      <c r="AT512" s="466"/>
      <c r="AU512" s="181"/>
      <c r="AV512" s="182"/>
      <c r="AW512" s="182"/>
      <c r="AX512" s="182"/>
      <c r="AY512" s="197">
        <f>COUNTIF(AV514:AX525,"&gt;0")</f>
        <v>0</v>
      </c>
      <c r="AZ512" s="180"/>
      <c r="BA512" s="305" t="str">
        <f>Data!$E$15</f>
        <v>ØG</v>
      </c>
      <c r="BB512" s="343" t="str">
        <f>IF($F525="","",RANK(BA510,$Q510:$CL510))</f>
        <v/>
      </c>
      <c r="BC512" s="466"/>
      <c r="BD512" s="181"/>
      <c r="BE512" s="182"/>
      <c r="BF512" s="182"/>
      <c r="BG512" s="182"/>
      <c r="BH512" s="197">
        <f>COUNTIF(BE514:BG525,"&gt;0")</f>
        <v>0</v>
      </c>
      <c r="BI512" s="180"/>
      <c r="BJ512" s="305" t="str">
        <f>Data!$E$16</f>
        <v>JH</v>
      </c>
      <c r="BK512" s="343" t="str">
        <f>IF($F525="","",RANK(BJ510,$Q510:$CL510))</f>
        <v/>
      </c>
      <c r="BL512" s="466"/>
      <c r="BM512" s="181"/>
      <c r="BN512" s="182"/>
      <c r="BO512" s="182"/>
      <c r="BP512" s="182"/>
      <c r="BQ512" s="197">
        <f>COUNTIF(BN514:BP525,"&gt;0")</f>
        <v>0</v>
      </c>
      <c r="BR512" s="188"/>
      <c r="BS512" s="305" t="str">
        <f>Data!$E$17</f>
        <v>TOH</v>
      </c>
      <c r="BT512" s="343" t="str">
        <f>IF($F525="","",RANK(BS510,$Q510:$CL510))</f>
        <v/>
      </c>
      <c r="BU512" s="466"/>
      <c r="BV512" s="180"/>
      <c r="BW512" s="182"/>
      <c r="BX512" s="182"/>
      <c r="BY512" s="182"/>
      <c r="BZ512" s="197">
        <f>COUNTIF(BW514:BY525,"&gt;0")</f>
        <v>0</v>
      </c>
      <c r="CA512" s="188"/>
      <c r="CB512" s="305" t="s">
        <v>26</v>
      </c>
      <c r="CC512" s="343" t="str">
        <f>IF($F525="","",RANK(CB510,$Q510:$CM510))</f>
        <v/>
      </c>
      <c r="CD512" s="467"/>
      <c r="CE512" s="180"/>
      <c r="CF512" s="182"/>
      <c r="CG512" s="182"/>
      <c r="CH512" s="182"/>
      <c r="CI512" s="197">
        <f>COUNTIF(CF514:CH525,"&gt;0")</f>
        <v>0</v>
      </c>
      <c r="CJ512" s="182"/>
      <c r="CK512" s="305" t="s">
        <v>27</v>
      </c>
      <c r="CL512" s="343" t="str">
        <f>IF($F525="","",RANK(CK510,$Q510:$CM510))</f>
        <v/>
      </c>
      <c r="CM512" s="669"/>
      <c r="CN512" s="180"/>
      <c r="CO512" s="182"/>
      <c r="CP512" s="182"/>
      <c r="CQ512" s="182"/>
      <c r="CR512" s="197">
        <f>COUNTIF(CO514:CQ525,"&gt;0")</f>
        <v>0</v>
      </c>
      <c r="CS512" s="182"/>
      <c r="CT512" s="182"/>
      <c r="CU512" s="255"/>
      <c r="CV512" s="209"/>
      <c r="CW512" s="218"/>
    </row>
    <row r="513" spans="1:101" ht="13.5" thickBot="1" x14ac:dyDescent="0.25">
      <c r="A513" s="227"/>
      <c r="B513" s="227"/>
      <c r="C513" s="168"/>
      <c r="D513" s="231"/>
      <c r="E513" s="189"/>
      <c r="F513" s="190"/>
      <c r="G513" s="191"/>
      <c r="H513" s="191"/>
      <c r="I513" s="192" t="s">
        <v>47</v>
      </c>
      <c r="J513" s="193" t="s">
        <v>48</v>
      </c>
      <c r="K513" s="194" t="s">
        <v>49</v>
      </c>
      <c r="L513" s="257"/>
      <c r="M513" s="331"/>
      <c r="N513" s="335"/>
      <c r="O513" s="195"/>
      <c r="P513" s="195"/>
      <c r="Q513" s="192" t="s">
        <v>47</v>
      </c>
      <c r="R513" s="193" t="s">
        <v>48</v>
      </c>
      <c r="S513" s="194" t="s">
        <v>49</v>
      </c>
      <c r="T513" s="196"/>
      <c r="U513" s="197"/>
      <c r="V513" s="197"/>
      <c r="W513" s="197"/>
      <c r="X513" s="197"/>
      <c r="Y513" s="195"/>
      <c r="Z513" s="192" t="s">
        <v>47</v>
      </c>
      <c r="AA513" s="193" t="s">
        <v>48</v>
      </c>
      <c r="AB513" s="194" t="s">
        <v>49</v>
      </c>
      <c r="AC513" s="196"/>
      <c r="AD513" s="197"/>
      <c r="AE513" s="197"/>
      <c r="AF513" s="197"/>
      <c r="AG513" s="197"/>
      <c r="AH513" s="195"/>
      <c r="AI513" s="192" t="s">
        <v>47</v>
      </c>
      <c r="AJ513" s="193" t="s">
        <v>48</v>
      </c>
      <c r="AK513" s="194" t="s">
        <v>49</v>
      </c>
      <c r="AL513" s="196"/>
      <c r="AM513" s="197"/>
      <c r="AN513" s="197"/>
      <c r="AO513" s="197"/>
      <c r="AP513" s="197"/>
      <c r="AQ513" s="195"/>
      <c r="AR513" s="192" t="s">
        <v>47</v>
      </c>
      <c r="AS513" s="193" t="s">
        <v>48</v>
      </c>
      <c r="AT513" s="194" t="s">
        <v>49</v>
      </c>
      <c r="AU513" s="196"/>
      <c r="AV513" s="197"/>
      <c r="AW513" s="197"/>
      <c r="AX513" s="197"/>
      <c r="AY513" s="197"/>
      <c r="AZ513" s="195"/>
      <c r="BA513" s="192" t="s">
        <v>47</v>
      </c>
      <c r="BB513" s="193" t="s">
        <v>48</v>
      </c>
      <c r="BC513" s="194" t="s">
        <v>49</v>
      </c>
      <c r="BD513" s="196"/>
      <c r="BE513" s="197"/>
      <c r="BF513" s="197"/>
      <c r="BG513" s="197"/>
      <c r="BH513" s="197"/>
      <c r="BI513" s="195"/>
      <c r="BJ513" s="192" t="s">
        <v>47</v>
      </c>
      <c r="BK513" s="193" t="s">
        <v>48</v>
      </c>
      <c r="BL513" s="194" t="s">
        <v>49</v>
      </c>
      <c r="BM513" s="196"/>
      <c r="BN513" s="197"/>
      <c r="BO513" s="197"/>
      <c r="BP513" s="197"/>
      <c r="BQ513" s="197"/>
      <c r="BR513" s="195"/>
      <c r="BS513" s="192" t="s">
        <v>47</v>
      </c>
      <c r="BT513" s="193" t="s">
        <v>48</v>
      </c>
      <c r="BU513" s="194" t="s">
        <v>49</v>
      </c>
      <c r="BV513" s="196"/>
      <c r="BW513" s="197"/>
      <c r="BX513" s="197"/>
      <c r="BY513" s="197"/>
      <c r="BZ513" s="197"/>
      <c r="CA513" s="195"/>
      <c r="CB513" s="192" t="s">
        <v>47</v>
      </c>
      <c r="CC513" s="193" t="s">
        <v>48</v>
      </c>
      <c r="CD513" s="194" t="s">
        <v>49</v>
      </c>
      <c r="CE513" s="196"/>
      <c r="CF513" s="197"/>
      <c r="CG513" s="197"/>
      <c r="CH513" s="197"/>
      <c r="CI513" s="197"/>
      <c r="CJ513" s="197"/>
      <c r="CK513" s="192" t="s">
        <v>47</v>
      </c>
      <c r="CL513" s="193" t="s">
        <v>48</v>
      </c>
      <c r="CM513" s="194" t="s">
        <v>49</v>
      </c>
      <c r="CN513" s="196"/>
      <c r="CO513" s="197"/>
      <c r="CP513" s="197"/>
      <c r="CQ513" s="197"/>
      <c r="CR513" s="197"/>
      <c r="CS513" s="197"/>
      <c r="CT513" s="198"/>
      <c r="CU513" s="255"/>
      <c r="CV513" s="209"/>
      <c r="CW513" s="228"/>
    </row>
    <row r="514" spans="1:101" x14ac:dyDescent="0.2">
      <c r="A514" s="227"/>
      <c r="B514" s="227"/>
      <c r="C514" s="168"/>
      <c r="D514" s="232"/>
      <c r="E514" s="134" t="s">
        <v>190</v>
      </c>
      <c r="F514" s="424"/>
      <c r="G514" s="428" t="s">
        <v>51</v>
      </c>
      <c r="H514" s="429"/>
      <c r="I514" s="138" t="str">
        <f t="shared" ref="I514:I525" si="755">IF($F514&gt;$H514,"x","")</f>
        <v/>
      </c>
      <c r="J514" s="344" t="str">
        <f t="shared" ref="J514:J525" si="756">IF(F514&lt;&gt;"",IF(H514&lt;&gt;"",IF(F514=H514,"x",""),""),"")</f>
        <v/>
      </c>
      <c r="K514" s="345" t="str">
        <f t="shared" ref="K514:K525" si="757">IF($F514&lt;$H514,"x","")</f>
        <v/>
      </c>
      <c r="L514" s="258"/>
      <c r="M514" s="332"/>
      <c r="N514" s="336"/>
      <c r="O514" s="200"/>
      <c r="P514" s="200"/>
      <c r="Q514" s="436"/>
      <c r="R514" s="437"/>
      <c r="S514" s="438" t="str">
        <f t="shared" ref="S514:S525" si="758">IF(Q514="","",100-SUM(Q514:R514))</f>
        <v/>
      </c>
      <c r="T514" s="328"/>
      <c r="U514" s="197" t="str">
        <f>IF(AND($I514="x",AND(MAX(Q514:S514)=Q514,Q514&gt;=0)),Data!$BI$2,"")</f>
        <v/>
      </c>
      <c r="V514" s="197" t="str">
        <f>IF(AND($J514="x",AND(MAX(Q514:S514)=R514,R514&gt;=0)),Data!$BJ$2,"")</f>
        <v/>
      </c>
      <c r="W514" s="197" t="str">
        <f>IF(AND($K514="x",AND(MAX(Q514:S514)=S514,S514&gt;=0)),Data!$BK$2,"")</f>
        <v/>
      </c>
      <c r="X514" s="197"/>
      <c r="Y514" s="328"/>
      <c r="Z514" s="451"/>
      <c r="AA514" s="452"/>
      <c r="AB514" s="438" t="str">
        <f t="shared" ref="AB514:AB525" si="759">IF(Z514="","",100-SUM(Z514:AA514))</f>
        <v/>
      </c>
      <c r="AC514" s="328"/>
      <c r="AD514" s="197" t="str">
        <f>IF(AND($I514="x",AND(MAX(Z514:AB514)=Z514,Z514&lt;&gt;"")),Data!$BI$2,"")</f>
        <v/>
      </c>
      <c r="AE514" s="197" t="str">
        <f>IF(AND($J514="x",AND(MAX(Z514:AB514)=AA514,AA514&lt;&gt;"")),Data!$BJ$2,"")</f>
        <v/>
      </c>
      <c r="AF514" s="197" t="str">
        <f>IF(AND($K514="x",AND(MAX(Z514:AB514)=AB514,AB514&lt;&gt;"")),Data!$BK$2,"")</f>
        <v/>
      </c>
      <c r="AG514" s="197"/>
      <c r="AH514" s="328"/>
      <c r="AI514" s="451"/>
      <c r="AJ514" s="452"/>
      <c r="AK514" s="438" t="str">
        <f t="shared" ref="AK514:AK525" si="760">IF(AI514="","",100-SUM(AI514:AJ514))</f>
        <v/>
      </c>
      <c r="AL514" s="328"/>
      <c r="AM514" s="197" t="str">
        <f>IF(AND($I514="x",AND(MAX(AI514:AK514)=AI514,AI514&lt;&gt;"")),Data!$BI$2,"")</f>
        <v/>
      </c>
      <c r="AN514" s="197" t="str">
        <f>IF(AND($J514="x",AND(MAX(AI514:AK514)=AJ514,AJ514&lt;&gt;"")),Data!$BJ$2,"")</f>
        <v/>
      </c>
      <c r="AO514" s="197" t="str">
        <f>IF(AND($K514="x",AND(MAX(AI514:AK514)=AK514,AK514&lt;&gt;"")),Data!$BK$2,"")</f>
        <v/>
      </c>
      <c r="AP514" s="197"/>
      <c r="AQ514" s="328"/>
      <c r="AR514" s="451"/>
      <c r="AS514" s="452"/>
      <c r="AT514" s="438" t="str">
        <f t="shared" ref="AT514:AT525" si="761">IF(AR514="","",100-SUM(AR514:AS514))</f>
        <v/>
      </c>
      <c r="AU514" s="328"/>
      <c r="AV514" s="197" t="str">
        <f>IF(AND($I514="x",AND(MAX(AR514:AT514)=AR514,AR514&lt;&gt;"")),Data!$BI$2,"")</f>
        <v/>
      </c>
      <c r="AW514" s="197" t="str">
        <f>IF(AND($J514="x",AND(MAX(AR514:AT514)=AS514,AS514&lt;&gt;"")),Data!$BJ$2,"")</f>
        <v/>
      </c>
      <c r="AX514" s="197" t="str">
        <f>IF(AND($K514="x",AND(MAX(AR514:AT514)=AT514,AT514&lt;&gt;"")),Data!$BK$2,"")</f>
        <v/>
      </c>
      <c r="AY514" s="197"/>
      <c r="AZ514" s="328"/>
      <c r="BA514" s="451"/>
      <c r="BB514" s="452"/>
      <c r="BC514" s="438" t="str">
        <f t="shared" ref="BC514:BC525" si="762">IF(BA514="","",100-SUM(BA514:BB514))</f>
        <v/>
      </c>
      <c r="BD514" s="328"/>
      <c r="BE514" s="197" t="str">
        <f>IF(AND($I514="x",AND(MAX(BA514:BC514)=BA514,BA514&lt;&gt;"")),Data!$BI$2,"")</f>
        <v/>
      </c>
      <c r="BF514" s="197" t="str">
        <f>IF(AND($J514="x",AND(MAX(BA514:BC514)=BB514,BB514&lt;&gt;"")),Data!$BJ$2,"")</f>
        <v/>
      </c>
      <c r="BG514" s="197" t="str">
        <f>IF(AND($K514="x",AND(MAX(BA514:BC514)=BC514,BC514&lt;&gt;"")),Data!$BK$2,"")</f>
        <v/>
      </c>
      <c r="BH514" s="197"/>
      <c r="BI514" s="328"/>
      <c r="BJ514" s="451"/>
      <c r="BK514" s="452"/>
      <c r="BL514" s="438" t="str">
        <f t="shared" ref="BL514:BL525" si="763">IF(BJ514="","",100-SUM(BJ514:BK514))</f>
        <v/>
      </c>
      <c r="BM514" s="328"/>
      <c r="BN514" s="197" t="str">
        <f>IF(AND($I514="x",AND(MAX(BJ514:BL514)=BJ514,BJ514&lt;&gt;"")),Data!$BI$2,"")</f>
        <v/>
      </c>
      <c r="BO514" s="197" t="str">
        <f>IF(AND($J514="x",AND(MAX(BJ514:BL514)=BK514,BK514&lt;&gt;"")),Data!$BJ$2,"")</f>
        <v/>
      </c>
      <c r="BP514" s="197" t="str">
        <f>IF(AND($K514="x",AND(MAX(BJ514:BL514)=BL514,BL514&lt;&gt;"")),Data!$BK$2,"")</f>
        <v/>
      </c>
      <c r="BQ514" s="197"/>
      <c r="BR514" s="328"/>
      <c r="BS514" s="451"/>
      <c r="BT514" s="452"/>
      <c r="BU514" s="438" t="str">
        <f t="shared" ref="BU514:BU525" si="764">IF(BS514="","",100-SUM(BS514:BT514))</f>
        <v/>
      </c>
      <c r="BV514" s="328"/>
      <c r="BW514" s="197" t="str">
        <f>IF(AND($I514="x",AND(MAX(BS514:BU514)=BS514,BS514&lt;&gt;"")),Data!$BI$2,"")</f>
        <v/>
      </c>
      <c r="BX514" s="197" t="str">
        <f>IF(AND($J514="x",AND(MAX(BS514:BU514)=BT514,BT514&lt;&gt;"")),Data!$BJ$2,"")</f>
        <v/>
      </c>
      <c r="BY514" s="197" t="str">
        <f>IF(AND($K514="x",AND(MAX(BS514:BU514)=BU514,BU514&lt;&gt;"")),Data!$BK$2,"")</f>
        <v/>
      </c>
      <c r="BZ514" s="197"/>
      <c r="CA514" s="328"/>
      <c r="CB514" s="457" t="str">
        <f t="shared" ref="CB514:CB525" si="765">IFERROR(ROUNDUP((SUM(Q514,Z514,AI514,AR514,BA514,BJ514,BS514)/SUM($Q514:$S514,$Z514:$AB514,$AI514:$AK514,$AR514:$AT514,$BA514:$BC514,$BJ514:$BL514,$BS514:$BU514))*100,-1),"")</f>
        <v/>
      </c>
      <c r="CC514" s="458" t="str">
        <f t="shared" ref="CC514:CC525" si="766">IFERROR(ROUNDDOWN((SUM(R514,AA514,AJ514,AS514,BB514,BK514,BT514)/SUM($Q514:$S514,$Z514:$AB514,$AI514:$AK514,$AR514:$AT514,$BA514:$BC514,$BJ514:$BL514,$BS514:$BU514))*100,-1),"")</f>
        <v/>
      </c>
      <c r="CD514" s="459" t="str">
        <f t="shared" ref="CD514:CD525" si="767">IF(CB514="","",100-SUM(CB514:CC514))</f>
        <v/>
      </c>
      <c r="CE514" s="328"/>
      <c r="CF514" s="197" t="str">
        <f>IF(AND($I514="x",AND(MAX(CB514:CD514)=CB514,CB514&lt;&gt;"")),Data!$BI$2,"")</f>
        <v/>
      </c>
      <c r="CG514" s="197" t="str">
        <f>IF(AND($J514="x",AND(MAX(CB514:CD514)=CC514,CC514&lt;&gt;"")),Data!$BJ$2,"")</f>
        <v/>
      </c>
      <c r="CH514" s="197" t="str">
        <f>IF(AND($K514="x",AND(MAX(CB514:CD514)=CD514,CD514&lt;&gt;"")),Data!$BK$2,"")</f>
        <v/>
      </c>
      <c r="CI514" s="197"/>
      <c r="CJ514" s="197"/>
      <c r="CK514" s="451"/>
      <c r="CL514" s="452"/>
      <c r="CM514" s="438" t="str">
        <f t="shared" ref="CM514:CM525" si="768">IF(CK514="","",100-SUM(CK514:CL514))</f>
        <v/>
      </c>
      <c r="CN514" s="328"/>
      <c r="CO514" s="197" t="str">
        <f>IF(AND($I514="x",AND(MAX(CK514:CM514)=CK514,CK514&lt;&gt;"")),Data!$BI$2,"")</f>
        <v/>
      </c>
      <c r="CP514" s="197" t="str">
        <f>IF(AND($J514="x",AND(MAX(CK514:CM514)=CL514,CL514&lt;&gt;"")),Data!$BJ$2,"")</f>
        <v/>
      </c>
      <c r="CQ514" s="197" t="str">
        <f>IF(AND($K514="x",AND(MAX(CK514:CM514)=CM514,CM514&lt;&gt;"")),Data!$BK$2,"")</f>
        <v/>
      </c>
      <c r="CR514" s="197"/>
      <c r="CS514" s="197"/>
      <c r="CT514" s="328"/>
      <c r="CU514" s="255"/>
      <c r="CV514" s="209"/>
      <c r="CW514" s="227"/>
    </row>
    <row r="515" spans="1:101" x14ac:dyDescent="0.2">
      <c r="A515" s="227"/>
      <c r="B515" s="227"/>
      <c r="C515" s="168"/>
      <c r="D515" s="232"/>
      <c r="E515" s="135" t="s">
        <v>332</v>
      </c>
      <c r="F515" s="425"/>
      <c r="G515" s="430" t="s">
        <v>51</v>
      </c>
      <c r="H515" s="431"/>
      <c r="I515" s="346" t="str">
        <f t="shared" si="755"/>
        <v/>
      </c>
      <c r="J515" s="347" t="str">
        <f t="shared" si="756"/>
        <v/>
      </c>
      <c r="K515" s="348" t="str">
        <f t="shared" si="757"/>
        <v/>
      </c>
      <c r="L515" s="258"/>
      <c r="M515" s="332"/>
      <c r="N515" s="336"/>
      <c r="O515" s="200"/>
      <c r="P515" s="200"/>
      <c r="Q515" s="439"/>
      <c r="R515" s="440"/>
      <c r="S515" s="441" t="str">
        <f t="shared" si="758"/>
        <v/>
      </c>
      <c r="T515" s="328"/>
      <c r="U515" s="197" t="str">
        <f>IF(AND($I515="x",AND(MAX(Q515:S515)=Q515,Q515&gt;=0)),Data!$BI$2,"")</f>
        <v/>
      </c>
      <c r="V515" s="197" t="str">
        <f>IF(AND($J515="x",AND(MAX(Q515:S515)=R515,R515&gt;=0)),Data!$BJ$2,"")</f>
        <v/>
      </c>
      <c r="W515" s="197" t="str">
        <f>IF(AND($K515="x",AND(MAX(Q515:S515)=S515,S515&gt;=0)),Data!$BK$2,"")</f>
        <v/>
      </c>
      <c r="X515" s="197"/>
      <c r="Y515" s="328"/>
      <c r="Z515" s="453"/>
      <c r="AA515" s="454"/>
      <c r="AB515" s="441" t="str">
        <f t="shared" si="759"/>
        <v/>
      </c>
      <c r="AC515" s="328"/>
      <c r="AD515" s="197" t="str">
        <f>IF(AND($I515="x",AND(MAX(Z515:AB515)=Z515,Z515&lt;&gt;"")),Data!$BI$2,"")</f>
        <v/>
      </c>
      <c r="AE515" s="197" t="str">
        <f>IF(AND($J515="x",AND(MAX(Z515:AB515)=AA515,AA515&lt;&gt;"")),Data!$BJ$2,"")</f>
        <v/>
      </c>
      <c r="AF515" s="197" t="str">
        <f>IF(AND($K515="x",AND(MAX(Z515:AB515)=AB515,AB515&lt;&gt;"")),Data!$BK$2,"")</f>
        <v/>
      </c>
      <c r="AG515" s="197"/>
      <c r="AH515" s="328"/>
      <c r="AI515" s="453"/>
      <c r="AJ515" s="454"/>
      <c r="AK515" s="441" t="str">
        <f t="shared" si="760"/>
        <v/>
      </c>
      <c r="AL515" s="328"/>
      <c r="AM515" s="197" t="str">
        <f>IF(AND($I515="x",AND(MAX(AI515:AK515)=AI515,AI515&lt;&gt;"")),Data!$BI$2,"")</f>
        <v/>
      </c>
      <c r="AN515" s="197" t="str">
        <f>IF(AND($J515="x",AND(MAX(AI515:AK515)=AJ515,AJ515&lt;&gt;"")),Data!$BJ$2,"")</f>
        <v/>
      </c>
      <c r="AO515" s="197" t="str">
        <f>IF(AND($K515="x",AND(MAX(AI515:AK515)=AK515,AK515&lt;&gt;"")),Data!$BK$2,"")</f>
        <v/>
      </c>
      <c r="AP515" s="197"/>
      <c r="AQ515" s="328"/>
      <c r="AR515" s="453"/>
      <c r="AS515" s="454"/>
      <c r="AT515" s="441" t="str">
        <f t="shared" si="761"/>
        <v/>
      </c>
      <c r="AU515" s="328"/>
      <c r="AV515" s="197" t="str">
        <f>IF(AND($I515="x",AND(MAX(AR515:AT515)=AR515,AR515&lt;&gt;"")),Data!$BI$2,"")</f>
        <v/>
      </c>
      <c r="AW515" s="197" t="str">
        <f>IF(AND($J515="x",AND(MAX(AR515:AT515)=AS515,AS515&lt;&gt;"")),Data!$BJ$2,"")</f>
        <v/>
      </c>
      <c r="AX515" s="197" t="str">
        <f>IF(AND($K515="x",AND(MAX(AR515:AT515)=AT515,AT515&lt;&gt;"")),Data!$BK$2,"")</f>
        <v/>
      </c>
      <c r="AY515" s="197"/>
      <c r="AZ515" s="328"/>
      <c r="BA515" s="453"/>
      <c r="BB515" s="454"/>
      <c r="BC515" s="441" t="str">
        <f t="shared" si="762"/>
        <v/>
      </c>
      <c r="BD515" s="328"/>
      <c r="BE515" s="197" t="str">
        <f>IF(AND($I515="x",AND(MAX(BA515:BC515)=BA515,BA515&lt;&gt;"")),Data!$BI$2,"")</f>
        <v/>
      </c>
      <c r="BF515" s="197" t="str">
        <f>IF(AND($J515="x",AND(MAX(BA515:BC515)=BB515,BB515&lt;&gt;"")),Data!$BJ$2,"")</f>
        <v/>
      </c>
      <c r="BG515" s="197" t="str">
        <f>IF(AND($K515="x",AND(MAX(BA515:BC515)=BC515,BC515&lt;&gt;"")),Data!$BK$2,"")</f>
        <v/>
      </c>
      <c r="BH515" s="197"/>
      <c r="BI515" s="328"/>
      <c r="BJ515" s="453"/>
      <c r="BK515" s="454"/>
      <c r="BL515" s="441" t="str">
        <f t="shared" si="763"/>
        <v/>
      </c>
      <c r="BM515" s="328"/>
      <c r="BN515" s="197" t="str">
        <f>IF(AND($I515="x",AND(MAX(BJ515:BL515)=BJ515,BJ515&lt;&gt;"")),Data!$BI$2,"")</f>
        <v/>
      </c>
      <c r="BO515" s="197" t="str">
        <f>IF(AND($J515="x",AND(MAX(BJ515:BL515)=BK515,BK515&lt;&gt;"")),Data!$BJ$2,"")</f>
        <v/>
      </c>
      <c r="BP515" s="197" t="str">
        <f>IF(AND($K515="x",AND(MAX(BJ515:BL515)=BL515,BL515&lt;&gt;"")),Data!$BK$2,"")</f>
        <v/>
      </c>
      <c r="BQ515" s="197"/>
      <c r="BR515" s="328"/>
      <c r="BS515" s="453"/>
      <c r="BT515" s="454"/>
      <c r="BU515" s="441" t="str">
        <f t="shared" si="764"/>
        <v/>
      </c>
      <c r="BV515" s="328"/>
      <c r="BW515" s="197" t="str">
        <f>IF(AND($I515="x",AND(MAX(BS515:BU515)=BS515,BS515&lt;&gt;"")),Data!$BI$2,"")</f>
        <v/>
      </c>
      <c r="BX515" s="197" t="str">
        <f>IF(AND($J515="x",AND(MAX(BS515:BU515)=BT515,BT515&lt;&gt;"")),Data!$BJ$2,"")</f>
        <v/>
      </c>
      <c r="BY515" s="197" t="str">
        <f>IF(AND($K515="x",AND(MAX(BS515:BU515)=BU515,BU515&lt;&gt;"")),Data!$BK$2,"")</f>
        <v/>
      </c>
      <c r="BZ515" s="197"/>
      <c r="CA515" s="328"/>
      <c r="CB515" s="460" t="str">
        <f t="shared" si="765"/>
        <v/>
      </c>
      <c r="CC515" s="461" t="str">
        <f t="shared" si="766"/>
        <v/>
      </c>
      <c r="CD515" s="462" t="str">
        <f t="shared" si="767"/>
        <v/>
      </c>
      <c r="CE515" s="328"/>
      <c r="CF515" s="197" t="str">
        <f>IF(AND($I515="x",AND(MAX(CB515:CD515)=CB515,CB515&lt;&gt;"")),Data!$BI$2,"")</f>
        <v/>
      </c>
      <c r="CG515" s="197" t="str">
        <f>IF(AND($J515="x",AND(MAX(CB515:CD515)=CC515,CC515&lt;&gt;"")),Data!$BJ$2,"")</f>
        <v/>
      </c>
      <c r="CH515" s="197" t="str">
        <f>IF(AND($K515="x",AND(MAX(CB515:CD515)=CD515,CD515&lt;&gt;"")),Data!$BK$2,"")</f>
        <v/>
      </c>
      <c r="CI515" s="197"/>
      <c r="CJ515" s="197"/>
      <c r="CK515" s="453"/>
      <c r="CL515" s="454"/>
      <c r="CM515" s="441" t="str">
        <f t="shared" si="768"/>
        <v/>
      </c>
      <c r="CN515" s="328"/>
      <c r="CO515" s="197" t="str">
        <f>IF(AND($I515="x",AND(MAX(CK515:CM515)=CK515,CK515&lt;&gt;"")),Data!$BI$2,"")</f>
        <v/>
      </c>
      <c r="CP515" s="197" t="str">
        <f>IF(AND($J515="x",AND(MAX(CK515:CM515)=CL515,CL515&lt;&gt;"")),Data!$BJ$2,"")</f>
        <v/>
      </c>
      <c r="CQ515" s="197" t="str">
        <f>IF(AND($K515="x",AND(MAX(CK515:CM515)=CM515,CM515&lt;&gt;"")),Data!$BK$2,"")</f>
        <v/>
      </c>
      <c r="CR515" s="197"/>
      <c r="CS515" s="197"/>
      <c r="CT515" s="328"/>
      <c r="CU515" s="255"/>
      <c r="CV515" s="209"/>
      <c r="CW515" s="227"/>
    </row>
    <row r="516" spans="1:101" x14ac:dyDescent="0.2">
      <c r="A516" s="227"/>
      <c r="B516" s="227"/>
      <c r="C516" s="168"/>
      <c r="D516" s="232"/>
      <c r="E516" s="136" t="s">
        <v>333</v>
      </c>
      <c r="F516" s="426"/>
      <c r="G516" s="432" t="s">
        <v>51</v>
      </c>
      <c r="H516" s="433"/>
      <c r="I516" s="349" t="str">
        <f t="shared" si="755"/>
        <v/>
      </c>
      <c r="J516" s="350" t="str">
        <f t="shared" si="756"/>
        <v/>
      </c>
      <c r="K516" s="351" t="str">
        <f t="shared" si="757"/>
        <v/>
      </c>
      <c r="L516" s="258"/>
      <c r="M516" s="332"/>
      <c r="N516" s="336"/>
      <c r="O516" s="200"/>
      <c r="P516" s="200"/>
      <c r="Q516" s="442"/>
      <c r="R516" s="443"/>
      <c r="S516" s="444" t="str">
        <f t="shared" si="758"/>
        <v/>
      </c>
      <c r="T516" s="328"/>
      <c r="U516" s="197" t="str">
        <f>IF(AND($I516="x",AND(MAX(Q516:S516)=Q516,Q516&gt;=0)),Data!$BI$2,"")</f>
        <v/>
      </c>
      <c r="V516" s="197" t="str">
        <f>IF(AND($J516="x",AND(MAX(Q516:S516)=R516,R516&gt;=0)),Data!$BJ$2,"")</f>
        <v/>
      </c>
      <c r="W516" s="197" t="str">
        <f>IF(AND($K516="x",AND(MAX(Q516:S516)=S516,S516&gt;=0)),Data!$BK$2,"")</f>
        <v/>
      </c>
      <c r="X516" s="197"/>
      <c r="Y516" s="328"/>
      <c r="Z516" s="455"/>
      <c r="AA516" s="456"/>
      <c r="AB516" s="444" t="str">
        <f t="shared" si="759"/>
        <v/>
      </c>
      <c r="AC516" s="328"/>
      <c r="AD516" s="197" t="str">
        <f>IF(AND($I516="x",AND(MAX(Z516:AB516)=Z516,Z516&lt;&gt;"")),Data!$BI$2,"")</f>
        <v/>
      </c>
      <c r="AE516" s="197" t="str">
        <f>IF(AND($J516="x",AND(MAX(Z516:AB516)=AA516,AA516&lt;&gt;"")),Data!$BJ$2,"")</f>
        <v/>
      </c>
      <c r="AF516" s="197" t="str">
        <f>IF(AND($K516="x",AND(MAX(Z516:AB516)=AB516,AB516&lt;&gt;"")),Data!$BK$2,"")</f>
        <v/>
      </c>
      <c r="AG516" s="197"/>
      <c r="AH516" s="328"/>
      <c r="AI516" s="455"/>
      <c r="AJ516" s="456"/>
      <c r="AK516" s="444" t="str">
        <f t="shared" si="760"/>
        <v/>
      </c>
      <c r="AL516" s="328"/>
      <c r="AM516" s="197" t="str">
        <f>IF(AND($I516="x",AND(MAX(AI516:AK516)=AI516,AI516&lt;&gt;"")),Data!$BI$2,"")</f>
        <v/>
      </c>
      <c r="AN516" s="197" t="str">
        <f>IF(AND($J516="x",AND(MAX(AI516:AK516)=AJ516,AJ516&lt;&gt;"")),Data!$BJ$2,"")</f>
        <v/>
      </c>
      <c r="AO516" s="197" t="str">
        <f>IF(AND($K516="x",AND(MAX(AI516:AK516)=AK516,AK516&lt;&gt;"")),Data!$BK$2,"")</f>
        <v/>
      </c>
      <c r="AP516" s="197"/>
      <c r="AQ516" s="328"/>
      <c r="AR516" s="455"/>
      <c r="AS516" s="456"/>
      <c r="AT516" s="444" t="str">
        <f t="shared" si="761"/>
        <v/>
      </c>
      <c r="AU516" s="328"/>
      <c r="AV516" s="197" t="str">
        <f>IF(AND($I516="x",AND(MAX(AR516:AT516)=AR516,AR516&lt;&gt;"")),Data!$BI$2,"")</f>
        <v/>
      </c>
      <c r="AW516" s="197" t="str">
        <f>IF(AND($J516="x",AND(MAX(AR516:AT516)=AS516,AS516&lt;&gt;"")),Data!$BJ$2,"")</f>
        <v/>
      </c>
      <c r="AX516" s="197" t="str">
        <f>IF(AND($K516="x",AND(MAX(AR516:AT516)=AT516,AT516&lt;&gt;"")),Data!$BK$2,"")</f>
        <v/>
      </c>
      <c r="AY516" s="197"/>
      <c r="AZ516" s="328"/>
      <c r="BA516" s="455"/>
      <c r="BB516" s="456"/>
      <c r="BC516" s="444" t="str">
        <f t="shared" si="762"/>
        <v/>
      </c>
      <c r="BD516" s="328"/>
      <c r="BE516" s="197" t="str">
        <f>IF(AND($I516="x",AND(MAX(BA516:BC516)=BA516,BA516&lt;&gt;"")),Data!$BI$2,"")</f>
        <v/>
      </c>
      <c r="BF516" s="197" t="str">
        <f>IF(AND($J516="x",AND(MAX(BA516:BC516)=BB516,BB516&lt;&gt;"")),Data!$BJ$2,"")</f>
        <v/>
      </c>
      <c r="BG516" s="197" t="str">
        <f>IF(AND($K516="x",AND(MAX(BA516:BC516)=BC516,BC516&lt;&gt;"")),Data!$BK$2,"")</f>
        <v/>
      </c>
      <c r="BH516" s="197"/>
      <c r="BI516" s="328"/>
      <c r="BJ516" s="455"/>
      <c r="BK516" s="456"/>
      <c r="BL516" s="444" t="str">
        <f t="shared" si="763"/>
        <v/>
      </c>
      <c r="BM516" s="328"/>
      <c r="BN516" s="197" t="str">
        <f>IF(AND($I516="x",AND(MAX(BJ516:BL516)=BJ516,BJ516&lt;&gt;"")),Data!$BI$2,"")</f>
        <v/>
      </c>
      <c r="BO516" s="197" t="str">
        <f>IF(AND($J516="x",AND(MAX(BJ516:BL516)=BK516,BK516&lt;&gt;"")),Data!$BJ$2,"")</f>
        <v/>
      </c>
      <c r="BP516" s="197" t="str">
        <f>IF(AND($K516="x",AND(MAX(BJ516:BL516)=BL516,BL516&lt;&gt;"")),Data!$BK$2,"")</f>
        <v/>
      </c>
      <c r="BQ516" s="197"/>
      <c r="BR516" s="328"/>
      <c r="BS516" s="455"/>
      <c r="BT516" s="456"/>
      <c r="BU516" s="444" t="str">
        <f t="shared" si="764"/>
        <v/>
      </c>
      <c r="BV516" s="328"/>
      <c r="BW516" s="197" t="str">
        <f>IF(AND($I516="x",AND(MAX(BS516:BU516)=BS516,BS516&lt;&gt;"")),Data!$BI$2,"")</f>
        <v/>
      </c>
      <c r="BX516" s="197" t="str">
        <f>IF(AND($J516="x",AND(MAX(BS516:BU516)=BT516,BT516&lt;&gt;"")),Data!$BJ$2,"")</f>
        <v/>
      </c>
      <c r="BY516" s="197" t="str">
        <f>IF(AND($K516="x",AND(MAX(BS516:BU516)=BU516,BU516&lt;&gt;"")),Data!$BK$2,"")</f>
        <v/>
      </c>
      <c r="BZ516" s="197"/>
      <c r="CA516" s="328"/>
      <c r="CB516" s="463" t="str">
        <f t="shared" si="765"/>
        <v/>
      </c>
      <c r="CC516" s="464" t="str">
        <f t="shared" si="766"/>
        <v/>
      </c>
      <c r="CD516" s="465" t="str">
        <f t="shared" si="767"/>
        <v/>
      </c>
      <c r="CE516" s="328"/>
      <c r="CF516" s="197" t="str">
        <f>IF(AND($I516="x",AND(MAX(CB516:CD516)=CB516,CB516&lt;&gt;"")),Data!$BI$2,"")</f>
        <v/>
      </c>
      <c r="CG516" s="197" t="str">
        <f>IF(AND($J516="x",AND(MAX(CB516:CD516)=CC516,CC516&lt;&gt;"")),Data!$BJ$2,"")</f>
        <v/>
      </c>
      <c r="CH516" s="197" t="str">
        <f>IF(AND($K516="x",AND(MAX(CB516:CD516)=CD516,CD516&lt;&gt;"")),Data!$BK$2,"")</f>
        <v/>
      </c>
      <c r="CI516" s="197"/>
      <c r="CJ516" s="197"/>
      <c r="CK516" s="455"/>
      <c r="CL516" s="456"/>
      <c r="CM516" s="444" t="str">
        <f t="shared" si="768"/>
        <v/>
      </c>
      <c r="CN516" s="328"/>
      <c r="CO516" s="197" t="str">
        <f>IF(AND($I516="x",AND(MAX(CK516:CM516)=CK516,CK516&lt;&gt;"")),Data!$BI$2,"")</f>
        <v/>
      </c>
      <c r="CP516" s="197" t="str">
        <f>IF(AND($J516="x",AND(MAX(CK516:CM516)=CL516,CL516&lt;&gt;"")),Data!$BJ$2,"")</f>
        <v/>
      </c>
      <c r="CQ516" s="197" t="str">
        <f>IF(AND($K516="x",AND(MAX(CK516:CM516)=CM516,CM516&lt;&gt;"")),Data!$BK$2,"")</f>
        <v/>
      </c>
      <c r="CR516" s="197"/>
      <c r="CS516" s="197"/>
      <c r="CT516" s="328"/>
      <c r="CU516" s="255"/>
      <c r="CV516" s="209"/>
      <c r="CW516" s="227"/>
    </row>
    <row r="517" spans="1:101" x14ac:dyDescent="0.2">
      <c r="A517" s="227"/>
      <c r="B517" s="227"/>
      <c r="C517" s="168"/>
      <c r="D517" s="232"/>
      <c r="E517" s="134" t="s">
        <v>334</v>
      </c>
      <c r="F517" s="424"/>
      <c r="G517" s="428" t="s">
        <v>51</v>
      </c>
      <c r="H517" s="429"/>
      <c r="I517" s="138" t="str">
        <f t="shared" si="755"/>
        <v/>
      </c>
      <c r="J517" s="344" t="str">
        <f t="shared" si="756"/>
        <v/>
      </c>
      <c r="K517" s="345" t="str">
        <f t="shared" si="757"/>
        <v/>
      </c>
      <c r="L517" s="258"/>
      <c r="M517" s="332"/>
      <c r="N517" s="336"/>
      <c r="O517" s="200"/>
      <c r="P517" s="200"/>
      <c r="Q517" s="436"/>
      <c r="R517" s="437"/>
      <c r="S517" s="438" t="str">
        <f t="shared" si="758"/>
        <v/>
      </c>
      <c r="T517" s="328"/>
      <c r="U517" s="197" t="str">
        <f>IF(AND($I517="x",AND(MAX(Q517:S517)=Q517,Q517&gt;=0)),Data!$BI$2,"")</f>
        <v/>
      </c>
      <c r="V517" s="197" t="str">
        <f>IF(AND($J517="x",AND(MAX(Q517:S517)=R517,R517&gt;=0)),Data!$BJ$2,"")</f>
        <v/>
      </c>
      <c r="W517" s="197" t="str">
        <f>IF(AND($K517="x",AND(MAX(Q517:S517)=S517,S517&gt;=0)),Data!$BK$2,"")</f>
        <v/>
      </c>
      <c r="X517" s="197"/>
      <c r="Y517" s="328"/>
      <c r="Z517" s="451"/>
      <c r="AA517" s="452"/>
      <c r="AB517" s="438" t="str">
        <f t="shared" si="759"/>
        <v/>
      </c>
      <c r="AC517" s="328"/>
      <c r="AD517" s="197" t="str">
        <f>IF(AND($I517="x",AND(MAX(Z517:AB517)=Z517,Z517&lt;&gt;"")),Data!$BI$2,"")</f>
        <v/>
      </c>
      <c r="AE517" s="197" t="str">
        <f>IF(AND($J517="x",AND(MAX(Z517:AB517)=AA517,AA517&lt;&gt;"")),Data!$BJ$2,"")</f>
        <v/>
      </c>
      <c r="AF517" s="197" t="str">
        <f>IF(AND($K517="x",AND(MAX(Z517:AB517)=AB517,AB517&lt;&gt;"")),Data!$BK$2,"")</f>
        <v/>
      </c>
      <c r="AG517" s="197"/>
      <c r="AH517" s="328"/>
      <c r="AI517" s="451"/>
      <c r="AJ517" s="452"/>
      <c r="AK517" s="438" t="str">
        <f t="shared" si="760"/>
        <v/>
      </c>
      <c r="AL517" s="328"/>
      <c r="AM517" s="197" t="str">
        <f>IF(AND($I517="x",AND(MAX(AI517:AK517)=AI517,AI517&lt;&gt;"")),Data!$BI$2,"")</f>
        <v/>
      </c>
      <c r="AN517" s="197" t="str">
        <f>IF(AND($J517="x",AND(MAX(AI517:AK517)=AJ517,AJ517&lt;&gt;"")),Data!$BJ$2,"")</f>
        <v/>
      </c>
      <c r="AO517" s="197" t="str">
        <f>IF(AND($K517="x",AND(MAX(AI517:AK517)=AK517,AK517&lt;&gt;"")),Data!$BK$2,"")</f>
        <v/>
      </c>
      <c r="AP517" s="197"/>
      <c r="AQ517" s="328"/>
      <c r="AR517" s="451"/>
      <c r="AS517" s="452"/>
      <c r="AT517" s="438" t="str">
        <f t="shared" si="761"/>
        <v/>
      </c>
      <c r="AU517" s="328"/>
      <c r="AV517" s="197" t="str">
        <f>IF(AND($I517="x",AND(MAX(AR517:AT517)=AR517,AR517&lt;&gt;"")),Data!$BI$2,"")</f>
        <v/>
      </c>
      <c r="AW517" s="197" t="str">
        <f>IF(AND($J517="x",AND(MAX(AR517:AT517)=AS517,AS517&lt;&gt;"")),Data!$BJ$2,"")</f>
        <v/>
      </c>
      <c r="AX517" s="197" t="str">
        <f>IF(AND($K517="x",AND(MAX(AR517:AT517)=AT517,AT517&lt;&gt;"")),Data!$BK$2,"")</f>
        <v/>
      </c>
      <c r="AY517" s="197"/>
      <c r="AZ517" s="328"/>
      <c r="BA517" s="451"/>
      <c r="BB517" s="452"/>
      <c r="BC517" s="438" t="str">
        <f t="shared" si="762"/>
        <v/>
      </c>
      <c r="BD517" s="328"/>
      <c r="BE517" s="197" t="str">
        <f>IF(AND($I517="x",AND(MAX(BA517:BC517)=BA517,BA517&lt;&gt;"")),Data!$BI$2,"")</f>
        <v/>
      </c>
      <c r="BF517" s="197" t="str">
        <f>IF(AND($J517="x",AND(MAX(BA517:BC517)=BB517,BB517&lt;&gt;"")),Data!$BJ$2,"")</f>
        <v/>
      </c>
      <c r="BG517" s="197" t="str">
        <f>IF(AND($K517="x",AND(MAX(BA517:BC517)=BC517,BC517&lt;&gt;"")),Data!$BK$2,"")</f>
        <v/>
      </c>
      <c r="BH517" s="197"/>
      <c r="BI517" s="328"/>
      <c r="BJ517" s="451"/>
      <c r="BK517" s="452"/>
      <c r="BL517" s="438" t="str">
        <f t="shared" si="763"/>
        <v/>
      </c>
      <c r="BM517" s="328"/>
      <c r="BN517" s="197" t="str">
        <f>IF(AND($I517="x",AND(MAX(BJ517:BL517)=BJ517,BJ517&lt;&gt;"")),Data!$BI$2,"")</f>
        <v/>
      </c>
      <c r="BO517" s="197" t="str">
        <f>IF(AND($J517="x",AND(MAX(BJ517:BL517)=BK517,BK517&lt;&gt;"")),Data!$BJ$2,"")</f>
        <v/>
      </c>
      <c r="BP517" s="197" t="str">
        <f>IF(AND($K517="x",AND(MAX(BJ517:BL517)=BL517,BL517&lt;&gt;"")),Data!$BK$2,"")</f>
        <v/>
      </c>
      <c r="BQ517" s="197"/>
      <c r="BR517" s="328"/>
      <c r="BS517" s="451"/>
      <c r="BT517" s="452"/>
      <c r="BU517" s="438" t="str">
        <f t="shared" si="764"/>
        <v/>
      </c>
      <c r="BV517" s="328"/>
      <c r="BW517" s="197" t="str">
        <f>IF(AND($I517="x",AND(MAX(BS517:BU517)=BS517,BS517&lt;&gt;"")),Data!$BI$2,"")</f>
        <v/>
      </c>
      <c r="BX517" s="197" t="str">
        <f>IF(AND($J517="x",AND(MAX(BS517:BU517)=BT517,BT517&lt;&gt;"")),Data!$BJ$2,"")</f>
        <v/>
      </c>
      <c r="BY517" s="197" t="str">
        <f>IF(AND($K517="x",AND(MAX(BS517:BU517)=BU517,BU517&lt;&gt;"")),Data!$BK$2,"")</f>
        <v/>
      </c>
      <c r="BZ517" s="197"/>
      <c r="CA517" s="328"/>
      <c r="CB517" s="457" t="str">
        <f t="shared" si="765"/>
        <v/>
      </c>
      <c r="CC517" s="458" t="str">
        <f t="shared" si="766"/>
        <v/>
      </c>
      <c r="CD517" s="459" t="str">
        <f t="shared" si="767"/>
        <v/>
      </c>
      <c r="CE517" s="328"/>
      <c r="CF517" s="197" t="str">
        <f>IF(AND($I517="x",AND(MAX(CB517:CD517)=CB517,CB517&lt;&gt;"")),Data!$BI$2,"")</f>
        <v/>
      </c>
      <c r="CG517" s="197" t="str">
        <f>IF(AND($J517="x",AND(MAX(CB517:CD517)=CC517,CC517&lt;&gt;"")),Data!$BJ$2,"")</f>
        <v/>
      </c>
      <c r="CH517" s="197" t="str">
        <f>IF(AND($K517="x",AND(MAX(CB517:CD517)=CD517,CD517&lt;&gt;"")),Data!$BK$2,"")</f>
        <v/>
      </c>
      <c r="CI517" s="197"/>
      <c r="CJ517" s="197"/>
      <c r="CK517" s="451"/>
      <c r="CL517" s="452"/>
      <c r="CM517" s="438" t="str">
        <f t="shared" si="768"/>
        <v/>
      </c>
      <c r="CN517" s="328"/>
      <c r="CO517" s="197" t="str">
        <f>IF(AND($I517="x",AND(MAX(CK517:CM517)=CK517,CK517&lt;&gt;"")),Data!$BI$2,"")</f>
        <v/>
      </c>
      <c r="CP517" s="197" t="str">
        <f>IF(AND($J517="x",AND(MAX(CK517:CM517)=CL517,CL517&lt;&gt;"")),Data!$BJ$2,"")</f>
        <v/>
      </c>
      <c r="CQ517" s="197" t="str">
        <f>IF(AND($K517="x",AND(MAX(CK517:CM517)=CM517,CM517&lt;&gt;"")),Data!$BK$2,"")</f>
        <v/>
      </c>
      <c r="CR517" s="197"/>
      <c r="CS517" s="197"/>
      <c r="CT517" s="328"/>
      <c r="CU517" s="255"/>
      <c r="CV517" s="209"/>
      <c r="CW517" s="227"/>
    </row>
    <row r="518" spans="1:101" x14ac:dyDescent="0.2">
      <c r="A518" s="227"/>
      <c r="B518" s="227"/>
      <c r="C518" s="168"/>
      <c r="D518" s="232"/>
      <c r="E518" s="135" t="s">
        <v>335</v>
      </c>
      <c r="F518" s="425"/>
      <c r="G518" s="430" t="s">
        <v>51</v>
      </c>
      <c r="H518" s="431"/>
      <c r="I518" s="346" t="str">
        <f t="shared" si="755"/>
        <v/>
      </c>
      <c r="J518" s="347" t="str">
        <f t="shared" si="756"/>
        <v/>
      </c>
      <c r="K518" s="348" t="str">
        <f t="shared" si="757"/>
        <v/>
      </c>
      <c r="L518" s="258"/>
      <c r="M518" s="332"/>
      <c r="N518" s="336"/>
      <c r="O518" s="200"/>
      <c r="P518" s="200"/>
      <c r="Q518" s="439"/>
      <c r="R518" s="440"/>
      <c r="S518" s="441" t="str">
        <f t="shared" si="758"/>
        <v/>
      </c>
      <c r="T518" s="328"/>
      <c r="U518" s="197" t="str">
        <f>IF(AND($I518="x",AND(MAX(Q518:S518)=Q518,Q518&gt;=0)),Data!$BI$2,"")</f>
        <v/>
      </c>
      <c r="V518" s="197" t="str">
        <f>IF(AND($J518="x",AND(MAX(Q518:S518)=R518,R518&gt;=0)),Data!$BJ$2,"")</f>
        <v/>
      </c>
      <c r="W518" s="197" t="str">
        <f>IF(AND($K518="x",AND(MAX(Q518:S518)=S518,S518&gt;=0)),Data!$BK$2,"")</f>
        <v/>
      </c>
      <c r="X518" s="197"/>
      <c r="Y518" s="328"/>
      <c r="Z518" s="453"/>
      <c r="AA518" s="454"/>
      <c r="AB518" s="441" t="str">
        <f t="shared" si="759"/>
        <v/>
      </c>
      <c r="AC518" s="328"/>
      <c r="AD518" s="197" t="str">
        <f>IF(AND($I518="x",AND(MAX(Z518:AB518)=Z518,Z518&lt;&gt;"")),Data!$BI$2,"")</f>
        <v/>
      </c>
      <c r="AE518" s="197" t="str">
        <f>IF(AND($J518="x",AND(MAX(Z518:AB518)=AA518,AA518&lt;&gt;"")),Data!$BJ$2,"")</f>
        <v/>
      </c>
      <c r="AF518" s="197" t="str">
        <f>IF(AND($K518="x",AND(MAX(Z518:AB518)=AB518,AB518&lt;&gt;"")),Data!$BK$2,"")</f>
        <v/>
      </c>
      <c r="AG518" s="197"/>
      <c r="AH518" s="328"/>
      <c r="AI518" s="453"/>
      <c r="AJ518" s="454"/>
      <c r="AK518" s="441" t="str">
        <f t="shared" si="760"/>
        <v/>
      </c>
      <c r="AL518" s="328"/>
      <c r="AM518" s="197" t="str">
        <f>IF(AND($I518="x",AND(MAX(AI518:AK518)=AI518,AI518&lt;&gt;"")),Data!$BI$2,"")</f>
        <v/>
      </c>
      <c r="AN518" s="197" t="str">
        <f>IF(AND($J518="x",AND(MAX(AI518:AK518)=AJ518,AJ518&lt;&gt;"")),Data!$BJ$2,"")</f>
        <v/>
      </c>
      <c r="AO518" s="197" t="str">
        <f>IF(AND($K518="x",AND(MAX(AI518:AK518)=AK518,AK518&lt;&gt;"")),Data!$BK$2,"")</f>
        <v/>
      </c>
      <c r="AP518" s="197"/>
      <c r="AQ518" s="328"/>
      <c r="AR518" s="453"/>
      <c r="AS518" s="454"/>
      <c r="AT518" s="441" t="str">
        <f t="shared" si="761"/>
        <v/>
      </c>
      <c r="AU518" s="328"/>
      <c r="AV518" s="197" t="str">
        <f>IF(AND($I518="x",AND(MAX(AR518:AT518)=AR518,AR518&lt;&gt;"")),Data!$BI$2,"")</f>
        <v/>
      </c>
      <c r="AW518" s="197" t="str">
        <f>IF(AND($J518="x",AND(MAX(AR518:AT518)=AS518,AS518&lt;&gt;"")),Data!$BJ$2,"")</f>
        <v/>
      </c>
      <c r="AX518" s="197" t="str">
        <f>IF(AND($K518="x",AND(MAX(AR518:AT518)=AT518,AT518&lt;&gt;"")),Data!$BK$2,"")</f>
        <v/>
      </c>
      <c r="AY518" s="197"/>
      <c r="AZ518" s="328"/>
      <c r="BA518" s="453"/>
      <c r="BB518" s="454"/>
      <c r="BC518" s="441" t="str">
        <f t="shared" si="762"/>
        <v/>
      </c>
      <c r="BD518" s="328"/>
      <c r="BE518" s="197" t="str">
        <f>IF(AND($I518="x",AND(MAX(BA518:BC518)=BA518,BA518&lt;&gt;"")),Data!$BI$2,"")</f>
        <v/>
      </c>
      <c r="BF518" s="197" t="str">
        <f>IF(AND($J518="x",AND(MAX(BA518:BC518)=BB518,BB518&lt;&gt;"")),Data!$BJ$2,"")</f>
        <v/>
      </c>
      <c r="BG518" s="197" t="str">
        <f>IF(AND($K518="x",AND(MAX(BA518:BC518)=BC518,BC518&lt;&gt;"")),Data!$BK$2,"")</f>
        <v/>
      </c>
      <c r="BH518" s="197"/>
      <c r="BI518" s="328"/>
      <c r="BJ518" s="453"/>
      <c r="BK518" s="454"/>
      <c r="BL518" s="441" t="str">
        <f t="shared" si="763"/>
        <v/>
      </c>
      <c r="BM518" s="328"/>
      <c r="BN518" s="197" t="str">
        <f>IF(AND($I518="x",AND(MAX(BJ518:BL518)=BJ518,BJ518&lt;&gt;"")),Data!$BI$2,"")</f>
        <v/>
      </c>
      <c r="BO518" s="197" t="str">
        <f>IF(AND($J518="x",AND(MAX(BJ518:BL518)=BK518,BK518&lt;&gt;"")),Data!$BJ$2,"")</f>
        <v/>
      </c>
      <c r="BP518" s="197" t="str">
        <f>IF(AND($K518="x",AND(MAX(BJ518:BL518)=BL518,BL518&lt;&gt;"")),Data!$BK$2,"")</f>
        <v/>
      </c>
      <c r="BQ518" s="197"/>
      <c r="BR518" s="328"/>
      <c r="BS518" s="453"/>
      <c r="BT518" s="454"/>
      <c r="BU518" s="441" t="str">
        <f t="shared" si="764"/>
        <v/>
      </c>
      <c r="BV518" s="328"/>
      <c r="BW518" s="197" t="str">
        <f>IF(AND($I518="x",AND(MAX(BS518:BU518)=BS518,BS518&lt;&gt;"")),Data!$BI$2,"")</f>
        <v/>
      </c>
      <c r="BX518" s="197" t="str">
        <f>IF(AND($J518="x",AND(MAX(BS518:BU518)=BT518,BT518&lt;&gt;"")),Data!$BJ$2,"")</f>
        <v/>
      </c>
      <c r="BY518" s="197" t="str">
        <f>IF(AND($K518="x",AND(MAX(BS518:BU518)=BU518,BU518&lt;&gt;"")),Data!$BK$2,"")</f>
        <v/>
      </c>
      <c r="BZ518" s="197"/>
      <c r="CA518" s="328"/>
      <c r="CB518" s="460" t="str">
        <f t="shared" si="765"/>
        <v/>
      </c>
      <c r="CC518" s="461" t="str">
        <f t="shared" si="766"/>
        <v/>
      </c>
      <c r="CD518" s="462" t="str">
        <f t="shared" si="767"/>
        <v/>
      </c>
      <c r="CE518" s="328"/>
      <c r="CF518" s="197" t="str">
        <f>IF(AND($I518="x",AND(MAX(CB518:CD518)=CB518,CB518&lt;&gt;"")),Data!$BI$2,"")</f>
        <v/>
      </c>
      <c r="CG518" s="197" t="str">
        <f>IF(AND($J518="x",AND(MAX(CB518:CD518)=CC518,CC518&lt;&gt;"")),Data!$BJ$2,"")</f>
        <v/>
      </c>
      <c r="CH518" s="197" t="str">
        <f>IF(AND($K518="x",AND(MAX(CB518:CD518)=CD518,CD518&lt;&gt;"")),Data!$BK$2,"")</f>
        <v/>
      </c>
      <c r="CI518" s="197"/>
      <c r="CJ518" s="197"/>
      <c r="CK518" s="453"/>
      <c r="CL518" s="454"/>
      <c r="CM518" s="441" t="str">
        <f t="shared" si="768"/>
        <v/>
      </c>
      <c r="CN518" s="328"/>
      <c r="CO518" s="197" t="str">
        <f>IF(AND($I518="x",AND(MAX(CK518:CM518)=CK518,CK518&lt;&gt;"")),Data!$BI$2,"")</f>
        <v/>
      </c>
      <c r="CP518" s="197" t="str">
        <f>IF(AND($J518="x",AND(MAX(CK518:CM518)=CL518,CL518&lt;&gt;"")),Data!$BJ$2,"")</f>
        <v/>
      </c>
      <c r="CQ518" s="197" t="str">
        <f>IF(AND($K518="x",AND(MAX(CK518:CM518)=CM518,CM518&lt;&gt;"")),Data!$BK$2,"")</f>
        <v/>
      </c>
      <c r="CR518" s="197"/>
      <c r="CS518" s="197"/>
      <c r="CT518" s="328"/>
      <c r="CU518" s="255"/>
      <c r="CV518" s="209"/>
      <c r="CW518" s="227"/>
    </row>
    <row r="519" spans="1:101" x14ac:dyDescent="0.2">
      <c r="A519" s="227"/>
      <c r="B519" s="227"/>
      <c r="C519" s="168"/>
      <c r="D519" s="232"/>
      <c r="E519" s="136" t="s">
        <v>336</v>
      </c>
      <c r="F519" s="426"/>
      <c r="G519" s="432" t="s">
        <v>51</v>
      </c>
      <c r="H519" s="433"/>
      <c r="I519" s="349" t="str">
        <f t="shared" si="755"/>
        <v/>
      </c>
      <c r="J519" s="350" t="str">
        <f t="shared" si="756"/>
        <v/>
      </c>
      <c r="K519" s="351" t="str">
        <f t="shared" si="757"/>
        <v/>
      </c>
      <c r="L519" s="258"/>
      <c r="M519" s="332"/>
      <c r="N519" s="336"/>
      <c r="O519" s="200"/>
      <c r="P519" s="200"/>
      <c r="Q519" s="445"/>
      <c r="R519" s="446"/>
      <c r="S519" s="447" t="str">
        <f t="shared" si="758"/>
        <v/>
      </c>
      <c r="T519" s="328"/>
      <c r="U519" s="197" t="str">
        <f>IF(AND($I519="x",AND(MAX(Q519:S519)=Q519,Q519&gt;=0)),Data!$BI$2,"")</f>
        <v/>
      </c>
      <c r="V519" s="197" t="str">
        <f>IF(AND($J519="x",AND(MAX(Q519:S519)=R519,R519&gt;=0)),Data!$BJ$2,"")</f>
        <v/>
      </c>
      <c r="W519" s="197" t="str">
        <f>IF(AND($K519="x",AND(MAX(Q519:S519)=S519,S519&gt;=0)),Data!$BK$2,"")</f>
        <v/>
      </c>
      <c r="X519" s="197"/>
      <c r="Y519" s="328"/>
      <c r="Z519" s="455"/>
      <c r="AA519" s="456"/>
      <c r="AB519" s="447" t="str">
        <f t="shared" si="759"/>
        <v/>
      </c>
      <c r="AC519" s="328"/>
      <c r="AD519" s="197" t="str">
        <f>IF(AND($I519="x",AND(MAX(Z519:AB519)=Z519,Z519&lt;&gt;"")),Data!$BI$2,"")</f>
        <v/>
      </c>
      <c r="AE519" s="197" t="str">
        <f>IF(AND($J519="x",AND(MAX(Z519:AB519)=AA519,AA519&lt;&gt;"")),Data!$BJ$2,"")</f>
        <v/>
      </c>
      <c r="AF519" s="197" t="str">
        <f>IF(AND($K519="x",AND(MAX(Z519:AB519)=AB519,AB519&lt;&gt;"")),Data!$BK$2,"")</f>
        <v/>
      </c>
      <c r="AG519" s="197"/>
      <c r="AH519" s="328"/>
      <c r="AI519" s="455"/>
      <c r="AJ519" s="456"/>
      <c r="AK519" s="447" t="str">
        <f t="shared" si="760"/>
        <v/>
      </c>
      <c r="AL519" s="328"/>
      <c r="AM519" s="197" t="str">
        <f>IF(AND($I519="x",AND(MAX(AI519:AK519)=AI519,AI519&lt;&gt;"")),Data!$BI$2,"")</f>
        <v/>
      </c>
      <c r="AN519" s="197" t="str">
        <f>IF(AND($J519="x",AND(MAX(AI519:AK519)=AJ519,AJ519&lt;&gt;"")),Data!$BJ$2,"")</f>
        <v/>
      </c>
      <c r="AO519" s="197" t="str">
        <f>IF(AND($K519="x",AND(MAX(AI519:AK519)=AK519,AK519&lt;&gt;"")),Data!$BK$2,"")</f>
        <v/>
      </c>
      <c r="AP519" s="197"/>
      <c r="AQ519" s="328"/>
      <c r="AR519" s="455"/>
      <c r="AS519" s="456"/>
      <c r="AT519" s="447" t="str">
        <f t="shared" si="761"/>
        <v/>
      </c>
      <c r="AU519" s="328"/>
      <c r="AV519" s="197" t="str">
        <f>IF(AND($I519="x",AND(MAX(AR519:AT519)=AR519,AR519&lt;&gt;"")),Data!$BI$2,"")</f>
        <v/>
      </c>
      <c r="AW519" s="197" t="str">
        <f>IF(AND($J519="x",AND(MAX(AR519:AT519)=AS519,AS519&lt;&gt;"")),Data!$BJ$2,"")</f>
        <v/>
      </c>
      <c r="AX519" s="197" t="str">
        <f>IF(AND($K519="x",AND(MAX(AR519:AT519)=AT519,AT519&lt;&gt;"")),Data!$BK$2,"")</f>
        <v/>
      </c>
      <c r="AY519" s="197"/>
      <c r="AZ519" s="328"/>
      <c r="BA519" s="455"/>
      <c r="BB519" s="456"/>
      <c r="BC519" s="447" t="str">
        <f t="shared" si="762"/>
        <v/>
      </c>
      <c r="BD519" s="328"/>
      <c r="BE519" s="197" t="str">
        <f>IF(AND($I519="x",AND(MAX(BA519:BC519)=BA519,BA519&lt;&gt;"")),Data!$BI$2,"")</f>
        <v/>
      </c>
      <c r="BF519" s="197" t="str">
        <f>IF(AND($J519="x",AND(MAX(BA519:BC519)=BB519,BB519&lt;&gt;"")),Data!$BJ$2,"")</f>
        <v/>
      </c>
      <c r="BG519" s="197" t="str">
        <f>IF(AND($K519="x",AND(MAX(BA519:BC519)=BC519,BC519&lt;&gt;"")),Data!$BK$2,"")</f>
        <v/>
      </c>
      <c r="BH519" s="197"/>
      <c r="BI519" s="328"/>
      <c r="BJ519" s="455"/>
      <c r="BK519" s="456"/>
      <c r="BL519" s="447" t="str">
        <f t="shared" si="763"/>
        <v/>
      </c>
      <c r="BM519" s="328"/>
      <c r="BN519" s="197" t="str">
        <f>IF(AND($I519="x",AND(MAX(BJ519:BL519)=BJ519,BJ519&lt;&gt;"")),Data!$BI$2,"")</f>
        <v/>
      </c>
      <c r="BO519" s="197" t="str">
        <f>IF(AND($J519="x",AND(MAX(BJ519:BL519)=BK519,BK519&lt;&gt;"")),Data!$BJ$2,"")</f>
        <v/>
      </c>
      <c r="BP519" s="197" t="str">
        <f>IF(AND($K519="x",AND(MAX(BJ519:BL519)=BL519,BL519&lt;&gt;"")),Data!$BK$2,"")</f>
        <v/>
      </c>
      <c r="BQ519" s="197"/>
      <c r="BR519" s="328"/>
      <c r="BS519" s="455"/>
      <c r="BT519" s="456"/>
      <c r="BU519" s="447" t="str">
        <f t="shared" si="764"/>
        <v/>
      </c>
      <c r="BV519" s="328"/>
      <c r="BW519" s="197" t="str">
        <f>IF(AND($I519="x",AND(MAX(BS519:BU519)=BS519,BS519&lt;&gt;"")),Data!$BI$2,"")</f>
        <v/>
      </c>
      <c r="BX519" s="197" t="str">
        <f>IF(AND($J519="x",AND(MAX(BS519:BU519)=BT519,BT519&lt;&gt;"")),Data!$BJ$2,"")</f>
        <v/>
      </c>
      <c r="BY519" s="197" t="str">
        <f>IF(AND($K519="x",AND(MAX(BS519:BU519)=BU519,BU519&lt;&gt;"")),Data!$BK$2,"")</f>
        <v/>
      </c>
      <c r="BZ519" s="197"/>
      <c r="CA519" s="328"/>
      <c r="CB519" s="463" t="str">
        <f t="shared" si="765"/>
        <v/>
      </c>
      <c r="CC519" s="464" t="str">
        <f t="shared" si="766"/>
        <v/>
      </c>
      <c r="CD519" s="465" t="str">
        <f t="shared" si="767"/>
        <v/>
      </c>
      <c r="CE519" s="328"/>
      <c r="CF519" s="197" t="str">
        <f>IF(AND($I519="x",AND(MAX(CB519:CD519)=CB519,CB519&lt;&gt;"")),Data!$BI$2,"")</f>
        <v/>
      </c>
      <c r="CG519" s="197" t="str">
        <f>IF(AND($J519="x",AND(MAX(CB519:CD519)=CC519,CC519&lt;&gt;"")),Data!$BJ$2,"")</f>
        <v/>
      </c>
      <c r="CH519" s="197" t="str">
        <f>IF(AND($K519="x",AND(MAX(CB519:CD519)=CD519,CD519&lt;&gt;"")),Data!$BK$2,"")</f>
        <v/>
      </c>
      <c r="CI519" s="197"/>
      <c r="CJ519" s="197"/>
      <c r="CK519" s="455"/>
      <c r="CL519" s="456"/>
      <c r="CM519" s="447" t="str">
        <f t="shared" si="768"/>
        <v/>
      </c>
      <c r="CN519" s="328"/>
      <c r="CO519" s="197" t="str">
        <f>IF(AND($I519="x",AND(MAX(CK519:CM519)=CK519,CK519&lt;&gt;"")),Data!$BI$2,"")</f>
        <v/>
      </c>
      <c r="CP519" s="197" t="str">
        <f>IF(AND($J519="x",AND(MAX(CK519:CM519)=CL519,CL519&lt;&gt;"")),Data!$BJ$2,"")</f>
        <v/>
      </c>
      <c r="CQ519" s="197" t="str">
        <f>IF(AND($K519="x",AND(MAX(CK519:CM519)=CM519,CM519&lt;&gt;"")),Data!$BK$2,"")</f>
        <v/>
      </c>
      <c r="CR519" s="197"/>
      <c r="CS519" s="197"/>
      <c r="CT519" s="328"/>
      <c r="CU519" s="255"/>
      <c r="CV519" s="209"/>
      <c r="CW519" s="227"/>
    </row>
    <row r="520" spans="1:101" x14ac:dyDescent="0.2">
      <c r="A520" s="227"/>
      <c r="B520" s="227"/>
      <c r="C520" s="168"/>
      <c r="D520" s="232"/>
      <c r="E520" s="134" t="s">
        <v>337</v>
      </c>
      <c r="F520" s="424"/>
      <c r="G520" s="428" t="s">
        <v>51</v>
      </c>
      <c r="H520" s="429"/>
      <c r="I520" s="138" t="str">
        <f t="shared" si="755"/>
        <v/>
      </c>
      <c r="J520" s="344" t="str">
        <f t="shared" si="756"/>
        <v/>
      </c>
      <c r="K520" s="345" t="str">
        <f t="shared" si="757"/>
        <v/>
      </c>
      <c r="L520" s="258"/>
      <c r="M520" s="332"/>
      <c r="N520" s="336"/>
      <c r="O520" s="200"/>
      <c r="P520" s="200"/>
      <c r="Q520" s="436"/>
      <c r="R520" s="437"/>
      <c r="S520" s="438" t="str">
        <f t="shared" si="758"/>
        <v/>
      </c>
      <c r="T520" s="328"/>
      <c r="U520" s="197" t="str">
        <f>IF(AND($I520="x",AND(MAX(Q520:S520)=Q520,Q520&gt;=0)),Data!$BI$2,"")</f>
        <v/>
      </c>
      <c r="V520" s="197" t="str">
        <f>IF(AND($J520="x",AND(MAX(Q520:S520)=R520,R520&gt;=0)),Data!$BJ$2,"")</f>
        <v/>
      </c>
      <c r="W520" s="197" t="str">
        <f>IF(AND($K520="x",AND(MAX(Q520:S520)=S520,S520&gt;=0)),Data!$BK$2,"")</f>
        <v/>
      </c>
      <c r="X520" s="197"/>
      <c r="Y520" s="328"/>
      <c r="Z520" s="451"/>
      <c r="AA520" s="452"/>
      <c r="AB520" s="438" t="str">
        <f t="shared" si="759"/>
        <v/>
      </c>
      <c r="AC520" s="328"/>
      <c r="AD520" s="197" t="str">
        <f>IF(AND($I520="x",AND(MAX(Z520:AB520)=Z520,Z520&lt;&gt;"")),Data!$BI$2,"")</f>
        <v/>
      </c>
      <c r="AE520" s="197" t="str">
        <f>IF(AND($J520="x",AND(MAX(Z520:AB520)=AA520,AA520&lt;&gt;"")),Data!$BJ$2,"")</f>
        <v/>
      </c>
      <c r="AF520" s="197" t="str">
        <f>IF(AND($K520="x",AND(MAX(Z520:AB520)=AB520,AB520&lt;&gt;"")),Data!$BK$2,"")</f>
        <v/>
      </c>
      <c r="AG520" s="197"/>
      <c r="AH520" s="328"/>
      <c r="AI520" s="451"/>
      <c r="AJ520" s="452"/>
      <c r="AK520" s="438" t="str">
        <f t="shared" si="760"/>
        <v/>
      </c>
      <c r="AL520" s="328"/>
      <c r="AM520" s="197" t="str">
        <f>IF(AND($I520="x",AND(MAX(AI520:AK520)=AI520,AI520&lt;&gt;"")),Data!$BI$2,"")</f>
        <v/>
      </c>
      <c r="AN520" s="197" t="str">
        <f>IF(AND($J520="x",AND(MAX(AI520:AK520)=AJ520,AJ520&lt;&gt;"")),Data!$BJ$2,"")</f>
        <v/>
      </c>
      <c r="AO520" s="197" t="str">
        <f>IF(AND($K520="x",AND(MAX(AI520:AK520)=AK520,AK520&lt;&gt;"")),Data!$BK$2,"")</f>
        <v/>
      </c>
      <c r="AP520" s="197"/>
      <c r="AQ520" s="328"/>
      <c r="AR520" s="451"/>
      <c r="AS520" s="452"/>
      <c r="AT520" s="438" t="str">
        <f t="shared" si="761"/>
        <v/>
      </c>
      <c r="AU520" s="328"/>
      <c r="AV520" s="197" t="str">
        <f>IF(AND($I520="x",AND(MAX(AR520:AT520)=AR520,AR520&lt;&gt;"")),Data!$BI$2,"")</f>
        <v/>
      </c>
      <c r="AW520" s="197" t="str">
        <f>IF(AND($J520="x",AND(MAX(AR520:AT520)=AS520,AS520&lt;&gt;"")),Data!$BJ$2,"")</f>
        <v/>
      </c>
      <c r="AX520" s="197" t="str">
        <f>IF(AND($K520="x",AND(MAX(AR520:AT520)=AT520,AT520&lt;&gt;"")),Data!$BK$2,"")</f>
        <v/>
      </c>
      <c r="AY520" s="197"/>
      <c r="AZ520" s="328"/>
      <c r="BA520" s="451"/>
      <c r="BB520" s="452"/>
      <c r="BC520" s="438" t="str">
        <f t="shared" si="762"/>
        <v/>
      </c>
      <c r="BD520" s="328"/>
      <c r="BE520" s="197" t="str">
        <f>IF(AND($I520="x",AND(MAX(BA520:BC520)=BA520,BA520&lt;&gt;"")),Data!$BI$2,"")</f>
        <v/>
      </c>
      <c r="BF520" s="197" t="str">
        <f>IF(AND($J520="x",AND(MAX(BA520:BC520)=BB520,BB520&lt;&gt;"")),Data!$BJ$2,"")</f>
        <v/>
      </c>
      <c r="BG520" s="197" t="str">
        <f>IF(AND($K520="x",AND(MAX(BA520:BC520)=BC520,BC520&lt;&gt;"")),Data!$BK$2,"")</f>
        <v/>
      </c>
      <c r="BH520" s="197"/>
      <c r="BI520" s="328"/>
      <c r="BJ520" s="451"/>
      <c r="BK520" s="452"/>
      <c r="BL520" s="438" t="str">
        <f t="shared" si="763"/>
        <v/>
      </c>
      <c r="BM520" s="328"/>
      <c r="BN520" s="197" t="str">
        <f>IF(AND($I520="x",AND(MAX(BJ520:BL520)=BJ520,BJ520&lt;&gt;"")),Data!$BI$2,"")</f>
        <v/>
      </c>
      <c r="BO520" s="197" t="str">
        <f>IF(AND($J520="x",AND(MAX(BJ520:BL520)=BK520,BK520&lt;&gt;"")),Data!$BJ$2,"")</f>
        <v/>
      </c>
      <c r="BP520" s="197" t="str">
        <f>IF(AND($K520="x",AND(MAX(BJ520:BL520)=BL520,BL520&lt;&gt;"")),Data!$BK$2,"")</f>
        <v/>
      </c>
      <c r="BQ520" s="197"/>
      <c r="BR520" s="328"/>
      <c r="BS520" s="451"/>
      <c r="BT520" s="452"/>
      <c r="BU520" s="438" t="str">
        <f t="shared" si="764"/>
        <v/>
      </c>
      <c r="BV520" s="328"/>
      <c r="BW520" s="197" t="str">
        <f>IF(AND($I520="x",AND(MAX(BS520:BU520)=BS520,BS520&lt;&gt;"")),Data!$BI$2,"")</f>
        <v/>
      </c>
      <c r="BX520" s="197" t="str">
        <f>IF(AND($J520="x",AND(MAX(BS520:BU520)=BT520,BT520&lt;&gt;"")),Data!$BJ$2,"")</f>
        <v/>
      </c>
      <c r="BY520" s="197" t="str">
        <f>IF(AND($K520="x",AND(MAX(BS520:BU520)=BU520,BU520&lt;&gt;"")),Data!$BK$2,"")</f>
        <v/>
      </c>
      <c r="BZ520" s="197"/>
      <c r="CA520" s="328"/>
      <c r="CB520" s="457" t="str">
        <f t="shared" si="765"/>
        <v/>
      </c>
      <c r="CC520" s="458" t="str">
        <f t="shared" si="766"/>
        <v/>
      </c>
      <c r="CD520" s="459" t="str">
        <f t="shared" si="767"/>
        <v/>
      </c>
      <c r="CE520" s="328"/>
      <c r="CF520" s="197" t="str">
        <f>IF(AND($I520="x",AND(MAX(CB520:CD520)=CB520,CB520&lt;&gt;"")),Data!$BI$2,"")</f>
        <v/>
      </c>
      <c r="CG520" s="197" t="str">
        <f>IF(AND($J520="x",AND(MAX(CB520:CD520)=CC520,CC520&lt;&gt;"")),Data!$BJ$2,"")</f>
        <v/>
      </c>
      <c r="CH520" s="197" t="str">
        <f>IF(AND($K520="x",AND(MAX(CB520:CD520)=CD520,CD520&lt;&gt;"")),Data!$BK$2,"")</f>
        <v/>
      </c>
      <c r="CI520" s="197"/>
      <c r="CJ520" s="197"/>
      <c r="CK520" s="451"/>
      <c r="CL520" s="452"/>
      <c r="CM520" s="438" t="str">
        <f t="shared" si="768"/>
        <v/>
      </c>
      <c r="CN520" s="328"/>
      <c r="CO520" s="197" t="str">
        <f>IF(AND($I520="x",AND(MAX(CK520:CM520)=CK520,CK520&lt;&gt;"")),Data!$BI$2,"")</f>
        <v/>
      </c>
      <c r="CP520" s="197" t="str">
        <f>IF(AND($J520="x",AND(MAX(CK520:CM520)=CL520,CL520&lt;&gt;"")),Data!$BJ$2,"")</f>
        <v/>
      </c>
      <c r="CQ520" s="197" t="str">
        <f>IF(AND($K520="x",AND(MAX(CK520:CM520)=CM520,CM520&lt;&gt;"")),Data!$BK$2,"")</f>
        <v/>
      </c>
      <c r="CR520" s="197"/>
      <c r="CS520" s="197"/>
      <c r="CT520" s="328"/>
      <c r="CU520" s="259"/>
      <c r="CV520" s="209"/>
      <c r="CW520" s="227"/>
    </row>
    <row r="521" spans="1:101" x14ac:dyDescent="0.2">
      <c r="A521" s="227"/>
      <c r="B521" s="227"/>
      <c r="C521" s="168"/>
      <c r="D521" s="232"/>
      <c r="E521" s="135" t="s">
        <v>338</v>
      </c>
      <c r="F521" s="425"/>
      <c r="G521" s="430" t="s">
        <v>51</v>
      </c>
      <c r="H521" s="431"/>
      <c r="I521" s="346" t="str">
        <f t="shared" si="755"/>
        <v/>
      </c>
      <c r="J521" s="347" t="str">
        <f t="shared" si="756"/>
        <v/>
      </c>
      <c r="K521" s="348" t="str">
        <f t="shared" si="757"/>
        <v/>
      </c>
      <c r="L521" s="258"/>
      <c r="M521" s="332"/>
      <c r="N521" s="336"/>
      <c r="O521" s="200"/>
      <c r="P521" s="200"/>
      <c r="Q521" s="439"/>
      <c r="R521" s="440"/>
      <c r="S521" s="441" t="str">
        <f t="shared" si="758"/>
        <v/>
      </c>
      <c r="T521" s="328"/>
      <c r="U521" s="197" t="str">
        <f>IF(AND($I521="x",AND(MAX(Q521:S521)=Q521,Q521&gt;=0)),Data!$BI$2,"")</f>
        <v/>
      </c>
      <c r="V521" s="197" t="str">
        <f>IF(AND($J521="x",AND(MAX(Q521:S521)=R521,R521&gt;=0)),Data!$BJ$2,"")</f>
        <v/>
      </c>
      <c r="W521" s="197" t="str">
        <f>IF(AND($K521="x",AND(MAX(Q521:S521)=S521,S521&gt;=0)),Data!$BK$2,"")</f>
        <v/>
      </c>
      <c r="X521" s="197"/>
      <c r="Y521" s="328"/>
      <c r="Z521" s="453"/>
      <c r="AA521" s="454"/>
      <c r="AB521" s="441" t="str">
        <f t="shared" si="759"/>
        <v/>
      </c>
      <c r="AC521" s="328"/>
      <c r="AD521" s="197" t="str">
        <f>IF(AND($I521="x",AND(MAX(Z521:AB521)=Z521,Z521&lt;&gt;"")),Data!$BI$2,"")</f>
        <v/>
      </c>
      <c r="AE521" s="197" t="str">
        <f>IF(AND($J521="x",AND(MAX(Z521:AB521)=AA521,AA521&lt;&gt;"")),Data!$BJ$2,"")</f>
        <v/>
      </c>
      <c r="AF521" s="197" t="str">
        <f>IF(AND($K521="x",AND(MAX(Z521:AB521)=AB521,AB521&lt;&gt;"")),Data!$BK$2,"")</f>
        <v/>
      </c>
      <c r="AG521" s="197"/>
      <c r="AH521" s="328"/>
      <c r="AI521" s="453"/>
      <c r="AJ521" s="454"/>
      <c r="AK521" s="441" t="str">
        <f t="shared" si="760"/>
        <v/>
      </c>
      <c r="AL521" s="328"/>
      <c r="AM521" s="197" t="str">
        <f>IF(AND($I521="x",AND(MAX(AI521:AK521)=AI521,AI521&lt;&gt;"")),Data!$BI$2,"")</f>
        <v/>
      </c>
      <c r="AN521" s="197" t="str">
        <f>IF(AND($J521="x",AND(MAX(AI521:AK521)=AJ521,AJ521&lt;&gt;"")),Data!$BJ$2,"")</f>
        <v/>
      </c>
      <c r="AO521" s="197" t="str">
        <f>IF(AND($K521="x",AND(MAX(AI521:AK521)=AK521,AK521&lt;&gt;"")),Data!$BK$2,"")</f>
        <v/>
      </c>
      <c r="AP521" s="197"/>
      <c r="AQ521" s="328"/>
      <c r="AR521" s="453"/>
      <c r="AS521" s="454"/>
      <c r="AT521" s="441" t="str">
        <f t="shared" si="761"/>
        <v/>
      </c>
      <c r="AU521" s="328"/>
      <c r="AV521" s="197" t="str">
        <f>IF(AND($I521="x",AND(MAX(AR521:AT521)=AR521,AR521&lt;&gt;"")),Data!$BI$2,"")</f>
        <v/>
      </c>
      <c r="AW521" s="197" t="str">
        <f>IF(AND($J521="x",AND(MAX(AR521:AT521)=AS521,AS521&lt;&gt;"")),Data!$BJ$2,"")</f>
        <v/>
      </c>
      <c r="AX521" s="197" t="str">
        <f>IF(AND($K521="x",AND(MAX(AR521:AT521)=AT521,AT521&lt;&gt;"")),Data!$BK$2,"")</f>
        <v/>
      </c>
      <c r="AY521" s="197"/>
      <c r="AZ521" s="328"/>
      <c r="BA521" s="453"/>
      <c r="BB521" s="454"/>
      <c r="BC521" s="441" t="str">
        <f t="shared" si="762"/>
        <v/>
      </c>
      <c r="BD521" s="328"/>
      <c r="BE521" s="197" t="str">
        <f>IF(AND($I521="x",AND(MAX(BA521:BC521)=BA521,BA521&lt;&gt;"")),Data!$BI$2,"")</f>
        <v/>
      </c>
      <c r="BF521" s="197" t="str">
        <f>IF(AND($J521="x",AND(MAX(BA521:BC521)=BB521,BB521&lt;&gt;"")),Data!$BJ$2,"")</f>
        <v/>
      </c>
      <c r="BG521" s="197" t="str">
        <f>IF(AND($K521="x",AND(MAX(BA521:BC521)=BC521,BC521&lt;&gt;"")),Data!$BK$2,"")</f>
        <v/>
      </c>
      <c r="BH521" s="197"/>
      <c r="BI521" s="328"/>
      <c r="BJ521" s="453"/>
      <c r="BK521" s="454"/>
      <c r="BL521" s="441" t="str">
        <f t="shared" si="763"/>
        <v/>
      </c>
      <c r="BM521" s="328"/>
      <c r="BN521" s="197" t="str">
        <f>IF(AND($I521="x",AND(MAX(BJ521:BL521)=BJ521,BJ521&lt;&gt;"")),Data!$BI$2,"")</f>
        <v/>
      </c>
      <c r="BO521" s="197" t="str">
        <f>IF(AND($J521="x",AND(MAX(BJ521:BL521)=BK521,BK521&lt;&gt;"")),Data!$BJ$2,"")</f>
        <v/>
      </c>
      <c r="BP521" s="197" t="str">
        <f>IF(AND($K521="x",AND(MAX(BJ521:BL521)=BL521,BL521&lt;&gt;"")),Data!$BK$2,"")</f>
        <v/>
      </c>
      <c r="BQ521" s="197"/>
      <c r="BR521" s="328"/>
      <c r="BS521" s="453"/>
      <c r="BT521" s="454"/>
      <c r="BU521" s="441" t="str">
        <f t="shared" si="764"/>
        <v/>
      </c>
      <c r="BV521" s="328"/>
      <c r="BW521" s="197" t="str">
        <f>IF(AND($I521="x",AND(MAX(BS521:BU521)=BS521,BS521&lt;&gt;"")),Data!$BI$2,"")</f>
        <v/>
      </c>
      <c r="BX521" s="197" t="str">
        <f>IF(AND($J521="x",AND(MAX(BS521:BU521)=BT521,BT521&lt;&gt;"")),Data!$BJ$2,"")</f>
        <v/>
      </c>
      <c r="BY521" s="197" t="str">
        <f>IF(AND($K521="x",AND(MAX(BS521:BU521)=BU521,BU521&lt;&gt;"")),Data!$BK$2,"")</f>
        <v/>
      </c>
      <c r="BZ521" s="197"/>
      <c r="CA521" s="328"/>
      <c r="CB521" s="460" t="str">
        <f t="shared" si="765"/>
        <v/>
      </c>
      <c r="CC521" s="461" t="str">
        <f t="shared" si="766"/>
        <v/>
      </c>
      <c r="CD521" s="462" t="str">
        <f t="shared" si="767"/>
        <v/>
      </c>
      <c r="CE521" s="328"/>
      <c r="CF521" s="197" t="str">
        <f>IF(AND($I521="x",AND(MAX(CB521:CD521)=CB521,CB521&lt;&gt;"")),Data!$BI$2,"")</f>
        <v/>
      </c>
      <c r="CG521" s="197" t="str">
        <f>IF(AND($J521="x",AND(MAX(CB521:CD521)=CC521,CC521&lt;&gt;"")),Data!$BJ$2,"")</f>
        <v/>
      </c>
      <c r="CH521" s="197" t="str">
        <f>IF(AND($K521="x",AND(MAX(CB521:CD521)=CD521,CD521&lt;&gt;"")),Data!$BK$2,"")</f>
        <v/>
      </c>
      <c r="CI521" s="197"/>
      <c r="CJ521" s="197"/>
      <c r="CK521" s="453"/>
      <c r="CL521" s="454"/>
      <c r="CM521" s="441" t="str">
        <f t="shared" si="768"/>
        <v/>
      </c>
      <c r="CN521" s="328"/>
      <c r="CO521" s="197" t="str">
        <f>IF(AND($I521="x",AND(MAX(CK521:CM521)=CK521,CK521&lt;&gt;"")),Data!$BI$2,"")</f>
        <v/>
      </c>
      <c r="CP521" s="197" t="str">
        <f>IF(AND($J521="x",AND(MAX(CK521:CM521)=CL521,CL521&lt;&gt;"")),Data!$BJ$2,"")</f>
        <v/>
      </c>
      <c r="CQ521" s="197" t="str">
        <f>IF(AND($K521="x",AND(MAX(CK521:CM521)=CM521,CM521&lt;&gt;"")),Data!$BK$2,"")</f>
        <v/>
      </c>
      <c r="CR521" s="197"/>
      <c r="CS521" s="197"/>
      <c r="CT521" s="328"/>
      <c r="CU521" s="259"/>
      <c r="CV521" s="209"/>
      <c r="CW521" s="227"/>
    </row>
    <row r="522" spans="1:101" x14ac:dyDescent="0.2">
      <c r="A522" s="227"/>
      <c r="B522" s="227"/>
      <c r="C522" s="168"/>
      <c r="D522" s="232"/>
      <c r="E522" s="136" t="s">
        <v>339</v>
      </c>
      <c r="F522" s="426"/>
      <c r="G522" s="432" t="s">
        <v>51</v>
      </c>
      <c r="H522" s="433"/>
      <c r="I522" s="349" t="str">
        <f t="shared" si="755"/>
        <v/>
      </c>
      <c r="J522" s="350" t="str">
        <f t="shared" si="756"/>
        <v/>
      </c>
      <c r="K522" s="351" t="str">
        <f t="shared" si="757"/>
        <v/>
      </c>
      <c r="L522" s="258"/>
      <c r="M522" s="332"/>
      <c r="N522" s="336"/>
      <c r="O522" s="200"/>
      <c r="P522" s="200"/>
      <c r="Q522" s="445"/>
      <c r="R522" s="446"/>
      <c r="S522" s="447" t="str">
        <f t="shared" si="758"/>
        <v/>
      </c>
      <c r="T522" s="328"/>
      <c r="U522" s="197" t="str">
        <f>IF(AND($I522="x",AND(MAX(Q522:S522)=Q522,Q522&gt;=0)),Data!$BI$2,"")</f>
        <v/>
      </c>
      <c r="V522" s="197" t="str">
        <f>IF(AND($J522="x",AND(MAX(Q522:S522)=R522,R522&gt;=0)),Data!$BJ$2,"")</f>
        <v/>
      </c>
      <c r="W522" s="197" t="str">
        <f>IF(AND($K522="x",AND(MAX(Q522:S522)=S522,S522&gt;=0)),Data!$BK$2,"")</f>
        <v/>
      </c>
      <c r="X522" s="197"/>
      <c r="Y522" s="328"/>
      <c r="Z522" s="455"/>
      <c r="AA522" s="456"/>
      <c r="AB522" s="447" t="str">
        <f t="shared" si="759"/>
        <v/>
      </c>
      <c r="AC522" s="328"/>
      <c r="AD522" s="197" t="str">
        <f>IF(AND($I522="x",AND(MAX(Z522:AB522)=Z522,Z522&lt;&gt;"")),Data!$BI$2,"")</f>
        <v/>
      </c>
      <c r="AE522" s="197" t="str">
        <f>IF(AND($J522="x",AND(MAX(Z522:AB522)=AA522,AA522&lt;&gt;"")),Data!$BJ$2,"")</f>
        <v/>
      </c>
      <c r="AF522" s="197" t="str">
        <f>IF(AND($K522="x",AND(MAX(Z522:AB522)=AB522,AB522&lt;&gt;"")),Data!$BK$2,"")</f>
        <v/>
      </c>
      <c r="AG522" s="197"/>
      <c r="AH522" s="328"/>
      <c r="AI522" s="455"/>
      <c r="AJ522" s="456"/>
      <c r="AK522" s="447" t="str">
        <f t="shared" si="760"/>
        <v/>
      </c>
      <c r="AL522" s="328"/>
      <c r="AM522" s="197" t="str">
        <f>IF(AND($I522="x",AND(MAX(AI522:AK522)=AI522,AI522&lt;&gt;"")),Data!$BI$2,"")</f>
        <v/>
      </c>
      <c r="AN522" s="197" t="str">
        <f>IF(AND($J522="x",AND(MAX(AI522:AK522)=AJ522,AJ522&lt;&gt;"")),Data!$BJ$2,"")</f>
        <v/>
      </c>
      <c r="AO522" s="197" t="str">
        <f>IF(AND($K522="x",AND(MAX(AI522:AK522)=AK522,AK522&lt;&gt;"")),Data!$BK$2,"")</f>
        <v/>
      </c>
      <c r="AP522" s="197"/>
      <c r="AQ522" s="328"/>
      <c r="AR522" s="455"/>
      <c r="AS522" s="456"/>
      <c r="AT522" s="447" t="str">
        <f t="shared" si="761"/>
        <v/>
      </c>
      <c r="AU522" s="328"/>
      <c r="AV522" s="197" t="str">
        <f>IF(AND($I522="x",AND(MAX(AR522:AT522)=AR522,AR522&lt;&gt;"")),Data!$BI$2,"")</f>
        <v/>
      </c>
      <c r="AW522" s="197" t="str">
        <f>IF(AND($J522="x",AND(MAX(AR522:AT522)=AS522,AS522&lt;&gt;"")),Data!$BJ$2,"")</f>
        <v/>
      </c>
      <c r="AX522" s="197" t="str">
        <f>IF(AND($K522="x",AND(MAX(AR522:AT522)=AT522,AT522&lt;&gt;"")),Data!$BK$2,"")</f>
        <v/>
      </c>
      <c r="AY522" s="197"/>
      <c r="AZ522" s="328"/>
      <c r="BA522" s="455"/>
      <c r="BB522" s="456"/>
      <c r="BC522" s="447" t="str">
        <f t="shared" si="762"/>
        <v/>
      </c>
      <c r="BD522" s="328"/>
      <c r="BE522" s="197" t="str">
        <f>IF(AND($I522="x",AND(MAX(BA522:BC522)=BA522,BA522&lt;&gt;"")),Data!$BI$2,"")</f>
        <v/>
      </c>
      <c r="BF522" s="197" t="str">
        <f>IF(AND($J522="x",AND(MAX(BA522:BC522)=BB522,BB522&lt;&gt;"")),Data!$BJ$2,"")</f>
        <v/>
      </c>
      <c r="BG522" s="197" t="str">
        <f>IF(AND($K522="x",AND(MAX(BA522:BC522)=BC522,BC522&lt;&gt;"")),Data!$BK$2,"")</f>
        <v/>
      </c>
      <c r="BH522" s="197"/>
      <c r="BI522" s="328"/>
      <c r="BJ522" s="455"/>
      <c r="BK522" s="456"/>
      <c r="BL522" s="447" t="str">
        <f t="shared" si="763"/>
        <v/>
      </c>
      <c r="BM522" s="328"/>
      <c r="BN522" s="197" t="str">
        <f>IF(AND($I522="x",AND(MAX(BJ522:BL522)=BJ522,BJ522&lt;&gt;"")),Data!$BI$2,"")</f>
        <v/>
      </c>
      <c r="BO522" s="197" t="str">
        <f>IF(AND($J522="x",AND(MAX(BJ522:BL522)=BK522,BK522&lt;&gt;"")),Data!$BJ$2,"")</f>
        <v/>
      </c>
      <c r="BP522" s="197" t="str">
        <f>IF(AND($K522="x",AND(MAX(BJ522:BL522)=BL522,BL522&lt;&gt;"")),Data!$BK$2,"")</f>
        <v/>
      </c>
      <c r="BQ522" s="197"/>
      <c r="BR522" s="328"/>
      <c r="BS522" s="455"/>
      <c r="BT522" s="456"/>
      <c r="BU522" s="447" t="str">
        <f t="shared" si="764"/>
        <v/>
      </c>
      <c r="BV522" s="328"/>
      <c r="BW522" s="197" t="str">
        <f>IF(AND($I522="x",AND(MAX(BS522:BU522)=BS522,BS522&lt;&gt;"")),Data!$BI$2,"")</f>
        <v/>
      </c>
      <c r="BX522" s="197" t="str">
        <f>IF(AND($J522="x",AND(MAX(BS522:BU522)=BT522,BT522&lt;&gt;"")),Data!$BJ$2,"")</f>
        <v/>
      </c>
      <c r="BY522" s="197" t="str">
        <f>IF(AND($K522="x",AND(MAX(BS522:BU522)=BU522,BU522&lt;&gt;"")),Data!$BK$2,"")</f>
        <v/>
      </c>
      <c r="BZ522" s="197"/>
      <c r="CA522" s="328"/>
      <c r="CB522" s="463" t="str">
        <f t="shared" si="765"/>
        <v/>
      </c>
      <c r="CC522" s="464" t="str">
        <f t="shared" si="766"/>
        <v/>
      </c>
      <c r="CD522" s="465" t="str">
        <f t="shared" si="767"/>
        <v/>
      </c>
      <c r="CE522" s="328"/>
      <c r="CF522" s="197" t="str">
        <f>IF(AND($I522="x",AND(MAX(CB522:CD522)=CB522,CB522&lt;&gt;"")),Data!$BI$2,"")</f>
        <v/>
      </c>
      <c r="CG522" s="197" t="str">
        <f>IF(AND($J522="x",AND(MAX(CB522:CD522)=CC522,CC522&lt;&gt;"")),Data!$BJ$2,"")</f>
        <v/>
      </c>
      <c r="CH522" s="197" t="str">
        <f>IF(AND($K522="x",AND(MAX(CB522:CD522)=CD522,CD522&lt;&gt;"")),Data!$BK$2,"")</f>
        <v/>
      </c>
      <c r="CI522" s="197"/>
      <c r="CJ522" s="197"/>
      <c r="CK522" s="455"/>
      <c r="CL522" s="456"/>
      <c r="CM522" s="447" t="str">
        <f t="shared" si="768"/>
        <v/>
      </c>
      <c r="CN522" s="328"/>
      <c r="CO522" s="197" t="str">
        <f>IF(AND($I522="x",AND(MAX(CK522:CM522)=CK522,CK522&lt;&gt;"")),Data!$BI$2,"")</f>
        <v/>
      </c>
      <c r="CP522" s="197" t="str">
        <f>IF(AND($J522="x",AND(MAX(CK522:CM522)=CL522,CL522&lt;&gt;"")),Data!$BJ$2,"")</f>
        <v/>
      </c>
      <c r="CQ522" s="197" t="str">
        <f>IF(AND($K522="x",AND(MAX(CK522:CM522)=CM522,CM522&lt;&gt;"")),Data!$BK$2,"")</f>
        <v/>
      </c>
      <c r="CR522" s="197"/>
      <c r="CS522" s="197"/>
      <c r="CT522" s="328"/>
      <c r="CU522" s="259"/>
      <c r="CV522" s="209"/>
      <c r="CW522" s="227"/>
    </row>
    <row r="523" spans="1:101" x14ac:dyDescent="0.2">
      <c r="A523" s="227"/>
      <c r="B523" s="227"/>
      <c r="C523" s="168"/>
      <c r="D523" s="232"/>
      <c r="E523" s="137" t="s">
        <v>340</v>
      </c>
      <c r="F523" s="427"/>
      <c r="G523" s="434" t="s">
        <v>51</v>
      </c>
      <c r="H523" s="435"/>
      <c r="I523" s="138" t="str">
        <f t="shared" si="755"/>
        <v/>
      </c>
      <c r="J523" s="344" t="str">
        <f t="shared" si="756"/>
        <v/>
      </c>
      <c r="K523" s="345" t="str">
        <f t="shared" si="757"/>
        <v/>
      </c>
      <c r="L523" s="258"/>
      <c r="M523" s="332"/>
      <c r="N523" s="336"/>
      <c r="O523" s="200"/>
      <c r="P523" s="200"/>
      <c r="Q523" s="448"/>
      <c r="R523" s="449"/>
      <c r="S523" s="450" t="str">
        <f t="shared" si="758"/>
        <v/>
      </c>
      <c r="T523" s="328"/>
      <c r="U523" s="197" t="str">
        <f>IF(AND($I523="x",AND(MAX(Q523:S523)=Q523,Q523&gt;=0)),Data!$BI$2,"")</f>
        <v/>
      </c>
      <c r="V523" s="197" t="str">
        <f>IF(AND($J523="x",AND(MAX(Q523:S523)=R523,R523&gt;=0)),Data!$BJ$2,"")</f>
        <v/>
      </c>
      <c r="W523" s="197" t="str">
        <f>IF(AND($K523="x",AND(MAX(Q523:S523)=S523,S523&gt;=0)),Data!$BK$2,"")</f>
        <v/>
      </c>
      <c r="X523" s="197"/>
      <c r="Y523" s="328"/>
      <c r="Z523" s="451"/>
      <c r="AA523" s="452"/>
      <c r="AB523" s="450" t="str">
        <f t="shared" si="759"/>
        <v/>
      </c>
      <c r="AC523" s="328"/>
      <c r="AD523" s="197" t="str">
        <f>IF(AND($I523="x",AND(MAX(Z523:AB523)=Z523,Z523&lt;&gt;"")),Data!$BI$2,"")</f>
        <v/>
      </c>
      <c r="AE523" s="197" t="str">
        <f>IF(AND($J523="x",AND(MAX(Z523:AB523)=AA523,AA523&lt;&gt;"")),Data!$BJ$2,"")</f>
        <v/>
      </c>
      <c r="AF523" s="197" t="str">
        <f>IF(AND($K523="x",AND(MAX(Z523:AB523)=AB523,AB523&lt;&gt;"")),Data!$BK$2,"")</f>
        <v/>
      </c>
      <c r="AG523" s="197"/>
      <c r="AH523" s="328"/>
      <c r="AI523" s="451"/>
      <c r="AJ523" s="452"/>
      <c r="AK523" s="450" t="str">
        <f t="shared" si="760"/>
        <v/>
      </c>
      <c r="AL523" s="328"/>
      <c r="AM523" s="197" t="str">
        <f>IF(AND($I523="x",AND(MAX(AI523:AK523)=AI523,AI523&lt;&gt;"")),Data!$BI$2,"")</f>
        <v/>
      </c>
      <c r="AN523" s="197" t="str">
        <f>IF(AND($J523="x",AND(MAX(AI523:AK523)=AJ523,AJ523&lt;&gt;"")),Data!$BJ$2,"")</f>
        <v/>
      </c>
      <c r="AO523" s="197" t="str">
        <f>IF(AND($K523="x",AND(MAX(AI523:AK523)=AK523,AK523&lt;&gt;"")),Data!$BK$2,"")</f>
        <v/>
      </c>
      <c r="AP523" s="197"/>
      <c r="AQ523" s="328"/>
      <c r="AR523" s="451"/>
      <c r="AS523" s="452"/>
      <c r="AT523" s="450" t="str">
        <f t="shared" si="761"/>
        <v/>
      </c>
      <c r="AU523" s="328"/>
      <c r="AV523" s="197" t="str">
        <f>IF(AND($I523="x",AND(MAX(AR523:AT523)=AR523,AR523&lt;&gt;"")),Data!$BI$2,"")</f>
        <v/>
      </c>
      <c r="AW523" s="197" t="str">
        <f>IF(AND($J523="x",AND(MAX(AR523:AT523)=AS523,AS523&lt;&gt;"")),Data!$BJ$2,"")</f>
        <v/>
      </c>
      <c r="AX523" s="197" t="str">
        <f>IF(AND($K523="x",AND(MAX(AR523:AT523)=AT523,AT523&lt;&gt;"")),Data!$BK$2,"")</f>
        <v/>
      </c>
      <c r="AY523" s="197"/>
      <c r="AZ523" s="328"/>
      <c r="BA523" s="451"/>
      <c r="BB523" s="452"/>
      <c r="BC523" s="450" t="str">
        <f t="shared" si="762"/>
        <v/>
      </c>
      <c r="BD523" s="328"/>
      <c r="BE523" s="197" t="str">
        <f>IF(AND($I523="x",AND(MAX(BA523:BC523)=BA523,BA523&lt;&gt;"")),Data!$BI$2,"")</f>
        <v/>
      </c>
      <c r="BF523" s="197" t="str">
        <f>IF(AND($J523="x",AND(MAX(BA523:BC523)=BB523,BB523&lt;&gt;"")),Data!$BJ$2,"")</f>
        <v/>
      </c>
      <c r="BG523" s="197" t="str">
        <f>IF(AND($K523="x",AND(MAX(BA523:BC523)=BC523,BC523&lt;&gt;"")),Data!$BK$2,"")</f>
        <v/>
      </c>
      <c r="BH523" s="197"/>
      <c r="BI523" s="328"/>
      <c r="BJ523" s="451"/>
      <c r="BK523" s="452"/>
      <c r="BL523" s="450" t="str">
        <f t="shared" si="763"/>
        <v/>
      </c>
      <c r="BM523" s="328"/>
      <c r="BN523" s="197" t="str">
        <f>IF(AND($I523="x",AND(MAX(BJ523:BL523)=BJ523,BJ523&lt;&gt;"")),Data!$BI$2,"")</f>
        <v/>
      </c>
      <c r="BO523" s="197" t="str">
        <f>IF(AND($J523="x",AND(MAX(BJ523:BL523)=BK523,BK523&lt;&gt;"")),Data!$BJ$2,"")</f>
        <v/>
      </c>
      <c r="BP523" s="197" t="str">
        <f>IF(AND($K523="x",AND(MAX(BJ523:BL523)=BL523,BL523&lt;&gt;"")),Data!$BK$2,"")</f>
        <v/>
      </c>
      <c r="BQ523" s="197"/>
      <c r="BR523" s="328"/>
      <c r="BS523" s="451"/>
      <c r="BT523" s="452"/>
      <c r="BU523" s="450" t="str">
        <f t="shared" si="764"/>
        <v/>
      </c>
      <c r="BV523" s="328"/>
      <c r="BW523" s="197" t="str">
        <f>IF(AND($I523="x",AND(MAX(BS523:BU523)=BS523,BS523&lt;&gt;"")),Data!$BI$2,"")</f>
        <v/>
      </c>
      <c r="BX523" s="197" t="str">
        <f>IF(AND($J523="x",AND(MAX(BS523:BU523)=BT523,BT523&lt;&gt;"")),Data!$BJ$2,"")</f>
        <v/>
      </c>
      <c r="BY523" s="197" t="str">
        <f>IF(AND($K523="x",AND(MAX(BS523:BU523)=BU523,BU523&lt;&gt;"")),Data!$BK$2,"")</f>
        <v/>
      </c>
      <c r="BZ523" s="197"/>
      <c r="CA523" s="328"/>
      <c r="CB523" s="457" t="str">
        <f t="shared" si="765"/>
        <v/>
      </c>
      <c r="CC523" s="458" t="str">
        <f t="shared" si="766"/>
        <v/>
      </c>
      <c r="CD523" s="459" t="str">
        <f t="shared" si="767"/>
        <v/>
      </c>
      <c r="CE523" s="328"/>
      <c r="CF523" s="197" t="str">
        <f>IF(AND($I523="x",AND(MAX(CB523:CD523)=CB523,CB523&lt;&gt;"")),Data!$BI$2,"")</f>
        <v/>
      </c>
      <c r="CG523" s="197" t="str">
        <f>IF(AND($J523="x",AND(MAX(CB523:CD523)=CC523,CC523&lt;&gt;"")),Data!$BJ$2,"")</f>
        <v/>
      </c>
      <c r="CH523" s="197" t="str">
        <f>IF(AND($K523="x",AND(MAX(CB523:CD523)=CD523,CD523&lt;&gt;"")),Data!$BK$2,"")</f>
        <v/>
      </c>
      <c r="CI523" s="197"/>
      <c r="CJ523" s="197"/>
      <c r="CK523" s="451"/>
      <c r="CL523" s="452"/>
      <c r="CM523" s="450" t="str">
        <f t="shared" si="768"/>
        <v/>
      </c>
      <c r="CN523" s="328"/>
      <c r="CO523" s="197" t="str">
        <f>IF(AND($I523="x",AND(MAX(CK523:CM523)=CK523,CK523&lt;&gt;"")),Data!$BI$2,"")</f>
        <v/>
      </c>
      <c r="CP523" s="197" t="str">
        <f>IF(AND($J523="x",AND(MAX(CK523:CM523)=CL523,CL523&lt;&gt;"")),Data!$BJ$2,"")</f>
        <v/>
      </c>
      <c r="CQ523" s="197" t="str">
        <f>IF(AND($K523="x",AND(MAX(CK523:CM523)=CM523,CM523&lt;&gt;"")),Data!$BK$2,"")</f>
        <v/>
      </c>
      <c r="CR523" s="197"/>
      <c r="CS523" s="197"/>
      <c r="CT523" s="328"/>
      <c r="CU523" s="259"/>
      <c r="CV523" s="209"/>
      <c r="CW523" s="227"/>
    </row>
    <row r="524" spans="1:101" x14ac:dyDescent="0.2">
      <c r="A524" s="227"/>
      <c r="B524" s="227"/>
      <c r="C524" s="168"/>
      <c r="D524" s="232"/>
      <c r="E524" s="135" t="s">
        <v>341</v>
      </c>
      <c r="F524" s="425"/>
      <c r="G524" s="430" t="s">
        <v>51</v>
      </c>
      <c r="H524" s="431"/>
      <c r="I524" s="346" t="str">
        <f t="shared" si="755"/>
        <v/>
      </c>
      <c r="J524" s="347" t="str">
        <f t="shared" si="756"/>
        <v/>
      </c>
      <c r="K524" s="348" t="str">
        <f t="shared" si="757"/>
        <v/>
      </c>
      <c r="L524" s="258"/>
      <c r="M524" s="332"/>
      <c r="N524" s="336"/>
      <c r="O524" s="200"/>
      <c r="P524" s="200"/>
      <c r="Q524" s="439"/>
      <c r="R524" s="440"/>
      <c r="S524" s="441" t="str">
        <f t="shared" si="758"/>
        <v/>
      </c>
      <c r="T524" s="328"/>
      <c r="U524" s="197" t="str">
        <f>IF(AND($I524="x",AND(MAX(Q524:S524)=Q524,Q524&gt;=0)),Data!$BI$2,"")</f>
        <v/>
      </c>
      <c r="V524" s="197" t="str">
        <f>IF(AND($J524="x",AND(MAX(Q524:S524)=R524,R524&gt;=0)),Data!$BJ$2,"")</f>
        <v/>
      </c>
      <c r="W524" s="197" t="str">
        <f>IF(AND($K524="x",AND(MAX(Q524:S524)=S524,S524&gt;=0)),Data!$BK$2,"")</f>
        <v/>
      </c>
      <c r="X524" s="197"/>
      <c r="Y524" s="328"/>
      <c r="Z524" s="453"/>
      <c r="AA524" s="454"/>
      <c r="AB524" s="441" t="str">
        <f t="shared" si="759"/>
        <v/>
      </c>
      <c r="AC524" s="328"/>
      <c r="AD524" s="197" t="str">
        <f>IF(AND($I524="x",AND(MAX(Z524:AB524)=Z524,Z524&lt;&gt;"")),Data!$BI$2,"")</f>
        <v/>
      </c>
      <c r="AE524" s="197" t="str">
        <f>IF(AND($J524="x",AND(MAX(Z524:AB524)=AA524,AA524&lt;&gt;"")),Data!$BJ$2,"")</f>
        <v/>
      </c>
      <c r="AF524" s="197" t="str">
        <f>IF(AND($K524="x",AND(MAX(Z524:AB524)=AB524,AB524&lt;&gt;"")),Data!$BK$2,"")</f>
        <v/>
      </c>
      <c r="AG524" s="197"/>
      <c r="AH524" s="328"/>
      <c r="AI524" s="453"/>
      <c r="AJ524" s="454"/>
      <c r="AK524" s="441" t="str">
        <f t="shared" si="760"/>
        <v/>
      </c>
      <c r="AL524" s="328"/>
      <c r="AM524" s="197" t="str">
        <f>IF(AND($I524="x",AND(MAX(AI524:AK524)=AI524,AI524&lt;&gt;"")),Data!$BI$2,"")</f>
        <v/>
      </c>
      <c r="AN524" s="197" t="str">
        <f>IF(AND($J524="x",AND(MAX(AI524:AK524)=AJ524,AJ524&lt;&gt;"")),Data!$BJ$2,"")</f>
        <v/>
      </c>
      <c r="AO524" s="197" t="str">
        <f>IF(AND($K524="x",AND(MAX(AI524:AK524)=AK524,AK524&lt;&gt;"")),Data!$BK$2,"")</f>
        <v/>
      </c>
      <c r="AP524" s="197"/>
      <c r="AQ524" s="328"/>
      <c r="AR524" s="453"/>
      <c r="AS524" s="454"/>
      <c r="AT524" s="441" t="str">
        <f t="shared" si="761"/>
        <v/>
      </c>
      <c r="AU524" s="328"/>
      <c r="AV524" s="197" t="str">
        <f>IF(AND($I524="x",AND(MAX(AR524:AT524)=AR524,AR524&lt;&gt;"")),Data!$BI$2,"")</f>
        <v/>
      </c>
      <c r="AW524" s="197" t="str">
        <f>IF(AND($J524="x",AND(MAX(AR524:AT524)=AS524,AS524&lt;&gt;"")),Data!$BJ$2,"")</f>
        <v/>
      </c>
      <c r="AX524" s="197" t="str">
        <f>IF(AND($K524="x",AND(MAX(AR524:AT524)=AT524,AT524&lt;&gt;"")),Data!$BK$2,"")</f>
        <v/>
      </c>
      <c r="AY524" s="197"/>
      <c r="AZ524" s="328"/>
      <c r="BA524" s="453"/>
      <c r="BB524" s="454"/>
      <c r="BC524" s="441" t="str">
        <f t="shared" si="762"/>
        <v/>
      </c>
      <c r="BD524" s="328"/>
      <c r="BE524" s="197" t="str">
        <f>IF(AND($I524="x",AND(MAX(BA524:BC524)=BA524,BA524&lt;&gt;"")),Data!$BI$2,"")</f>
        <v/>
      </c>
      <c r="BF524" s="197" t="str">
        <f>IF(AND($J524="x",AND(MAX(BA524:BC524)=BB524,BB524&lt;&gt;"")),Data!$BJ$2,"")</f>
        <v/>
      </c>
      <c r="BG524" s="197" t="str">
        <f>IF(AND($K524="x",AND(MAX(BA524:BC524)=BC524,BC524&lt;&gt;"")),Data!$BK$2,"")</f>
        <v/>
      </c>
      <c r="BH524" s="197"/>
      <c r="BI524" s="328"/>
      <c r="BJ524" s="453"/>
      <c r="BK524" s="454"/>
      <c r="BL524" s="441" t="str">
        <f t="shared" si="763"/>
        <v/>
      </c>
      <c r="BM524" s="328"/>
      <c r="BN524" s="197" t="str">
        <f>IF(AND($I524="x",AND(MAX(BJ524:BL524)=BJ524,BJ524&lt;&gt;"")),Data!$BI$2,"")</f>
        <v/>
      </c>
      <c r="BO524" s="197" t="str">
        <f>IF(AND($J524="x",AND(MAX(BJ524:BL524)=BK524,BK524&lt;&gt;"")),Data!$BJ$2,"")</f>
        <v/>
      </c>
      <c r="BP524" s="197" t="str">
        <f>IF(AND($K524="x",AND(MAX(BJ524:BL524)=BL524,BL524&lt;&gt;"")),Data!$BK$2,"")</f>
        <v/>
      </c>
      <c r="BQ524" s="197"/>
      <c r="BR524" s="328"/>
      <c r="BS524" s="453"/>
      <c r="BT524" s="454"/>
      <c r="BU524" s="441" t="str">
        <f t="shared" si="764"/>
        <v/>
      </c>
      <c r="BV524" s="328"/>
      <c r="BW524" s="197" t="str">
        <f>IF(AND($I524="x",AND(MAX(BS524:BU524)=BS524,BS524&lt;&gt;"")),Data!$BI$2,"")</f>
        <v/>
      </c>
      <c r="BX524" s="197" t="str">
        <f>IF(AND($J524="x",AND(MAX(BS524:BU524)=BT524,BT524&lt;&gt;"")),Data!$BJ$2,"")</f>
        <v/>
      </c>
      <c r="BY524" s="197" t="str">
        <f>IF(AND($K524="x",AND(MAX(BS524:BU524)=BU524,BU524&lt;&gt;"")),Data!$BK$2,"")</f>
        <v/>
      </c>
      <c r="BZ524" s="197"/>
      <c r="CA524" s="328"/>
      <c r="CB524" s="460" t="str">
        <f t="shared" si="765"/>
        <v/>
      </c>
      <c r="CC524" s="461" t="str">
        <f t="shared" si="766"/>
        <v/>
      </c>
      <c r="CD524" s="462" t="str">
        <f t="shared" si="767"/>
        <v/>
      </c>
      <c r="CE524" s="328"/>
      <c r="CF524" s="197" t="str">
        <f>IF(AND($I524="x",AND(MAX(CB524:CD524)=CB524,CB524&lt;&gt;"")),Data!$BI$2,"")</f>
        <v/>
      </c>
      <c r="CG524" s="197" t="str">
        <f>IF(AND($J524="x",AND(MAX(CB524:CD524)=CC524,CC524&lt;&gt;"")),Data!$BJ$2,"")</f>
        <v/>
      </c>
      <c r="CH524" s="197" t="str">
        <f>IF(AND($K524="x",AND(MAX(CB524:CD524)=CD524,CD524&lt;&gt;"")),Data!$BK$2,"")</f>
        <v/>
      </c>
      <c r="CI524" s="197"/>
      <c r="CJ524" s="197"/>
      <c r="CK524" s="453"/>
      <c r="CL524" s="454"/>
      <c r="CM524" s="441" t="str">
        <f t="shared" si="768"/>
        <v/>
      </c>
      <c r="CN524" s="328"/>
      <c r="CO524" s="197" t="str">
        <f>IF(AND($I524="x",AND(MAX(CK524:CM524)=CK524,CK524&lt;&gt;"")),Data!$BI$2,"")</f>
        <v/>
      </c>
      <c r="CP524" s="197" t="str">
        <f>IF(AND($J524="x",AND(MAX(CK524:CM524)=CL524,CL524&lt;&gt;"")),Data!$BJ$2,"")</f>
        <v/>
      </c>
      <c r="CQ524" s="197" t="str">
        <f>IF(AND($K524="x",AND(MAX(CK524:CM524)=CM524,CM524&lt;&gt;"")),Data!$BK$2,"")</f>
        <v/>
      </c>
      <c r="CR524" s="197"/>
      <c r="CS524" s="197"/>
      <c r="CT524" s="328"/>
      <c r="CU524" s="259"/>
      <c r="CV524" s="209"/>
      <c r="CW524" s="227"/>
    </row>
    <row r="525" spans="1:101" x14ac:dyDescent="0.2">
      <c r="A525" s="227"/>
      <c r="B525" s="227"/>
      <c r="C525" s="168"/>
      <c r="D525" s="232"/>
      <c r="E525" s="136" t="s">
        <v>342</v>
      </c>
      <c r="F525" s="426"/>
      <c r="G525" s="432" t="s">
        <v>51</v>
      </c>
      <c r="H525" s="433"/>
      <c r="I525" s="349" t="str">
        <f t="shared" si="755"/>
        <v/>
      </c>
      <c r="J525" s="350" t="str">
        <f t="shared" si="756"/>
        <v/>
      </c>
      <c r="K525" s="351" t="str">
        <f t="shared" si="757"/>
        <v/>
      </c>
      <c r="L525" s="258"/>
      <c r="M525" s="332"/>
      <c r="N525" s="336"/>
      <c r="O525" s="200"/>
      <c r="P525" s="200"/>
      <c r="Q525" s="445"/>
      <c r="R525" s="446"/>
      <c r="S525" s="447" t="str">
        <f t="shared" si="758"/>
        <v/>
      </c>
      <c r="T525" s="328"/>
      <c r="U525" s="197" t="str">
        <f>IF(AND($I525="x",AND(MAX(Q525:S525)=Q525,Q525&gt;=0)),Data!$BI$2,"")</f>
        <v/>
      </c>
      <c r="V525" s="197" t="str">
        <f>IF(AND($J525="x",AND(MAX(Q525:S525)=R525,R525&gt;=0)),Data!$BJ$2,"")</f>
        <v/>
      </c>
      <c r="W525" s="197" t="str">
        <f>IF(AND($K525="x",AND(MAX(Q525:S525)=S525,S525&gt;=0)),Data!$BK$2,"")</f>
        <v/>
      </c>
      <c r="X525" s="197"/>
      <c r="Y525" s="328"/>
      <c r="Z525" s="455"/>
      <c r="AA525" s="456"/>
      <c r="AB525" s="447" t="str">
        <f t="shared" si="759"/>
        <v/>
      </c>
      <c r="AC525" s="328"/>
      <c r="AD525" s="197" t="str">
        <f>IF(AND($I525="x",AND(MAX(Z525:AB525)=Z525,Z525&lt;&gt;"")),Data!$BI$2,"")</f>
        <v/>
      </c>
      <c r="AE525" s="197" t="str">
        <f>IF(AND($J525="x",AND(MAX(Z525:AB525)=AA525,AA525&lt;&gt;"")),Data!$BJ$2,"")</f>
        <v/>
      </c>
      <c r="AF525" s="197" t="str">
        <f>IF(AND($K525="x",AND(MAX(Z525:AB525)=AB525,AB525&lt;&gt;"")),Data!$BK$2,"")</f>
        <v/>
      </c>
      <c r="AG525" s="197"/>
      <c r="AH525" s="328"/>
      <c r="AI525" s="455"/>
      <c r="AJ525" s="456"/>
      <c r="AK525" s="447" t="str">
        <f t="shared" si="760"/>
        <v/>
      </c>
      <c r="AL525" s="328"/>
      <c r="AM525" s="197" t="str">
        <f>IF(AND($I525="x",AND(MAX(AI525:AK525)=AI525,AI525&lt;&gt;"")),Data!$BI$2,"")</f>
        <v/>
      </c>
      <c r="AN525" s="197" t="str">
        <f>IF(AND($J525="x",AND(MAX(AI525:AK525)=AJ525,AJ525&lt;&gt;"")),Data!$BJ$2,"")</f>
        <v/>
      </c>
      <c r="AO525" s="197" t="str">
        <f>IF(AND($K525="x",AND(MAX(AI525:AK525)=AK525,AK525&lt;&gt;"")),Data!$BK$2,"")</f>
        <v/>
      </c>
      <c r="AP525" s="197"/>
      <c r="AQ525" s="328"/>
      <c r="AR525" s="455"/>
      <c r="AS525" s="456"/>
      <c r="AT525" s="447" t="str">
        <f t="shared" si="761"/>
        <v/>
      </c>
      <c r="AU525" s="328"/>
      <c r="AV525" s="197" t="str">
        <f>IF(AND($I525="x",AND(MAX(AR525:AT525)=AR525,AR525&lt;&gt;"")),Data!$BI$2,"")</f>
        <v/>
      </c>
      <c r="AW525" s="197" t="str">
        <f>IF(AND($J525="x",AND(MAX(AR525:AT525)=AS525,AS525&lt;&gt;"")),Data!$BJ$2,"")</f>
        <v/>
      </c>
      <c r="AX525" s="197" t="str">
        <f>IF(AND($K525="x",AND(MAX(AR525:AT525)=AT525,AT525&lt;&gt;"")),Data!$BK$2,"")</f>
        <v/>
      </c>
      <c r="AY525" s="197"/>
      <c r="AZ525" s="328"/>
      <c r="BA525" s="455"/>
      <c r="BB525" s="456"/>
      <c r="BC525" s="447" t="str">
        <f t="shared" si="762"/>
        <v/>
      </c>
      <c r="BD525" s="328"/>
      <c r="BE525" s="197" t="str">
        <f>IF(AND($I525="x",AND(MAX(BA525:BC525)=BA525,BA525&lt;&gt;"")),Data!$BI$2,"")</f>
        <v/>
      </c>
      <c r="BF525" s="197" t="str">
        <f>IF(AND($J525="x",AND(MAX(BA525:BC525)=BB525,BB525&lt;&gt;"")),Data!$BJ$2,"")</f>
        <v/>
      </c>
      <c r="BG525" s="197" t="str">
        <f>IF(AND($K525="x",AND(MAX(BA525:BC525)=BC525,BC525&lt;&gt;"")),Data!$BK$2,"")</f>
        <v/>
      </c>
      <c r="BH525" s="197"/>
      <c r="BI525" s="328"/>
      <c r="BJ525" s="455"/>
      <c r="BK525" s="456"/>
      <c r="BL525" s="447" t="str">
        <f t="shared" si="763"/>
        <v/>
      </c>
      <c r="BM525" s="328"/>
      <c r="BN525" s="197" t="str">
        <f>IF(AND($I525="x",AND(MAX(BJ525:BL525)=BJ525,BJ525&lt;&gt;"")),Data!$BI$2,"")</f>
        <v/>
      </c>
      <c r="BO525" s="197" t="str">
        <f>IF(AND($J525="x",AND(MAX(BJ525:BL525)=BK525,BK525&lt;&gt;"")),Data!$BJ$2,"")</f>
        <v/>
      </c>
      <c r="BP525" s="197" t="str">
        <f>IF(AND($K525="x",AND(MAX(BJ525:BL525)=BL525,BL525&lt;&gt;"")),Data!$BK$2,"")</f>
        <v/>
      </c>
      <c r="BQ525" s="197"/>
      <c r="BR525" s="328"/>
      <c r="BS525" s="455"/>
      <c r="BT525" s="456"/>
      <c r="BU525" s="447" t="str">
        <f t="shared" si="764"/>
        <v/>
      </c>
      <c r="BV525" s="328"/>
      <c r="BW525" s="197" t="str">
        <f>IF(AND($I525="x",AND(MAX(BS525:BU525)=BS525,BS525&lt;&gt;"")),Data!$BI$2,"")</f>
        <v/>
      </c>
      <c r="BX525" s="197" t="str">
        <f>IF(AND($J525="x",AND(MAX(BS525:BU525)=BT525,BT525&lt;&gt;"")),Data!$BJ$2,"")</f>
        <v/>
      </c>
      <c r="BY525" s="197" t="str">
        <f>IF(AND($K525="x",AND(MAX(BS525:BU525)=BU525,BU525&lt;&gt;"")),Data!$BK$2,"")</f>
        <v/>
      </c>
      <c r="BZ525" s="197"/>
      <c r="CA525" s="328"/>
      <c r="CB525" s="463" t="str">
        <f t="shared" si="765"/>
        <v/>
      </c>
      <c r="CC525" s="464" t="str">
        <f t="shared" si="766"/>
        <v/>
      </c>
      <c r="CD525" s="465" t="str">
        <f t="shared" si="767"/>
        <v/>
      </c>
      <c r="CE525" s="328"/>
      <c r="CF525" s="197" t="str">
        <f>IF(AND($I525="x",AND(MAX(CB525:CD525)=CB525,CB525&lt;&gt;"")),Data!$BI$2,"")</f>
        <v/>
      </c>
      <c r="CG525" s="197" t="str">
        <f>IF(AND($J525="x",AND(MAX(CB525:CD525)=CC525,CC525&lt;&gt;"")),Data!$BJ$2,"")</f>
        <v/>
      </c>
      <c r="CH525" s="197" t="str">
        <f>IF(AND($K525="x",AND(MAX(CB525:CD525)=CD525,CD525&lt;&gt;"")),Data!$BK$2,"")</f>
        <v/>
      </c>
      <c r="CI525" s="197"/>
      <c r="CJ525" s="197"/>
      <c r="CK525" s="455"/>
      <c r="CL525" s="456"/>
      <c r="CM525" s="447" t="str">
        <f t="shared" si="768"/>
        <v/>
      </c>
      <c r="CN525" s="328"/>
      <c r="CO525" s="197" t="str">
        <f>IF(AND($I525="x",AND(MAX(CK525:CM525)=CK525,CK525&lt;&gt;"")),Data!$BI$2,"")</f>
        <v/>
      </c>
      <c r="CP525" s="197" t="str">
        <f>IF(AND($J525="x",AND(MAX(CK525:CM525)=CL525,CL525&lt;&gt;"")),Data!$BJ$2,"")</f>
        <v/>
      </c>
      <c r="CQ525" s="197" t="str">
        <f>IF(AND($K525="x",AND(MAX(CK525:CM525)=CM525,CM525&lt;&gt;"")),Data!$BK$2,"")</f>
        <v/>
      </c>
      <c r="CR525" s="197"/>
      <c r="CS525" s="197"/>
      <c r="CT525" s="328"/>
      <c r="CU525" s="259"/>
      <c r="CV525" s="209"/>
      <c r="CW525" s="227"/>
    </row>
    <row r="526" spans="1:101" x14ac:dyDescent="0.2">
      <c r="A526" s="227"/>
      <c r="B526" s="227"/>
      <c r="C526" s="168"/>
      <c r="D526" s="233"/>
      <c r="E526" s="199"/>
      <c r="F526" s="352" t="str">
        <f>IF(SUM(F514:F525)=0,"",SUM(F514:F525))</f>
        <v/>
      </c>
      <c r="G526" s="327" t="s">
        <v>51</v>
      </c>
      <c r="H526" s="353" t="str">
        <f>IF(SUM(H514:H525)=0,"",SUM(H514:H525))</f>
        <v/>
      </c>
      <c r="I526" s="354" t="str">
        <f>IF(COUNTIF(I514:I525,"=x")=0,"",COUNTIF(I514:I525,"=x"))</f>
        <v/>
      </c>
      <c r="J526" s="355" t="str">
        <f>IF(COUNTIF(J514:J525,"=x")=0,"",COUNTIF(J514:J525,"=x"))</f>
        <v/>
      </c>
      <c r="K526" s="356" t="str">
        <f>IF(COUNTIF(K514:K525,"=x")=0,"",COUNTIF(K514:K525,"=x"))</f>
        <v/>
      </c>
      <c r="L526" s="258"/>
      <c r="M526" s="332"/>
      <c r="N526" s="336"/>
      <c r="O526" s="200"/>
      <c r="P526" s="326"/>
      <c r="Q526" s="422">
        <f>SUM(U514:U525)</f>
        <v>0</v>
      </c>
      <c r="R526" s="422">
        <f t="shared" ref="R526:S526" si="769">SUM(V514:V525)</f>
        <v>0</v>
      </c>
      <c r="S526" s="422">
        <f t="shared" si="769"/>
        <v>0</v>
      </c>
      <c r="T526" s="325"/>
      <c r="U526" s="197">
        <f>SUM(U514:U525)</f>
        <v>0</v>
      </c>
      <c r="V526" s="197">
        <f t="shared" ref="V526:W526" si="770">SUM(V514:V525)</f>
        <v>0</v>
      </c>
      <c r="W526" s="197">
        <f t="shared" si="770"/>
        <v>0</v>
      </c>
      <c r="X526" s="197"/>
      <c r="Y526" s="324"/>
      <c r="Z526" s="422">
        <f>SUM(AD514:AD525)</f>
        <v>0</v>
      </c>
      <c r="AA526" s="422">
        <f t="shared" ref="AA526:AB526" si="771">SUM(AE514:AE525)</f>
        <v>0</v>
      </c>
      <c r="AB526" s="422">
        <f t="shared" si="771"/>
        <v>0</v>
      </c>
      <c r="AC526" s="325"/>
      <c r="AD526" s="197">
        <f>SUM(AD514:AD525)</f>
        <v>0</v>
      </c>
      <c r="AE526" s="197">
        <f t="shared" ref="AE526:AF526" si="772">SUM(AE514:AE525)</f>
        <v>0</v>
      </c>
      <c r="AF526" s="197">
        <f t="shared" si="772"/>
        <v>0</v>
      </c>
      <c r="AG526" s="197"/>
      <c r="AH526" s="324"/>
      <c r="AI526" s="422">
        <f>SUM(AM514:AM525)</f>
        <v>0</v>
      </c>
      <c r="AJ526" s="422">
        <f t="shared" ref="AJ526:AK526" si="773">SUM(AN514:AN525)</f>
        <v>0</v>
      </c>
      <c r="AK526" s="422">
        <f t="shared" si="773"/>
        <v>0</v>
      </c>
      <c r="AL526" s="325"/>
      <c r="AM526" s="197">
        <f>SUM(AM514:AM525)</f>
        <v>0</v>
      </c>
      <c r="AN526" s="197">
        <f t="shared" ref="AN526:AO526" si="774">SUM(AN514:AN525)</f>
        <v>0</v>
      </c>
      <c r="AO526" s="197">
        <f t="shared" si="774"/>
        <v>0</v>
      </c>
      <c r="AP526" s="197"/>
      <c r="AQ526" s="324"/>
      <c r="AR526" s="422">
        <f>SUM(AV514:AV525)</f>
        <v>0</v>
      </c>
      <c r="AS526" s="422">
        <f t="shared" ref="AS526:AT526" si="775">SUM(AW514:AW525)</f>
        <v>0</v>
      </c>
      <c r="AT526" s="422">
        <f t="shared" si="775"/>
        <v>0</v>
      </c>
      <c r="AU526" s="325"/>
      <c r="AV526" s="197">
        <f>SUM(AV514:AV525)</f>
        <v>0</v>
      </c>
      <c r="AW526" s="197">
        <f t="shared" ref="AW526:AX526" si="776">SUM(AW514:AW525)</f>
        <v>0</v>
      </c>
      <c r="AX526" s="197">
        <f t="shared" si="776"/>
        <v>0</v>
      </c>
      <c r="AY526" s="197"/>
      <c r="AZ526" s="324"/>
      <c r="BA526" s="422">
        <f>SUM(BE514:BE525)</f>
        <v>0</v>
      </c>
      <c r="BB526" s="422">
        <f t="shared" ref="BB526:BC526" si="777">SUM(BF514:BF525)</f>
        <v>0</v>
      </c>
      <c r="BC526" s="422">
        <f t="shared" si="777"/>
        <v>0</v>
      </c>
      <c r="BD526" s="325"/>
      <c r="BE526" s="197">
        <f>SUM(BE514:BE525)</f>
        <v>0</v>
      </c>
      <c r="BF526" s="197">
        <f t="shared" ref="BF526:BG526" si="778">SUM(BF514:BF525)</f>
        <v>0</v>
      </c>
      <c r="BG526" s="197">
        <f t="shared" si="778"/>
        <v>0</v>
      </c>
      <c r="BH526" s="197"/>
      <c r="BI526" s="324"/>
      <c r="BJ526" s="422">
        <f>SUM(BN514:BN525)</f>
        <v>0</v>
      </c>
      <c r="BK526" s="422">
        <f t="shared" ref="BK526" si="779">SUM(BO514:BO525)</f>
        <v>0</v>
      </c>
      <c r="BL526" s="422">
        <f t="shared" ref="BL526" si="780">SUM(BP514:BP525)</f>
        <v>0</v>
      </c>
      <c r="BM526" s="325"/>
      <c r="BN526" s="197">
        <f>SUM(BN514:BN525)</f>
        <v>0</v>
      </c>
      <c r="BO526" s="197">
        <f t="shared" ref="BO526:BP526" si="781">SUM(BO514:BO525)</f>
        <v>0</v>
      </c>
      <c r="BP526" s="197">
        <f t="shared" si="781"/>
        <v>0</v>
      </c>
      <c r="BQ526" s="197"/>
      <c r="BR526" s="324"/>
      <c r="BS526" s="422">
        <f>SUM(BW514:BW525)</f>
        <v>0</v>
      </c>
      <c r="BT526" s="422">
        <f t="shared" ref="BT526:BU526" si="782">SUM(BX514:BX525)</f>
        <v>0</v>
      </c>
      <c r="BU526" s="422">
        <f t="shared" si="782"/>
        <v>0</v>
      </c>
      <c r="BV526" s="325"/>
      <c r="BW526" s="197">
        <f>SUM(BW514:BW525)</f>
        <v>0</v>
      </c>
      <c r="BX526" s="197">
        <f t="shared" ref="BX526:BY526" si="783">SUM(BX514:BX525)</f>
        <v>0</v>
      </c>
      <c r="BY526" s="197">
        <f t="shared" si="783"/>
        <v>0</v>
      </c>
      <c r="BZ526" s="197"/>
      <c r="CA526" s="326"/>
      <c r="CB526" s="422">
        <f>SUM(CF514:CF525)</f>
        <v>0</v>
      </c>
      <c r="CC526" s="422">
        <f t="shared" ref="CC526:CD526" si="784">SUM(CG514:CG525)</f>
        <v>0</v>
      </c>
      <c r="CD526" s="422">
        <f t="shared" si="784"/>
        <v>0</v>
      </c>
      <c r="CE526" s="325"/>
      <c r="CF526" s="197">
        <f>SUM(CF514:CF525)</f>
        <v>0</v>
      </c>
      <c r="CG526" s="197">
        <f t="shared" ref="CG526:CH526" si="785">SUM(CG514:CG525)</f>
        <v>0</v>
      </c>
      <c r="CH526" s="197">
        <f t="shared" si="785"/>
        <v>0</v>
      </c>
      <c r="CI526" s="197"/>
      <c r="CJ526" s="197"/>
      <c r="CK526" s="422">
        <f>SUM(CO514:CO525)</f>
        <v>0</v>
      </c>
      <c r="CL526" s="422">
        <f t="shared" ref="CL526:CM526" si="786">SUM(CP514:CP525)</f>
        <v>0</v>
      </c>
      <c r="CM526" s="422">
        <f t="shared" si="786"/>
        <v>0</v>
      </c>
      <c r="CN526" s="325"/>
      <c r="CO526" s="197">
        <f>SUM(CO514:CO525)</f>
        <v>0</v>
      </c>
      <c r="CP526" s="197">
        <f t="shared" ref="CP526:CQ526" si="787">SUM(CP514:CP525)</f>
        <v>0</v>
      </c>
      <c r="CQ526" s="197">
        <f t="shared" si="787"/>
        <v>0</v>
      </c>
      <c r="CR526" s="197"/>
      <c r="CS526" s="197"/>
      <c r="CT526" s="197"/>
      <c r="CU526" s="259"/>
      <c r="CV526" s="209"/>
      <c r="CW526" s="228"/>
    </row>
    <row r="527" spans="1:101" x14ac:dyDescent="0.2">
      <c r="A527" s="227"/>
      <c r="B527" s="227"/>
      <c r="C527" s="168"/>
      <c r="D527" s="249"/>
      <c r="E527" s="242"/>
      <c r="F527" s="243"/>
      <c r="G527" s="242"/>
      <c r="H527" s="242"/>
      <c r="I527" s="242"/>
      <c r="J527" s="242"/>
      <c r="K527" s="242"/>
      <c r="L527" s="252"/>
      <c r="M527" s="260"/>
      <c r="N527" s="337"/>
      <c r="O527" s="333"/>
      <c r="P527" s="244"/>
      <c r="Q527" s="245"/>
      <c r="R527" s="245"/>
      <c r="S527" s="245"/>
      <c r="T527" s="246"/>
      <c r="U527" s="247"/>
      <c r="V527" s="247"/>
      <c r="W527" s="247"/>
      <c r="X527" s="247"/>
      <c r="Y527" s="244"/>
      <c r="Z527" s="245"/>
      <c r="AA527" s="245"/>
      <c r="AB527" s="245"/>
      <c r="AC527" s="246"/>
      <c r="AD527" s="247"/>
      <c r="AE527" s="247"/>
      <c r="AF527" s="247"/>
      <c r="AG527" s="247"/>
      <c r="AH527" s="244"/>
      <c r="AI527" s="245"/>
      <c r="AJ527" s="245"/>
      <c r="AK527" s="245"/>
      <c r="AL527" s="246"/>
      <c r="AM527" s="247"/>
      <c r="AN527" s="247"/>
      <c r="AO527" s="247"/>
      <c r="AP527" s="247"/>
      <c r="AQ527" s="244"/>
      <c r="AR527" s="245"/>
      <c r="AS527" s="245"/>
      <c r="AT527" s="245"/>
      <c r="AU527" s="246"/>
      <c r="AV527" s="247"/>
      <c r="AW527" s="247"/>
      <c r="AX527" s="247"/>
      <c r="AY527" s="247"/>
      <c r="AZ527" s="244"/>
      <c r="BA527" s="245"/>
      <c r="BB527" s="245"/>
      <c r="BC527" s="245"/>
      <c r="BD527" s="246"/>
      <c r="BE527" s="247"/>
      <c r="BF527" s="247"/>
      <c r="BG527" s="247"/>
      <c r="BH527" s="247"/>
      <c r="BI527" s="244"/>
      <c r="BJ527" s="244"/>
      <c r="BK527" s="244"/>
      <c r="BL527" s="244"/>
      <c r="BM527" s="244"/>
      <c r="BN527" s="247"/>
      <c r="BO527" s="247"/>
      <c r="BP527" s="247"/>
      <c r="BQ527" s="247"/>
      <c r="BR527" s="244"/>
      <c r="BS527" s="244"/>
      <c r="BT527" s="244"/>
      <c r="BU527" s="244"/>
      <c r="BV527" s="244"/>
      <c r="BW527" s="247"/>
      <c r="BX527" s="247"/>
      <c r="BY527" s="247"/>
      <c r="BZ527" s="247"/>
      <c r="CA527" s="244"/>
      <c r="CB527" s="244"/>
      <c r="CC527" s="244"/>
      <c r="CD527" s="244"/>
      <c r="CE527" s="244"/>
      <c r="CF527" s="247"/>
      <c r="CG527" s="247"/>
      <c r="CH527" s="247"/>
      <c r="CI527" s="247"/>
      <c r="CJ527" s="248"/>
      <c r="CK527" s="248"/>
      <c r="CL527" s="248"/>
      <c r="CM527" s="248"/>
      <c r="CN527" s="248"/>
      <c r="CO527" s="247"/>
      <c r="CP527" s="247"/>
      <c r="CQ527" s="247"/>
      <c r="CR527" s="247"/>
      <c r="CS527" s="248"/>
      <c r="CT527" s="242"/>
      <c r="CU527" s="253"/>
      <c r="CV527" s="209"/>
      <c r="CW527" s="228"/>
    </row>
    <row r="528" spans="1:101" x14ac:dyDescent="0.2">
      <c r="A528" s="219"/>
      <c r="B528" s="219"/>
      <c r="C528" s="175"/>
      <c r="D528" s="176"/>
      <c r="E528" s="210"/>
      <c r="F528" s="211"/>
      <c r="G528" s="210"/>
      <c r="H528" s="210"/>
      <c r="I528" s="210"/>
      <c r="J528" s="210"/>
      <c r="K528" s="210"/>
      <c r="L528" s="212"/>
      <c r="M528" s="213"/>
      <c r="N528" s="213"/>
      <c r="O528" s="213"/>
      <c r="P528" s="213"/>
      <c r="Q528" s="210"/>
      <c r="R528" s="210"/>
      <c r="S528" s="210"/>
      <c r="T528" s="214"/>
      <c r="U528" s="215"/>
      <c r="V528" s="215"/>
      <c r="W528" s="215"/>
      <c r="X528" s="215"/>
      <c r="Y528" s="213"/>
      <c r="Z528" s="210"/>
      <c r="AA528" s="210"/>
      <c r="AB528" s="210"/>
      <c r="AC528" s="214"/>
      <c r="AD528" s="215"/>
      <c r="AE528" s="215"/>
      <c r="AF528" s="215"/>
      <c r="AG528" s="215"/>
      <c r="AH528" s="213"/>
      <c r="AI528" s="210"/>
      <c r="AJ528" s="210"/>
      <c r="AK528" s="210"/>
      <c r="AL528" s="214"/>
      <c r="AM528" s="215"/>
      <c r="AN528" s="215"/>
      <c r="AO528" s="215"/>
      <c r="AP528" s="215"/>
      <c r="AQ528" s="213"/>
      <c r="AR528" s="210"/>
      <c r="AS528" s="210"/>
      <c r="AT528" s="210"/>
      <c r="AU528" s="214"/>
      <c r="AV528" s="215"/>
      <c r="AW528" s="215"/>
      <c r="AX528" s="215"/>
      <c r="AY528" s="215"/>
      <c r="AZ528" s="213"/>
      <c r="BA528" s="210"/>
      <c r="BB528" s="210"/>
      <c r="BC528" s="210"/>
      <c r="BD528" s="214"/>
      <c r="BE528" s="215"/>
      <c r="BF528" s="215"/>
      <c r="BG528" s="215"/>
      <c r="BH528" s="215"/>
      <c r="BI528" s="213"/>
      <c r="BJ528" s="210"/>
      <c r="BK528" s="210"/>
      <c r="BL528" s="210"/>
      <c r="BM528" s="214"/>
      <c r="BN528" s="215"/>
      <c r="BO528" s="215"/>
      <c r="BP528" s="215"/>
      <c r="BQ528" s="215"/>
      <c r="BR528" s="177"/>
      <c r="BS528" s="210"/>
      <c r="BT528" s="210"/>
      <c r="BU528" s="210"/>
      <c r="BV528" s="213"/>
      <c r="BW528" s="215"/>
      <c r="BX528" s="215"/>
      <c r="BY528" s="215"/>
      <c r="BZ528" s="215"/>
      <c r="CA528" s="210"/>
      <c r="CB528" s="216"/>
      <c r="CC528" s="216"/>
      <c r="CD528" s="216"/>
      <c r="CE528" s="216"/>
      <c r="CF528" s="215"/>
      <c r="CG528" s="215"/>
      <c r="CH528" s="215"/>
      <c r="CI528" s="215"/>
      <c r="CJ528" s="210"/>
      <c r="CK528" s="210"/>
      <c r="CL528" s="210"/>
      <c r="CM528" s="210"/>
      <c r="CN528" s="210"/>
      <c r="CO528" s="215"/>
      <c r="CP528" s="215"/>
      <c r="CQ528" s="215"/>
      <c r="CR528" s="215"/>
      <c r="CS528" s="210"/>
      <c r="CT528" s="210"/>
      <c r="CU528" s="210"/>
      <c r="CV528" s="217"/>
      <c r="CW528" s="218"/>
    </row>
    <row r="529" spans="1:101" ht="14.25" thickTop="1" thickBot="1" x14ac:dyDescent="0.25">
      <c r="A529" s="218"/>
      <c r="B529" s="218"/>
      <c r="C529" s="218"/>
      <c r="D529" s="218"/>
      <c r="E529" s="218"/>
      <c r="F529" s="218"/>
      <c r="G529" s="218"/>
      <c r="H529" s="218"/>
      <c r="I529" s="218"/>
      <c r="J529" s="218"/>
      <c r="K529" s="218"/>
      <c r="L529" s="218"/>
      <c r="M529" s="218"/>
      <c r="N529" s="218"/>
      <c r="O529" s="218"/>
      <c r="P529" s="218"/>
      <c r="Q529" s="218"/>
      <c r="R529" s="218"/>
      <c r="S529" s="218"/>
      <c r="T529" s="218"/>
      <c r="U529" s="218"/>
      <c r="V529" s="218"/>
      <c r="W529" s="218"/>
      <c r="X529" s="218"/>
      <c r="Y529" s="218"/>
      <c r="Z529" s="218"/>
      <c r="AA529" s="218"/>
      <c r="AB529" s="218"/>
      <c r="AC529" s="218"/>
      <c r="AD529" s="218"/>
      <c r="AE529" s="218"/>
      <c r="AF529" s="218"/>
      <c r="AG529" s="218"/>
      <c r="AH529" s="218"/>
      <c r="AI529" s="218"/>
      <c r="AJ529" s="218"/>
      <c r="AK529" s="218"/>
      <c r="AL529" s="218"/>
      <c r="AM529" s="218"/>
      <c r="AN529" s="218"/>
      <c r="AO529" s="218"/>
      <c r="AP529" s="218"/>
      <c r="AQ529" s="218"/>
      <c r="AR529" s="218"/>
      <c r="AS529" s="218"/>
      <c r="AT529" s="218"/>
      <c r="AU529" s="218"/>
      <c r="AV529" s="218"/>
      <c r="AW529" s="218"/>
      <c r="AX529" s="218"/>
      <c r="AY529" s="218"/>
      <c r="AZ529" s="218"/>
      <c r="BA529" s="218"/>
      <c r="BB529" s="218"/>
      <c r="BC529" s="218"/>
      <c r="BD529" s="218"/>
      <c r="BE529" s="218"/>
      <c r="BF529" s="218"/>
      <c r="BG529" s="218"/>
      <c r="BH529" s="218"/>
      <c r="BI529" s="218"/>
      <c r="BJ529" s="218"/>
      <c r="BK529" s="218"/>
      <c r="BL529" s="218"/>
      <c r="BM529" s="218"/>
      <c r="BN529" s="218"/>
      <c r="BO529" s="218"/>
      <c r="BP529" s="218"/>
      <c r="BQ529" s="218"/>
      <c r="BR529" s="218"/>
      <c r="BS529" s="218"/>
      <c r="BT529" s="218"/>
      <c r="BU529" s="218"/>
      <c r="BV529" s="218"/>
      <c r="BW529" s="218"/>
      <c r="BX529" s="218"/>
      <c r="BY529" s="218"/>
      <c r="BZ529" s="218"/>
      <c r="CA529" s="218"/>
      <c r="CB529" s="392"/>
      <c r="CC529" s="392"/>
      <c r="CD529" s="392"/>
      <c r="CE529" s="392"/>
      <c r="CF529" s="218"/>
      <c r="CG529" s="218"/>
      <c r="CH529" s="218"/>
      <c r="CI529" s="218"/>
      <c r="CJ529" s="218"/>
      <c r="CK529" s="218"/>
      <c r="CL529" s="218"/>
      <c r="CM529" s="218"/>
      <c r="CN529" s="218"/>
      <c r="CO529" s="218"/>
      <c r="CP529" s="218"/>
      <c r="CQ529" s="218"/>
      <c r="CR529" s="218"/>
      <c r="CS529" s="218"/>
      <c r="CT529" s="218"/>
      <c r="CU529" s="218"/>
      <c r="CV529" s="218"/>
      <c r="CW529" s="218"/>
    </row>
    <row r="530" spans="1:101" ht="21" thickTop="1" x14ac:dyDescent="0.3">
      <c r="A530" s="219"/>
      <c r="B530" s="219"/>
      <c r="C530" s="157"/>
      <c r="D530" s="158"/>
      <c r="E530" s="731" t="s">
        <v>44</v>
      </c>
      <c r="F530" s="229"/>
      <c r="G530" s="229"/>
      <c r="H530" s="229"/>
      <c r="I530" s="877" t="e" vm="1">
        <v>#VALUE!</v>
      </c>
      <c r="J530" s="877"/>
      <c r="K530" s="877"/>
      <c r="L530" s="877"/>
      <c r="M530" s="159"/>
      <c r="N530" s="159"/>
      <c r="O530" s="159"/>
      <c r="P530" s="160"/>
      <c r="Q530" s="159"/>
      <c r="R530" s="159"/>
      <c r="S530" s="159"/>
      <c r="T530" s="161"/>
      <c r="U530" s="162"/>
      <c r="V530" s="162"/>
      <c r="W530" s="162"/>
      <c r="X530" s="162"/>
      <c r="Y530" s="160"/>
      <c r="Z530" s="159"/>
      <c r="AA530" s="159"/>
      <c r="AB530" s="159"/>
      <c r="AC530" s="161"/>
      <c r="AD530" s="162"/>
      <c r="AE530" s="162"/>
      <c r="AF530" s="162"/>
      <c r="AG530" s="162"/>
      <c r="AH530" s="160"/>
      <c r="AI530" s="159"/>
      <c r="AJ530" s="201"/>
      <c r="AK530" s="201"/>
      <c r="AL530" s="164"/>
      <c r="AM530" s="162"/>
      <c r="AN530" s="162"/>
      <c r="AO530" s="162"/>
      <c r="AP530" s="162"/>
      <c r="AQ530" s="202"/>
      <c r="AR530" s="203"/>
      <c r="AS530" s="165"/>
      <c r="AT530" s="166"/>
      <c r="AU530" s="164"/>
      <c r="AV530" s="162"/>
      <c r="AW530" s="162"/>
      <c r="AX530" s="162"/>
      <c r="AY530" s="162"/>
      <c r="AZ530" s="202"/>
      <c r="BA530" s="203"/>
      <c r="BB530" s="166"/>
      <c r="BC530" s="201"/>
      <c r="BD530" s="204"/>
      <c r="BE530" s="162"/>
      <c r="BF530" s="162"/>
      <c r="BG530" s="162"/>
      <c r="BH530" s="162"/>
      <c r="BI530" s="205"/>
      <c r="BJ530" s="201"/>
      <c r="BK530" s="201"/>
      <c r="BL530" s="201"/>
      <c r="BM530" s="204"/>
      <c r="BN530" s="162"/>
      <c r="BO530" s="162"/>
      <c r="BP530" s="162"/>
      <c r="BQ530" s="162"/>
      <c r="BR530" s="167"/>
      <c r="BS530" s="201"/>
      <c r="BT530" s="201"/>
      <c r="BU530" s="201"/>
      <c r="BV530" s="205"/>
      <c r="BW530" s="162"/>
      <c r="BX530" s="162"/>
      <c r="BY530" s="162"/>
      <c r="BZ530" s="162"/>
      <c r="CA530" s="201"/>
      <c r="CB530" s="393"/>
      <c r="CC530" s="393"/>
      <c r="CD530" s="393"/>
      <c r="CE530" s="393"/>
      <c r="CF530" s="162"/>
      <c r="CG530" s="162"/>
      <c r="CH530" s="162"/>
      <c r="CI530" s="162"/>
      <c r="CJ530" s="163"/>
      <c r="CK530" s="163"/>
      <c r="CL530" s="163"/>
      <c r="CM530" s="163"/>
      <c r="CN530" s="163"/>
      <c r="CO530" s="162"/>
      <c r="CP530" s="162"/>
      <c r="CQ530" s="162"/>
      <c r="CR530" s="162"/>
      <c r="CS530" s="163"/>
      <c r="CT530" s="358"/>
      <c r="CU530" s="201"/>
      <c r="CV530" s="206"/>
      <c r="CW530" s="218"/>
    </row>
    <row r="531" spans="1:101" ht="15.75" thickBot="1" x14ac:dyDescent="0.25">
      <c r="A531" s="219"/>
      <c r="B531" s="219"/>
      <c r="C531" s="168"/>
      <c r="D531" s="785"/>
      <c r="E531" s="869" t="s">
        <v>45</v>
      </c>
      <c r="F531" s="363"/>
      <c r="G531" s="363"/>
      <c r="H531" s="363"/>
      <c r="I531" s="878"/>
      <c r="J531" s="878"/>
      <c r="K531" s="878"/>
      <c r="L531" s="878"/>
      <c r="M531" s="363"/>
      <c r="N531" s="363"/>
      <c r="O531" s="363"/>
      <c r="P531" s="363"/>
      <c r="Q531" s="363"/>
      <c r="R531" s="363"/>
      <c r="S531" s="363"/>
      <c r="T531" s="363"/>
      <c r="U531" s="363"/>
      <c r="V531" s="363"/>
      <c r="W531" s="363"/>
      <c r="X531" s="363"/>
      <c r="Y531" s="363"/>
      <c r="Z531" s="363"/>
      <c r="AA531" s="363"/>
      <c r="AB531" s="363"/>
      <c r="AC531" s="363"/>
      <c r="AD531" s="363"/>
      <c r="AE531" s="363"/>
      <c r="AF531" s="363"/>
      <c r="AG531" s="363"/>
      <c r="AH531" s="363"/>
      <c r="AI531" s="363"/>
      <c r="AJ531" s="363"/>
      <c r="AK531" s="363"/>
      <c r="AL531" s="363"/>
      <c r="AM531" s="363"/>
      <c r="AN531" s="363"/>
      <c r="AO531" s="363"/>
      <c r="AP531" s="363"/>
      <c r="AQ531" s="363"/>
      <c r="AR531" s="363"/>
      <c r="AS531" s="363"/>
      <c r="AT531" s="363"/>
      <c r="AU531" s="363"/>
      <c r="AV531" s="363"/>
      <c r="AW531" s="363"/>
      <c r="AX531" s="363"/>
      <c r="AY531" s="363"/>
      <c r="AZ531" s="363"/>
      <c r="BA531" s="363"/>
      <c r="BB531" s="363"/>
      <c r="BC531" s="363"/>
      <c r="BD531" s="363"/>
      <c r="BE531" s="363"/>
      <c r="BF531" s="363"/>
      <c r="BG531" s="363"/>
      <c r="BH531" s="363"/>
      <c r="BI531" s="363"/>
      <c r="BJ531" s="363"/>
      <c r="BK531" s="363"/>
      <c r="BL531" s="363"/>
      <c r="BM531" s="363"/>
      <c r="BN531" s="363"/>
      <c r="BO531" s="363"/>
      <c r="BP531" s="363"/>
      <c r="BQ531" s="363"/>
      <c r="BR531" s="363"/>
      <c r="BS531" s="363"/>
      <c r="BT531" s="363"/>
      <c r="BU531" s="363"/>
      <c r="BV531" s="363"/>
      <c r="BW531" s="363"/>
      <c r="BX531" s="363"/>
      <c r="BY531" s="363"/>
      <c r="BZ531" s="363"/>
      <c r="CA531" s="363"/>
      <c r="CB531" s="394"/>
      <c r="CC531" s="394"/>
      <c r="CD531" s="394"/>
      <c r="CE531" s="394"/>
      <c r="CF531" s="363"/>
      <c r="CG531" s="363"/>
      <c r="CH531" s="363"/>
      <c r="CI531" s="363"/>
      <c r="CJ531" s="363"/>
      <c r="CK531" s="363"/>
      <c r="CL531" s="363"/>
      <c r="CM531" s="363"/>
      <c r="CN531" s="323"/>
      <c r="CO531" s="363"/>
      <c r="CP531" s="363"/>
      <c r="CQ531" s="363"/>
      <c r="CR531" s="363"/>
      <c r="CS531" s="323"/>
      <c r="CT531" s="155"/>
      <c r="CU531" s="269"/>
      <c r="CV531" s="209"/>
      <c r="CW531" s="218"/>
    </row>
    <row r="532" spans="1:101" ht="18.75" thickTop="1" x14ac:dyDescent="0.2">
      <c r="A532" s="219"/>
      <c r="B532" s="219"/>
      <c r="C532" s="174"/>
      <c r="D532" s="778"/>
      <c r="E532" s="777"/>
      <c r="F532" s="235"/>
      <c r="G532" s="234"/>
      <c r="H532" s="234"/>
      <c r="I532" s="875">
        <f>WEEKNUM(E533)</f>
        <v>5</v>
      </c>
      <c r="J532" s="875"/>
      <c r="K532" s="875"/>
      <c r="L532" s="250"/>
      <c r="M532" s="261"/>
      <c r="N532" s="205"/>
      <c r="O532" s="236"/>
      <c r="P532" s="236"/>
      <c r="Q532" s="675" t="str">
        <f>IF($F536="","",SUM(Q548:S548)-S534)</f>
        <v/>
      </c>
      <c r="R532" s="675"/>
      <c r="S532" s="675"/>
      <c r="T532" s="237"/>
      <c r="U532" s="238"/>
      <c r="V532" s="238"/>
      <c r="W532" s="238"/>
      <c r="X532" s="238"/>
      <c r="Y532" s="236"/>
      <c r="Z532" s="675" t="str">
        <f>IF($F536="","",SUM(Z548:AB548)-AB534)</f>
        <v/>
      </c>
      <c r="AA532" s="675"/>
      <c r="AB532" s="675"/>
      <c r="AC532" s="237"/>
      <c r="AD532" s="238"/>
      <c r="AE532" s="238"/>
      <c r="AF532" s="238"/>
      <c r="AG532" s="238"/>
      <c r="AH532" s="236"/>
      <c r="AI532" s="675" t="str">
        <f>IF($F536="","",SUM(AI548:AK548)-AK534)</f>
        <v/>
      </c>
      <c r="AJ532" s="675"/>
      <c r="AK532" s="675"/>
      <c r="AL532" s="237"/>
      <c r="AM532" s="238"/>
      <c r="AN532" s="238"/>
      <c r="AO532" s="238"/>
      <c r="AP532" s="238"/>
      <c r="AQ532" s="236"/>
      <c r="AR532" s="675" t="str">
        <f>IF($F536="","",SUM(AR548:AT548)-AT534)</f>
        <v/>
      </c>
      <c r="AS532" s="675"/>
      <c r="AT532" s="675"/>
      <c r="AU532" s="239"/>
      <c r="AV532" s="238"/>
      <c r="AW532" s="238"/>
      <c r="AX532" s="238"/>
      <c r="AY532" s="238"/>
      <c r="AZ532" s="240"/>
      <c r="BA532" s="675" t="str">
        <f>IF($F536="","",SUM(BA548:BC548)-BC534)</f>
        <v/>
      </c>
      <c r="BB532" s="675"/>
      <c r="BC532" s="675"/>
      <c r="BD532" s="239"/>
      <c r="BE532" s="238"/>
      <c r="BF532" s="238"/>
      <c r="BG532" s="238"/>
      <c r="BH532" s="238"/>
      <c r="BI532" s="240"/>
      <c r="BJ532" s="675" t="str">
        <f>IF($F536="","",SUM(BJ548:BL548)-BL534)</f>
        <v/>
      </c>
      <c r="BK532" s="675"/>
      <c r="BL532" s="675"/>
      <c r="BM532" s="239"/>
      <c r="BN532" s="238"/>
      <c r="BO532" s="238"/>
      <c r="BP532" s="238"/>
      <c r="BQ532" s="238"/>
      <c r="BR532" s="241"/>
      <c r="BS532" s="675" t="str">
        <f>IF($F536="","",SUM(BS548:BU548)-BU534)</f>
        <v/>
      </c>
      <c r="BT532" s="675"/>
      <c r="BU532" s="675"/>
      <c r="BV532" s="240"/>
      <c r="BW532" s="238"/>
      <c r="BX532" s="238"/>
      <c r="BY532" s="238"/>
      <c r="BZ532" s="238"/>
      <c r="CA532" s="241"/>
      <c r="CB532" s="675" t="str">
        <f>IF($F536="","",SUM(CB548:CD548)-CD534)</f>
        <v/>
      </c>
      <c r="CC532" s="675"/>
      <c r="CD532" s="675"/>
      <c r="CE532" s="240"/>
      <c r="CF532" s="238"/>
      <c r="CG532" s="238"/>
      <c r="CH532" s="238"/>
      <c r="CI532" s="238"/>
      <c r="CJ532" s="234"/>
      <c r="CK532" s="675" t="str">
        <f>IF($F536="","",SUM(CK548:CM548))</f>
        <v/>
      </c>
      <c r="CL532" s="675"/>
      <c r="CM532" s="675"/>
      <c r="CN532" s="240"/>
      <c r="CO532" s="238"/>
      <c r="CP532" s="238"/>
      <c r="CQ532" s="238"/>
      <c r="CR532" s="238"/>
      <c r="CS532" s="234"/>
      <c r="CT532" s="234"/>
      <c r="CU532" s="251"/>
      <c r="CV532" s="209"/>
      <c r="CW532" s="218"/>
    </row>
    <row r="533" spans="1:101" x14ac:dyDescent="0.2">
      <c r="A533" s="219"/>
      <c r="B533" s="219"/>
      <c r="C533" s="174"/>
      <c r="D533" s="779"/>
      <c r="E533" s="543">
        <f>E511+7</f>
        <v>46417</v>
      </c>
      <c r="F533" s="178"/>
      <c r="G533" s="179"/>
      <c r="H533" s="179"/>
      <c r="I533" s="876"/>
      <c r="J533" s="876"/>
      <c r="K533" s="876"/>
      <c r="L533" s="254"/>
      <c r="M533" s="329"/>
      <c r="N533" s="208"/>
      <c r="O533" s="180"/>
      <c r="P533" s="180"/>
      <c r="Q533" s="584" t="str">
        <f>IF(Q532="","",Q532/Data!$X$1)</f>
        <v/>
      </c>
      <c r="R533" s="584"/>
      <c r="S533" s="585" t="str">
        <f>IF(SUM(X536:X547)=0,"",SUM(X536:X547))</f>
        <v/>
      </c>
      <c r="T533" s="181"/>
      <c r="U533" s="182"/>
      <c r="V533" s="182"/>
      <c r="W533" s="182"/>
      <c r="X533" s="182"/>
      <c r="Y533" s="180"/>
      <c r="Z533" s="584" t="str">
        <f>IF(Z532="","",Z532/Data!$X$1)</f>
        <v/>
      </c>
      <c r="AA533" s="584"/>
      <c r="AB533" s="585" t="str">
        <f>IF(SUM(AG536:AG547)=0,"",SUM(AG536:AG547))</f>
        <v/>
      </c>
      <c r="AC533" s="181"/>
      <c r="AD533" s="182"/>
      <c r="AE533" s="182"/>
      <c r="AF533" s="182"/>
      <c r="AG533" s="182"/>
      <c r="AH533" s="180"/>
      <c r="AI533" s="584" t="str">
        <f>IF(AI532="","",AI532/Data!$X$1)</f>
        <v/>
      </c>
      <c r="AJ533" s="584"/>
      <c r="AK533" s="585" t="str">
        <f>IF(SUM(AP536:AP547)=0,"",SUM(AP536:AP547))</f>
        <v/>
      </c>
      <c r="AL533" s="181"/>
      <c r="AM533" s="182"/>
      <c r="AN533" s="182"/>
      <c r="AO533" s="182"/>
      <c r="AP533" s="182"/>
      <c r="AQ533" s="180"/>
      <c r="AR533" s="584" t="str">
        <f>IF(AR532="","",AR532/Data!$X$1)</f>
        <v/>
      </c>
      <c r="AS533" s="584"/>
      <c r="AT533" s="585" t="str">
        <f>IF(SUM(AY536:AY547)=0,"",SUM(AY536:AY547))</f>
        <v/>
      </c>
      <c r="AU533" s="183"/>
      <c r="AV533" s="182"/>
      <c r="AW533" s="182"/>
      <c r="AX533" s="182"/>
      <c r="AY533" s="182"/>
      <c r="AZ533" s="184"/>
      <c r="BA533" s="584" t="str">
        <f>IF(BA532="","",BA532/Data!$X$1)</f>
        <v/>
      </c>
      <c r="BB533" s="584"/>
      <c r="BC533" s="585" t="str">
        <f>IF(SUM(BH536:BH547)=0,"",SUM(BH536:BH547))</f>
        <v/>
      </c>
      <c r="BD533" s="183"/>
      <c r="BE533" s="182"/>
      <c r="BF533" s="182"/>
      <c r="BG533" s="182"/>
      <c r="BH533" s="182"/>
      <c r="BI533" s="184"/>
      <c r="BJ533" s="584" t="str">
        <f>IF(BJ532="","",BJ532/Data!$X$1)</f>
        <v/>
      </c>
      <c r="BK533" s="584"/>
      <c r="BL533" s="585" t="str">
        <f>IF(SUM(BQ536:BQ547)=0,"",SUM(BQ536:BQ547))</f>
        <v/>
      </c>
      <c r="BM533" s="183"/>
      <c r="BN533" s="182"/>
      <c r="BO533" s="182"/>
      <c r="BP533" s="182"/>
      <c r="BQ533" s="182"/>
      <c r="BR533" s="185"/>
      <c r="BS533" s="584" t="str">
        <f>IF(BS532="","",BS532/Data!$X$1)</f>
        <v/>
      </c>
      <c r="BT533" s="584"/>
      <c r="BU533" s="585" t="str">
        <f>IF(SUM(BZ536:BZ547)=0,"",SUM(BZ536:BZ547))</f>
        <v/>
      </c>
      <c r="BV533" s="184"/>
      <c r="BW533" s="182"/>
      <c r="BX533" s="182"/>
      <c r="BY533" s="182"/>
      <c r="BZ533" s="182"/>
      <c r="CA533" s="185"/>
      <c r="CB533" s="584" t="str">
        <f>IF(CB532="","",CB532/Data!$X$1)</f>
        <v/>
      </c>
      <c r="CC533" s="584"/>
      <c r="CD533" s="585" t="str">
        <f>IF(SUM(CI536:CI547)=0,"",SUM(CI536:CI547))</f>
        <v/>
      </c>
      <c r="CE533" s="184"/>
      <c r="CF533" s="182"/>
      <c r="CG533" s="182"/>
      <c r="CH533" s="182"/>
      <c r="CI533" s="182"/>
      <c r="CJ533" s="182"/>
      <c r="CK533" s="584" t="str">
        <f>IF(CK532="","",CK532/Data!$X$1)</f>
        <v/>
      </c>
      <c r="CL533" s="584"/>
      <c r="CM533" s="585" t="str">
        <f>IF(SUM(CR536:CR547)=0,"",SUM(CR536:CR547))</f>
        <v/>
      </c>
      <c r="CN533" s="184"/>
      <c r="CO533" s="182"/>
      <c r="CP533" s="182"/>
      <c r="CQ533" s="182"/>
      <c r="CR533" s="182"/>
      <c r="CS533" s="182"/>
      <c r="CT533" s="182"/>
      <c r="CU533" s="255"/>
      <c r="CV533" s="209"/>
      <c r="CW533" s="218"/>
    </row>
    <row r="534" spans="1:101" ht="13.5" thickBot="1" x14ac:dyDescent="0.25">
      <c r="A534" s="219"/>
      <c r="B534" s="219"/>
      <c r="C534" s="174"/>
      <c r="D534" s="230"/>
      <c r="E534" s="359"/>
      <c r="F534" s="186"/>
      <c r="G534" s="187"/>
      <c r="H534" s="187"/>
      <c r="I534" s="673"/>
      <c r="J534" s="674"/>
      <c r="K534" s="674"/>
      <c r="L534" s="256"/>
      <c r="M534" s="330"/>
      <c r="N534" s="334"/>
      <c r="O534" s="187"/>
      <c r="P534" s="187"/>
      <c r="Q534" s="342" t="str">
        <f>Data!$E$11</f>
        <v>AHH</v>
      </c>
      <c r="R534" s="343" t="str">
        <f>IF($F547="","",RANK(Q532,$Q532:$CL532))</f>
        <v/>
      </c>
      <c r="S534" s="466"/>
      <c r="T534" s="181"/>
      <c r="U534" s="182"/>
      <c r="V534" s="182"/>
      <c r="W534" s="182"/>
      <c r="X534" s="197">
        <f>COUNTIF(U536:W547,"&gt;0")</f>
        <v>0</v>
      </c>
      <c r="Y534" s="180"/>
      <c r="Z534" s="342" t="str">
        <f>Data!$E$12</f>
        <v>RB</v>
      </c>
      <c r="AA534" s="343" t="str">
        <f>IF($F547="","",RANK(Z532,$Q532:$CL532))</f>
        <v/>
      </c>
      <c r="AB534" s="466"/>
      <c r="AC534" s="181"/>
      <c r="AD534" s="182"/>
      <c r="AE534" s="182"/>
      <c r="AF534" s="182"/>
      <c r="AG534" s="197">
        <f>COUNTIF(AD536:AF547,"&gt;0")</f>
        <v>0</v>
      </c>
      <c r="AH534" s="180"/>
      <c r="AI534" s="342" t="str">
        <f>Data!$E$13</f>
        <v>EB</v>
      </c>
      <c r="AJ534" s="343" t="str">
        <f>IF($F547="","",RANK(AI532,$Q532:$CL532))</f>
        <v/>
      </c>
      <c r="AK534" s="466"/>
      <c r="AL534" s="181"/>
      <c r="AM534" s="182"/>
      <c r="AN534" s="182"/>
      <c r="AO534" s="182"/>
      <c r="AP534" s="197">
        <f>COUNTIF(AM536:AO547,"&gt;0")</f>
        <v>0</v>
      </c>
      <c r="AQ534" s="180"/>
      <c r="AR534" s="305" t="str">
        <f>Data!$E$14</f>
        <v>KAF</v>
      </c>
      <c r="AS534" s="343" t="str">
        <f>IF($F547="","",RANK(AR532,$Q532:$CL532))</f>
        <v/>
      </c>
      <c r="AT534" s="466"/>
      <c r="AU534" s="181"/>
      <c r="AV534" s="182"/>
      <c r="AW534" s="182"/>
      <c r="AX534" s="182"/>
      <c r="AY534" s="197">
        <f>COUNTIF(AV536:AX547,"&gt;0")</f>
        <v>0</v>
      </c>
      <c r="AZ534" s="180"/>
      <c r="BA534" s="305" t="str">
        <f>Data!$E$15</f>
        <v>ØG</v>
      </c>
      <c r="BB534" s="343" t="str">
        <f>IF($F547="","",RANK(BA532,$Q532:$CL532))</f>
        <v/>
      </c>
      <c r="BC534" s="466"/>
      <c r="BD534" s="181"/>
      <c r="BE534" s="182"/>
      <c r="BF534" s="182"/>
      <c r="BG534" s="182"/>
      <c r="BH534" s="197">
        <f>COUNTIF(BE536:BG547,"&gt;0")</f>
        <v>0</v>
      </c>
      <c r="BI534" s="180"/>
      <c r="BJ534" s="305" t="str">
        <f>Data!$E$16</f>
        <v>JH</v>
      </c>
      <c r="BK534" s="343" t="str">
        <f>IF($F547="","",RANK(BJ532,$Q532:$CL532))</f>
        <v/>
      </c>
      <c r="BL534" s="466"/>
      <c r="BM534" s="181"/>
      <c r="BN534" s="182"/>
      <c r="BO534" s="182"/>
      <c r="BP534" s="182"/>
      <c r="BQ534" s="197">
        <f>COUNTIF(BN536:BP547,"&gt;0")</f>
        <v>0</v>
      </c>
      <c r="BR534" s="188"/>
      <c r="BS534" s="305" t="str">
        <f>Data!$E$17</f>
        <v>TOH</v>
      </c>
      <c r="BT534" s="343" t="str">
        <f>IF($F547="","",RANK(BS532,$Q532:$CL532))</f>
        <v/>
      </c>
      <c r="BU534" s="466"/>
      <c r="BV534" s="180"/>
      <c r="BW534" s="182"/>
      <c r="BX534" s="182"/>
      <c r="BY534" s="182"/>
      <c r="BZ534" s="197">
        <f>COUNTIF(BW536:BY547,"&gt;0")</f>
        <v>0</v>
      </c>
      <c r="CA534" s="188"/>
      <c r="CB534" s="305" t="s">
        <v>26</v>
      </c>
      <c r="CC534" s="343" t="str">
        <f>IF($F547="","",RANK(CB532,$Q532:$CM532))</f>
        <v/>
      </c>
      <c r="CD534" s="467"/>
      <c r="CE534" s="180"/>
      <c r="CF534" s="182"/>
      <c r="CG534" s="182"/>
      <c r="CH534" s="182"/>
      <c r="CI534" s="197">
        <f>COUNTIF(CF536:CH547,"&gt;0")</f>
        <v>0</v>
      </c>
      <c r="CJ534" s="182"/>
      <c r="CK534" s="305" t="s">
        <v>27</v>
      </c>
      <c r="CL534" s="343" t="str">
        <f>IF($F547="","",RANK(CK532,$Q532:$CM532))</f>
        <v/>
      </c>
      <c r="CM534" s="669"/>
      <c r="CN534" s="180"/>
      <c r="CO534" s="182"/>
      <c r="CP534" s="182"/>
      <c r="CQ534" s="182"/>
      <c r="CR534" s="197">
        <f>COUNTIF(CO536:CQ547,"&gt;0")</f>
        <v>0</v>
      </c>
      <c r="CS534" s="182"/>
      <c r="CT534" s="182"/>
      <c r="CU534" s="255"/>
      <c r="CV534" s="209"/>
      <c r="CW534" s="218"/>
    </row>
    <row r="535" spans="1:101" ht="13.5" thickBot="1" x14ac:dyDescent="0.25">
      <c r="A535" s="227"/>
      <c r="B535" s="227"/>
      <c r="C535" s="168"/>
      <c r="D535" s="231"/>
      <c r="E535" s="189"/>
      <c r="F535" s="190"/>
      <c r="G535" s="191"/>
      <c r="H535" s="191"/>
      <c r="I535" s="192" t="s">
        <v>47</v>
      </c>
      <c r="J535" s="193" t="s">
        <v>48</v>
      </c>
      <c r="K535" s="194" t="s">
        <v>49</v>
      </c>
      <c r="L535" s="257"/>
      <c r="M535" s="331"/>
      <c r="N535" s="335"/>
      <c r="O535" s="195"/>
      <c r="P535" s="195"/>
      <c r="Q535" s="192" t="s">
        <v>47</v>
      </c>
      <c r="R535" s="193" t="s">
        <v>48</v>
      </c>
      <c r="S535" s="194" t="s">
        <v>49</v>
      </c>
      <c r="T535" s="196"/>
      <c r="U535" s="197"/>
      <c r="V535" s="197"/>
      <c r="W535" s="197"/>
      <c r="X535" s="197"/>
      <c r="Y535" s="195"/>
      <c r="Z535" s="192" t="s">
        <v>47</v>
      </c>
      <c r="AA535" s="193" t="s">
        <v>48</v>
      </c>
      <c r="AB535" s="194" t="s">
        <v>49</v>
      </c>
      <c r="AC535" s="196"/>
      <c r="AD535" s="197"/>
      <c r="AE535" s="197"/>
      <c r="AF535" s="197"/>
      <c r="AG535" s="197"/>
      <c r="AH535" s="195"/>
      <c r="AI535" s="192" t="s">
        <v>47</v>
      </c>
      <c r="AJ535" s="193" t="s">
        <v>48</v>
      </c>
      <c r="AK535" s="194" t="s">
        <v>49</v>
      </c>
      <c r="AL535" s="196"/>
      <c r="AM535" s="197"/>
      <c r="AN535" s="197"/>
      <c r="AO535" s="197"/>
      <c r="AP535" s="197"/>
      <c r="AQ535" s="195"/>
      <c r="AR535" s="192" t="s">
        <v>47</v>
      </c>
      <c r="AS535" s="193" t="s">
        <v>48</v>
      </c>
      <c r="AT535" s="194" t="s">
        <v>49</v>
      </c>
      <c r="AU535" s="196"/>
      <c r="AV535" s="197"/>
      <c r="AW535" s="197"/>
      <c r="AX535" s="197"/>
      <c r="AY535" s="197"/>
      <c r="AZ535" s="195"/>
      <c r="BA535" s="192" t="s">
        <v>47</v>
      </c>
      <c r="BB535" s="193" t="s">
        <v>48</v>
      </c>
      <c r="BC535" s="194" t="s">
        <v>49</v>
      </c>
      <c r="BD535" s="196"/>
      <c r="BE535" s="197"/>
      <c r="BF535" s="197"/>
      <c r="BG535" s="197"/>
      <c r="BH535" s="197"/>
      <c r="BI535" s="195"/>
      <c r="BJ535" s="192" t="s">
        <v>47</v>
      </c>
      <c r="BK535" s="193" t="s">
        <v>48</v>
      </c>
      <c r="BL535" s="194" t="s">
        <v>49</v>
      </c>
      <c r="BM535" s="196"/>
      <c r="BN535" s="197"/>
      <c r="BO535" s="197"/>
      <c r="BP535" s="197"/>
      <c r="BQ535" s="197"/>
      <c r="BR535" s="195"/>
      <c r="BS535" s="192" t="s">
        <v>47</v>
      </c>
      <c r="BT535" s="193" t="s">
        <v>48</v>
      </c>
      <c r="BU535" s="194" t="s">
        <v>49</v>
      </c>
      <c r="BV535" s="196"/>
      <c r="BW535" s="197"/>
      <c r="BX535" s="197"/>
      <c r="BY535" s="197"/>
      <c r="BZ535" s="197"/>
      <c r="CA535" s="195"/>
      <c r="CB535" s="192" t="s">
        <v>47</v>
      </c>
      <c r="CC535" s="193" t="s">
        <v>48</v>
      </c>
      <c r="CD535" s="194" t="s">
        <v>49</v>
      </c>
      <c r="CE535" s="196"/>
      <c r="CF535" s="197"/>
      <c r="CG535" s="197"/>
      <c r="CH535" s="197"/>
      <c r="CI535" s="197"/>
      <c r="CJ535" s="197"/>
      <c r="CK535" s="192" t="s">
        <v>47</v>
      </c>
      <c r="CL535" s="193" t="s">
        <v>48</v>
      </c>
      <c r="CM535" s="194" t="s">
        <v>49</v>
      </c>
      <c r="CN535" s="196"/>
      <c r="CO535" s="197"/>
      <c r="CP535" s="197"/>
      <c r="CQ535" s="197"/>
      <c r="CR535" s="197"/>
      <c r="CS535" s="197"/>
      <c r="CT535" s="198"/>
      <c r="CU535" s="255"/>
      <c r="CV535" s="209"/>
      <c r="CW535" s="228"/>
    </row>
    <row r="536" spans="1:101" x14ac:dyDescent="0.2">
      <c r="A536" s="227"/>
      <c r="B536" s="227"/>
      <c r="C536" s="168"/>
      <c r="D536" s="232"/>
      <c r="E536" s="134" t="s">
        <v>149</v>
      </c>
      <c r="F536" s="424"/>
      <c r="G536" s="428"/>
      <c r="H536" s="429"/>
      <c r="I536" s="138" t="str">
        <f t="shared" ref="I536:I547" si="788">IF($F536&gt;$H536,"x","")</f>
        <v/>
      </c>
      <c r="J536" s="344" t="str">
        <f t="shared" ref="J536:J547" si="789">IF(F536&lt;&gt;"",IF(H536&lt;&gt;"",IF(F536=H536,"x",""),""),"")</f>
        <v/>
      </c>
      <c r="K536" s="345" t="str">
        <f t="shared" ref="K536:K547" si="790">IF($F536&lt;$H536,"x","")</f>
        <v/>
      </c>
      <c r="L536" s="258"/>
      <c r="M536" s="332"/>
      <c r="N536" s="336"/>
      <c r="O536" s="200"/>
      <c r="P536" s="200"/>
      <c r="Q536" s="436"/>
      <c r="R536" s="437"/>
      <c r="S536" s="438" t="str">
        <f t="shared" ref="S536:S547" si="791">IF(Q536="","",100-SUM(Q536:R536))</f>
        <v/>
      </c>
      <c r="T536" s="328"/>
      <c r="U536" s="197" t="str">
        <f>IF(AND($I536="x",AND(MAX(Q536:S536)=Q536,Q536&gt;=0)),Data!$BI$2,"")</f>
        <v/>
      </c>
      <c r="V536" s="197" t="str">
        <f>IF(AND($J536="x",AND(MAX(Q536:S536)=R536,R536&gt;=0)),Data!$BJ$2,"")</f>
        <v/>
      </c>
      <c r="W536" s="197" t="str">
        <f>IF(AND($K536="x",AND(MAX(Q536:S536)=S536,S536&gt;=0)),Data!$BK$2,"")</f>
        <v/>
      </c>
      <c r="X536" s="197"/>
      <c r="Y536" s="328"/>
      <c r="Z536" s="451"/>
      <c r="AA536" s="452"/>
      <c r="AB536" s="438" t="str">
        <f t="shared" ref="AB536:AB547" si="792">IF(Z536="","",100-SUM(Z536:AA536))</f>
        <v/>
      </c>
      <c r="AC536" s="328"/>
      <c r="AD536" s="197" t="str">
        <f>IF(AND($I536="x",AND(MAX(Z536:AB536)=Z536,Z536&lt;&gt;"")),Data!$BI$2,"")</f>
        <v/>
      </c>
      <c r="AE536" s="197" t="str">
        <f>IF(AND($J536="x",AND(MAX(Z536:AB536)=AA536,AA536&lt;&gt;"")),Data!$BJ$2,"")</f>
        <v/>
      </c>
      <c r="AF536" s="197" t="str">
        <f>IF(AND($K536="x",AND(MAX(Z536:AB536)=AB536,AB536&lt;&gt;"")),Data!$BK$2,"")</f>
        <v/>
      </c>
      <c r="AG536" s="197"/>
      <c r="AH536" s="328"/>
      <c r="AI536" s="451"/>
      <c r="AJ536" s="452"/>
      <c r="AK536" s="438" t="str">
        <f t="shared" ref="AK536:AK547" si="793">IF(AI536="","",100-SUM(AI536:AJ536))</f>
        <v/>
      </c>
      <c r="AL536" s="328"/>
      <c r="AM536" s="197" t="str">
        <f>IF(AND($I536="x",AND(MAX(AI536:AK536)=AI536,AI536&lt;&gt;"")),Data!$BI$2,"")</f>
        <v/>
      </c>
      <c r="AN536" s="197" t="str">
        <f>IF(AND($J536="x",AND(MAX(AI536:AK536)=AJ536,AJ536&lt;&gt;"")),Data!$BJ$2,"")</f>
        <v/>
      </c>
      <c r="AO536" s="197" t="str">
        <f>IF(AND($K536="x",AND(MAX(AI536:AK536)=AK536,AK536&lt;&gt;"")),Data!$BK$2,"")</f>
        <v/>
      </c>
      <c r="AP536" s="197"/>
      <c r="AQ536" s="328"/>
      <c r="AR536" s="451"/>
      <c r="AS536" s="452"/>
      <c r="AT536" s="438" t="str">
        <f t="shared" ref="AT536:AT547" si="794">IF(AR536="","",100-SUM(AR536:AS536))</f>
        <v/>
      </c>
      <c r="AU536" s="328"/>
      <c r="AV536" s="197" t="str">
        <f>IF(AND($I536="x",AND(MAX(AR536:AT536)=AR536,AR536&lt;&gt;"")),Data!$BI$2,"")</f>
        <v/>
      </c>
      <c r="AW536" s="197" t="str">
        <f>IF(AND($J536="x",AND(MAX(AR536:AT536)=AS536,AS536&lt;&gt;"")),Data!$BJ$2,"")</f>
        <v/>
      </c>
      <c r="AX536" s="197" t="str">
        <f>IF(AND($K536="x",AND(MAX(AR536:AT536)=AT536,AT536&lt;&gt;"")),Data!$BK$2,"")</f>
        <v/>
      </c>
      <c r="AY536" s="197"/>
      <c r="AZ536" s="328"/>
      <c r="BA536" s="451"/>
      <c r="BB536" s="452"/>
      <c r="BC536" s="438" t="str">
        <f t="shared" ref="BC536:BC547" si="795">IF(BA536="","",100-SUM(BA536:BB536))</f>
        <v/>
      </c>
      <c r="BD536" s="328"/>
      <c r="BE536" s="197" t="str">
        <f>IF(AND($I536="x",AND(MAX(BA536:BC536)=BA536,BA536&lt;&gt;"")),Data!$BI$2,"")</f>
        <v/>
      </c>
      <c r="BF536" s="197" t="str">
        <f>IF(AND($J536="x",AND(MAX(BA536:BC536)=BB536,BB536&lt;&gt;"")),Data!$BJ$2,"")</f>
        <v/>
      </c>
      <c r="BG536" s="197" t="str">
        <f>IF(AND($K536="x",AND(MAX(BA536:BC536)=BC536,BC536&lt;&gt;"")),Data!$BK$2,"")</f>
        <v/>
      </c>
      <c r="BH536" s="197"/>
      <c r="BI536" s="328"/>
      <c r="BJ536" s="451"/>
      <c r="BK536" s="452"/>
      <c r="BL536" s="438" t="str">
        <f t="shared" ref="BL536:BL547" si="796">IF(BJ536="","",100-SUM(BJ536:BK536))</f>
        <v/>
      </c>
      <c r="BM536" s="328"/>
      <c r="BN536" s="197" t="str">
        <f>IF(AND($I536="x",AND(MAX(BJ536:BL536)=BJ536,BJ536&lt;&gt;"")),Data!$BI$2,"")</f>
        <v/>
      </c>
      <c r="BO536" s="197" t="str">
        <f>IF(AND($J536="x",AND(MAX(BJ536:BL536)=BK536,BK536&lt;&gt;"")),Data!$BJ$2,"")</f>
        <v/>
      </c>
      <c r="BP536" s="197" t="str">
        <f>IF(AND($K536="x",AND(MAX(BJ536:BL536)=BL536,BL536&lt;&gt;"")),Data!$BK$2,"")</f>
        <v/>
      </c>
      <c r="BQ536" s="197"/>
      <c r="BR536" s="328"/>
      <c r="BS536" s="451"/>
      <c r="BT536" s="452"/>
      <c r="BU536" s="438" t="str">
        <f t="shared" ref="BU536:BU547" si="797">IF(BS536="","",100-SUM(BS536:BT536))</f>
        <v/>
      </c>
      <c r="BV536" s="328"/>
      <c r="BW536" s="197" t="str">
        <f>IF(AND($I536="x",AND(MAX(BS536:BU536)=BS536,BS536&lt;&gt;"")),Data!$BI$2,"")</f>
        <v/>
      </c>
      <c r="BX536" s="197" t="str">
        <f>IF(AND($J536="x",AND(MAX(BS536:BU536)=BT536,BT536&lt;&gt;"")),Data!$BJ$2,"")</f>
        <v/>
      </c>
      <c r="BY536" s="197" t="str">
        <f>IF(AND($K536="x",AND(MAX(BS536:BU536)=BU536,BU536&lt;&gt;"")),Data!$BK$2,"")</f>
        <v/>
      </c>
      <c r="BZ536" s="197"/>
      <c r="CA536" s="328"/>
      <c r="CB536" s="457" t="str">
        <f t="shared" ref="CB536:CB547" si="798">IFERROR(ROUNDUP((SUM(Q536,Z536,AI536,AR536,BA536,BJ536,BS536)/SUM($Q536:$S536,$Z536:$AB536,$AI536:$AK536,$AR536:$AT536,$BA536:$BC536,$BJ536:$BL536,$BS536:$BU536))*100,-1),"")</f>
        <v/>
      </c>
      <c r="CC536" s="458" t="str">
        <f t="shared" ref="CC536:CC547" si="799">IFERROR(ROUNDDOWN((SUM(R536,AA536,AJ536,AS536,BB536,BK536,BT536)/SUM($Q536:$S536,$Z536:$AB536,$AI536:$AK536,$AR536:$AT536,$BA536:$BC536,$BJ536:$BL536,$BS536:$BU536))*100,-1),"")</f>
        <v/>
      </c>
      <c r="CD536" s="459" t="str">
        <f t="shared" ref="CD536:CD547" si="800">IF(CB536="","",100-SUM(CB536:CC536))</f>
        <v/>
      </c>
      <c r="CE536" s="328"/>
      <c r="CF536" s="197" t="str">
        <f>IF(AND($I536="x",AND(MAX(CB536:CD536)=CB536,CB536&lt;&gt;"")),Data!$BI$2,"")</f>
        <v/>
      </c>
      <c r="CG536" s="197" t="str">
        <f>IF(AND($J536="x",AND(MAX(CB536:CD536)=CC536,CC536&lt;&gt;"")),Data!$BJ$2,"")</f>
        <v/>
      </c>
      <c r="CH536" s="197" t="str">
        <f>IF(AND($K536="x",AND(MAX(CB536:CD536)=CD536,CD536&lt;&gt;"")),Data!$BK$2,"")</f>
        <v/>
      </c>
      <c r="CI536" s="197"/>
      <c r="CJ536" s="197"/>
      <c r="CK536" s="451"/>
      <c r="CL536" s="452"/>
      <c r="CM536" s="438" t="str">
        <f t="shared" ref="CM536:CM547" si="801">IF(CK536="","",100-SUM(CK536:CL536))</f>
        <v/>
      </c>
      <c r="CN536" s="328"/>
      <c r="CO536" s="197" t="str">
        <f>IF(AND($I536="x",AND(MAX(CK536:CM536)=CK536,CK536&lt;&gt;"")),Data!$BI$2,"")</f>
        <v/>
      </c>
      <c r="CP536" s="197" t="str">
        <f>IF(AND($J536="x",AND(MAX(CK536:CM536)=CL536,CL536&lt;&gt;"")),Data!$BJ$2,"")</f>
        <v/>
      </c>
      <c r="CQ536" s="197" t="str">
        <f>IF(AND($K536="x",AND(MAX(CK536:CM536)=CM536,CM536&lt;&gt;"")),Data!$BK$2,"")</f>
        <v/>
      </c>
      <c r="CR536" s="197"/>
      <c r="CS536" s="197"/>
      <c r="CT536" s="328"/>
      <c r="CU536" s="255"/>
      <c r="CV536" s="209"/>
      <c r="CW536" s="227"/>
    </row>
    <row r="537" spans="1:101" x14ac:dyDescent="0.2">
      <c r="A537" s="227"/>
      <c r="B537" s="227"/>
      <c r="C537" s="168"/>
      <c r="D537" s="232"/>
      <c r="E537" s="135" t="s">
        <v>343</v>
      </c>
      <c r="F537" s="425"/>
      <c r="G537" s="430"/>
      <c r="H537" s="431"/>
      <c r="I537" s="346" t="str">
        <f t="shared" si="788"/>
        <v/>
      </c>
      <c r="J537" s="347" t="str">
        <f t="shared" si="789"/>
        <v/>
      </c>
      <c r="K537" s="348" t="str">
        <f t="shared" si="790"/>
        <v/>
      </c>
      <c r="L537" s="258"/>
      <c r="M537" s="332"/>
      <c r="N537" s="336"/>
      <c r="O537" s="200"/>
      <c r="P537" s="200"/>
      <c r="Q537" s="439"/>
      <c r="R537" s="440"/>
      <c r="S537" s="441" t="str">
        <f t="shared" si="791"/>
        <v/>
      </c>
      <c r="T537" s="328"/>
      <c r="U537" s="197" t="str">
        <f>IF(AND($I537="x",AND(MAX(Q537:S537)=Q537,Q537&gt;=0)),Data!$BI$2,"")</f>
        <v/>
      </c>
      <c r="V537" s="197" t="str">
        <f>IF(AND($J537="x",AND(MAX(Q537:S537)=R537,R537&gt;=0)),Data!$BJ$2,"")</f>
        <v/>
      </c>
      <c r="W537" s="197" t="str">
        <f>IF(AND($K537="x",AND(MAX(Q537:S537)=S537,S537&gt;=0)),Data!$BK$2,"")</f>
        <v/>
      </c>
      <c r="X537" s="197"/>
      <c r="Y537" s="328"/>
      <c r="Z537" s="453"/>
      <c r="AA537" s="454"/>
      <c r="AB537" s="441" t="str">
        <f t="shared" si="792"/>
        <v/>
      </c>
      <c r="AC537" s="328"/>
      <c r="AD537" s="197" t="str">
        <f>IF(AND($I537="x",AND(MAX(Z537:AB537)=Z537,Z537&lt;&gt;"")),Data!$BI$2,"")</f>
        <v/>
      </c>
      <c r="AE537" s="197" t="str">
        <f>IF(AND($J537="x",AND(MAX(Z537:AB537)=AA537,AA537&lt;&gt;"")),Data!$BJ$2,"")</f>
        <v/>
      </c>
      <c r="AF537" s="197" t="str">
        <f>IF(AND($K537="x",AND(MAX(Z537:AB537)=AB537,AB537&lt;&gt;"")),Data!$BK$2,"")</f>
        <v/>
      </c>
      <c r="AG537" s="197"/>
      <c r="AH537" s="328"/>
      <c r="AI537" s="453"/>
      <c r="AJ537" s="454"/>
      <c r="AK537" s="441" t="str">
        <f t="shared" si="793"/>
        <v/>
      </c>
      <c r="AL537" s="328"/>
      <c r="AM537" s="197" t="str">
        <f>IF(AND($I537="x",AND(MAX(AI537:AK537)=AI537,AI537&lt;&gt;"")),Data!$BI$2,"")</f>
        <v/>
      </c>
      <c r="AN537" s="197" t="str">
        <f>IF(AND($J537="x",AND(MAX(AI537:AK537)=AJ537,AJ537&lt;&gt;"")),Data!$BJ$2,"")</f>
        <v/>
      </c>
      <c r="AO537" s="197" t="str">
        <f>IF(AND($K537="x",AND(MAX(AI537:AK537)=AK537,AK537&lt;&gt;"")),Data!$BK$2,"")</f>
        <v/>
      </c>
      <c r="AP537" s="197"/>
      <c r="AQ537" s="328"/>
      <c r="AR537" s="453"/>
      <c r="AS537" s="454"/>
      <c r="AT537" s="441" t="str">
        <f t="shared" si="794"/>
        <v/>
      </c>
      <c r="AU537" s="328"/>
      <c r="AV537" s="197" t="str">
        <f>IF(AND($I537="x",AND(MAX(AR537:AT537)=AR537,AR537&lt;&gt;"")),Data!$BI$2,"")</f>
        <v/>
      </c>
      <c r="AW537" s="197" t="str">
        <f>IF(AND($J537="x",AND(MAX(AR537:AT537)=AS537,AS537&lt;&gt;"")),Data!$BJ$2,"")</f>
        <v/>
      </c>
      <c r="AX537" s="197" t="str">
        <f>IF(AND($K537="x",AND(MAX(AR537:AT537)=AT537,AT537&lt;&gt;"")),Data!$BK$2,"")</f>
        <v/>
      </c>
      <c r="AY537" s="197"/>
      <c r="AZ537" s="328"/>
      <c r="BA537" s="453"/>
      <c r="BB537" s="454"/>
      <c r="BC537" s="441" t="str">
        <f t="shared" si="795"/>
        <v/>
      </c>
      <c r="BD537" s="328"/>
      <c r="BE537" s="197" t="str">
        <f>IF(AND($I537="x",AND(MAX(BA537:BC537)=BA537,BA537&lt;&gt;"")),Data!$BI$2,"")</f>
        <v/>
      </c>
      <c r="BF537" s="197" t="str">
        <f>IF(AND($J537="x",AND(MAX(BA537:BC537)=BB537,BB537&lt;&gt;"")),Data!$BJ$2,"")</f>
        <v/>
      </c>
      <c r="BG537" s="197" t="str">
        <f>IF(AND($K537="x",AND(MAX(BA537:BC537)=BC537,BC537&lt;&gt;"")),Data!$BK$2,"")</f>
        <v/>
      </c>
      <c r="BH537" s="197"/>
      <c r="BI537" s="328"/>
      <c r="BJ537" s="453"/>
      <c r="BK537" s="454"/>
      <c r="BL537" s="441" t="str">
        <f t="shared" si="796"/>
        <v/>
      </c>
      <c r="BM537" s="328"/>
      <c r="BN537" s="197" t="str">
        <f>IF(AND($I537="x",AND(MAX(BJ537:BL537)=BJ537,BJ537&lt;&gt;"")),Data!$BI$2,"")</f>
        <v/>
      </c>
      <c r="BO537" s="197" t="str">
        <f>IF(AND($J537="x",AND(MAX(BJ537:BL537)=BK537,BK537&lt;&gt;"")),Data!$BJ$2,"")</f>
        <v/>
      </c>
      <c r="BP537" s="197" t="str">
        <f>IF(AND($K537="x",AND(MAX(BJ537:BL537)=BL537,BL537&lt;&gt;"")),Data!$BK$2,"")</f>
        <v/>
      </c>
      <c r="BQ537" s="197"/>
      <c r="BR537" s="328"/>
      <c r="BS537" s="453"/>
      <c r="BT537" s="454"/>
      <c r="BU537" s="441" t="str">
        <f t="shared" si="797"/>
        <v/>
      </c>
      <c r="BV537" s="328"/>
      <c r="BW537" s="197" t="str">
        <f>IF(AND($I537="x",AND(MAX(BS537:BU537)=BS537,BS537&lt;&gt;"")),Data!$BI$2,"")</f>
        <v/>
      </c>
      <c r="BX537" s="197" t="str">
        <f>IF(AND($J537="x",AND(MAX(BS537:BU537)=BT537,BT537&lt;&gt;"")),Data!$BJ$2,"")</f>
        <v/>
      </c>
      <c r="BY537" s="197" t="str">
        <f>IF(AND($K537="x",AND(MAX(BS537:BU537)=BU537,BU537&lt;&gt;"")),Data!$BK$2,"")</f>
        <v/>
      </c>
      <c r="BZ537" s="197"/>
      <c r="CA537" s="328"/>
      <c r="CB537" s="460" t="str">
        <f t="shared" si="798"/>
        <v/>
      </c>
      <c r="CC537" s="461" t="str">
        <f t="shared" si="799"/>
        <v/>
      </c>
      <c r="CD537" s="462" t="str">
        <f t="shared" si="800"/>
        <v/>
      </c>
      <c r="CE537" s="328"/>
      <c r="CF537" s="197" t="str">
        <f>IF(AND($I537="x",AND(MAX(CB537:CD537)=CB537,CB537&lt;&gt;"")),Data!$BI$2,"")</f>
        <v/>
      </c>
      <c r="CG537" s="197" t="str">
        <f>IF(AND($J537="x",AND(MAX(CB537:CD537)=CC537,CC537&lt;&gt;"")),Data!$BJ$2,"")</f>
        <v/>
      </c>
      <c r="CH537" s="197" t="str">
        <f>IF(AND($K537="x",AND(MAX(CB537:CD537)=CD537,CD537&lt;&gt;"")),Data!$BK$2,"")</f>
        <v/>
      </c>
      <c r="CI537" s="197"/>
      <c r="CJ537" s="197"/>
      <c r="CK537" s="453"/>
      <c r="CL537" s="454"/>
      <c r="CM537" s="441" t="str">
        <f t="shared" si="801"/>
        <v/>
      </c>
      <c r="CN537" s="328"/>
      <c r="CO537" s="197" t="str">
        <f>IF(AND($I537="x",AND(MAX(CK537:CM537)=CK537,CK537&lt;&gt;"")),Data!$BI$2,"")</f>
        <v/>
      </c>
      <c r="CP537" s="197" t="str">
        <f>IF(AND($J537="x",AND(MAX(CK537:CM537)=CL537,CL537&lt;&gt;"")),Data!$BJ$2,"")</f>
        <v/>
      </c>
      <c r="CQ537" s="197" t="str">
        <f>IF(AND($K537="x",AND(MAX(CK537:CM537)=CM537,CM537&lt;&gt;"")),Data!$BK$2,"")</f>
        <v/>
      </c>
      <c r="CR537" s="197"/>
      <c r="CS537" s="197"/>
      <c r="CT537" s="328"/>
      <c r="CU537" s="255"/>
      <c r="CV537" s="209"/>
      <c r="CW537" s="227"/>
    </row>
    <row r="538" spans="1:101" x14ac:dyDescent="0.2">
      <c r="A538" s="227"/>
      <c r="B538" s="227"/>
      <c r="C538" s="168"/>
      <c r="D538" s="232"/>
      <c r="E538" s="136" t="s">
        <v>344</v>
      </c>
      <c r="F538" s="426"/>
      <c r="G538" s="432"/>
      <c r="H538" s="433"/>
      <c r="I538" s="349" t="str">
        <f t="shared" si="788"/>
        <v/>
      </c>
      <c r="J538" s="350" t="str">
        <f t="shared" si="789"/>
        <v/>
      </c>
      <c r="K538" s="351" t="str">
        <f t="shared" si="790"/>
        <v/>
      </c>
      <c r="L538" s="258"/>
      <c r="M538" s="332"/>
      <c r="N538" s="336"/>
      <c r="O538" s="200"/>
      <c r="P538" s="200"/>
      <c r="Q538" s="442"/>
      <c r="R538" s="443"/>
      <c r="S538" s="444" t="str">
        <f t="shared" si="791"/>
        <v/>
      </c>
      <c r="T538" s="328"/>
      <c r="U538" s="197" t="str">
        <f>IF(AND($I538="x",AND(MAX(Q538:S538)=Q538,Q538&gt;=0)),Data!$BI$2,"")</f>
        <v/>
      </c>
      <c r="V538" s="197" t="str">
        <f>IF(AND($J538="x",AND(MAX(Q538:S538)=R538,R538&gt;=0)),Data!$BJ$2,"")</f>
        <v/>
      </c>
      <c r="W538" s="197" t="str">
        <f>IF(AND($K538="x",AND(MAX(Q538:S538)=S538,S538&gt;=0)),Data!$BK$2,"")</f>
        <v/>
      </c>
      <c r="X538" s="197"/>
      <c r="Y538" s="328"/>
      <c r="Z538" s="455"/>
      <c r="AA538" s="456"/>
      <c r="AB538" s="444" t="str">
        <f t="shared" si="792"/>
        <v/>
      </c>
      <c r="AC538" s="328"/>
      <c r="AD538" s="197" t="str">
        <f>IF(AND($I538="x",AND(MAX(Z538:AB538)=Z538,Z538&lt;&gt;"")),Data!$BI$2,"")</f>
        <v/>
      </c>
      <c r="AE538" s="197" t="str">
        <f>IF(AND($J538="x",AND(MAX(Z538:AB538)=AA538,AA538&lt;&gt;"")),Data!$BJ$2,"")</f>
        <v/>
      </c>
      <c r="AF538" s="197" t="str">
        <f>IF(AND($K538="x",AND(MAX(Z538:AB538)=AB538,AB538&lt;&gt;"")),Data!$BK$2,"")</f>
        <v/>
      </c>
      <c r="AG538" s="197"/>
      <c r="AH538" s="328"/>
      <c r="AI538" s="455"/>
      <c r="AJ538" s="456"/>
      <c r="AK538" s="444" t="str">
        <f t="shared" si="793"/>
        <v/>
      </c>
      <c r="AL538" s="328"/>
      <c r="AM538" s="197" t="str">
        <f>IF(AND($I538="x",AND(MAX(AI538:AK538)=AI538,AI538&lt;&gt;"")),Data!$BI$2,"")</f>
        <v/>
      </c>
      <c r="AN538" s="197" t="str">
        <f>IF(AND($J538="x",AND(MAX(AI538:AK538)=AJ538,AJ538&lt;&gt;"")),Data!$BJ$2,"")</f>
        <v/>
      </c>
      <c r="AO538" s="197" t="str">
        <f>IF(AND($K538="x",AND(MAX(AI538:AK538)=AK538,AK538&lt;&gt;"")),Data!$BK$2,"")</f>
        <v/>
      </c>
      <c r="AP538" s="197"/>
      <c r="AQ538" s="328"/>
      <c r="AR538" s="455"/>
      <c r="AS538" s="456"/>
      <c r="AT538" s="444" t="str">
        <f t="shared" si="794"/>
        <v/>
      </c>
      <c r="AU538" s="328"/>
      <c r="AV538" s="197" t="str">
        <f>IF(AND($I538="x",AND(MAX(AR538:AT538)=AR538,AR538&lt;&gt;"")),Data!$BI$2,"")</f>
        <v/>
      </c>
      <c r="AW538" s="197" t="str">
        <f>IF(AND($J538="x",AND(MAX(AR538:AT538)=AS538,AS538&lt;&gt;"")),Data!$BJ$2,"")</f>
        <v/>
      </c>
      <c r="AX538" s="197" t="str">
        <f>IF(AND($K538="x",AND(MAX(AR538:AT538)=AT538,AT538&lt;&gt;"")),Data!$BK$2,"")</f>
        <v/>
      </c>
      <c r="AY538" s="197"/>
      <c r="AZ538" s="328"/>
      <c r="BA538" s="455"/>
      <c r="BB538" s="456"/>
      <c r="BC538" s="444" t="str">
        <f t="shared" si="795"/>
        <v/>
      </c>
      <c r="BD538" s="328"/>
      <c r="BE538" s="197" t="str">
        <f>IF(AND($I538="x",AND(MAX(BA538:BC538)=BA538,BA538&lt;&gt;"")),Data!$BI$2,"")</f>
        <v/>
      </c>
      <c r="BF538" s="197" t="str">
        <f>IF(AND($J538="x",AND(MAX(BA538:BC538)=BB538,BB538&lt;&gt;"")),Data!$BJ$2,"")</f>
        <v/>
      </c>
      <c r="BG538" s="197" t="str">
        <f>IF(AND($K538="x",AND(MAX(BA538:BC538)=BC538,BC538&lt;&gt;"")),Data!$BK$2,"")</f>
        <v/>
      </c>
      <c r="BH538" s="197"/>
      <c r="BI538" s="328"/>
      <c r="BJ538" s="455"/>
      <c r="BK538" s="456"/>
      <c r="BL538" s="444" t="str">
        <f t="shared" si="796"/>
        <v/>
      </c>
      <c r="BM538" s="328"/>
      <c r="BN538" s="197" t="str">
        <f>IF(AND($I538="x",AND(MAX(BJ538:BL538)=BJ538,BJ538&lt;&gt;"")),Data!$BI$2,"")</f>
        <v/>
      </c>
      <c r="BO538" s="197" t="str">
        <f>IF(AND($J538="x",AND(MAX(BJ538:BL538)=BK538,BK538&lt;&gt;"")),Data!$BJ$2,"")</f>
        <v/>
      </c>
      <c r="BP538" s="197" t="str">
        <f>IF(AND($K538="x",AND(MAX(BJ538:BL538)=BL538,BL538&lt;&gt;"")),Data!$BK$2,"")</f>
        <v/>
      </c>
      <c r="BQ538" s="197"/>
      <c r="BR538" s="328"/>
      <c r="BS538" s="455"/>
      <c r="BT538" s="456"/>
      <c r="BU538" s="444" t="str">
        <f t="shared" si="797"/>
        <v/>
      </c>
      <c r="BV538" s="328"/>
      <c r="BW538" s="197" t="str">
        <f>IF(AND($I538="x",AND(MAX(BS538:BU538)=BS538,BS538&lt;&gt;"")),Data!$BI$2,"")</f>
        <v/>
      </c>
      <c r="BX538" s="197" t="str">
        <f>IF(AND($J538="x",AND(MAX(BS538:BU538)=BT538,BT538&lt;&gt;"")),Data!$BJ$2,"")</f>
        <v/>
      </c>
      <c r="BY538" s="197" t="str">
        <f>IF(AND($K538="x",AND(MAX(BS538:BU538)=BU538,BU538&lt;&gt;"")),Data!$BK$2,"")</f>
        <v/>
      </c>
      <c r="BZ538" s="197"/>
      <c r="CA538" s="328"/>
      <c r="CB538" s="463" t="str">
        <f t="shared" si="798"/>
        <v/>
      </c>
      <c r="CC538" s="464" t="str">
        <f t="shared" si="799"/>
        <v/>
      </c>
      <c r="CD538" s="465" t="str">
        <f t="shared" si="800"/>
        <v/>
      </c>
      <c r="CE538" s="328"/>
      <c r="CF538" s="197" t="str">
        <f>IF(AND($I538="x",AND(MAX(CB538:CD538)=CB538,CB538&lt;&gt;"")),Data!$BI$2,"")</f>
        <v/>
      </c>
      <c r="CG538" s="197" t="str">
        <f>IF(AND($J538="x",AND(MAX(CB538:CD538)=CC538,CC538&lt;&gt;"")),Data!$BJ$2,"")</f>
        <v/>
      </c>
      <c r="CH538" s="197" t="str">
        <f>IF(AND($K538="x",AND(MAX(CB538:CD538)=CD538,CD538&lt;&gt;"")),Data!$BK$2,"")</f>
        <v/>
      </c>
      <c r="CI538" s="197"/>
      <c r="CJ538" s="197"/>
      <c r="CK538" s="455"/>
      <c r="CL538" s="456"/>
      <c r="CM538" s="444" t="str">
        <f t="shared" si="801"/>
        <v/>
      </c>
      <c r="CN538" s="328"/>
      <c r="CO538" s="197" t="str">
        <f>IF(AND($I538="x",AND(MAX(CK538:CM538)=CK538,CK538&lt;&gt;"")),Data!$BI$2,"")</f>
        <v/>
      </c>
      <c r="CP538" s="197" t="str">
        <f>IF(AND($J538="x",AND(MAX(CK538:CM538)=CL538,CL538&lt;&gt;"")),Data!$BJ$2,"")</f>
        <v/>
      </c>
      <c r="CQ538" s="197" t="str">
        <f>IF(AND($K538="x",AND(MAX(CK538:CM538)=CM538,CM538&lt;&gt;"")),Data!$BK$2,"")</f>
        <v/>
      </c>
      <c r="CR538" s="197"/>
      <c r="CS538" s="197"/>
      <c r="CT538" s="328"/>
      <c r="CU538" s="255"/>
      <c r="CV538" s="209"/>
      <c r="CW538" s="227"/>
    </row>
    <row r="539" spans="1:101" x14ac:dyDescent="0.2">
      <c r="A539" s="227"/>
      <c r="B539" s="227"/>
      <c r="C539" s="168"/>
      <c r="D539" s="232"/>
      <c r="E539" s="134" t="s">
        <v>345</v>
      </c>
      <c r="F539" s="424"/>
      <c r="G539" s="428"/>
      <c r="H539" s="429"/>
      <c r="I539" s="138" t="str">
        <f t="shared" si="788"/>
        <v/>
      </c>
      <c r="J539" s="344" t="str">
        <f t="shared" si="789"/>
        <v/>
      </c>
      <c r="K539" s="345" t="str">
        <f t="shared" si="790"/>
        <v/>
      </c>
      <c r="L539" s="258"/>
      <c r="M539" s="332"/>
      <c r="N539" s="336"/>
      <c r="O539" s="200"/>
      <c r="P539" s="200"/>
      <c r="Q539" s="436"/>
      <c r="R539" s="437"/>
      <c r="S539" s="438" t="str">
        <f t="shared" si="791"/>
        <v/>
      </c>
      <c r="T539" s="328"/>
      <c r="U539" s="197" t="str">
        <f>IF(AND($I539="x",AND(MAX(Q539:S539)=Q539,Q539&gt;=0)),Data!$BI$2,"")</f>
        <v/>
      </c>
      <c r="V539" s="197" t="str">
        <f>IF(AND($J539="x",AND(MAX(Q539:S539)=R539,R539&gt;=0)),Data!$BJ$2,"")</f>
        <v/>
      </c>
      <c r="W539" s="197" t="str">
        <f>IF(AND($K539="x",AND(MAX(Q539:S539)=S539,S539&gt;=0)),Data!$BK$2,"")</f>
        <v/>
      </c>
      <c r="X539" s="197"/>
      <c r="Y539" s="328"/>
      <c r="Z539" s="451"/>
      <c r="AA539" s="452"/>
      <c r="AB539" s="438" t="str">
        <f t="shared" si="792"/>
        <v/>
      </c>
      <c r="AC539" s="328"/>
      <c r="AD539" s="197" t="str">
        <f>IF(AND($I539="x",AND(MAX(Z539:AB539)=Z539,Z539&lt;&gt;"")),Data!$BI$2,"")</f>
        <v/>
      </c>
      <c r="AE539" s="197" t="str">
        <f>IF(AND($J539="x",AND(MAX(Z539:AB539)=AA539,AA539&lt;&gt;"")),Data!$BJ$2,"")</f>
        <v/>
      </c>
      <c r="AF539" s="197" t="str">
        <f>IF(AND($K539="x",AND(MAX(Z539:AB539)=AB539,AB539&lt;&gt;"")),Data!$BK$2,"")</f>
        <v/>
      </c>
      <c r="AG539" s="197"/>
      <c r="AH539" s="328"/>
      <c r="AI539" s="451"/>
      <c r="AJ539" s="452"/>
      <c r="AK539" s="438" t="str">
        <f t="shared" si="793"/>
        <v/>
      </c>
      <c r="AL539" s="328"/>
      <c r="AM539" s="197" t="str">
        <f>IF(AND($I539="x",AND(MAX(AI539:AK539)=AI539,AI539&lt;&gt;"")),Data!$BI$2,"")</f>
        <v/>
      </c>
      <c r="AN539" s="197" t="str">
        <f>IF(AND($J539="x",AND(MAX(AI539:AK539)=AJ539,AJ539&lt;&gt;"")),Data!$BJ$2,"")</f>
        <v/>
      </c>
      <c r="AO539" s="197" t="str">
        <f>IF(AND($K539="x",AND(MAX(AI539:AK539)=AK539,AK539&lt;&gt;"")),Data!$BK$2,"")</f>
        <v/>
      </c>
      <c r="AP539" s="197"/>
      <c r="AQ539" s="328"/>
      <c r="AR539" s="451"/>
      <c r="AS539" s="452"/>
      <c r="AT539" s="438" t="str">
        <f t="shared" si="794"/>
        <v/>
      </c>
      <c r="AU539" s="328"/>
      <c r="AV539" s="197" t="str">
        <f>IF(AND($I539="x",AND(MAX(AR539:AT539)=AR539,AR539&lt;&gt;"")),Data!$BI$2,"")</f>
        <v/>
      </c>
      <c r="AW539" s="197" t="str">
        <f>IF(AND($J539="x",AND(MAX(AR539:AT539)=AS539,AS539&lt;&gt;"")),Data!$BJ$2,"")</f>
        <v/>
      </c>
      <c r="AX539" s="197" t="str">
        <f>IF(AND($K539="x",AND(MAX(AR539:AT539)=AT539,AT539&lt;&gt;"")),Data!$BK$2,"")</f>
        <v/>
      </c>
      <c r="AY539" s="197"/>
      <c r="AZ539" s="328"/>
      <c r="BA539" s="451"/>
      <c r="BB539" s="452"/>
      <c r="BC539" s="438" t="str">
        <f t="shared" si="795"/>
        <v/>
      </c>
      <c r="BD539" s="328"/>
      <c r="BE539" s="197" t="str">
        <f>IF(AND($I539="x",AND(MAX(BA539:BC539)=BA539,BA539&lt;&gt;"")),Data!$BI$2,"")</f>
        <v/>
      </c>
      <c r="BF539" s="197" t="str">
        <f>IF(AND($J539="x",AND(MAX(BA539:BC539)=BB539,BB539&lt;&gt;"")),Data!$BJ$2,"")</f>
        <v/>
      </c>
      <c r="BG539" s="197" t="str">
        <f>IF(AND($K539="x",AND(MAX(BA539:BC539)=BC539,BC539&lt;&gt;"")),Data!$BK$2,"")</f>
        <v/>
      </c>
      <c r="BH539" s="197"/>
      <c r="BI539" s="328"/>
      <c r="BJ539" s="451"/>
      <c r="BK539" s="452"/>
      <c r="BL539" s="438" t="str">
        <f t="shared" si="796"/>
        <v/>
      </c>
      <c r="BM539" s="328"/>
      <c r="BN539" s="197" t="str">
        <f>IF(AND($I539="x",AND(MAX(BJ539:BL539)=BJ539,BJ539&lt;&gt;"")),Data!$BI$2,"")</f>
        <v/>
      </c>
      <c r="BO539" s="197" t="str">
        <f>IF(AND($J539="x",AND(MAX(BJ539:BL539)=BK539,BK539&lt;&gt;"")),Data!$BJ$2,"")</f>
        <v/>
      </c>
      <c r="BP539" s="197" t="str">
        <f>IF(AND($K539="x",AND(MAX(BJ539:BL539)=BL539,BL539&lt;&gt;"")),Data!$BK$2,"")</f>
        <v/>
      </c>
      <c r="BQ539" s="197"/>
      <c r="BR539" s="328"/>
      <c r="BS539" s="451"/>
      <c r="BT539" s="452"/>
      <c r="BU539" s="438" t="str">
        <f t="shared" si="797"/>
        <v/>
      </c>
      <c r="BV539" s="328"/>
      <c r="BW539" s="197" t="str">
        <f>IF(AND($I539="x",AND(MAX(BS539:BU539)=BS539,BS539&lt;&gt;"")),Data!$BI$2,"")</f>
        <v/>
      </c>
      <c r="BX539" s="197" t="str">
        <f>IF(AND($J539="x",AND(MAX(BS539:BU539)=BT539,BT539&lt;&gt;"")),Data!$BJ$2,"")</f>
        <v/>
      </c>
      <c r="BY539" s="197" t="str">
        <f>IF(AND($K539="x",AND(MAX(BS539:BU539)=BU539,BU539&lt;&gt;"")),Data!$BK$2,"")</f>
        <v/>
      </c>
      <c r="BZ539" s="197"/>
      <c r="CA539" s="328"/>
      <c r="CB539" s="457" t="str">
        <f t="shared" si="798"/>
        <v/>
      </c>
      <c r="CC539" s="458" t="str">
        <f t="shared" si="799"/>
        <v/>
      </c>
      <c r="CD539" s="459" t="str">
        <f t="shared" si="800"/>
        <v/>
      </c>
      <c r="CE539" s="328"/>
      <c r="CF539" s="197" t="str">
        <f>IF(AND($I539="x",AND(MAX(CB539:CD539)=CB539,CB539&lt;&gt;"")),Data!$BI$2,"")</f>
        <v/>
      </c>
      <c r="CG539" s="197" t="str">
        <f>IF(AND($J539="x",AND(MAX(CB539:CD539)=CC539,CC539&lt;&gt;"")),Data!$BJ$2,"")</f>
        <v/>
      </c>
      <c r="CH539" s="197" t="str">
        <f>IF(AND($K539="x",AND(MAX(CB539:CD539)=CD539,CD539&lt;&gt;"")),Data!$BK$2,"")</f>
        <v/>
      </c>
      <c r="CI539" s="197"/>
      <c r="CJ539" s="197"/>
      <c r="CK539" s="451"/>
      <c r="CL539" s="452"/>
      <c r="CM539" s="438" t="str">
        <f t="shared" si="801"/>
        <v/>
      </c>
      <c r="CN539" s="328"/>
      <c r="CO539" s="197" t="str">
        <f>IF(AND($I539="x",AND(MAX(CK539:CM539)=CK539,CK539&lt;&gt;"")),Data!$BI$2,"")</f>
        <v/>
      </c>
      <c r="CP539" s="197" t="str">
        <f>IF(AND($J539="x",AND(MAX(CK539:CM539)=CL539,CL539&lt;&gt;"")),Data!$BJ$2,"")</f>
        <v/>
      </c>
      <c r="CQ539" s="197" t="str">
        <f>IF(AND($K539="x",AND(MAX(CK539:CM539)=CM539,CM539&lt;&gt;"")),Data!$BK$2,"")</f>
        <v/>
      </c>
      <c r="CR539" s="197"/>
      <c r="CS539" s="197"/>
      <c r="CT539" s="328"/>
      <c r="CU539" s="255"/>
      <c r="CV539" s="209"/>
      <c r="CW539" s="227"/>
    </row>
    <row r="540" spans="1:101" x14ac:dyDescent="0.2">
      <c r="A540" s="227"/>
      <c r="B540" s="227"/>
      <c r="C540" s="168"/>
      <c r="D540" s="232"/>
      <c r="E540" s="135" t="s">
        <v>346</v>
      </c>
      <c r="F540" s="425"/>
      <c r="G540" s="430"/>
      <c r="H540" s="431"/>
      <c r="I540" s="346" t="str">
        <f t="shared" si="788"/>
        <v/>
      </c>
      <c r="J540" s="347" t="str">
        <f t="shared" si="789"/>
        <v/>
      </c>
      <c r="K540" s="348" t="str">
        <f t="shared" si="790"/>
        <v/>
      </c>
      <c r="L540" s="258"/>
      <c r="M540" s="332"/>
      <c r="N540" s="336"/>
      <c r="O540" s="200"/>
      <c r="P540" s="200"/>
      <c r="Q540" s="439"/>
      <c r="R540" s="440"/>
      <c r="S540" s="441" t="str">
        <f t="shared" si="791"/>
        <v/>
      </c>
      <c r="T540" s="328"/>
      <c r="U540" s="197" t="str">
        <f>IF(AND($I540="x",AND(MAX(Q540:S540)=Q540,Q540&gt;=0)),Data!$BI$2,"")</f>
        <v/>
      </c>
      <c r="V540" s="197" t="str">
        <f>IF(AND($J540="x",AND(MAX(Q540:S540)=R540,R540&gt;=0)),Data!$BJ$2,"")</f>
        <v/>
      </c>
      <c r="W540" s="197" t="str">
        <f>IF(AND($K540="x",AND(MAX(Q540:S540)=S540,S540&gt;=0)),Data!$BK$2,"")</f>
        <v/>
      </c>
      <c r="X540" s="197"/>
      <c r="Y540" s="328"/>
      <c r="Z540" s="453"/>
      <c r="AA540" s="454"/>
      <c r="AB540" s="441" t="str">
        <f t="shared" si="792"/>
        <v/>
      </c>
      <c r="AC540" s="328"/>
      <c r="AD540" s="197" t="str">
        <f>IF(AND($I540="x",AND(MAX(Z540:AB540)=Z540,Z540&lt;&gt;"")),Data!$BI$2,"")</f>
        <v/>
      </c>
      <c r="AE540" s="197" t="str">
        <f>IF(AND($J540="x",AND(MAX(Z540:AB540)=AA540,AA540&lt;&gt;"")),Data!$BJ$2,"")</f>
        <v/>
      </c>
      <c r="AF540" s="197" t="str">
        <f>IF(AND($K540="x",AND(MAX(Z540:AB540)=AB540,AB540&lt;&gt;"")),Data!$BK$2,"")</f>
        <v/>
      </c>
      <c r="AG540" s="197"/>
      <c r="AH540" s="328"/>
      <c r="AI540" s="453"/>
      <c r="AJ540" s="454"/>
      <c r="AK540" s="441" t="str">
        <f t="shared" si="793"/>
        <v/>
      </c>
      <c r="AL540" s="328"/>
      <c r="AM540" s="197" t="str">
        <f>IF(AND($I540="x",AND(MAX(AI540:AK540)=AI540,AI540&lt;&gt;"")),Data!$BI$2,"")</f>
        <v/>
      </c>
      <c r="AN540" s="197" t="str">
        <f>IF(AND($J540="x",AND(MAX(AI540:AK540)=AJ540,AJ540&lt;&gt;"")),Data!$BJ$2,"")</f>
        <v/>
      </c>
      <c r="AO540" s="197" t="str">
        <f>IF(AND($K540="x",AND(MAX(AI540:AK540)=AK540,AK540&lt;&gt;"")),Data!$BK$2,"")</f>
        <v/>
      </c>
      <c r="AP540" s="197"/>
      <c r="AQ540" s="328"/>
      <c r="AR540" s="453"/>
      <c r="AS540" s="454"/>
      <c r="AT540" s="441" t="str">
        <f t="shared" si="794"/>
        <v/>
      </c>
      <c r="AU540" s="328"/>
      <c r="AV540" s="197" t="str">
        <f>IF(AND($I540="x",AND(MAX(AR540:AT540)=AR540,AR540&lt;&gt;"")),Data!$BI$2,"")</f>
        <v/>
      </c>
      <c r="AW540" s="197" t="str">
        <f>IF(AND($J540="x",AND(MAX(AR540:AT540)=AS540,AS540&lt;&gt;"")),Data!$BJ$2,"")</f>
        <v/>
      </c>
      <c r="AX540" s="197" t="str">
        <f>IF(AND($K540="x",AND(MAX(AR540:AT540)=AT540,AT540&lt;&gt;"")),Data!$BK$2,"")</f>
        <v/>
      </c>
      <c r="AY540" s="197"/>
      <c r="AZ540" s="328"/>
      <c r="BA540" s="453"/>
      <c r="BB540" s="454"/>
      <c r="BC540" s="441" t="str">
        <f t="shared" si="795"/>
        <v/>
      </c>
      <c r="BD540" s="328"/>
      <c r="BE540" s="197" t="str">
        <f>IF(AND($I540="x",AND(MAX(BA540:BC540)=BA540,BA540&lt;&gt;"")),Data!$BI$2,"")</f>
        <v/>
      </c>
      <c r="BF540" s="197" t="str">
        <f>IF(AND($J540="x",AND(MAX(BA540:BC540)=BB540,BB540&lt;&gt;"")),Data!$BJ$2,"")</f>
        <v/>
      </c>
      <c r="BG540" s="197" t="str">
        <f>IF(AND($K540="x",AND(MAX(BA540:BC540)=BC540,BC540&lt;&gt;"")),Data!$BK$2,"")</f>
        <v/>
      </c>
      <c r="BH540" s="197"/>
      <c r="BI540" s="328"/>
      <c r="BJ540" s="453"/>
      <c r="BK540" s="454"/>
      <c r="BL540" s="441" t="str">
        <f t="shared" si="796"/>
        <v/>
      </c>
      <c r="BM540" s="328"/>
      <c r="BN540" s="197" t="str">
        <f>IF(AND($I540="x",AND(MAX(BJ540:BL540)=BJ540,BJ540&lt;&gt;"")),Data!$BI$2,"")</f>
        <v/>
      </c>
      <c r="BO540" s="197" t="str">
        <f>IF(AND($J540="x",AND(MAX(BJ540:BL540)=BK540,BK540&lt;&gt;"")),Data!$BJ$2,"")</f>
        <v/>
      </c>
      <c r="BP540" s="197" t="str">
        <f>IF(AND($K540="x",AND(MAX(BJ540:BL540)=BL540,BL540&lt;&gt;"")),Data!$BK$2,"")</f>
        <v/>
      </c>
      <c r="BQ540" s="197"/>
      <c r="BR540" s="328"/>
      <c r="BS540" s="453"/>
      <c r="BT540" s="454"/>
      <c r="BU540" s="441" t="str">
        <f t="shared" si="797"/>
        <v/>
      </c>
      <c r="BV540" s="328"/>
      <c r="BW540" s="197" t="str">
        <f>IF(AND($I540="x",AND(MAX(BS540:BU540)=BS540,BS540&lt;&gt;"")),Data!$BI$2,"")</f>
        <v/>
      </c>
      <c r="BX540" s="197" t="str">
        <f>IF(AND($J540="x",AND(MAX(BS540:BU540)=BT540,BT540&lt;&gt;"")),Data!$BJ$2,"")</f>
        <v/>
      </c>
      <c r="BY540" s="197" t="str">
        <f>IF(AND($K540="x",AND(MAX(BS540:BU540)=BU540,BU540&lt;&gt;"")),Data!$BK$2,"")</f>
        <v/>
      </c>
      <c r="BZ540" s="197"/>
      <c r="CA540" s="328"/>
      <c r="CB540" s="460" t="str">
        <f t="shared" si="798"/>
        <v/>
      </c>
      <c r="CC540" s="461" t="str">
        <f t="shared" si="799"/>
        <v/>
      </c>
      <c r="CD540" s="462" t="str">
        <f t="shared" si="800"/>
        <v/>
      </c>
      <c r="CE540" s="328"/>
      <c r="CF540" s="197" t="str">
        <f>IF(AND($I540="x",AND(MAX(CB540:CD540)=CB540,CB540&lt;&gt;"")),Data!$BI$2,"")</f>
        <v/>
      </c>
      <c r="CG540" s="197" t="str">
        <f>IF(AND($J540="x",AND(MAX(CB540:CD540)=CC540,CC540&lt;&gt;"")),Data!$BJ$2,"")</f>
        <v/>
      </c>
      <c r="CH540" s="197" t="str">
        <f>IF(AND($K540="x",AND(MAX(CB540:CD540)=CD540,CD540&lt;&gt;"")),Data!$BK$2,"")</f>
        <v/>
      </c>
      <c r="CI540" s="197"/>
      <c r="CJ540" s="197"/>
      <c r="CK540" s="453"/>
      <c r="CL540" s="454"/>
      <c r="CM540" s="441" t="str">
        <f t="shared" si="801"/>
        <v/>
      </c>
      <c r="CN540" s="328"/>
      <c r="CO540" s="197" t="str">
        <f>IF(AND($I540="x",AND(MAX(CK540:CM540)=CK540,CK540&lt;&gt;"")),Data!$BI$2,"")</f>
        <v/>
      </c>
      <c r="CP540" s="197" t="str">
        <f>IF(AND($J540="x",AND(MAX(CK540:CM540)=CL540,CL540&lt;&gt;"")),Data!$BJ$2,"")</f>
        <v/>
      </c>
      <c r="CQ540" s="197" t="str">
        <f>IF(AND($K540="x",AND(MAX(CK540:CM540)=CM540,CM540&lt;&gt;"")),Data!$BK$2,"")</f>
        <v/>
      </c>
      <c r="CR540" s="197"/>
      <c r="CS540" s="197"/>
      <c r="CT540" s="328"/>
      <c r="CU540" s="255"/>
      <c r="CV540" s="209"/>
      <c r="CW540" s="227"/>
    </row>
    <row r="541" spans="1:101" x14ac:dyDescent="0.2">
      <c r="A541" s="227"/>
      <c r="B541" s="227"/>
      <c r="C541" s="168"/>
      <c r="D541" s="232"/>
      <c r="E541" s="136" t="s">
        <v>347</v>
      </c>
      <c r="F541" s="426"/>
      <c r="G541" s="432"/>
      <c r="H541" s="433"/>
      <c r="I541" s="349" t="str">
        <f t="shared" si="788"/>
        <v/>
      </c>
      <c r="J541" s="350" t="str">
        <f t="shared" si="789"/>
        <v/>
      </c>
      <c r="K541" s="351" t="str">
        <f t="shared" si="790"/>
        <v/>
      </c>
      <c r="L541" s="258"/>
      <c r="M541" s="332"/>
      <c r="N541" s="336"/>
      <c r="O541" s="200"/>
      <c r="P541" s="200"/>
      <c r="Q541" s="445"/>
      <c r="R541" s="446"/>
      <c r="S541" s="447" t="str">
        <f t="shared" si="791"/>
        <v/>
      </c>
      <c r="T541" s="328"/>
      <c r="U541" s="197" t="str">
        <f>IF(AND($I541="x",AND(MAX(Q541:S541)=Q541,Q541&gt;=0)),Data!$BI$2,"")</f>
        <v/>
      </c>
      <c r="V541" s="197" t="str">
        <f>IF(AND($J541="x",AND(MAX(Q541:S541)=R541,R541&gt;=0)),Data!$BJ$2,"")</f>
        <v/>
      </c>
      <c r="W541" s="197" t="str">
        <f>IF(AND($K541="x",AND(MAX(Q541:S541)=S541,S541&gt;=0)),Data!$BK$2,"")</f>
        <v/>
      </c>
      <c r="X541" s="197"/>
      <c r="Y541" s="328"/>
      <c r="Z541" s="455"/>
      <c r="AA541" s="456"/>
      <c r="AB541" s="447" t="str">
        <f t="shared" si="792"/>
        <v/>
      </c>
      <c r="AC541" s="328"/>
      <c r="AD541" s="197" t="str">
        <f>IF(AND($I541="x",AND(MAX(Z541:AB541)=Z541,Z541&lt;&gt;"")),Data!$BI$2,"")</f>
        <v/>
      </c>
      <c r="AE541" s="197" t="str">
        <f>IF(AND($J541="x",AND(MAX(Z541:AB541)=AA541,AA541&lt;&gt;"")),Data!$BJ$2,"")</f>
        <v/>
      </c>
      <c r="AF541" s="197" t="str">
        <f>IF(AND($K541="x",AND(MAX(Z541:AB541)=AB541,AB541&lt;&gt;"")),Data!$BK$2,"")</f>
        <v/>
      </c>
      <c r="AG541" s="197"/>
      <c r="AH541" s="328"/>
      <c r="AI541" s="455"/>
      <c r="AJ541" s="456"/>
      <c r="AK541" s="447" t="str">
        <f t="shared" si="793"/>
        <v/>
      </c>
      <c r="AL541" s="328"/>
      <c r="AM541" s="197" t="str">
        <f>IF(AND($I541="x",AND(MAX(AI541:AK541)=AI541,AI541&lt;&gt;"")),Data!$BI$2,"")</f>
        <v/>
      </c>
      <c r="AN541" s="197" t="str">
        <f>IF(AND($J541="x",AND(MAX(AI541:AK541)=AJ541,AJ541&lt;&gt;"")),Data!$BJ$2,"")</f>
        <v/>
      </c>
      <c r="AO541" s="197" t="str">
        <f>IF(AND($K541="x",AND(MAX(AI541:AK541)=AK541,AK541&lt;&gt;"")),Data!$BK$2,"")</f>
        <v/>
      </c>
      <c r="AP541" s="197"/>
      <c r="AQ541" s="328"/>
      <c r="AR541" s="455"/>
      <c r="AS541" s="456"/>
      <c r="AT541" s="447" t="str">
        <f t="shared" si="794"/>
        <v/>
      </c>
      <c r="AU541" s="328"/>
      <c r="AV541" s="197" t="str">
        <f>IF(AND($I541="x",AND(MAX(AR541:AT541)=AR541,AR541&lt;&gt;"")),Data!$BI$2,"")</f>
        <v/>
      </c>
      <c r="AW541" s="197" t="str">
        <f>IF(AND($J541="x",AND(MAX(AR541:AT541)=AS541,AS541&lt;&gt;"")),Data!$BJ$2,"")</f>
        <v/>
      </c>
      <c r="AX541" s="197" t="str">
        <f>IF(AND($K541="x",AND(MAX(AR541:AT541)=AT541,AT541&lt;&gt;"")),Data!$BK$2,"")</f>
        <v/>
      </c>
      <c r="AY541" s="197"/>
      <c r="AZ541" s="328"/>
      <c r="BA541" s="455"/>
      <c r="BB541" s="456"/>
      <c r="BC541" s="447" t="str">
        <f t="shared" si="795"/>
        <v/>
      </c>
      <c r="BD541" s="328"/>
      <c r="BE541" s="197" t="str">
        <f>IF(AND($I541="x",AND(MAX(BA541:BC541)=BA541,BA541&lt;&gt;"")),Data!$BI$2,"")</f>
        <v/>
      </c>
      <c r="BF541" s="197" t="str">
        <f>IF(AND($J541="x",AND(MAX(BA541:BC541)=BB541,BB541&lt;&gt;"")),Data!$BJ$2,"")</f>
        <v/>
      </c>
      <c r="BG541" s="197" t="str">
        <f>IF(AND($K541="x",AND(MAX(BA541:BC541)=BC541,BC541&lt;&gt;"")),Data!$BK$2,"")</f>
        <v/>
      </c>
      <c r="BH541" s="197"/>
      <c r="BI541" s="328"/>
      <c r="BJ541" s="455"/>
      <c r="BK541" s="456"/>
      <c r="BL541" s="447" t="str">
        <f t="shared" si="796"/>
        <v/>
      </c>
      <c r="BM541" s="328"/>
      <c r="BN541" s="197" t="str">
        <f>IF(AND($I541="x",AND(MAX(BJ541:BL541)=BJ541,BJ541&lt;&gt;"")),Data!$BI$2,"")</f>
        <v/>
      </c>
      <c r="BO541" s="197" t="str">
        <f>IF(AND($J541="x",AND(MAX(BJ541:BL541)=BK541,BK541&lt;&gt;"")),Data!$BJ$2,"")</f>
        <v/>
      </c>
      <c r="BP541" s="197" t="str">
        <f>IF(AND($K541="x",AND(MAX(BJ541:BL541)=BL541,BL541&lt;&gt;"")),Data!$BK$2,"")</f>
        <v/>
      </c>
      <c r="BQ541" s="197"/>
      <c r="BR541" s="328"/>
      <c r="BS541" s="455"/>
      <c r="BT541" s="456"/>
      <c r="BU541" s="447" t="str">
        <f t="shared" si="797"/>
        <v/>
      </c>
      <c r="BV541" s="328"/>
      <c r="BW541" s="197" t="str">
        <f>IF(AND($I541="x",AND(MAX(BS541:BU541)=BS541,BS541&lt;&gt;"")),Data!$BI$2,"")</f>
        <v/>
      </c>
      <c r="BX541" s="197" t="str">
        <f>IF(AND($J541="x",AND(MAX(BS541:BU541)=BT541,BT541&lt;&gt;"")),Data!$BJ$2,"")</f>
        <v/>
      </c>
      <c r="BY541" s="197" t="str">
        <f>IF(AND($K541="x",AND(MAX(BS541:BU541)=BU541,BU541&lt;&gt;"")),Data!$BK$2,"")</f>
        <v/>
      </c>
      <c r="BZ541" s="197"/>
      <c r="CA541" s="328"/>
      <c r="CB541" s="463" t="str">
        <f t="shared" si="798"/>
        <v/>
      </c>
      <c r="CC541" s="464" t="str">
        <f t="shared" si="799"/>
        <v/>
      </c>
      <c r="CD541" s="465" t="str">
        <f t="shared" si="800"/>
        <v/>
      </c>
      <c r="CE541" s="328"/>
      <c r="CF541" s="197" t="str">
        <f>IF(AND($I541="x",AND(MAX(CB541:CD541)=CB541,CB541&lt;&gt;"")),Data!$BI$2,"")</f>
        <v/>
      </c>
      <c r="CG541" s="197" t="str">
        <f>IF(AND($J541="x",AND(MAX(CB541:CD541)=CC541,CC541&lt;&gt;"")),Data!$BJ$2,"")</f>
        <v/>
      </c>
      <c r="CH541" s="197" t="str">
        <f>IF(AND($K541="x",AND(MAX(CB541:CD541)=CD541,CD541&lt;&gt;"")),Data!$BK$2,"")</f>
        <v/>
      </c>
      <c r="CI541" s="197"/>
      <c r="CJ541" s="197"/>
      <c r="CK541" s="455"/>
      <c r="CL541" s="456"/>
      <c r="CM541" s="447" t="str">
        <f t="shared" si="801"/>
        <v/>
      </c>
      <c r="CN541" s="328"/>
      <c r="CO541" s="197" t="str">
        <f>IF(AND($I541="x",AND(MAX(CK541:CM541)=CK541,CK541&lt;&gt;"")),Data!$BI$2,"")</f>
        <v/>
      </c>
      <c r="CP541" s="197" t="str">
        <f>IF(AND($J541="x",AND(MAX(CK541:CM541)=CL541,CL541&lt;&gt;"")),Data!$BJ$2,"")</f>
        <v/>
      </c>
      <c r="CQ541" s="197" t="str">
        <f>IF(AND($K541="x",AND(MAX(CK541:CM541)=CM541,CM541&lt;&gt;"")),Data!$BK$2,"")</f>
        <v/>
      </c>
      <c r="CR541" s="197"/>
      <c r="CS541" s="197"/>
      <c r="CT541" s="328"/>
      <c r="CU541" s="255"/>
      <c r="CV541" s="209"/>
      <c r="CW541" s="227"/>
    </row>
    <row r="542" spans="1:101" x14ac:dyDescent="0.2">
      <c r="A542" s="227"/>
      <c r="B542" s="227"/>
      <c r="C542" s="168"/>
      <c r="D542" s="232"/>
      <c r="E542" s="134" t="s">
        <v>348</v>
      </c>
      <c r="F542" s="424"/>
      <c r="G542" s="428"/>
      <c r="H542" s="429"/>
      <c r="I542" s="138" t="str">
        <f t="shared" si="788"/>
        <v/>
      </c>
      <c r="J542" s="344" t="str">
        <f t="shared" si="789"/>
        <v/>
      </c>
      <c r="K542" s="345" t="str">
        <f t="shared" si="790"/>
        <v/>
      </c>
      <c r="L542" s="258"/>
      <c r="M542" s="332"/>
      <c r="N542" s="336"/>
      <c r="O542" s="200"/>
      <c r="P542" s="200"/>
      <c r="Q542" s="436"/>
      <c r="R542" s="437"/>
      <c r="S542" s="438" t="str">
        <f t="shared" si="791"/>
        <v/>
      </c>
      <c r="T542" s="328"/>
      <c r="U542" s="197" t="str">
        <f>IF(AND($I542="x",AND(MAX(Q542:S542)=Q542,Q542&gt;=0)),Data!$BI$2,"")</f>
        <v/>
      </c>
      <c r="V542" s="197" t="str">
        <f>IF(AND($J542="x",AND(MAX(Q542:S542)=R542,R542&gt;=0)),Data!$BJ$2,"")</f>
        <v/>
      </c>
      <c r="W542" s="197" t="str">
        <f>IF(AND($K542="x",AND(MAX(Q542:S542)=S542,S542&gt;=0)),Data!$BK$2,"")</f>
        <v/>
      </c>
      <c r="X542" s="197"/>
      <c r="Y542" s="328"/>
      <c r="Z542" s="451"/>
      <c r="AA542" s="452"/>
      <c r="AB542" s="438" t="str">
        <f t="shared" si="792"/>
        <v/>
      </c>
      <c r="AC542" s="328"/>
      <c r="AD542" s="197" t="str">
        <f>IF(AND($I542="x",AND(MAX(Z542:AB542)=Z542,Z542&lt;&gt;"")),Data!$BI$2,"")</f>
        <v/>
      </c>
      <c r="AE542" s="197" t="str">
        <f>IF(AND($J542="x",AND(MAX(Z542:AB542)=AA542,AA542&lt;&gt;"")),Data!$BJ$2,"")</f>
        <v/>
      </c>
      <c r="AF542" s="197" t="str">
        <f>IF(AND($K542="x",AND(MAX(Z542:AB542)=AB542,AB542&lt;&gt;"")),Data!$BK$2,"")</f>
        <v/>
      </c>
      <c r="AG542" s="197"/>
      <c r="AH542" s="328"/>
      <c r="AI542" s="451"/>
      <c r="AJ542" s="452"/>
      <c r="AK542" s="438" t="str">
        <f t="shared" si="793"/>
        <v/>
      </c>
      <c r="AL542" s="328"/>
      <c r="AM542" s="197" t="str">
        <f>IF(AND($I542="x",AND(MAX(AI542:AK542)=AI542,AI542&lt;&gt;"")),Data!$BI$2,"")</f>
        <v/>
      </c>
      <c r="AN542" s="197" t="str">
        <f>IF(AND($J542="x",AND(MAX(AI542:AK542)=AJ542,AJ542&lt;&gt;"")),Data!$BJ$2,"")</f>
        <v/>
      </c>
      <c r="AO542" s="197" t="str">
        <f>IF(AND($K542="x",AND(MAX(AI542:AK542)=AK542,AK542&lt;&gt;"")),Data!$BK$2,"")</f>
        <v/>
      </c>
      <c r="AP542" s="197"/>
      <c r="AQ542" s="328"/>
      <c r="AR542" s="451"/>
      <c r="AS542" s="452"/>
      <c r="AT542" s="438" t="str">
        <f t="shared" si="794"/>
        <v/>
      </c>
      <c r="AU542" s="328"/>
      <c r="AV542" s="197" t="str">
        <f>IF(AND($I542="x",AND(MAX(AR542:AT542)=AR542,AR542&lt;&gt;"")),Data!$BI$2,"")</f>
        <v/>
      </c>
      <c r="AW542" s="197" t="str">
        <f>IF(AND($J542="x",AND(MAX(AR542:AT542)=AS542,AS542&lt;&gt;"")),Data!$BJ$2,"")</f>
        <v/>
      </c>
      <c r="AX542" s="197" t="str">
        <f>IF(AND($K542="x",AND(MAX(AR542:AT542)=AT542,AT542&lt;&gt;"")),Data!$BK$2,"")</f>
        <v/>
      </c>
      <c r="AY542" s="197"/>
      <c r="AZ542" s="328"/>
      <c r="BA542" s="451"/>
      <c r="BB542" s="452"/>
      <c r="BC542" s="438" t="str">
        <f t="shared" si="795"/>
        <v/>
      </c>
      <c r="BD542" s="328"/>
      <c r="BE542" s="197" t="str">
        <f>IF(AND($I542="x",AND(MAX(BA542:BC542)=BA542,BA542&lt;&gt;"")),Data!$BI$2,"")</f>
        <v/>
      </c>
      <c r="BF542" s="197" t="str">
        <f>IF(AND($J542="x",AND(MAX(BA542:BC542)=BB542,BB542&lt;&gt;"")),Data!$BJ$2,"")</f>
        <v/>
      </c>
      <c r="BG542" s="197" t="str">
        <f>IF(AND($K542="x",AND(MAX(BA542:BC542)=BC542,BC542&lt;&gt;"")),Data!$BK$2,"")</f>
        <v/>
      </c>
      <c r="BH542" s="197"/>
      <c r="BI542" s="328"/>
      <c r="BJ542" s="451"/>
      <c r="BK542" s="452"/>
      <c r="BL542" s="438" t="str">
        <f t="shared" si="796"/>
        <v/>
      </c>
      <c r="BM542" s="328"/>
      <c r="BN542" s="197" t="str">
        <f>IF(AND($I542="x",AND(MAX(BJ542:BL542)=BJ542,BJ542&lt;&gt;"")),Data!$BI$2,"")</f>
        <v/>
      </c>
      <c r="BO542" s="197" t="str">
        <f>IF(AND($J542="x",AND(MAX(BJ542:BL542)=BK542,BK542&lt;&gt;"")),Data!$BJ$2,"")</f>
        <v/>
      </c>
      <c r="BP542" s="197" t="str">
        <f>IF(AND($K542="x",AND(MAX(BJ542:BL542)=BL542,BL542&lt;&gt;"")),Data!$BK$2,"")</f>
        <v/>
      </c>
      <c r="BQ542" s="197"/>
      <c r="BR542" s="328"/>
      <c r="BS542" s="451"/>
      <c r="BT542" s="452"/>
      <c r="BU542" s="438" t="str">
        <f t="shared" si="797"/>
        <v/>
      </c>
      <c r="BV542" s="328"/>
      <c r="BW542" s="197" t="str">
        <f>IF(AND($I542="x",AND(MAX(BS542:BU542)=BS542,BS542&lt;&gt;"")),Data!$BI$2,"")</f>
        <v/>
      </c>
      <c r="BX542" s="197" t="str">
        <f>IF(AND($J542="x",AND(MAX(BS542:BU542)=BT542,BT542&lt;&gt;"")),Data!$BJ$2,"")</f>
        <v/>
      </c>
      <c r="BY542" s="197" t="str">
        <f>IF(AND($K542="x",AND(MAX(BS542:BU542)=BU542,BU542&lt;&gt;"")),Data!$BK$2,"")</f>
        <v/>
      </c>
      <c r="BZ542" s="197"/>
      <c r="CA542" s="328"/>
      <c r="CB542" s="457" t="str">
        <f t="shared" si="798"/>
        <v/>
      </c>
      <c r="CC542" s="458" t="str">
        <f t="shared" si="799"/>
        <v/>
      </c>
      <c r="CD542" s="459" t="str">
        <f t="shared" si="800"/>
        <v/>
      </c>
      <c r="CE542" s="328"/>
      <c r="CF542" s="197" t="str">
        <f>IF(AND($I542="x",AND(MAX(CB542:CD542)=CB542,CB542&lt;&gt;"")),Data!$BI$2,"")</f>
        <v/>
      </c>
      <c r="CG542" s="197" t="str">
        <f>IF(AND($J542="x",AND(MAX(CB542:CD542)=CC542,CC542&lt;&gt;"")),Data!$BJ$2,"")</f>
        <v/>
      </c>
      <c r="CH542" s="197" t="str">
        <f>IF(AND($K542="x",AND(MAX(CB542:CD542)=CD542,CD542&lt;&gt;"")),Data!$BK$2,"")</f>
        <v/>
      </c>
      <c r="CI542" s="197"/>
      <c r="CJ542" s="197"/>
      <c r="CK542" s="451"/>
      <c r="CL542" s="452"/>
      <c r="CM542" s="438" t="str">
        <f t="shared" si="801"/>
        <v/>
      </c>
      <c r="CN542" s="328"/>
      <c r="CO542" s="197" t="str">
        <f>IF(AND($I542="x",AND(MAX(CK542:CM542)=CK542,CK542&lt;&gt;"")),Data!$BI$2,"")</f>
        <v/>
      </c>
      <c r="CP542" s="197" t="str">
        <f>IF(AND($J542="x",AND(MAX(CK542:CM542)=CL542,CL542&lt;&gt;"")),Data!$BJ$2,"")</f>
        <v/>
      </c>
      <c r="CQ542" s="197" t="str">
        <f>IF(AND($K542="x",AND(MAX(CK542:CM542)=CM542,CM542&lt;&gt;"")),Data!$BK$2,"")</f>
        <v/>
      </c>
      <c r="CR542" s="197"/>
      <c r="CS542" s="197"/>
      <c r="CT542" s="328"/>
      <c r="CU542" s="259"/>
      <c r="CV542" s="209"/>
      <c r="CW542" s="227"/>
    </row>
    <row r="543" spans="1:101" x14ac:dyDescent="0.2">
      <c r="A543" s="227"/>
      <c r="B543" s="227"/>
      <c r="C543" s="168"/>
      <c r="D543" s="232"/>
      <c r="E543" s="135" t="s">
        <v>349</v>
      </c>
      <c r="F543" s="425"/>
      <c r="G543" s="430"/>
      <c r="H543" s="431"/>
      <c r="I543" s="346" t="str">
        <f t="shared" si="788"/>
        <v/>
      </c>
      <c r="J543" s="347" t="str">
        <f t="shared" si="789"/>
        <v/>
      </c>
      <c r="K543" s="348" t="str">
        <f t="shared" si="790"/>
        <v/>
      </c>
      <c r="L543" s="258"/>
      <c r="M543" s="332"/>
      <c r="N543" s="336"/>
      <c r="O543" s="200"/>
      <c r="P543" s="200"/>
      <c r="Q543" s="439"/>
      <c r="R543" s="440"/>
      <c r="S543" s="441" t="str">
        <f t="shared" si="791"/>
        <v/>
      </c>
      <c r="T543" s="328"/>
      <c r="U543" s="197" t="str">
        <f>IF(AND($I543="x",AND(MAX(Q543:S543)=Q543,Q543&gt;=0)),Data!$BI$2,"")</f>
        <v/>
      </c>
      <c r="V543" s="197" t="str">
        <f>IF(AND($J543="x",AND(MAX(Q543:S543)=R543,R543&gt;=0)),Data!$BJ$2,"")</f>
        <v/>
      </c>
      <c r="W543" s="197" t="str">
        <f>IF(AND($K543="x",AND(MAX(Q543:S543)=S543,S543&gt;=0)),Data!$BK$2,"")</f>
        <v/>
      </c>
      <c r="X543" s="197"/>
      <c r="Y543" s="328"/>
      <c r="Z543" s="453"/>
      <c r="AA543" s="454"/>
      <c r="AB543" s="441" t="str">
        <f t="shared" si="792"/>
        <v/>
      </c>
      <c r="AC543" s="328"/>
      <c r="AD543" s="197" t="str">
        <f>IF(AND($I543="x",AND(MAX(Z543:AB543)=Z543,Z543&lt;&gt;"")),Data!$BI$2,"")</f>
        <v/>
      </c>
      <c r="AE543" s="197" t="str">
        <f>IF(AND($J543="x",AND(MAX(Z543:AB543)=AA543,AA543&lt;&gt;"")),Data!$BJ$2,"")</f>
        <v/>
      </c>
      <c r="AF543" s="197" t="str">
        <f>IF(AND($K543="x",AND(MAX(Z543:AB543)=AB543,AB543&lt;&gt;"")),Data!$BK$2,"")</f>
        <v/>
      </c>
      <c r="AG543" s="197"/>
      <c r="AH543" s="328"/>
      <c r="AI543" s="453"/>
      <c r="AJ543" s="454"/>
      <c r="AK543" s="441" t="str">
        <f t="shared" si="793"/>
        <v/>
      </c>
      <c r="AL543" s="328"/>
      <c r="AM543" s="197" t="str">
        <f>IF(AND($I543="x",AND(MAX(AI543:AK543)=AI543,AI543&lt;&gt;"")),Data!$BI$2,"")</f>
        <v/>
      </c>
      <c r="AN543" s="197" t="str">
        <f>IF(AND($J543="x",AND(MAX(AI543:AK543)=AJ543,AJ543&lt;&gt;"")),Data!$BJ$2,"")</f>
        <v/>
      </c>
      <c r="AO543" s="197" t="str">
        <f>IF(AND($K543="x",AND(MAX(AI543:AK543)=AK543,AK543&lt;&gt;"")),Data!$BK$2,"")</f>
        <v/>
      </c>
      <c r="AP543" s="197"/>
      <c r="AQ543" s="328"/>
      <c r="AR543" s="453"/>
      <c r="AS543" s="454"/>
      <c r="AT543" s="441" t="str">
        <f t="shared" si="794"/>
        <v/>
      </c>
      <c r="AU543" s="328"/>
      <c r="AV543" s="197" t="str">
        <f>IF(AND($I543="x",AND(MAX(AR543:AT543)=AR543,AR543&lt;&gt;"")),Data!$BI$2,"")</f>
        <v/>
      </c>
      <c r="AW543" s="197" t="str">
        <f>IF(AND($J543="x",AND(MAX(AR543:AT543)=AS543,AS543&lt;&gt;"")),Data!$BJ$2,"")</f>
        <v/>
      </c>
      <c r="AX543" s="197" t="str">
        <f>IF(AND($K543="x",AND(MAX(AR543:AT543)=AT543,AT543&lt;&gt;"")),Data!$BK$2,"")</f>
        <v/>
      </c>
      <c r="AY543" s="197"/>
      <c r="AZ543" s="328"/>
      <c r="BA543" s="453"/>
      <c r="BB543" s="454"/>
      <c r="BC543" s="441" t="str">
        <f t="shared" si="795"/>
        <v/>
      </c>
      <c r="BD543" s="328"/>
      <c r="BE543" s="197" t="str">
        <f>IF(AND($I543="x",AND(MAX(BA543:BC543)=BA543,BA543&lt;&gt;"")),Data!$BI$2,"")</f>
        <v/>
      </c>
      <c r="BF543" s="197" t="str">
        <f>IF(AND($J543="x",AND(MAX(BA543:BC543)=BB543,BB543&lt;&gt;"")),Data!$BJ$2,"")</f>
        <v/>
      </c>
      <c r="BG543" s="197" t="str">
        <f>IF(AND($K543="x",AND(MAX(BA543:BC543)=BC543,BC543&lt;&gt;"")),Data!$BK$2,"")</f>
        <v/>
      </c>
      <c r="BH543" s="197"/>
      <c r="BI543" s="328"/>
      <c r="BJ543" s="453"/>
      <c r="BK543" s="454"/>
      <c r="BL543" s="441" t="str">
        <f t="shared" si="796"/>
        <v/>
      </c>
      <c r="BM543" s="328"/>
      <c r="BN543" s="197" t="str">
        <f>IF(AND($I543="x",AND(MAX(BJ543:BL543)=BJ543,BJ543&lt;&gt;"")),Data!$BI$2,"")</f>
        <v/>
      </c>
      <c r="BO543" s="197" t="str">
        <f>IF(AND($J543="x",AND(MAX(BJ543:BL543)=BK543,BK543&lt;&gt;"")),Data!$BJ$2,"")</f>
        <v/>
      </c>
      <c r="BP543" s="197" t="str">
        <f>IF(AND($K543="x",AND(MAX(BJ543:BL543)=BL543,BL543&lt;&gt;"")),Data!$BK$2,"")</f>
        <v/>
      </c>
      <c r="BQ543" s="197"/>
      <c r="BR543" s="328"/>
      <c r="BS543" s="453"/>
      <c r="BT543" s="454"/>
      <c r="BU543" s="441" t="str">
        <f t="shared" si="797"/>
        <v/>
      </c>
      <c r="BV543" s="328"/>
      <c r="BW543" s="197" t="str">
        <f>IF(AND($I543="x",AND(MAX(BS543:BU543)=BS543,BS543&lt;&gt;"")),Data!$BI$2,"")</f>
        <v/>
      </c>
      <c r="BX543" s="197" t="str">
        <f>IF(AND($J543="x",AND(MAX(BS543:BU543)=BT543,BT543&lt;&gt;"")),Data!$BJ$2,"")</f>
        <v/>
      </c>
      <c r="BY543" s="197" t="str">
        <f>IF(AND($K543="x",AND(MAX(BS543:BU543)=BU543,BU543&lt;&gt;"")),Data!$BK$2,"")</f>
        <v/>
      </c>
      <c r="BZ543" s="197"/>
      <c r="CA543" s="328"/>
      <c r="CB543" s="460" t="str">
        <f t="shared" si="798"/>
        <v/>
      </c>
      <c r="CC543" s="461" t="str">
        <f t="shared" si="799"/>
        <v/>
      </c>
      <c r="CD543" s="462" t="str">
        <f t="shared" si="800"/>
        <v/>
      </c>
      <c r="CE543" s="328"/>
      <c r="CF543" s="197" t="str">
        <f>IF(AND($I543="x",AND(MAX(CB543:CD543)=CB543,CB543&lt;&gt;"")),Data!$BI$2,"")</f>
        <v/>
      </c>
      <c r="CG543" s="197" t="str">
        <f>IF(AND($J543="x",AND(MAX(CB543:CD543)=CC543,CC543&lt;&gt;"")),Data!$BJ$2,"")</f>
        <v/>
      </c>
      <c r="CH543" s="197" t="str">
        <f>IF(AND($K543="x",AND(MAX(CB543:CD543)=CD543,CD543&lt;&gt;"")),Data!$BK$2,"")</f>
        <v/>
      </c>
      <c r="CI543" s="197"/>
      <c r="CJ543" s="197"/>
      <c r="CK543" s="453"/>
      <c r="CL543" s="454"/>
      <c r="CM543" s="441" t="str">
        <f t="shared" si="801"/>
        <v/>
      </c>
      <c r="CN543" s="328"/>
      <c r="CO543" s="197" t="str">
        <f>IF(AND($I543="x",AND(MAX(CK543:CM543)=CK543,CK543&lt;&gt;"")),Data!$BI$2,"")</f>
        <v/>
      </c>
      <c r="CP543" s="197" t="str">
        <f>IF(AND($J543="x",AND(MAX(CK543:CM543)=CL543,CL543&lt;&gt;"")),Data!$BJ$2,"")</f>
        <v/>
      </c>
      <c r="CQ543" s="197" t="str">
        <f>IF(AND($K543="x",AND(MAX(CK543:CM543)=CM543,CM543&lt;&gt;"")),Data!$BK$2,"")</f>
        <v/>
      </c>
      <c r="CR543" s="197"/>
      <c r="CS543" s="197"/>
      <c r="CT543" s="328"/>
      <c r="CU543" s="259"/>
      <c r="CV543" s="209"/>
      <c r="CW543" s="227"/>
    </row>
    <row r="544" spans="1:101" x14ac:dyDescent="0.2">
      <c r="A544" s="227"/>
      <c r="B544" s="227"/>
      <c r="C544" s="168"/>
      <c r="D544" s="232"/>
      <c r="E544" s="136" t="s">
        <v>350</v>
      </c>
      <c r="F544" s="426"/>
      <c r="G544" s="432"/>
      <c r="H544" s="433"/>
      <c r="I544" s="349" t="str">
        <f t="shared" si="788"/>
        <v/>
      </c>
      <c r="J544" s="350" t="str">
        <f t="shared" si="789"/>
        <v/>
      </c>
      <c r="K544" s="351" t="str">
        <f t="shared" si="790"/>
        <v/>
      </c>
      <c r="L544" s="258"/>
      <c r="M544" s="332"/>
      <c r="N544" s="336"/>
      <c r="O544" s="200"/>
      <c r="P544" s="200"/>
      <c r="Q544" s="445"/>
      <c r="R544" s="446"/>
      <c r="S544" s="447" t="str">
        <f t="shared" si="791"/>
        <v/>
      </c>
      <c r="T544" s="328"/>
      <c r="U544" s="197" t="str">
        <f>IF(AND($I544="x",AND(MAX(Q544:S544)=Q544,Q544&gt;=0)),Data!$BI$2,"")</f>
        <v/>
      </c>
      <c r="V544" s="197" t="str">
        <f>IF(AND($J544="x",AND(MAX(Q544:S544)=R544,R544&gt;=0)),Data!$BJ$2,"")</f>
        <v/>
      </c>
      <c r="W544" s="197" t="str">
        <f>IF(AND($K544="x",AND(MAX(Q544:S544)=S544,S544&gt;=0)),Data!$BK$2,"")</f>
        <v/>
      </c>
      <c r="X544" s="197"/>
      <c r="Y544" s="328"/>
      <c r="Z544" s="455"/>
      <c r="AA544" s="456"/>
      <c r="AB544" s="447" t="str">
        <f t="shared" si="792"/>
        <v/>
      </c>
      <c r="AC544" s="328"/>
      <c r="AD544" s="197" t="str">
        <f>IF(AND($I544="x",AND(MAX(Z544:AB544)=Z544,Z544&lt;&gt;"")),Data!$BI$2,"")</f>
        <v/>
      </c>
      <c r="AE544" s="197" t="str">
        <f>IF(AND($J544="x",AND(MAX(Z544:AB544)=AA544,AA544&lt;&gt;"")),Data!$BJ$2,"")</f>
        <v/>
      </c>
      <c r="AF544" s="197" t="str">
        <f>IF(AND($K544="x",AND(MAX(Z544:AB544)=AB544,AB544&lt;&gt;"")),Data!$BK$2,"")</f>
        <v/>
      </c>
      <c r="AG544" s="197"/>
      <c r="AH544" s="328"/>
      <c r="AI544" s="455"/>
      <c r="AJ544" s="456"/>
      <c r="AK544" s="447" t="str">
        <f t="shared" si="793"/>
        <v/>
      </c>
      <c r="AL544" s="328"/>
      <c r="AM544" s="197" t="str">
        <f>IF(AND($I544="x",AND(MAX(AI544:AK544)=AI544,AI544&lt;&gt;"")),Data!$BI$2,"")</f>
        <v/>
      </c>
      <c r="AN544" s="197" t="str">
        <f>IF(AND($J544="x",AND(MAX(AI544:AK544)=AJ544,AJ544&lt;&gt;"")),Data!$BJ$2,"")</f>
        <v/>
      </c>
      <c r="AO544" s="197" t="str">
        <f>IF(AND($K544="x",AND(MAX(AI544:AK544)=AK544,AK544&lt;&gt;"")),Data!$BK$2,"")</f>
        <v/>
      </c>
      <c r="AP544" s="197"/>
      <c r="AQ544" s="328"/>
      <c r="AR544" s="455"/>
      <c r="AS544" s="456"/>
      <c r="AT544" s="447" t="str">
        <f t="shared" si="794"/>
        <v/>
      </c>
      <c r="AU544" s="328"/>
      <c r="AV544" s="197" t="str">
        <f>IF(AND($I544="x",AND(MAX(AR544:AT544)=AR544,AR544&lt;&gt;"")),Data!$BI$2,"")</f>
        <v/>
      </c>
      <c r="AW544" s="197" t="str">
        <f>IF(AND($J544="x",AND(MAX(AR544:AT544)=AS544,AS544&lt;&gt;"")),Data!$BJ$2,"")</f>
        <v/>
      </c>
      <c r="AX544" s="197" t="str">
        <f>IF(AND($K544="x",AND(MAX(AR544:AT544)=AT544,AT544&lt;&gt;"")),Data!$BK$2,"")</f>
        <v/>
      </c>
      <c r="AY544" s="197"/>
      <c r="AZ544" s="328"/>
      <c r="BA544" s="455"/>
      <c r="BB544" s="456"/>
      <c r="BC544" s="447" t="str">
        <f t="shared" si="795"/>
        <v/>
      </c>
      <c r="BD544" s="328"/>
      <c r="BE544" s="197" t="str">
        <f>IF(AND($I544="x",AND(MAX(BA544:BC544)=BA544,BA544&lt;&gt;"")),Data!$BI$2,"")</f>
        <v/>
      </c>
      <c r="BF544" s="197" t="str">
        <f>IF(AND($J544="x",AND(MAX(BA544:BC544)=BB544,BB544&lt;&gt;"")),Data!$BJ$2,"")</f>
        <v/>
      </c>
      <c r="BG544" s="197" t="str">
        <f>IF(AND($K544="x",AND(MAX(BA544:BC544)=BC544,BC544&lt;&gt;"")),Data!$BK$2,"")</f>
        <v/>
      </c>
      <c r="BH544" s="197"/>
      <c r="BI544" s="328"/>
      <c r="BJ544" s="455"/>
      <c r="BK544" s="456"/>
      <c r="BL544" s="447" t="str">
        <f t="shared" si="796"/>
        <v/>
      </c>
      <c r="BM544" s="328"/>
      <c r="BN544" s="197" t="str">
        <f>IF(AND($I544="x",AND(MAX(BJ544:BL544)=BJ544,BJ544&lt;&gt;"")),Data!$BI$2,"")</f>
        <v/>
      </c>
      <c r="BO544" s="197" t="str">
        <f>IF(AND($J544="x",AND(MAX(BJ544:BL544)=BK544,BK544&lt;&gt;"")),Data!$BJ$2,"")</f>
        <v/>
      </c>
      <c r="BP544" s="197" t="str">
        <f>IF(AND($K544="x",AND(MAX(BJ544:BL544)=BL544,BL544&lt;&gt;"")),Data!$BK$2,"")</f>
        <v/>
      </c>
      <c r="BQ544" s="197"/>
      <c r="BR544" s="328"/>
      <c r="BS544" s="455"/>
      <c r="BT544" s="456"/>
      <c r="BU544" s="447" t="str">
        <f t="shared" si="797"/>
        <v/>
      </c>
      <c r="BV544" s="328"/>
      <c r="BW544" s="197" t="str">
        <f>IF(AND($I544="x",AND(MAX(BS544:BU544)=BS544,BS544&lt;&gt;"")),Data!$BI$2,"")</f>
        <v/>
      </c>
      <c r="BX544" s="197" t="str">
        <f>IF(AND($J544="x",AND(MAX(BS544:BU544)=BT544,BT544&lt;&gt;"")),Data!$BJ$2,"")</f>
        <v/>
      </c>
      <c r="BY544" s="197" t="str">
        <f>IF(AND($K544="x",AND(MAX(BS544:BU544)=BU544,BU544&lt;&gt;"")),Data!$BK$2,"")</f>
        <v/>
      </c>
      <c r="BZ544" s="197"/>
      <c r="CA544" s="328"/>
      <c r="CB544" s="463" t="str">
        <f t="shared" si="798"/>
        <v/>
      </c>
      <c r="CC544" s="464" t="str">
        <f t="shared" si="799"/>
        <v/>
      </c>
      <c r="CD544" s="465" t="str">
        <f t="shared" si="800"/>
        <v/>
      </c>
      <c r="CE544" s="328"/>
      <c r="CF544" s="197" t="str">
        <f>IF(AND($I544="x",AND(MAX(CB544:CD544)=CB544,CB544&lt;&gt;"")),Data!$BI$2,"")</f>
        <v/>
      </c>
      <c r="CG544" s="197" t="str">
        <f>IF(AND($J544="x",AND(MAX(CB544:CD544)=CC544,CC544&lt;&gt;"")),Data!$BJ$2,"")</f>
        <v/>
      </c>
      <c r="CH544" s="197" t="str">
        <f>IF(AND($K544="x",AND(MAX(CB544:CD544)=CD544,CD544&lt;&gt;"")),Data!$BK$2,"")</f>
        <v/>
      </c>
      <c r="CI544" s="197"/>
      <c r="CJ544" s="197"/>
      <c r="CK544" s="455"/>
      <c r="CL544" s="456"/>
      <c r="CM544" s="447" t="str">
        <f t="shared" si="801"/>
        <v/>
      </c>
      <c r="CN544" s="328"/>
      <c r="CO544" s="197" t="str">
        <f>IF(AND($I544="x",AND(MAX(CK544:CM544)=CK544,CK544&lt;&gt;"")),Data!$BI$2,"")</f>
        <v/>
      </c>
      <c r="CP544" s="197" t="str">
        <f>IF(AND($J544="x",AND(MAX(CK544:CM544)=CL544,CL544&lt;&gt;"")),Data!$BJ$2,"")</f>
        <v/>
      </c>
      <c r="CQ544" s="197" t="str">
        <f>IF(AND($K544="x",AND(MAX(CK544:CM544)=CM544,CM544&lt;&gt;"")),Data!$BK$2,"")</f>
        <v/>
      </c>
      <c r="CR544" s="197"/>
      <c r="CS544" s="197"/>
      <c r="CT544" s="328"/>
      <c r="CU544" s="259"/>
      <c r="CV544" s="209"/>
      <c r="CW544" s="227"/>
    </row>
    <row r="545" spans="1:101" x14ac:dyDescent="0.2">
      <c r="A545" s="227"/>
      <c r="B545" s="227"/>
      <c r="C545" s="168"/>
      <c r="D545" s="232"/>
      <c r="E545" s="137" t="s">
        <v>351</v>
      </c>
      <c r="F545" s="427"/>
      <c r="G545" s="434"/>
      <c r="H545" s="435"/>
      <c r="I545" s="138" t="str">
        <f t="shared" si="788"/>
        <v/>
      </c>
      <c r="J545" s="344" t="str">
        <f t="shared" si="789"/>
        <v/>
      </c>
      <c r="K545" s="345" t="str">
        <f t="shared" si="790"/>
        <v/>
      </c>
      <c r="L545" s="258"/>
      <c r="M545" s="332"/>
      <c r="N545" s="336"/>
      <c r="O545" s="200"/>
      <c r="P545" s="200"/>
      <c r="Q545" s="448"/>
      <c r="R545" s="449"/>
      <c r="S545" s="450" t="str">
        <f t="shared" si="791"/>
        <v/>
      </c>
      <c r="T545" s="328"/>
      <c r="U545" s="197" t="str">
        <f>IF(AND($I545="x",AND(MAX(Q545:S545)=Q545,Q545&gt;=0)),Data!$BI$2,"")</f>
        <v/>
      </c>
      <c r="V545" s="197" t="str">
        <f>IF(AND($J545="x",AND(MAX(Q545:S545)=R545,R545&gt;=0)),Data!$BJ$2,"")</f>
        <v/>
      </c>
      <c r="W545" s="197" t="str">
        <f>IF(AND($K545="x",AND(MAX(Q545:S545)=S545,S545&gt;=0)),Data!$BK$2,"")</f>
        <v/>
      </c>
      <c r="X545" s="197"/>
      <c r="Y545" s="328"/>
      <c r="Z545" s="451"/>
      <c r="AA545" s="452"/>
      <c r="AB545" s="450" t="str">
        <f t="shared" si="792"/>
        <v/>
      </c>
      <c r="AC545" s="328"/>
      <c r="AD545" s="197" t="str">
        <f>IF(AND($I545="x",AND(MAX(Z545:AB545)=Z545,Z545&lt;&gt;"")),Data!$BI$2,"")</f>
        <v/>
      </c>
      <c r="AE545" s="197" t="str">
        <f>IF(AND($J545="x",AND(MAX(Z545:AB545)=AA545,AA545&lt;&gt;"")),Data!$BJ$2,"")</f>
        <v/>
      </c>
      <c r="AF545" s="197" t="str">
        <f>IF(AND($K545="x",AND(MAX(Z545:AB545)=AB545,AB545&lt;&gt;"")),Data!$BK$2,"")</f>
        <v/>
      </c>
      <c r="AG545" s="197"/>
      <c r="AH545" s="328"/>
      <c r="AI545" s="451"/>
      <c r="AJ545" s="452"/>
      <c r="AK545" s="450" t="str">
        <f t="shared" si="793"/>
        <v/>
      </c>
      <c r="AL545" s="328"/>
      <c r="AM545" s="197" t="str">
        <f>IF(AND($I545="x",AND(MAX(AI545:AK545)=AI545,AI545&lt;&gt;"")),Data!$BI$2,"")</f>
        <v/>
      </c>
      <c r="AN545" s="197" t="str">
        <f>IF(AND($J545="x",AND(MAX(AI545:AK545)=AJ545,AJ545&lt;&gt;"")),Data!$BJ$2,"")</f>
        <v/>
      </c>
      <c r="AO545" s="197" t="str">
        <f>IF(AND($K545="x",AND(MAX(AI545:AK545)=AK545,AK545&lt;&gt;"")),Data!$BK$2,"")</f>
        <v/>
      </c>
      <c r="AP545" s="197"/>
      <c r="AQ545" s="328"/>
      <c r="AR545" s="451"/>
      <c r="AS545" s="452"/>
      <c r="AT545" s="450" t="str">
        <f t="shared" si="794"/>
        <v/>
      </c>
      <c r="AU545" s="328"/>
      <c r="AV545" s="197" t="str">
        <f>IF(AND($I545="x",AND(MAX(AR545:AT545)=AR545,AR545&lt;&gt;"")),Data!$BI$2,"")</f>
        <v/>
      </c>
      <c r="AW545" s="197" t="str">
        <f>IF(AND($J545="x",AND(MAX(AR545:AT545)=AS545,AS545&lt;&gt;"")),Data!$BJ$2,"")</f>
        <v/>
      </c>
      <c r="AX545" s="197" t="str">
        <f>IF(AND($K545="x",AND(MAX(AR545:AT545)=AT545,AT545&lt;&gt;"")),Data!$BK$2,"")</f>
        <v/>
      </c>
      <c r="AY545" s="197"/>
      <c r="AZ545" s="328"/>
      <c r="BA545" s="451"/>
      <c r="BB545" s="452"/>
      <c r="BC545" s="450" t="str">
        <f t="shared" si="795"/>
        <v/>
      </c>
      <c r="BD545" s="328"/>
      <c r="BE545" s="197" t="str">
        <f>IF(AND($I545="x",AND(MAX(BA545:BC545)=BA545,BA545&lt;&gt;"")),Data!$BI$2,"")</f>
        <v/>
      </c>
      <c r="BF545" s="197" t="str">
        <f>IF(AND($J545="x",AND(MAX(BA545:BC545)=BB545,BB545&lt;&gt;"")),Data!$BJ$2,"")</f>
        <v/>
      </c>
      <c r="BG545" s="197" t="str">
        <f>IF(AND($K545="x",AND(MAX(BA545:BC545)=BC545,BC545&lt;&gt;"")),Data!$BK$2,"")</f>
        <v/>
      </c>
      <c r="BH545" s="197"/>
      <c r="BI545" s="328"/>
      <c r="BJ545" s="451"/>
      <c r="BK545" s="452"/>
      <c r="BL545" s="450" t="str">
        <f t="shared" si="796"/>
        <v/>
      </c>
      <c r="BM545" s="328"/>
      <c r="BN545" s="197" t="str">
        <f>IF(AND($I545="x",AND(MAX(BJ545:BL545)=BJ545,BJ545&lt;&gt;"")),Data!$BI$2,"")</f>
        <v/>
      </c>
      <c r="BO545" s="197" t="str">
        <f>IF(AND($J545="x",AND(MAX(BJ545:BL545)=BK545,BK545&lt;&gt;"")),Data!$BJ$2,"")</f>
        <v/>
      </c>
      <c r="BP545" s="197" t="str">
        <f>IF(AND($K545="x",AND(MAX(BJ545:BL545)=BL545,BL545&lt;&gt;"")),Data!$BK$2,"")</f>
        <v/>
      </c>
      <c r="BQ545" s="197"/>
      <c r="BR545" s="328"/>
      <c r="BS545" s="451"/>
      <c r="BT545" s="452"/>
      <c r="BU545" s="450" t="str">
        <f t="shared" si="797"/>
        <v/>
      </c>
      <c r="BV545" s="328"/>
      <c r="BW545" s="197" t="str">
        <f>IF(AND($I545="x",AND(MAX(BS545:BU545)=BS545,BS545&lt;&gt;"")),Data!$BI$2,"")</f>
        <v/>
      </c>
      <c r="BX545" s="197" t="str">
        <f>IF(AND($J545="x",AND(MAX(BS545:BU545)=BT545,BT545&lt;&gt;"")),Data!$BJ$2,"")</f>
        <v/>
      </c>
      <c r="BY545" s="197" t="str">
        <f>IF(AND($K545="x",AND(MAX(BS545:BU545)=BU545,BU545&lt;&gt;"")),Data!$BK$2,"")</f>
        <v/>
      </c>
      <c r="BZ545" s="197"/>
      <c r="CA545" s="328"/>
      <c r="CB545" s="457" t="str">
        <f t="shared" si="798"/>
        <v/>
      </c>
      <c r="CC545" s="458" t="str">
        <f t="shared" si="799"/>
        <v/>
      </c>
      <c r="CD545" s="459" t="str">
        <f t="shared" si="800"/>
        <v/>
      </c>
      <c r="CE545" s="328"/>
      <c r="CF545" s="197" t="str">
        <f>IF(AND($I545="x",AND(MAX(CB545:CD545)=CB545,CB545&lt;&gt;"")),Data!$BI$2,"")</f>
        <v/>
      </c>
      <c r="CG545" s="197" t="str">
        <f>IF(AND($J545="x",AND(MAX(CB545:CD545)=CC545,CC545&lt;&gt;"")),Data!$BJ$2,"")</f>
        <v/>
      </c>
      <c r="CH545" s="197" t="str">
        <f>IF(AND($K545="x",AND(MAX(CB545:CD545)=CD545,CD545&lt;&gt;"")),Data!$BK$2,"")</f>
        <v/>
      </c>
      <c r="CI545" s="197"/>
      <c r="CJ545" s="197"/>
      <c r="CK545" s="451"/>
      <c r="CL545" s="452"/>
      <c r="CM545" s="450" t="str">
        <f t="shared" si="801"/>
        <v/>
      </c>
      <c r="CN545" s="328"/>
      <c r="CO545" s="197" t="str">
        <f>IF(AND($I545="x",AND(MAX(CK545:CM545)=CK545,CK545&lt;&gt;"")),Data!$BI$2,"")</f>
        <v/>
      </c>
      <c r="CP545" s="197" t="str">
        <f>IF(AND($J545="x",AND(MAX(CK545:CM545)=CL545,CL545&lt;&gt;"")),Data!$BJ$2,"")</f>
        <v/>
      </c>
      <c r="CQ545" s="197" t="str">
        <f>IF(AND($K545="x",AND(MAX(CK545:CM545)=CM545,CM545&lt;&gt;"")),Data!$BK$2,"")</f>
        <v/>
      </c>
      <c r="CR545" s="197"/>
      <c r="CS545" s="197"/>
      <c r="CT545" s="328"/>
      <c r="CU545" s="259"/>
      <c r="CV545" s="209"/>
      <c r="CW545" s="227"/>
    </row>
    <row r="546" spans="1:101" x14ac:dyDescent="0.2">
      <c r="A546" s="227"/>
      <c r="B546" s="227"/>
      <c r="C546" s="168"/>
      <c r="D546" s="232"/>
      <c r="E546" s="135" t="s">
        <v>352</v>
      </c>
      <c r="F546" s="425"/>
      <c r="G546" s="430"/>
      <c r="H546" s="431"/>
      <c r="I546" s="346" t="str">
        <f t="shared" si="788"/>
        <v/>
      </c>
      <c r="J546" s="347" t="str">
        <f t="shared" si="789"/>
        <v/>
      </c>
      <c r="K546" s="348" t="str">
        <f t="shared" si="790"/>
        <v/>
      </c>
      <c r="L546" s="258"/>
      <c r="M546" s="332"/>
      <c r="N546" s="336"/>
      <c r="O546" s="200"/>
      <c r="P546" s="200"/>
      <c r="Q546" s="439"/>
      <c r="R546" s="440"/>
      <c r="S546" s="441" t="str">
        <f t="shared" si="791"/>
        <v/>
      </c>
      <c r="T546" s="328"/>
      <c r="U546" s="197" t="str">
        <f>IF(AND($I546="x",AND(MAX(Q546:S546)=Q546,Q546&gt;=0)),Data!$BI$2,"")</f>
        <v/>
      </c>
      <c r="V546" s="197" t="str">
        <f>IF(AND($J546="x",AND(MAX(Q546:S546)=R546,R546&gt;=0)),Data!$BJ$2,"")</f>
        <v/>
      </c>
      <c r="W546" s="197" t="str">
        <f>IF(AND($K546="x",AND(MAX(Q546:S546)=S546,S546&gt;=0)),Data!$BK$2,"")</f>
        <v/>
      </c>
      <c r="X546" s="197"/>
      <c r="Y546" s="328"/>
      <c r="Z546" s="453"/>
      <c r="AA546" s="454"/>
      <c r="AB546" s="441" t="str">
        <f t="shared" si="792"/>
        <v/>
      </c>
      <c r="AC546" s="328"/>
      <c r="AD546" s="197" t="str">
        <f>IF(AND($I546="x",AND(MAX(Z546:AB546)=Z546,Z546&lt;&gt;"")),Data!$BI$2,"")</f>
        <v/>
      </c>
      <c r="AE546" s="197" t="str">
        <f>IF(AND($J546="x",AND(MAX(Z546:AB546)=AA546,AA546&lt;&gt;"")),Data!$BJ$2,"")</f>
        <v/>
      </c>
      <c r="AF546" s="197" t="str">
        <f>IF(AND($K546="x",AND(MAX(Z546:AB546)=AB546,AB546&lt;&gt;"")),Data!$BK$2,"")</f>
        <v/>
      </c>
      <c r="AG546" s="197"/>
      <c r="AH546" s="328"/>
      <c r="AI546" s="453"/>
      <c r="AJ546" s="454"/>
      <c r="AK546" s="441" t="str">
        <f t="shared" si="793"/>
        <v/>
      </c>
      <c r="AL546" s="328"/>
      <c r="AM546" s="197" t="str">
        <f>IF(AND($I546="x",AND(MAX(AI546:AK546)=AI546,AI546&lt;&gt;"")),Data!$BI$2,"")</f>
        <v/>
      </c>
      <c r="AN546" s="197" t="str">
        <f>IF(AND($J546="x",AND(MAX(AI546:AK546)=AJ546,AJ546&lt;&gt;"")),Data!$BJ$2,"")</f>
        <v/>
      </c>
      <c r="AO546" s="197" t="str">
        <f>IF(AND($K546="x",AND(MAX(AI546:AK546)=AK546,AK546&lt;&gt;"")),Data!$BK$2,"")</f>
        <v/>
      </c>
      <c r="AP546" s="197"/>
      <c r="AQ546" s="328"/>
      <c r="AR546" s="453"/>
      <c r="AS546" s="454"/>
      <c r="AT546" s="441" t="str">
        <f t="shared" si="794"/>
        <v/>
      </c>
      <c r="AU546" s="328"/>
      <c r="AV546" s="197" t="str">
        <f>IF(AND($I546="x",AND(MAX(AR546:AT546)=AR546,AR546&lt;&gt;"")),Data!$BI$2,"")</f>
        <v/>
      </c>
      <c r="AW546" s="197" t="str">
        <f>IF(AND($J546="x",AND(MAX(AR546:AT546)=AS546,AS546&lt;&gt;"")),Data!$BJ$2,"")</f>
        <v/>
      </c>
      <c r="AX546" s="197" t="str">
        <f>IF(AND($K546="x",AND(MAX(AR546:AT546)=AT546,AT546&lt;&gt;"")),Data!$BK$2,"")</f>
        <v/>
      </c>
      <c r="AY546" s="197"/>
      <c r="AZ546" s="328"/>
      <c r="BA546" s="453"/>
      <c r="BB546" s="454"/>
      <c r="BC546" s="441" t="str">
        <f t="shared" si="795"/>
        <v/>
      </c>
      <c r="BD546" s="328"/>
      <c r="BE546" s="197" t="str">
        <f>IF(AND($I546="x",AND(MAX(BA546:BC546)=BA546,BA546&lt;&gt;"")),Data!$BI$2,"")</f>
        <v/>
      </c>
      <c r="BF546" s="197" t="str">
        <f>IF(AND($J546="x",AND(MAX(BA546:BC546)=BB546,BB546&lt;&gt;"")),Data!$BJ$2,"")</f>
        <v/>
      </c>
      <c r="BG546" s="197" t="str">
        <f>IF(AND($K546="x",AND(MAX(BA546:BC546)=BC546,BC546&lt;&gt;"")),Data!$BK$2,"")</f>
        <v/>
      </c>
      <c r="BH546" s="197"/>
      <c r="BI546" s="328"/>
      <c r="BJ546" s="453"/>
      <c r="BK546" s="454"/>
      <c r="BL546" s="441" t="str">
        <f t="shared" si="796"/>
        <v/>
      </c>
      <c r="BM546" s="328"/>
      <c r="BN546" s="197" t="str">
        <f>IF(AND($I546="x",AND(MAX(BJ546:BL546)=BJ546,BJ546&lt;&gt;"")),Data!$BI$2,"")</f>
        <v/>
      </c>
      <c r="BO546" s="197" t="str">
        <f>IF(AND($J546="x",AND(MAX(BJ546:BL546)=BK546,BK546&lt;&gt;"")),Data!$BJ$2,"")</f>
        <v/>
      </c>
      <c r="BP546" s="197" t="str">
        <f>IF(AND($K546="x",AND(MAX(BJ546:BL546)=BL546,BL546&lt;&gt;"")),Data!$BK$2,"")</f>
        <v/>
      </c>
      <c r="BQ546" s="197"/>
      <c r="BR546" s="328"/>
      <c r="BS546" s="453"/>
      <c r="BT546" s="454"/>
      <c r="BU546" s="441" t="str">
        <f t="shared" si="797"/>
        <v/>
      </c>
      <c r="BV546" s="328"/>
      <c r="BW546" s="197" t="str">
        <f>IF(AND($I546="x",AND(MAX(BS546:BU546)=BS546,BS546&lt;&gt;"")),Data!$BI$2,"")</f>
        <v/>
      </c>
      <c r="BX546" s="197" t="str">
        <f>IF(AND($J546="x",AND(MAX(BS546:BU546)=BT546,BT546&lt;&gt;"")),Data!$BJ$2,"")</f>
        <v/>
      </c>
      <c r="BY546" s="197" t="str">
        <f>IF(AND($K546="x",AND(MAX(BS546:BU546)=BU546,BU546&lt;&gt;"")),Data!$BK$2,"")</f>
        <v/>
      </c>
      <c r="BZ546" s="197"/>
      <c r="CA546" s="328"/>
      <c r="CB546" s="460" t="str">
        <f t="shared" si="798"/>
        <v/>
      </c>
      <c r="CC546" s="461" t="str">
        <f t="shared" si="799"/>
        <v/>
      </c>
      <c r="CD546" s="462" t="str">
        <f t="shared" si="800"/>
        <v/>
      </c>
      <c r="CE546" s="328"/>
      <c r="CF546" s="197" t="str">
        <f>IF(AND($I546="x",AND(MAX(CB546:CD546)=CB546,CB546&lt;&gt;"")),Data!$BI$2,"")</f>
        <v/>
      </c>
      <c r="CG546" s="197" t="str">
        <f>IF(AND($J546="x",AND(MAX(CB546:CD546)=CC546,CC546&lt;&gt;"")),Data!$BJ$2,"")</f>
        <v/>
      </c>
      <c r="CH546" s="197" t="str">
        <f>IF(AND($K546="x",AND(MAX(CB546:CD546)=CD546,CD546&lt;&gt;"")),Data!$BK$2,"")</f>
        <v/>
      </c>
      <c r="CI546" s="197"/>
      <c r="CJ546" s="197"/>
      <c r="CK546" s="453"/>
      <c r="CL546" s="454"/>
      <c r="CM546" s="441" t="str">
        <f t="shared" si="801"/>
        <v/>
      </c>
      <c r="CN546" s="328"/>
      <c r="CO546" s="197" t="str">
        <f>IF(AND($I546="x",AND(MAX(CK546:CM546)=CK546,CK546&lt;&gt;"")),Data!$BI$2,"")</f>
        <v/>
      </c>
      <c r="CP546" s="197" t="str">
        <f>IF(AND($J546="x",AND(MAX(CK546:CM546)=CL546,CL546&lt;&gt;"")),Data!$BJ$2,"")</f>
        <v/>
      </c>
      <c r="CQ546" s="197" t="str">
        <f>IF(AND($K546="x",AND(MAX(CK546:CM546)=CM546,CM546&lt;&gt;"")),Data!$BK$2,"")</f>
        <v/>
      </c>
      <c r="CR546" s="197"/>
      <c r="CS546" s="197"/>
      <c r="CT546" s="328"/>
      <c r="CU546" s="259"/>
      <c r="CV546" s="209"/>
      <c r="CW546" s="227"/>
    </row>
    <row r="547" spans="1:101" x14ac:dyDescent="0.2">
      <c r="A547" s="227"/>
      <c r="B547" s="227"/>
      <c r="C547" s="168"/>
      <c r="D547" s="232"/>
      <c r="E547" s="136" t="s">
        <v>353</v>
      </c>
      <c r="F547" s="426"/>
      <c r="G547" s="432"/>
      <c r="H547" s="433"/>
      <c r="I547" s="349" t="str">
        <f t="shared" si="788"/>
        <v/>
      </c>
      <c r="J547" s="350" t="str">
        <f t="shared" si="789"/>
        <v/>
      </c>
      <c r="K547" s="351" t="str">
        <f t="shared" si="790"/>
        <v/>
      </c>
      <c r="L547" s="258"/>
      <c r="M547" s="332"/>
      <c r="N547" s="336"/>
      <c r="O547" s="200"/>
      <c r="P547" s="200"/>
      <c r="Q547" s="445"/>
      <c r="R547" s="446"/>
      <c r="S547" s="447" t="str">
        <f t="shared" si="791"/>
        <v/>
      </c>
      <c r="T547" s="328"/>
      <c r="U547" s="197" t="str">
        <f>IF(AND($I547="x",AND(MAX(Q547:S547)=Q547,Q547&gt;=0)),Data!$BI$2,"")</f>
        <v/>
      </c>
      <c r="V547" s="197" t="str">
        <f>IF(AND($J547="x",AND(MAX(Q547:S547)=R547,R547&gt;=0)),Data!$BJ$2,"")</f>
        <v/>
      </c>
      <c r="W547" s="197" t="str">
        <f>IF(AND($K547="x",AND(MAX(Q547:S547)=S547,S547&gt;=0)),Data!$BK$2,"")</f>
        <v/>
      </c>
      <c r="X547" s="197"/>
      <c r="Y547" s="328"/>
      <c r="Z547" s="455"/>
      <c r="AA547" s="456"/>
      <c r="AB547" s="447" t="str">
        <f t="shared" si="792"/>
        <v/>
      </c>
      <c r="AC547" s="328"/>
      <c r="AD547" s="197" t="str">
        <f>IF(AND($I547="x",AND(MAX(Z547:AB547)=Z547,Z547&lt;&gt;"")),Data!$BI$2,"")</f>
        <v/>
      </c>
      <c r="AE547" s="197" t="str">
        <f>IF(AND($J547="x",AND(MAX(Z547:AB547)=AA547,AA547&lt;&gt;"")),Data!$BJ$2,"")</f>
        <v/>
      </c>
      <c r="AF547" s="197" t="str">
        <f>IF(AND($K547="x",AND(MAX(Z547:AB547)=AB547,AB547&lt;&gt;"")),Data!$BK$2,"")</f>
        <v/>
      </c>
      <c r="AG547" s="197"/>
      <c r="AH547" s="328"/>
      <c r="AI547" s="455"/>
      <c r="AJ547" s="456"/>
      <c r="AK547" s="447" t="str">
        <f t="shared" si="793"/>
        <v/>
      </c>
      <c r="AL547" s="328"/>
      <c r="AM547" s="197" t="str">
        <f>IF(AND($I547="x",AND(MAX(AI547:AK547)=AI547,AI547&lt;&gt;"")),Data!$BI$2,"")</f>
        <v/>
      </c>
      <c r="AN547" s="197" t="str">
        <f>IF(AND($J547="x",AND(MAX(AI547:AK547)=AJ547,AJ547&lt;&gt;"")),Data!$BJ$2,"")</f>
        <v/>
      </c>
      <c r="AO547" s="197" t="str">
        <f>IF(AND($K547="x",AND(MAX(AI547:AK547)=AK547,AK547&lt;&gt;"")),Data!$BK$2,"")</f>
        <v/>
      </c>
      <c r="AP547" s="197"/>
      <c r="AQ547" s="328"/>
      <c r="AR547" s="455"/>
      <c r="AS547" s="456"/>
      <c r="AT547" s="447" t="str">
        <f t="shared" si="794"/>
        <v/>
      </c>
      <c r="AU547" s="328"/>
      <c r="AV547" s="197" t="str">
        <f>IF(AND($I547="x",AND(MAX(AR547:AT547)=AR547,AR547&lt;&gt;"")),Data!$BI$2,"")</f>
        <v/>
      </c>
      <c r="AW547" s="197" t="str">
        <f>IF(AND($J547="x",AND(MAX(AR547:AT547)=AS547,AS547&lt;&gt;"")),Data!$BJ$2,"")</f>
        <v/>
      </c>
      <c r="AX547" s="197" t="str">
        <f>IF(AND($K547="x",AND(MAX(AR547:AT547)=AT547,AT547&lt;&gt;"")),Data!$BK$2,"")</f>
        <v/>
      </c>
      <c r="AY547" s="197"/>
      <c r="AZ547" s="328"/>
      <c r="BA547" s="455"/>
      <c r="BB547" s="456"/>
      <c r="BC547" s="447" t="str">
        <f t="shared" si="795"/>
        <v/>
      </c>
      <c r="BD547" s="328"/>
      <c r="BE547" s="197" t="str">
        <f>IF(AND($I547="x",AND(MAX(BA547:BC547)=BA547,BA547&lt;&gt;"")),Data!$BI$2,"")</f>
        <v/>
      </c>
      <c r="BF547" s="197" t="str">
        <f>IF(AND($J547="x",AND(MAX(BA547:BC547)=BB547,BB547&lt;&gt;"")),Data!$BJ$2,"")</f>
        <v/>
      </c>
      <c r="BG547" s="197" t="str">
        <f>IF(AND($K547="x",AND(MAX(BA547:BC547)=BC547,BC547&lt;&gt;"")),Data!$BK$2,"")</f>
        <v/>
      </c>
      <c r="BH547" s="197"/>
      <c r="BI547" s="328"/>
      <c r="BJ547" s="455"/>
      <c r="BK547" s="456"/>
      <c r="BL547" s="447" t="str">
        <f t="shared" si="796"/>
        <v/>
      </c>
      <c r="BM547" s="328"/>
      <c r="BN547" s="197" t="str">
        <f>IF(AND($I547="x",AND(MAX(BJ547:BL547)=BJ547,BJ547&lt;&gt;"")),Data!$BI$2,"")</f>
        <v/>
      </c>
      <c r="BO547" s="197" t="str">
        <f>IF(AND($J547="x",AND(MAX(BJ547:BL547)=BK547,BK547&lt;&gt;"")),Data!$BJ$2,"")</f>
        <v/>
      </c>
      <c r="BP547" s="197" t="str">
        <f>IF(AND($K547="x",AND(MAX(BJ547:BL547)=BL547,BL547&lt;&gt;"")),Data!$BK$2,"")</f>
        <v/>
      </c>
      <c r="BQ547" s="197"/>
      <c r="BR547" s="328"/>
      <c r="BS547" s="455"/>
      <c r="BT547" s="456"/>
      <c r="BU547" s="447" t="str">
        <f t="shared" si="797"/>
        <v/>
      </c>
      <c r="BV547" s="328"/>
      <c r="BW547" s="197" t="str">
        <f>IF(AND($I547="x",AND(MAX(BS547:BU547)=BS547,BS547&lt;&gt;"")),Data!$BI$2,"")</f>
        <v/>
      </c>
      <c r="BX547" s="197" t="str">
        <f>IF(AND($J547="x",AND(MAX(BS547:BU547)=BT547,BT547&lt;&gt;"")),Data!$BJ$2,"")</f>
        <v/>
      </c>
      <c r="BY547" s="197" t="str">
        <f>IF(AND($K547="x",AND(MAX(BS547:BU547)=BU547,BU547&lt;&gt;"")),Data!$BK$2,"")</f>
        <v/>
      </c>
      <c r="BZ547" s="197"/>
      <c r="CA547" s="328"/>
      <c r="CB547" s="463" t="str">
        <f t="shared" si="798"/>
        <v/>
      </c>
      <c r="CC547" s="464" t="str">
        <f t="shared" si="799"/>
        <v/>
      </c>
      <c r="CD547" s="465" t="str">
        <f t="shared" si="800"/>
        <v/>
      </c>
      <c r="CE547" s="328"/>
      <c r="CF547" s="197" t="str">
        <f>IF(AND($I547="x",AND(MAX(CB547:CD547)=CB547,CB547&lt;&gt;"")),Data!$BI$2,"")</f>
        <v/>
      </c>
      <c r="CG547" s="197" t="str">
        <f>IF(AND($J547="x",AND(MAX(CB547:CD547)=CC547,CC547&lt;&gt;"")),Data!$BJ$2,"")</f>
        <v/>
      </c>
      <c r="CH547" s="197" t="str">
        <f>IF(AND($K547="x",AND(MAX(CB547:CD547)=CD547,CD547&lt;&gt;"")),Data!$BK$2,"")</f>
        <v/>
      </c>
      <c r="CI547" s="197"/>
      <c r="CJ547" s="197"/>
      <c r="CK547" s="455"/>
      <c r="CL547" s="456"/>
      <c r="CM547" s="447" t="str">
        <f t="shared" si="801"/>
        <v/>
      </c>
      <c r="CN547" s="328"/>
      <c r="CO547" s="197" t="str">
        <f>IF(AND($I547="x",AND(MAX(CK547:CM547)=CK547,CK547&lt;&gt;"")),Data!$BI$2,"")</f>
        <v/>
      </c>
      <c r="CP547" s="197" t="str">
        <f>IF(AND($J547="x",AND(MAX(CK547:CM547)=CL547,CL547&lt;&gt;"")),Data!$BJ$2,"")</f>
        <v/>
      </c>
      <c r="CQ547" s="197" t="str">
        <f>IF(AND($K547="x",AND(MAX(CK547:CM547)=CM547,CM547&lt;&gt;"")),Data!$BK$2,"")</f>
        <v/>
      </c>
      <c r="CR547" s="197"/>
      <c r="CS547" s="197"/>
      <c r="CT547" s="328"/>
      <c r="CU547" s="259"/>
      <c r="CV547" s="209"/>
      <c r="CW547" s="227"/>
    </row>
    <row r="548" spans="1:101" x14ac:dyDescent="0.2">
      <c r="A548" s="227"/>
      <c r="B548" s="227"/>
      <c r="C548" s="168"/>
      <c r="D548" s="233"/>
      <c r="E548" s="199"/>
      <c r="F548" s="352" t="str">
        <f>IF(SUM(F536:F547)=0,"",SUM(F536:F547))</f>
        <v/>
      </c>
      <c r="G548" s="327" t="s">
        <v>51</v>
      </c>
      <c r="H548" s="353" t="str">
        <f>IF(SUM(H536:H547)=0,"",SUM(H536:H547))</f>
        <v/>
      </c>
      <c r="I548" s="354" t="str">
        <f>IF(COUNTIF(I536:I547,"=x")=0,"",COUNTIF(I536:I547,"=x"))</f>
        <v/>
      </c>
      <c r="J548" s="355" t="str">
        <f>IF(COUNTIF(J536:J547,"=x")=0,"",COUNTIF(J536:J547,"=x"))</f>
        <v/>
      </c>
      <c r="K548" s="356" t="str">
        <f>IF(COUNTIF(K536:K547,"=x")=0,"",COUNTIF(K536:K547,"=x"))</f>
        <v/>
      </c>
      <c r="L548" s="258"/>
      <c r="M548" s="332"/>
      <c r="N548" s="336"/>
      <c r="O548" s="200"/>
      <c r="P548" s="326"/>
      <c r="Q548" s="422">
        <f>SUM(U536:U547)</f>
        <v>0</v>
      </c>
      <c r="R548" s="422">
        <f t="shared" ref="R548:S548" si="802">SUM(V536:V547)</f>
        <v>0</v>
      </c>
      <c r="S548" s="422">
        <f t="shared" si="802"/>
        <v>0</v>
      </c>
      <c r="T548" s="325"/>
      <c r="U548" s="197">
        <f>SUM(U536:U547)</f>
        <v>0</v>
      </c>
      <c r="V548" s="197">
        <f t="shared" ref="V548:W548" si="803">SUM(V536:V547)</f>
        <v>0</v>
      </c>
      <c r="W548" s="197">
        <f t="shared" si="803"/>
        <v>0</v>
      </c>
      <c r="X548" s="197"/>
      <c r="Y548" s="324"/>
      <c r="Z548" s="422">
        <f>SUM(AD536:AD547)</f>
        <v>0</v>
      </c>
      <c r="AA548" s="422">
        <f t="shared" ref="AA548:AB548" si="804">SUM(AE536:AE547)</f>
        <v>0</v>
      </c>
      <c r="AB548" s="422">
        <f t="shared" si="804"/>
        <v>0</v>
      </c>
      <c r="AC548" s="325"/>
      <c r="AD548" s="197">
        <f>SUM(AD536:AD547)</f>
        <v>0</v>
      </c>
      <c r="AE548" s="197">
        <f t="shared" ref="AE548:AF548" si="805">SUM(AE536:AE547)</f>
        <v>0</v>
      </c>
      <c r="AF548" s="197">
        <f t="shared" si="805"/>
        <v>0</v>
      </c>
      <c r="AG548" s="197"/>
      <c r="AH548" s="324"/>
      <c r="AI548" s="422">
        <f>SUM(AM536:AM547)</f>
        <v>0</v>
      </c>
      <c r="AJ548" s="422">
        <f t="shared" ref="AJ548:AK548" si="806">SUM(AN536:AN547)</f>
        <v>0</v>
      </c>
      <c r="AK548" s="422">
        <f t="shared" si="806"/>
        <v>0</v>
      </c>
      <c r="AL548" s="325"/>
      <c r="AM548" s="197">
        <f>SUM(AM536:AM547)</f>
        <v>0</v>
      </c>
      <c r="AN548" s="197">
        <f t="shared" ref="AN548:AO548" si="807">SUM(AN536:AN547)</f>
        <v>0</v>
      </c>
      <c r="AO548" s="197">
        <f t="shared" si="807"/>
        <v>0</v>
      </c>
      <c r="AP548" s="197"/>
      <c r="AQ548" s="324"/>
      <c r="AR548" s="422">
        <f>SUM(AV536:AV547)</f>
        <v>0</v>
      </c>
      <c r="AS548" s="422">
        <f t="shared" ref="AS548:AT548" si="808">SUM(AW536:AW547)</f>
        <v>0</v>
      </c>
      <c r="AT548" s="422">
        <f t="shared" si="808"/>
        <v>0</v>
      </c>
      <c r="AU548" s="325"/>
      <c r="AV548" s="197">
        <f>SUM(AV536:AV547)</f>
        <v>0</v>
      </c>
      <c r="AW548" s="197">
        <f t="shared" ref="AW548:AX548" si="809">SUM(AW536:AW547)</f>
        <v>0</v>
      </c>
      <c r="AX548" s="197">
        <f t="shared" si="809"/>
        <v>0</v>
      </c>
      <c r="AY548" s="197"/>
      <c r="AZ548" s="324"/>
      <c r="BA548" s="422">
        <f>SUM(BE536:BE547)</f>
        <v>0</v>
      </c>
      <c r="BB548" s="422">
        <f t="shared" ref="BB548:BC548" si="810">SUM(BF536:BF547)</f>
        <v>0</v>
      </c>
      <c r="BC548" s="422">
        <f t="shared" si="810"/>
        <v>0</v>
      </c>
      <c r="BD548" s="325"/>
      <c r="BE548" s="197">
        <f>SUM(BE536:BE547)</f>
        <v>0</v>
      </c>
      <c r="BF548" s="197">
        <f t="shared" ref="BF548:BG548" si="811">SUM(BF536:BF547)</f>
        <v>0</v>
      </c>
      <c r="BG548" s="197">
        <f t="shared" si="811"/>
        <v>0</v>
      </c>
      <c r="BH548" s="197"/>
      <c r="BI548" s="324"/>
      <c r="BJ548" s="422">
        <f>SUM(BN536:BN547)</f>
        <v>0</v>
      </c>
      <c r="BK548" s="422">
        <f t="shared" ref="BK548" si="812">SUM(BO536:BO547)</f>
        <v>0</v>
      </c>
      <c r="BL548" s="422">
        <f t="shared" ref="BL548" si="813">SUM(BP536:BP547)</f>
        <v>0</v>
      </c>
      <c r="BM548" s="325"/>
      <c r="BN548" s="197">
        <f>SUM(BN536:BN547)</f>
        <v>0</v>
      </c>
      <c r="BO548" s="197">
        <f t="shared" ref="BO548:BP548" si="814">SUM(BO536:BO547)</f>
        <v>0</v>
      </c>
      <c r="BP548" s="197">
        <f t="shared" si="814"/>
        <v>0</v>
      </c>
      <c r="BQ548" s="197"/>
      <c r="BR548" s="324"/>
      <c r="BS548" s="422">
        <f>SUM(BW536:BW547)</f>
        <v>0</v>
      </c>
      <c r="BT548" s="422">
        <f t="shared" ref="BT548:BU548" si="815">SUM(BX536:BX547)</f>
        <v>0</v>
      </c>
      <c r="BU548" s="422">
        <f t="shared" si="815"/>
        <v>0</v>
      </c>
      <c r="BV548" s="325"/>
      <c r="BW548" s="197">
        <f>SUM(BW536:BW547)</f>
        <v>0</v>
      </c>
      <c r="BX548" s="197">
        <f t="shared" ref="BX548:BY548" si="816">SUM(BX536:BX547)</f>
        <v>0</v>
      </c>
      <c r="BY548" s="197">
        <f t="shared" si="816"/>
        <v>0</v>
      </c>
      <c r="BZ548" s="197"/>
      <c r="CA548" s="326"/>
      <c r="CB548" s="422">
        <f>SUM(CF536:CF547)</f>
        <v>0</v>
      </c>
      <c r="CC548" s="422">
        <f t="shared" ref="CC548:CD548" si="817">SUM(CG536:CG547)</f>
        <v>0</v>
      </c>
      <c r="CD548" s="422">
        <f t="shared" si="817"/>
        <v>0</v>
      </c>
      <c r="CE548" s="325"/>
      <c r="CF548" s="197">
        <f>SUM(CF536:CF547)</f>
        <v>0</v>
      </c>
      <c r="CG548" s="197">
        <f t="shared" ref="CG548:CH548" si="818">SUM(CG536:CG547)</f>
        <v>0</v>
      </c>
      <c r="CH548" s="197">
        <f t="shared" si="818"/>
        <v>0</v>
      </c>
      <c r="CI548" s="197"/>
      <c r="CJ548" s="197"/>
      <c r="CK548" s="422">
        <f>SUM(CO536:CO547)</f>
        <v>0</v>
      </c>
      <c r="CL548" s="422">
        <f t="shared" ref="CL548:CM548" si="819">SUM(CP536:CP547)</f>
        <v>0</v>
      </c>
      <c r="CM548" s="422">
        <f t="shared" si="819"/>
        <v>0</v>
      </c>
      <c r="CN548" s="325"/>
      <c r="CO548" s="197">
        <f>SUM(CO536:CO547)</f>
        <v>0</v>
      </c>
      <c r="CP548" s="197">
        <f t="shared" ref="CP548:CQ548" si="820">SUM(CP536:CP547)</f>
        <v>0</v>
      </c>
      <c r="CQ548" s="197">
        <f t="shared" si="820"/>
        <v>0</v>
      </c>
      <c r="CR548" s="197"/>
      <c r="CS548" s="197"/>
      <c r="CT548" s="197"/>
      <c r="CU548" s="259"/>
      <c r="CV548" s="209"/>
      <c r="CW548" s="228"/>
    </row>
    <row r="549" spans="1:101" x14ac:dyDescent="0.2">
      <c r="A549" s="227"/>
      <c r="B549" s="227"/>
      <c r="C549" s="168"/>
      <c r="D549" s="249"/>
      <c r="E549" s="242"/>
      <c r="F549" s="243"/>
      <c r="G549" s="242"/>
      <c r="H549" s="242"/>
      <c r="I549" s="242"/>
      <c r="J549" s="242"/>
      <c r="K549" s="242"/>
      <c r="L549" s="252"/>
      <c r="M549" s="260"/>
      <c r="N549" s="337"/>
      <c r="O549" s="333"/>
      <c r="P549" s="244"/>
      <c r="Q549" s="245"/>
      <c r="R549" s="245"/>
      <c r="S549" s="245"/>
      <c r="T549" s="246"/>
      <c r="U549" s="247"/>
      <c r="V549" s="247"/>
      <c r="W549" s="247"/>
      <c r="X549" s="247"/>
      <c r="Y549" s="244"/>
      <c r="Z549" s="245"/>
      <c r="AA549" s="245"/>
      <c r="AB549" s="245"/>
      <c r="AC549" s="246"/>
      <c r="AD549" s="247"/>
      <c r="AE549" s="247"/>
      <c r="AF549" s="247"/>
      <c r="AG549" s="247"/>
      <c r="AH549" s="244"/>
      <c r="AI549" s="245"/>
      <c r="AJ549" s="245"/>
      <c r="AK549" s="245"/>
      <c r="AL549" s="246"/>
      <c r="AM549" s="247"/>
      <c r="AN549" s="247"/>
      <c r="AO549" s="247"/>
      <c r="AP549" s="247"/>
      <c r="AQ549" s="244"/>
      <c r="AR549" s="245"/>
      <c r="AS549" s="245"/>
      <c r="AT549" s="245"/>
      <c r="AU549" s="246"/>
      <c r="AV549" s="247"/>
      <c r="AW549" s="247"/>
      <c r="AX549" s="247"/>
      <c r="AY549" s="247"/>
      <c r="AZ549" s="244"/>
      <c r="BA549" s="245"/>
      <c r="BB549" s="245"/>
      <c r="BC549" s="245"/>
      <c r="BD549" s="246"/>
      <c r="BE549" s="247"/>
      <c r="BF549" s="247"/>
      <c r="BG549" s="247"/>
      <c r="BH549" s="247"/>
      <c r="BI549" s="244"/>
      <c r="BJ549" s="244"/>
      <c r="BK549" s="244"/>
      <c r="BL549" s="244"/>
      <c r="BM549" s="244"/>
      <c r="BN549" s="247"/>
      <c r="BO549" s="247"/>
      <c r="BP549" s="247"/>
      <c r="BQ549" s="247"/>
      <c r="BR549" s="244"/>
      <c r="BS549" s="244"/>
      <c r="BT549" s="244"/>
      <c r="BU549" s="244"/>
      <c r="BV549" s="244"/>
      <c r="BW549" s="247"/>
      <c r="BX549" s="247"/>
      <c r="BY549" s="247"/>
      <c r="BZ549" s="247"/>
      <c r="CA549" s="244"/>
      <c r="CB549" s="244"/>
      <c r="CC549" s="244"/>
      <c r="CD549" s="244"/>
      <c r="CE549" s="244"/>
      <c r="CF549" s="247"/>
      <c r="CG549" s="247"/>
      <c r="CH549" s="247"/>
      <c r="CI549" s="247"/>
      <c r="CJ549" s="248"/>
      <c r="CK549" s="248"/>
      <c r="CL549" s="248"/>
      <c r="CM549" s="248"/>
      <c r="CN549" s="248"/>
      <c r="CO549" s="247"/>
      <c r="CP549" s="247"/>
      <c r="CQ549" s="247"/>
      <c r="CR549" s="247"/>
      <c r="CS549" s="248"/>
      <c r="CT549" s="242"/>
      <c r="CU549" s="253"/>
      <c r="CV549" s="209"/>
      <c r="CW549" s="228"/>
    </row>
    <row r="550" spans="1:101" x14ac:dyDescent="0.2">
      <c r="A550" s="219"/>
      <c r="B550" s="219"/>
      <c r="C550" s="175"/>
      <c r="D550" s="176"/>
      <c r="E550" s="210"/>
      <c r="F550" s="211"/>
      <c r="G550" s="210"/>
      <c r="H550" s="210"/>
      <c r="I550" s="210"/>
      <c r="J550" s="210"/>
      <c r="K550" s="210"/>
      <c r="L550" s="212"/>
      <c r="M550" s="213"/>
      <c r="N550" s="213"/>
      <c r="O550" s="213"/>
      <c r="P550" s="213"/>
      <c r="Q550" s="210"/>
      <c r="R550" s="210"/>
      <c r="S550" s="210"/>
      <c r="T550" s="214"/>
      <c r="U550" s="215"/>
      <c r="V550" s="215"/>
      <c r="W550" s="215"/>
      <c r="X550" s="215"/>
      <c r="Y550" s="213"/>
      <c r="Z550" s="210"/>
      <c r="AA550" s="210"/>
      <c r="AB550" s="210"/>
      <c r="AC550" s="214"/>
      <c r="AD550" s="215"/>
      <c r="AE550" s="215"/>
      <c r="AF550" s="215"/>
      <c r="AG550" s="215"/>
      <c r="AH550" s="213"/>
      <c r="AI550" s="210"/>
      <c r="AJ550" s="210"/>
      <c r="AK550" s="210"/>
      <c r="AL550" s="214"/>
      <c r="AM550" s="215"/>
      <c r="AN550" s="215"/>
      <c r="AO550" s="215"/>
      <c r="AP550" s="215"/>
      <c r="AQ550" s="213"/>
      <c r="AR550" s="210"/>
      <c r="AS550" s="210"/>
      <c r="AT550" s="210"/>
      <c r="AU550" s="214"/>
      <c r="AV550" s="215"/>
      <c r="AW550" s="215"/>
      <c r="AX550" s="215"/>
      <c r="AY550" s="215"/>
      <c r="AZ550" s="213"/>
      <c r="BA550" s="210"/>
      <c r="BB550" s="210"/>
      <c r="BC550" s="210"/>
      <c r="BD550" s="214"/>
      <c r="BE550" s="215"/>
      <c r="BF550" s="215"/>
      <c r="BG550" s="215"/>
      <c r="BH550" s="215"/>
      <c r="BI550" s="213"/>
      <c r="BJ550" s="210"/>
      <c r="BK550" s="210"/>
      <c r="BL550" s="210"/>
      <c r="BM550" s="214"/>
      <c r="BN550" s="215"/>
      <c r="BO550" s="215"/>
      <c r="BP550" s="215"/>
      <c r="BQ550" s="215"/>
      <c r="BR550" s="177"/>
      <c r="BS550" s="210"/>
      <c r="BT550" s="210"/>
      <c r="BU550" s="210"/>
      <c r="BV550" s="213"/>
      <c r="BW550" s="215"/>
      <c r="BX550" s="215"/>
      <c r="BY550" s="215"/>
      <c r="BZ550" s="215"/>
      <c r="CA550" s="210"/>
      <c r="CB550" s="216"/>
      <c r="CC550" s="216"/>
      <c r="CD550" s="216"/>
      <c r="CE550" s="216"/>
      <c r="CF550" s="215"/>
      <c r="CG550" s="215"/>
      <c r="CH550" s="215"/>
      <c r="CI550" s="215"/>
      <c r="CJ550" s="210"/>
      <c r="CK550" s="210"/>
      <c r="CL550" s="210"/>
      <c r="CM550" s="210"/>
      <c r="CN550" s="210"/>
      <c r="CO550" s="215"/>
      <c r="CP550" s="215"/>
      <c r="CQ550" s="215"/>
      <c r="CR550" s="215"/>
      <c r="CS550" s="210"/>
      <c r="CT550" s="210"/>
      <c r="CU550" s="210"/>
      <c r="CV550" s="217"/>
      <c r="CW550" s="218"/>
    </row>
    <row r="551" spans="1:101" ht="14.25" thickTop="1" thickBot="1" x14ac:dyDescent="0.25">
      <c r="A551" s="218"/>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c r="BK551" s="218"/>
      <c r="BL551" s="218"/>
      <c r="BM551" s="218"/>
      <c r="BN551" s="218"/>
      <c r="BO551" s="218"/>
      <c r="BP551" s="218"/>
      <c r="BQ551" s="218"/>
      <c r="BR551" s="218"/>
      <c r="BS551" s="218"/>
      <c r="BT551" s="218"/>
      <c r="BU551" s="218"/>
      <c r="BV551" s="218"/>
      <c r="BW551" s="218"/>
      <c r="BX551" s="218"/>
      <c r="BY551" s="218"/>
      <c r="BZ551" s="218"/>
      <c r="CA551" s="218"/>
      <c r="CB551" s="392"/>
      <c r="CC551" s="392"/>
      <c r="CD551" s="392"/>
      <c r="CE551" s="392"/>
      <c r="CF551" s="218"/>
      <c r="CG551" s="218"/>
      <c r="CH551" s="218"/>
      <c r="CI551" s="218"/>
      <c r="CJ551" s="218"/>
      <c r="CK551" s="218"/>
      <c r="CL551" s="218"/>
      <c r="CM551" s="218"/>
      <c r="CN551" s="218"/>
      <c r="CO551" s="218"/>
      <c r="CP551" s="218"/>
      <c r="CQ551" s="218"/>
      <c r="CR551" s="218"/>
      <c r="CS551" s="218"/>
      <c r="CT551" s="218"/>
      <c r="CU551" s="218"/>
      <c r="CV551" s="218"/>
      <c r="CW551" s="218"/>
    </row>
    <row r="552" spans="1:101" ht="21" thickTop="1" x14ac:dyDescent="0.3">
      <c r="A552" s="219"/>
      <c r="B552" s="219"/>
      <c r="C552" s="157"/>
      <c r="D552" s="158"/>
      <c r="E552" s="731" t="s">
        <v>44</v>
      </c>
      <c r="F552" s="229"/>
      <c r="G552" s="229"/>
      <c r="H552" s="229"/>
      <c r="I552" s="877" t="e" vm="1">
        <v>#VALUE!</v>
      </c>
      <c r="J552" s="877"/>
      <c r="K552" s="877"/>
      <c r="L552" s="877"/>
      <c r="M552" s="159"/>
      <c r="N552" s="159"/>
      <c r="O552" s="159"/>
      <c r="P552" s="160"/>
      <c r="Q552" s="159"/>
      <c r="R552" s="159"/>
      <c r="S552" s="159"/>
      <c r="T552" s="161"/>
      <c r="U552" s="162"/>
      <c r="V552" s="162"/>
      <c r="W552" s="162"/>
      <c r="X552" s="162"/>
      <c r="Y552" s="160"/>
      <c r="Z552" s="159"/>
      <c r="AA552" s="159"/>
      <c r="AB552" s="159"/>
      <c r="AC552" s="161"/>
      <c r="AD552" s="162"/>
      <c r="AE552" s="162"/>
      <c r="AF552" s="162"/>
      <c r="AG552" s="162"/>
      <c r="AH552" s="160"/>
      <c r="AI552" s="159"/>
      <c r="AJ552" s="201"/>
      <c r="AK552" s="201"/>
      <c r="AL552" s="164"/>
      <c r="AM552" s="162"/>
      <c r="AN552" s="162"/>
      <c r="AO552" s="162"/>
      <c r="AP552" s="162"/>
      <c r="AQ552" s="202"/>
      <c r="AR552" s="203"/>
      <c r="AS552" s="165"/>
      <c r="AT552" s="166"/>
      <c r="AU552" s="164"/>
      <c r="AV552" s="162"/>
      <c r="AW552" s="162"/>
      <c r="AX552" s="162"/>
      <c r="AY552" s="162"/>
      <c r="AZ552" s="202"/>
      <c r="BA552" s="203"/>
      <c r="BB552" s="166"/>
      <c r="BC552" s="201"/>
      <c r="BD552" s="204"/>
      <c r="BE552" s="162"/>
      <c r="BF552" s="162"/>
      <c r="BG552" s="162"/>
      <c r="BH552" s="162"/>
      <c r="BI552" s="205"/>
      <c r="BJ552" s="201"/>
      <c r="BK552" s="201"/>
      <c r="BL552" s="201"/>
      <c r="BM552" s="204"/>
      <c r="BN552" s="162"/>
      <c r="BO552" s="162"/>
      <c r="BP552" s="162"/>
      <c r="BQ552" s="162"/>
      <c r="BR552" s="167"/>
      <c r="BS552" s="201"/>
      <c r="BT552" s="201"/>
      <c r="BU552" s="201"/>
      <c r="BV552" s="205"/>
      <c r="BW552" s="162"/>
      <c r="BX552" s="162"/>
      <c r="BY552" s="162"/>
      <c r="BZ552" s="162"/>
      <c r="CA552" s="201"/>
      <c r="CB552" s="393"/>
      <c r="CC552" s="393"/>
      <c r="CD552" s="393"/>
      <c r="CE552" s="393"/>
      <c r="CF552" s="162"/>
      <c r="CG552" s="162"/>
      <c r="CH552" s="162"/>
      <c r="CI552" s="162"/>
      <c r="CJ552" s="163"/>
      <c r="CK552" s="163"/>
      <c r="CL552" s="163"/>
      <c r="CM552" s="163"/>
      <c r="CN552" s="163"/>
      <c r="CO552" s="162"/>
      <c r="CP552" s="162"/>
      <c r="CQ552" s="162"/>
      <c r="CR552" s="162"/>
      <c r="CS552" s="163"/>
      <c r="CT552" s="358"/>
      <c r="CU552" s="201"/>
      <c r="CV552" s="206"/>
      <c r="CW552" s="218"/>
    </row>
    <row r="553" spans="1:101" ht="15.75" thickBot="1" x14ac:dyDescent="0.25">
      <c r="A553" s="219"/>
      <c r="B553" s="219"/>
      <c r="C553" s="168"/>
      <c r="D553" s="785"/>
      <c r="E553" s="869" t="s">
        <v>45</v>
      </c>
      <c r="F553" s="363"/>
      <c r="G553" s="363"/>
      <c r="H553" s="363"/>
      <c r="I553" s="878"/>
      <c r="J553" s="878"/>
      <c r="K553" s="878"/>
      <c r="L553" s="878"/>
      <c r="M553" s="363"/>
      <c r="N553" s="363"/>
      <c r="O553" s="363"/>
      <c r="P553" s="363"/>
      <c r="Q553" s="363"/>
      <c r="R553" s="363"/>
      <c r="S553" s="363"/>
      <c r="T553" s="363"/>
      <c r="U553" s="363"/>
      <c r="V553" s="363"/>
      <c r="W553" s="363"/>
      <c r="X553" s="363"/>
      <c r="Y553" s="363"/>
      <c r="Z553" s="363"/>
      <c r="AA553" s="363"/>
      <c r="AB553" s="363"/>
      <c r="AC553" s="363"/>
      <c r="AD553" s="363"/>
      <c r="AE553" s="363"/>
      <c r="AF553" s="363"/>
      <c r="AG553" s="363"/>
      <c r="AH553" s="363"/>
      <c r="AI553" s="363"/>
      <c r="AJ553" s="363"/>
      <c r="AK553" s="363"/>
      <c r="AL553" s="363"/>
      <c r="AM553" s="363"/>
      <c r="AN553" s="363"/>
      <c r="AO553" s="363"/>
      <c r="AP553" s="363"/>
      <c r="AQ553" s="363"/>
      <c r="AR553" s="363"/>
      <c r="AS553" s="363"/>
      <c r="AT553" s="363"/>
      <c r="AU553" s="363"/>
      <c r="AV553" s="363"/>
      <c r="AW553" s="363"/>
      <c r="AX553" s="363"/>
      <c r="AY553" s="363"/>
      <c r="AZ553" s="363"/>
      <c r="BA553" s="363"/>
      <c r="BB553" s="363"/>
      <c r="BC553" s="363"/>
      <c r="BD553" s="363"/>
      <c r="BE553" s="363"/>
      <c r="BF553" s="363"/>
      <c r="BG553" s="363"/>
      <c r="BH553" s="363"/>
      <c r="BI553" s="363"/>
      <c r="BJ553" s="363"/>
      <c r="BK553" s="363"/>
      <c r="BL553" s="363"/>
      <c r="BM553" s="363"/>
      <c r="BN553" s="363"/>
      <c r="BO553" s="363"/>
      <c r="BP553" s="363"/>
      <c r="BQ553" s="363"/>
      <c r="BR553" s="363"/>
      <c r="BS553" s="363"/>
      <c r="BT553" s="363"/>
      <c r="BU553" s="363"/>
      <c r="BV553" s="363"/>
      <c r="BW553" s="363"/>
      <c r="BX553" s="363"/>
      <c r="BY553" s="363"/>
      <c r="BZ553" s="363"/>
      <c r="CA553" s="363"/>
      <c r="CB553" s="394"/>
      <c r="CC553" s="394"/>
      <c r="CD553" s="394"/>
      <c r="CE553" s="394"/>
      <c r="CF553" s="363"/>
      <c r="CG553" s="363"/>
      <c r="CH553" s="363"/>
      <c r="CI553" s="363"/>
      <c r="CJ553" s="363"/>
      <c r="CK553" s="363"/>
      <c r="CL553" s="363"/>
      <c r="CM553" s="363"/>
      <c r="CN553" s="323"/>
      <c r="CO553" s="363"/>
      <c r="CP553" s="363"/>
      <c r="CQ553" s="363"/>
      <c r="CR553" s="363"/>
      <c r="CS553" s="323"/>
      <c r="CT553" s="155"/>
      <c r="CU553" s="269"/>
      <c r="CV553" s="209"/>
      <c r="CW553" s="218"/>
    </row>
    <row r="554" spans="1:101" ht="18.75" thickTop="1" x14ac:dyDescent="0.2">
      <c r="A554" s="219"/>
      <c r="B554" s="219"/>
      <c r="C554" s="174"/>
      <c r="D554" s="778"/>
      <c r="E554" s="777"/>
      <c r="F554" s="235"/>
      <c r="G554" s="234"/>
      <c r="H554" s="234"/>
      <c r="I554" s="875">
        <f>WEEKNUM(E555)</f>
        <v>6</v>
      </c>
      <c r="J554" s="875"/>
      <c r="K554" s="875"/>
      <c r="L554" s="250"/>
      <c r="M554" s="261"/>
      <c r="N554" s="205"/>
      <c r="O554" s="236"/>
      <c r="P554" s="236"/>
      <c r="Q554" s="675" t="str">
        <f>IF($F558="","",SUM(Q570:S570)-S556)</f>
        <v/>
      </c>
      <c r="R554" s="675"/>
      <c r="S554" s="675"/>
      <c r="T554" s="237"/>
      <c r="U554" s="238"/>
      <c r="V554" s="238"/>
      <c r="W554" s="238"/>
      <c r="X554" s="238"/>
      <c r="Y554" s="236"/>
      <c r="Z554" s="675" t="str">
        <f>IF($F558="","",SUM(Z570:AB570)-AB556)</f>
        <v/>
      </c>
      <c r="AA554" s="675"/>
      <c r="AB554" s="675"/>
      <c r="AC554" s="237"/>
      <c r="AD554" s="238"/>
      <c r="AE554" s="238"/>
      <c r="AF554" s="238"/>
      <c r="AG554" s="238"/>
      <c r="AH554" s="236"/>
      <c r="AI554" s="675" t="str">
        <f>IF($F558="","",SUM(AI570:AK570)-AK556)</f>
        <v/>
      </c>
      <c r="AJ554" s="675"/>
      <c r="AK554" s="675"/>
      <c r="AL554" s="237"/>
      <c r="AM554" s="238"/>
      <c r="AN554" s="238"/>
      <c r="AO554" s="238"/>
      <c r="AP554" s="238"/>
      <c r="AQ554" s="236"/>
      <c r="AR554" s="675" t="str">
        <f>IF($F558="","",SUM(AR570:AT570)-AT556)</f>
        <v/>
      </c>
      <c r="AS554" s="675"/>
      <c r="AT554" s="675"/>
      <c r="AU554" s="239"/>
      <c r="AV554" s="238"/>
      <c r="AW554" s="238"/>
      <c r="AX554" s="238"/>
      <c r="AY554" s="238"/>
      <c r="AZ554" s="240"/>
      <c r="BA554" s="675" t="str">
        <f>IF($F558="","",SUM(BA570:BC570)-BC556)</f>
        <v/>
      </c>
      <c r="BB554" s="675"/>
      <c r="BC554" s="675"/>
      <c r="BD554" s="239"/>
      <c r="BE554" s="238"/>
      <c r="BF554" s="238"/>
      <c r="BG554" s="238"/>
      <c r="BH554" s="238"/>
      <c r="BI554" s="240"/>
      <c r="BJ554" s="675" t="str">
        <f>IF($F558="","",SUM(BJ570:BL570)-BL556)</f>
        <v/>
      </c>
      <c r="BK554" s="675"/>
      <c r="BL554" s="675"/>
      <c r="BM554" s="239"/>
      <c r="BN554" s="238"/>
      <c r="BO554" s="238"/>
      <c r="BP554" s="238"/>
      <c r="BQ554" s="238"/>
      <c r="BR554" s="241"/>
      <c r="BS554" s="675" t="str">
        <f>IF($F558="","",SUM(BS570:BU570)-BU556)</f>
        <v/>
      </c>
      <c r="BT554" s="675"/>
      <c r="BU554" s="675"/>
      <c r="BV554" s="240"/>
      <c r="BW554" s="238"/>
      <c r="BX554" s="238"/>
      <c r="BY554" s="238"/>
      <c r="BZ554" s="238"/>
      <c r="CA554" s="241"/>
      <c r="CB554" s="675" t="str">
        <f>IF($F558="","",SUM(CB570:CD570)-CD556)</f>
        <v/>
      </c>
      <c r="CC554" s="675"/>
      <c r="CD554" s="675"/>
      <c r="CE554" s="240"/>
      <c r="CF554" s="238"/>
      <c r="CG554" s="238"/>
      <c r="CH554" s="238"/>
      <c r="CI554" s="238"/>
      <c r="CJ554" s="234"/>
      <c r="CK554" s="675" t="str">
        <f>IF($F558="","",SUM(CK570:CM570))</f>
        <v/>
      </c>
      <c r="CL554" s="675"/>
      <c r="CM554" s="675"/>
      <c r="CN554" s="240"/>
      <c r="CO554" s="238"/>
      <c r="CP554" s="238"/>
      <c r="CQ554" s="238"/>
      <c r="CR554" s="238"/>
      <c r="CS554" s="234"/>
      <c r="CT554" s="234"/>
      <c r="CU554" s="251"/>
      <c r="CV554" s="209"/>
      <c r="CW554" s="218"/>
    </row>
    <row r="555" spans="1:101" x14ac:dyDescent="0.2">
      <c r="A555" s="219"/>
      <c r="B555" s="219"/>
      <c r="C555" s="174"/>
      <c r="D555" s="779"/>
      <c r="E555" s="543">
        <f>E533+7</f>
        <v>46424</v>
      </c>
      <c r="F555" s="178"/>
      <c r="G555" s="179"/>
      <c r="H555" s="179"/>
      <c r="I555" s="876"/>
      <c r="J555" s="876"/>
      <c r="K555" s="876"/>
      <c r="L555" s="254"/>
      <c r="M555" s="329"/>
      <c r="N555" s="208"/>
      <c r="O555" s="180"/>
      <c r="P555" s="180"/>
      <c r="Q555" s="584" t="str">
        <f>IF(Q554="","",Q554/Data!$X$1)</f>
        <v/>
      </c>
      <c r="R555" s="584"/>
      <c r="S555" s="585" t="str">
        <f>IF(SUM(X558:X569)=0,"",SUM(X558:X569))</f>
        <v/>
      </c>
      <c r="T555" s="181"/>
      <c r="U555" s="182"/>
      <c r="V555" s="182"/>
      <c r="W555" s="182"/>
      <c r="X555" s="182"/>
      <c r="Y555" s="180"/>
      <c r="Z555" s="584" t="str">
        <f>IF(Z554="","",Z554/Data!$X$1)</f>
        <v/>
      </c>
      <c r="AA555" s="584"/>
      <c r="AB555" s="585" t="str">
        <f>IF(SUM(AG558:AG569)=0,"",SUM(AG558:AG569))</f>
        <v/>
      </c>
      <c r="AC555" s="181"/>
      <c r="AD555" s="182"/>
      <c r="AE555" s="182"/>
      <c r="AF555" s="182"/>
      <c r="AG555" s="182"/>
      <c r="AH555" s="180"/>
      <c r="AI555" s="584" t="str">
        <f>IF(AI554="","",AI554/Data!$X$1)</f>
        <v/>
      </c>
      <c r="AJ555" s="584"/>
      <c r="AK555" s="585" t="str">
        <f>IF(SUM(AP558:AP569)=0,"",SUM(AP558:AP569))</f>
        <v/>
      </c>
      <c r="AL555" s="181"/>
      <c r="AM555" s="182"/>
      <c r="AN555" s="182"/>
      <c r="AO555" s="182"/>
      <c r="AP555" s="182"/>
      <c r="AQ555" s="180"/>
      <c r="AR555" s="584" t="str">
        <f>IF(AR554="","",AR554/Data!$X$1)</f>
        <v/>
      </c>
      <c r="AS555" s="584"/>
      <c r="AT555" s="585" t="str">
        <f>IF(SUM(AY558:AY569)=0,"",SUM(AY558:AY569))</f>
        <v/>
      </c>
      <c r="AU555" s="183"/>
      <c r="AV555" s="182"/>
      <c r="AW555" s="182"/>
      <c r="AX555" s="182"/>
      <c r="AY555" s="182"/>
      <c r="AZ555" s="184"/>
      <c r="BA555" s="584" t="str">
        <f>IF(BA554="","",BA554/Data!$X$1)</f>
        <v/>
      </c>
      <c r="BB555" s="584"/>
      <c r="BC555" s="585" t="str">
        <f>IF(SUM(BH558:BH569)=0,"",SUM(BH558:BH569))</f>
        <v/>
      </c>
      <c r="BD555" s="183"/>
      <c r="BE555" s="182"/>
      <c r="BF555" s="182"/>
      <c r="BG555" s="182"/>
      <c r="BH555" s="182"/>
      <c r="BI555" s="184"/>
      <c r="BJ555" s="584" t="str">
        <f>IF(BJ554="","",BJ554/Data!$X$1)</f>
        <v/>
      </c>
      <c r="BK555" s="584"/>
      <c r="BL555" s="585" t="str">
        <f>IF(SUM(BQ558:BQ569)=0,"",SUM(BQ558:BQ569))</f>
        <v/>
      </c>
      <c r="BM555" s="183"/>
      <c r="BN555" s="182"/>
      <c r="BO555" s="182"/>
      <c r="BP555" s="182"/>
      <c r="BQ555" s="182"/>
      <c r="BR555" s="185"/>
      <c r="BS555" s="584" t="str">
        <f>IF(BS554="","",BS554/Data!$X$1)</f>
        <v/>
      </c>
      <c r="BT555" s="584"/>
      <c r="BU555" s="585" t="str">
        <f>IF(SUM(BZ558:BZ569)=0,"",SUM(BZ558:BZ569))</f>
        <v/>
      </c>
      <c r="BV555" s="184"/>
      <c r="BW555" s="182"/>
      <c r="BX555" s="182"/>
      <c r="BY555" s="182"/>
      <c r="BZ555" s="182"/>
      <c r="CA555" s="185"/>
      <c r="CB555" s="584" t="str">
        <f>IF(CB554="","",CB554/Data!$X$1)</f>
        <v/>
      </c>
      <c r="CC555" s="584"/>
      <c r="CD555" s="585" t="str">
        <f>IF(SUM(CI558:CI569)=0,"",SUM(CI558:CI569))</f>
        <v/>
      </c>
      <c r="CE555" s="184"/>
      <c r="CF555" s="182"/>
      <c r="CG555" s="182"/>
      <c r="CH555" s="182"/>
      <c r="CI555" s="182"/>
      <c r="CJ555" s="182"/>
      <c r="CK555" s="584" t="str">
        <f>IF(CK554="","",CK554/Data!$X$1)</f>
        <v/>
      </c>
      <c r="CL555" s="584"/>
      <c r="CM555" s="585" t="str">
        <f>IF(SUM(CR558:CR569)=0,"",SUM(CR558:CR569))</f>
        <v/>
      </c>
      <c r="CN555" s="184"/>
      <c r="CO555" s="182"/>
      <c r="CP555" s="182"/>
      <c r="CQ555" s="182"/>
      <c r="CR555" s="182"/>
      <c r="CS555" s="182"/>
      <c r="CT555" s="182"/>
      <c r="CU555" s="255"/>
      <c r="CV555" s="209"/>
      <c r="CW555" s="218"/>
    </row>
    <row r="556" spans="1:101" ht="13.5" thickBot="1" x14ac:dyDescent="0.25">
      <c r="A556" s="219"/>
      <c r="B556" s="219"/>
      <c r="C556" s="174"/>
      <c r="D556" s="230"/>
      <c r="E556" s="359"/>
      <c r="F556" s="186"/>
      <c r="G556" s="187"/>
      <c r="H556" s="187"/>
      <c r="I556" s="673"/>
      <c r="J556" s="674"/>
      <c r="K556" s="674"/>
      <c r="L556" s="256"/>
      <c r="M556" s="330"/>
      <c r="N556" s="334"/>
      <c r="O556" s="187"/>
      <c r="P556" s="187"/>
      <c r="Q556" s="342" t="str">
        <f>Data!$E$11</f>
        <v>AHH</v>
      </c>
      <c r="R556" s="343" t="str">
        <f>IF($F569="","",RANK(Q554,$Q554:$CL554))</f>
        <v/>
      </c>
      <c r="S556" s="466"/>
      <c r="T556" s="181"/>
      <c r="U556" s="182"/>
      <c r="V556" s="182"/>
      <c r="W556" s="182"/>
      <c r="X556" s="197">
        <f>COUNTIF(U558:W569,"&gt;0")</f>
        <v>0</v>
      </c>
      <c r="Y556" s="180"/>
      <c r="Z556" s="342" t="str">
        <f>Data!$E$12</f>
        <v>RB</v>
      </c>
      <c r="AA556" s="343" t="str">
        <f>IF($F569="","",RANK(Z554,$Q554:$CL554))</f>
        <v/>
      </c>
      <c r="AB556" s="466"/>
      <c r="AC556" s="181"/>
      <c r="AD556" s="182"/>
      <c r="AE556" s="182"/>
      <c r="AF556" s="182"/>
      <c r="AG556" s="197">
        <f>COUNTIF(AD558:AF569,"&gt;0")</f>
        <v>0</v>
      </c>
      <c r="AH556" s="180"/>
      <c r="AI556" s="342" t="str">
        <f>Data!$E$13</f>
        <v>EB</v>
      </c>
      <c r="AJ556" s="343" t="str">
        <f>IF($F569="","",RANK(AI554,$Q554:$CL554))</f>
        <v/>
      </c>
      <c r="AK556" s="466"/>
      <c r="AL556" s="181"/>
      <c r="AM556" s="182"/>
      <c r="AN556" s="182"/>
      <c r="AO556" s="182"/>
      <c r="AP556" s="197">
        <f>COUNTIF(AM558:AO569,"&gt;0")</f>
        <v>0</v>
      </c>
      <c r="AQ556" s="180"/>
      <c r="AR556" s="305" t="str">
        <f>Data!$E$14</f>
        <v>KAF</v>
      </c>
      <c r="AS556" s="343" t="str">
        <f>IF($F569="","",RANK(AR554,$Q554:$CL554))</f>
        <v/>
      </c>
      <c r="AT556" s="466"/>
      <c r="AU556" s="181"/>
      <c r="AV556" s="182"/>
      <c r="AW556" s="182"/>
      <c r="AX556" s="182"/>
      <c r="AY556" s="197">
        <f>COUNTIF(AV558:AX569,"&gt;0")</f>
        <v>0</v>
      </c>
      <c r="AZ556" s="180"/>
      <c r="BA556" s="305" t="str">
        <f>Data!$E$15</f>
        <v>ØG</v>
      </c>
      <c r="BB556" s="343" t="str">
        <f>IF($F569="","",RANK(BA554,$Q554:$CL554))</f>
        <v/>
      </c>
      <c r="BC556" s="466"/>
      <c r="BD556" s="181"/>
      <c r="BE556" s="182"/>
      <c r="BF556" s="182"/>
      <c r="BG556" s="182"/>
      <c r="BH556" s="197">
        <f>COUNTIF(BE558:BG569,"&gt;0")</f>
        <v>0</v>
      </c>
      <c r="BI556" s="180"/>
      <c r="BJ556" s="305" t="str">
        <f>Data!$E$16</f>
        <v>JH</v>
      </c>
      <c r="BK556" s="343" t="str">
        <f>IF($F569="","",RANK(BJ554,$Q554:$CL554))</f>
        <v/>
      </c>
      <c r="BL556" s="466"/>
      <c r="BM556" s="181"/>
      <c r="BN556" s="182"/>
      <c r="BO556" s="182"/>
      <c r="BP556" s="182"/>
      <c r="BQ556" s="197">
        <f>COUNTIF(BN558:BP569,"&gt;0")</f>
        <v>0</v>
      </c>
      <c r="BR556" s="188"/>
      <c r="BS556" s="305" t="str">
        <f>Data!$E$17</f>
        <v>TOH</v>
      </c>
      <c r="BT556" s="343" t="str">
        <f>IF($F569="","",RANK(BS554,$Q554:$CL554))</f>
        <v/>
      </c>
      <c r="BU556" s="466"/>
      <c r="BV556" s="180"/>
      <c r="BW556" s="182"/>
      <c r="BX556" s="182"/>
      <c r="BY556" s="182"/>
      <c r="BZ556" s="197">
        <f>COUNTIF(BW558:BY569,"&gt;0")</f>
        <v>0</v>
      </c>
      <c r="CA556" s="188"/>
      <c r="CB556" s="305" t="s">
        <v>26</v>
      </c>
      <c r="CC556" s="343" t="str">
        <f>IF($F569="","",RANK(CB554,$Q554:$CM554))</f>
        <v/>
      </c>
      <c r="CD556" s="467"/>
      <c r="CE556" s="180"/>
      <c r="CF556" s="182"/>
      <c r="CG556" s="182"/>
      <c r="CH556" s="182"/>
      <c r="CI556" s="197">
        <f>COUNTIF(CF558:CH569,"&gt;0")</f>
        <v>0</v>
      </c>
      <c r="CJ556" s="182"/>
      <c r="CK556" s="305" t="s">
        <v>27</v>
      </c>
      <c r="CL556" s="343" t="str">
        <f>IF($F569="","",RANK(CK554,$Q554:$CM554))</f>
        <v/>
      </c>
      <c r="CM556" s="669"/>
      <c r="CN556" s="180"/>
      <c r="CO556" s="182"/>
      <c r="CP556" s="182"/>
      <c r="CQ556" s="182"/>
      <c r="CR556" s="197">
        <f>COUNTIF(CO558:CQ569,"&gt;0")</f>
        <v>0</v>
      </c>
      <c r="CS556" s="182"/>
      <c r="CT556" s="182"/>
      <c r="CU556" s="255"/>
      <c r="CV556" s="209"/>
      <c r="CW556" s="218"/>
    </row>
    <row r="557" spans="1:101" ht="13.5" thickBot="1" x14ac:dyDescent="0.25">
      <c r="A557" s="227"/>
      <c r="B557" s="227"/>
      <c r="C557" s="168"/>
      <c r="D557" s="231"/>
      <c r="E557" s="189"/>
      <c r="F557" s="190"/>
      <c r="G557" s="191"/>
      <c r="H557" s="191"/>
      <c r="I557" s="192" t="s">
        <v>47</v>
      </c>
      <c r="J557" s="193" t="s">
        <v>48</v>
      </c>
      <c r="K557" s="194" t="s">
        <v>49</v>
      </c>
      <c r="L557" s="257"/>
      <c r="M557" s="331"/>
      <c r="N557" s="335"/>
      <c r="O557" s="195"/>
      <c r="P557" s="195"/>
      <c r="Q557" s="192" t="s">
        <v>47</v>
      </c>
      <c r="R557" s="193" t="s">
        <v>48</v>
      </c>
      <c r="S557" s="194" t="s">
        <v>49</v>
      </c>
      <c r="T557" s="196"/>
      <c r="U557" s="197"/>
      <c r="V557" s="197"/>
      <c r="W557" s="197"/>
      <c r="X557" s="197"/>
      <c r="Y557" s="195"/>
      <c r="Z557" s="192" t="s">
        <v>47</v>
      </c>
      <c r="AA557" s="193" t="s">
        <v>48</v>
      </c>
      <c r="AB557" s="194" t="s">
        <v>49</v>
      </c>
      <c r="AC557" s="196"/>
      <c r="AD557" s="197"/>
      <c r="AE557" s="197"/>
      <c r="AF557" s="197"/>
      <c r="AG557" s="197"/>
      <c r="AH557" s="195"/>
      <c r="AI557" s="192" t="s">
        <v>47</v>
      </c>
      <c r="AJ557" s="193" t="s">
        <v>48</v>
      </c>
      <c r="AK557" s="194" t="s">
        <v>49</v>
      </c>
      <c r="AL557" s="196"/>
      <c r="AM557" s="197"/>
      <c r="AN557" s="197"/>
      <c r="AO557" s="197"/>
      <c r="AP557" s="197"/>
      <c r="AQ557" s="195"/>
      <c r="AR557" s="192" t="s">
        <v>47</v>
      </c>
      <c r="AS557" s="193" t="s">
        <v>48</v>
      </c>
      <c r="AT557" s="194" t="s">
        <v>49</v>
      </c>
      <c r="AU557" s="196"/>
      <c r="AV557" s="197"/>
      <c r="AW557" s="197"/>
      <c r="AX557" s="197"/>
      <c r="AY557" s="197"/>
      <c r="AZ557" s="195"/>
      <c r="BA557" s="192" t="s">
        <v>47</v>
      </c>
      <c r="BB557" s="193" t="s">
        <v>48</v>
      </c>
      <c r="BC557" s="194" t="s">
        <v>49</v>
      </c>
      <c r="BD557" s="196"/>
      <c r="BE557" s="197"/>
      <c r="BF557" s="197"/>
      <c r="BG557" s="197"/>
      <c r="BH557" s="197"/>
      <c r="BI557" s="195"/>
      <c r="BJ557" s="192" t="s">
        <v>47</v>
      </c>
      <c r="BK557" s="193" t="s">
        <v>48</v>
      </c>
      <c r="BL557" s="194" t="s">
        <v>49</v>
      </c>
      <c r="BM557" s="196"/>
      <c r="BN557" s="197"/>
      <c r="BO557" s="197"/>
      <c r="BP557" s="197"/>
      <c r="BQ557" s="197"/>
      <c r="BR557" s="195"/>
      <c r="BS557" s="192" t="s">
        <v>47</v>
      </c>
      <c r="BT557" s="193" t="s">
        <v>48</v>
      </c>
      <c r="BU557" s="194" t="s">
        <v>49</v>
      </c>
      <c r="BV557" s="196"/>
      <c r="BW557" s="197"/>
      <c r="BX557" s="197"/>
      <c r="BY557" s="197"/>
      <c r="BZ557" s="197"/>
      <c r="CA557" s="195"/>
      <c r="CB557" s="192" t="s">
        <v>47</v>
      </c>
      <c r="CC557" s="193" t="s">
        <v>48</v>
      </c>
      <c r="CD557" s="194" t="s">
        <v>49</v>
      </c>
      <c r="CE557" s="196"/>
      <c r="CF557" s="197"/>
      <c r="CG557" s="197"/>
      <c r="CH557" s="197"/>
      <c r="CI557" s="197"/>
      <c r="CJ557" s="197"/>
      <c r="CK557" s="192" t="s">
        <v>47</v>
      </c>
      <c r="CL557" s="193" t="s">
        <v>48</v>
      </c>
      <c r="CM557" s="194" t="s">
        <v>49</v>
      </c>
      <c r="CN557" s="196"/>
      <c r="CO557" s="197"/>
      <c r="CP557" s="197"/>
      <c r="CQ557" s="197"/>
      <c r="CR557" s="197"/>
      <c r="CS557" s="197"/>
      <c r="CT557" s="198"/>
      <c r="CU557" s="255"/>
      <c r="CV557" s="209"/>
      <c r="CW557" s="228"/>
    </row>
    <row r="558" spans="1:101" x14ac:dyDescent="0.2">
      <c r="A558" s="227"/>
      <c r="B558" s="227"/>
      <c r="C558" s="168"/>
      <c r="D558" s="232"/>
      <c r="E558" s="134" t="s">
        <v>354</v>
      </c>
      <c r="F558" s="424"/>
      <c r="G558" s="428"/>
      <c r="H558" s="429"/>
      <c r="I558" s="138" t="str">
        <f t="shared" ref="I558:I569" si="821">IF($F558&gt;$H558,"x","")</f>
        <v/>
      </c>
      <c r="J558" s="344" t="str">
        <f t="shared" ref="J558:J569" si="822">IF(F558&lt;&gt;"",IF(H558&lt;&gt;"",IF(F558=H558,"x",""),""),"")</f>
        <v/>
      </c>
      <c r="K558" s="345" t="str">
        <f t="shared" ref="K558:K569" si="823">IF($F558&lt;$H558,"x","")</f>
        <v/>
      </c>
      <c r="L558" s="258"/>
      <c r="M558" s="332"/>
      <c r="N558" s="336"/>
      <c r="O558" s="200"/>
      <c r="P558" s="200"/>
      <c r="Q558" s="436"/>
      <c r="R558" s="437"/>
      <c r="S558" s="438" t="str">
        <f t="shared" ref="S558:S569" si="824">IF(Q558="","",100-SUM(Q558:R558))</f>
        <v/>
      </c>
      <c r="T558" s="328"/>
      <c r="U558" s="197" t="str">
        <f>IF(AND($I558="x",AND(MAX(Q558:S558)=Q558,Q558&gt;=0)),Data!$BI$2,"")</f>
        <v/>
      </c>
      <c r="V558" s="197" t="str">
        <f>IF(AND($J558="x",AND(MAX(Q558:S558)=R558,R558&gt;=0)),Data!$BJ$2,"")</f>
        <v/>
      </c>
      <c r="W558" s="197" t="str">
        <f>IF(AND($K558="x",AND(MAX(Q558:S558)=S558,S558&gt;=0)),Data!$BK$2,"")</f>
        <v/>
      </c>
      <c r="X558" s="197"/>
      <c r="Y558" s="328"/>
      <c r="Z558" s="451"/>
      <c r="AA558" s="452"/>
      <c r="AB558" s="438" t="str">
        <f t="shared" ref="AB558:AB569" si="825">IF(Z558="","",100-SUM(Z558:AA558))</f>
        <v/>
      </c>
      <c r="AC558" s="328"/>
      <c r="AD558" s="197" t="str">
        <f>IF(AND($I558="x",AND(MAX(Z558:AB558)=Z558,Z558&lt;&gt;"")),Data!$BI$2,"")</f>
        <v/>
      </c>
      <c r="AE558" s="197" t="str">
        <f>IF(AND($J558="x",AND(MAX(Z558:AB558)=AA558,AA558&lt;&gt;"")),Data!$BJ$2,"")</f>
        <v/>
      </c>
      <c r="AF558" s="197" t="str">
        <f>IF(AND($K558="x",AND(MAX(Z558:AB558)=AB558,AB558&lt;&gt;"")),Data!$BK$2,"")</f>
        <v/>
      </c>
      <c r="AG558" s="197"/>
      <c r="AH558" s="328"/>
      <c r="AI558" s="451"/>
      <c r="AJ558" s="452"/>
      <c r="AK558" s="438" t="str">
        <f t="shared" ref="AK558:AK569" si="826">IF(AI558="","",100-SUM(AI558:AJ558))</f>
        <v/>
      </c>
      <c r="AL558" s="328"/>
      <c r="AM558" s="197" t="str">
        <f>IF(AND($I558="x",AND(MAX(AI558:AK558)=AI558,AI558&lt;&gt;"")),Data!$BI$2,"")</f>
        <v/>
      </c>
      <c r="AN558" s="197" t="str">
        <f>IF(AND($J558="x",AND(MAX(AI558:AK558)=AJ558,AJ558&lt;&gt;"")),Data!$BJ$2,"")</f>
        <v/>
      </c>
      <c r="AO558" s="197" t="str">
        <f>IF(AND($K558="x",AND(MAX(AI558:AK558)=AK558,AK558&lt;&gt;"")),Data!$BK$2,"")</f>
        <v/>
      </c>
      <c r="AP558" s="197"/>
      <c r="AQ558" s="328"/>
      <c r="AR558" s="451"/>
      <c r="AS558" s="452"/>
      <c r="AT558" s="438" t="str">
        <f t="shared" ref="AT558:AT569" si="827">IF(AR558="","",100-SUM(AR558:AS558))</f>
        <v/>
      </c>
      <c r="AU558" s="328"/>
      <c r="AV558" s="197" t="str">
        <f>IF(AND($I558="x",AND(MAX(AR558:AT558)=AR558,AR558&lt;&gt;"")),Data!$BI$2,"")</f>
        <v/>
      </c>
      <c r="AW558" s="197" t="str">
        <f>IF(AND($J558="x",AND(MAX(AR558:AT558)=AS558,AS558&lt;&gt;"")),Data!$BJ$2,"")</f>
        <v/>
      </c>
      <c r="AX558" s="197" t="str">
        <f>IF(AND($K558="x",AND(MAX(AR558:AT558)=AT558,AT558&lt;&gt;"")),Data!$BK$2,"")</f>
        <v/>
      </c>
      <c r="AY558" s="197"/>
      <c r="AZ558" s="328"/>
      <c r="BA558" s="451"/>
      <c r="BB558" s="452"/>
      <c r="BC558" s="438" t="str">
        <f t="shared" ref="BC558:BC569" si="828">IF(BA558="","",100-SUM(BA558:BB558))</f>
        <v/>
      </c>
      <c r="BD558" s="328"/>
      <c r="BE558" s="197" t="str">
        <f>IF(AND($I558="x",AND(MAX(BA558:BC558)=BA558,BA558&lt;&gt;"")),Data!$BI$2,"")</f>
        <v/>
      </c>
      <c r="BF558" s="197" t="str">
        <f>IF(AND($J558="x",AND(MAX(BA558:BC558)=BB558,BB558&lt;&gt;"")),Data!$BJ$2,"")</f>
        <v/>
      </c>
      <c r="BG558" s="197" t="str">
        <f>IF(AND($K558="x",AND(MAX(BA558:BC558)=BC558,BC558&lt;&gt;"")),Data!$BK$2,"")</f>
        <v/>
      </c>
      <c r="BH558" s="197"/>
      <c r="BI558" s="328"/>
      <c r="BJ558" s="451"/>
      <c r="BK558" s="452"/>
      <c r="BL558" s="438" t="str">
        <f t="shared" ref="BL558:BL569" si="829">IF(BJ558="","",100-SUM(BJ558:BK558))</f>
        <v/>
      </c>
      <c r="BM558" s="328"/>
      <c r="BN558" s="197" t="str">
        <f>IF(AND($I558="x",AND(MAX(BJ558:BL558)=BJ558,BJ558&lt;&gt;"")),Data!$BI$2,"")</f>
        <v/>
      </c>
      <c r="BO558" s="197" t="str">
        <f>IF(AND($J558="x",AND(MAX(BJ558:BL558)=BK558,BK558&lt;&gt;"")),Data!$BJ$2,"")</f>
        <v/>
      </c>
      <c r="BP558" s="197" t="str">
        <f>IF(AND($K558="x",AND(MAX(BJ558:BL558)=BL558,BL558&lt;&gt;"")),Data!$BK$2,"")</f>
        <v/>
      </c>
      <c r="BQ558" s="197"/>
      <c r="BR558" s="328"/>
      <c r="BS558" s="451"/>
      <c r="BT558" s="452"/>
      <c r="BU558" s="438" t="str">
        <f t="shared" ref="BU558:BU569" si="830">IF(BS558="","",100-SUM(BS558:BT558))</f>
        <v/>
      </c>
      <c r="BV558" s="328"/>
      <c r="BW558" s="197" t="str">
        <f>IF(AND($I558="x",AND(MAX(BS558:BU558)=BS558,BS558&lt;&gt;"")),Data!$BI$2,"")</f>
        <v/>
      </c>
      <c r="BX558" s="197" t="str">
        <f>IF(AND($J558="x",AND(MAX(BS558:BU558)=BT558,BT558&lt;&gt;"")),Data!$BJ$2,"")</f>
        <v/>
      </c>
      <c r="BY558" s="197" t="str">
        <f>IF(AND($K558="x",AND(MAX(BS558:BU558)=BU558,BU558&lt;&gt;"")),Data!$BK$2,"")</f>
        <v/>
      </c>
      <c r="BZ558" s="197"/>
      <c r="CA558" s="328"/>
      <c r="CB558" s="457" t="str">
        <f t="shared" ref="CB558:CB569" si="831">IFERROR(ROUNDUP((SUM(Q558,Z558,AI558,AR558,BA558,BJ558,BS558)/SUM($Q558:$S558,$Z558:$AB558,$AI558:$AK558,$AR558:$AT558,$BA558:$BC558,$BJ558:$BL558,$BS558:$BU558))*100,-1),"")</f>
        <v/>
      </c>
      <c r="CC558" s="458" t="str">
        <f t="shared" ref="CC558:CC569" si="832">IFERROR(ROUNDDOWN((SUM(R558,AA558,AJ558,AS558,BB558,BK558,BT558)/SUM($Q558:$S558,$Z558:$AB558,$AI558:$AK558,$AR558:$AT558,$BA558:$BC558,$BJ558:$BL558,$BS558:$BU558))*100,-1),"")</f>
        <v/>
      </c>
      <c r="CD558" s="459" t="str">
        <f t="shared" ref="CD558:CD569" si="833">IF(CB558="","",100-SUM(CB558:CC558))</f>
        <v/>
      </c>
      <c r="CE558" s="328"/>
      <c r="CF558" s="197" t="str">
        <f>IF(AND($I558="x",AND(MAX(CB558:CD558)=CB558,CB558&lt;&gt;"")),Data!$BI$2,"")</f>
        <v/>
      </c>
      <c r="CG558" s="197" t="str">
        <f>IF(AND($J558="x",AND(MAX(CB558:CD558)=CC558,CC558&lt;&gt;"")),Data!$BJ$2,"")</f>
        <v/>
      </c>
      <c r="CH558" s="197" t="str">
        <f>IF(AND($K558="x",AND(MAX(CB558:CD558)=CD558,CD558&lt;&gt;"")),Data!$BK$2,"")</f>
        <v/>
      </c>
      <c r="CI558" s="197"/>
      <c r="CJ558" s="197"/>
      <c r="CK558" s="451"/>
      <c r="CL558" s="452"/>
      <c r="CM558" s="438" t="str">
        <f t="shared" ref="CM558:CM569" si="834">IF(CK558="","",100-SUM(CK558:CL558))</f>
        <v/>
      </c>
      <c r="CN558" s="328"/>
      <c r="CO558" s="197" t="str">
        <f>IF(AND($I558="x",AND(MAX(CK558:CM558)=CK558,CK558&lt;&gt;"")),Data!$BI$2,"")</f>
        <v/>
      </c>
      <c r="CP558" s="197" t="str">
        <f>IF(AND($J558="x",AND(MAX(CK558:CM558)=CL558,CL558&lt;&gt;"")),Data!$BJ$2,"")</f>
        <v/>
      </c>
      <c r="CQ558" s="197" t="str">
        <f>IF(AND($K558="x",AND(MAX(CK558:CM558)=CM558,CM558&lt;&gt;"")),Data!$BK$2,"")</f>
        <v/>
      </c>
      <c r="CR558" s="197"/>
      <c r="CS558" s="197"/>
      <c r="CT558" s="328"/>
      <c r="CU558" s="255"/>
      <c r="CV558" s="209"/>
      <c r="CW558" s="227"/>
    </row>
    <row r="559" spans="1:101" x14ac:dyDescent="0.2">
      <c r="A559" s="227"/>
      <c r="B559" s="227"/>
      <c r="C559" s="168"/>
      <c r="D559" s="232"/>
      <c r="E559" s="135" t="s">
        <v>67</v>
      </c>
      <c r="F559" s="425"/>
      <c r="G559" s="430"/>
      <c r="H559" s="431"/>
      <c r="I559" s="346" t="str">
        <f t="shared" si="821"/>
        <v/>
      </c>
      <c r="J559" s="347" t="str">
        <f t="shared" si="822"/>
        <v/>
      </c>
      <c r="K559" s="348" t="str">
        <f t="shared" si="823"/>
        <v/>
      </c>
      <c r="L559" s="258"/>
      <c r="M559" s="332"/>
      <c r="N559" s="336"/>
      <c r="O559" s="200"/>
      <c r="P559" s="200"/>
      <c r="Q559" s="439"/>
      <c r="R559" s="440"/>
      <c r="S559" s="441" t="str">
        <f t="shared" si="824"/>
        <v/>
      </c>
      <c r="T559" s="328"/>
      <c r="U559" s="197" t="str">
        <f>IF(AND($I559="x",AND(MAX(Q559:S559)=Q559,Q559&gt;=0)),Data!$BI$2,"")</f>
        <v/>
      </c>
      <c r="V559" s="197" t="str">
        <f>IF(AND($J559="x",AND(MAX(Q559:S559)=R559,R559&gt;=0)),Data!$BJ$2,"")</f>
        <v/>
      </c>
      <c r="W559" s="197" t="str">
        <f>IF(AND($K559="x",AND(MAX(Q559:S559)=S559,S559&gt;=0)),Data!$BK$2,"")</f>
        <v/>
      </c>
      <c r="X559" s="197"/>
      <c r="Y559" s="328"/>
      <c r="Z559" s="453"/>
      <c r="AA559" s="454"/>
      <c r="AB559" s="441" t="str">
        <f t="shared" si="825"/>
        <v/>
      </c>
      <c r="AC559" s="328"/>
      <c r="AD559" s="197" t="str">
        <f>IF(AND($I559="x",AND(MAX(Z559:AB559)=Z559,Z559&lt;&gt;"")),Data!$BI$2,"")</f>
        <v/>
      </c>
      <c r="AE559" s="197" t="str">
        <f>IF(AND($J559="x",AND(MAX(Z559:AB559)=AA559,AA559&lt;&gt;"")),Data!$BJ$2,"")</f>
        <v/>
      </c>
      <c r="AF559" s="197" t="str">
        <f>IF(AND($K559="x",AND(MAX(Z559:AB559)=AB559,AB559&lt;&gt;"")),Data!$BK$2,"")</f>
        <v/>
      </c>
      <c r="AG559" s="197"/>
      <c r="AH559" s="328"/>
      <c r="AI559" s="453"/>
      <c r="AJ559" s="454"/>
      <c r="AK559" s="441" t="str">
        <f t="shared" si="826"/>
        <v/>
      </c>
      <c r="AL559" s="328"/>
      <c r="AM559" s="197" t="str">
        <f>IF(AND($I559="x",AND(MAX(AI559:AK559)=AI559,AI559&lt;&gt;"")),Data!$BI$2,"")</f>
        <v/>
      </c>
      <c r="AN559" s="197" t="str">
        <f>IF(AND($J559="x",AND(MAX(AI559:AK559)=AJ559,AJ559&lt;&gt;"")),Data!$BJ$2,"")</f>
        <v/>
      </c>
      <c r="AO559" s="197" t="str">
        <f>IF(AND($K559="x",AND(MAX(AI559:AK559)=AK559,AK559&lt;&gt;"")),Data!$BK$2,"")</f>
        <v/>
      </c>
      <c r="AP559" s="197"/>
      <c r="AQ559" s="328"/>
      <c r="AR559" s="453"/>
      <c r="AS559" s="454"/>
      <c r="AT559" s="441" t="str">
        <f t="shared" si="827"/>
        <v/>
      </c>
      <c r="AU559" s="328"/>
      <c r="AV559" s="197" t="str">
        <f>IF(AND($I559="x",AND(MAX(AR559:AT559)=AR559,AR559&lt;&gt;"")),Data!$BI$2,"")</f>
        <v/>
      </c>
      <c r="AW559" s="197" t="str">
        <f>IF(AND($J559="x",AND(MAX(AR559:AT559)=AS559,AS559&lt;&gt;"")),Data!$BJ$2,"")</f>
        <v/>
      </c>
      <c r="AX559" s="197" t="str">
        <f>IF(AND($K559="x",AND(MAX(AR559:AT559)=AT559,AT559&lt;&gt;"")),Data!$BK$2,"")</f>
        <v/>
      </c>
      <c r="AY559" s="197"/>
      <c r="AZ559" s="328"/>
      <c r="BA559" s="453"/>
      <c r="BB559" s="454"/>
      <c r="BC559" s="441" t="str">
        <f t="shared" si="828"/>
        <v/>
      </c>
      <c r="BD559" s="328"/>
      <c r="BE559" s="197" t="str">
        <f>IF(AND($I559="x",AND(MAX(BA559:BC559)=BA559,BA559&lt;&gt;"")),Data!$BI$2,"")</f>
        <v/>
      </c>
      <c r="BF559" s="197" t="str">
        <f>IF(AND($J559="x",AND(MAX(BA559:BC559)=BB559,BB559&lt;&gt;"")),Data!$BJ$2,"")</f>
        <v/>
      </c>
      <c r="BG559" s="197" t="str">
        <f>IF(AND($K559="x",AND(MAX(BA559:BC559)=BC559,BC559&lt;&gt;"")),Data!$BK$2,"")</f>
        <v/>
      </c>
      <c r="BH559" s="197"/>
      <c r="BI559" s="328"/>
      <c r="BJ559" s="453"/>
      <c r="BK559" s="454"/>
      <c r="BL559" s="441" t="str">
        <f t="shared" si="829"/>
        <v/>
      </c>
      <c r="BM559" s="328"/>
      <c r="BN559" s="197" t="str">
        <f>IF(AND($I559="x",AND(MAX(BJ559:BL559)=BJ559,BJ559&lt;&gt;"")),Data!$BI$2,"")</f>
        <v/>
      </c>
      <c r="BO559" s="197" t="str">
        <f>IF(AND($J559="x",AND(MAX(BJ559:BL559)=BK559,BK559&lt;&gt;"")),Data!$BJ$2,"")</f>
        <v/>
      </c>
      <c r="BP559" s="197" t="str">
        <f>IF(AND($K559="x",AND(MAX(BJ559:BL559)=BL559,BL559&lt;&gt;"")),Data!$BK$2,"")</f>
        <v/>
      </c>
      <c r="BQ559" s="197"/>
      <c r="BR559" s="328"/>
      <c r="BS559" s="453"/>
      <c r="BT559" s="454"/>
      <c r="BU559" s="441" t="str">
        <f t="shared" si="830"/>
        <v/>
      </c>
      <c r="BV559" s="328"/>
      <c r="BW559" s="197" t="str">
        <f>IF(AND($I559="x",AND(MAX(BS559:BU559)=BS559,BS559&lt;&gt;"")),Data!$BI$2,"")</f>
        <v/>
      </c>
      <c r="BX559" s="197" t="str">
        <f>IF(AND($J559="x",AND(MAX(BS559:BU559)=BT559,BT559&lt;&gt;"")),Data!$BJ$2,"")</f>
        <v/>
      </c>
      <c r="BY559" s="197" t="str">
        <f>IF(AND($K559="x",AND(MAX(BS559:BU559)=BU559,BU559&lt;&gt;"")),Data!$BK$2,"")</f>
        <v/>
      </c>
      <c r="BZ559" s="197"/>
      <c r="CA559" s="328"/>
      <c r="CB559" s="460" t="str">
        <f t="shared" si="831"/>
        <v/>
      </c>
      <c r="CC559" s="461" t="str">
        <f t="shared" si="832"/>
        <v/>
      </c>
      <c r="CD559" s="462" t="str">
        <f t="shared" si="833"/>
        <v/>
      </c>
      <c r="CE559" s="328"/>
      <c r="CF559" s="197" t="str">
        <f>IF(AND($I559="x",AND(MAX(CB559:CD559)=CB559,CB559&lt;&gt;"")),Data!$BI$2,"")</f>
        <v/>
      </c>
      <c r="CG559" s="197" t="str">
        <f>IF(AND($J559="x",AND(MAX(CB559:CD559)=CC559,CC559&lt;&gt;"")),Data!$BJ$2,"")</f>
        <v/>
      </c>
      <c r="CH559" s="197" t="str">
        <f>IF(AND($K559="x",AND(MAX(CB559:CD559)=CD559,CD559&lt;&gt;"")),Data!$BK$2,"")</f>
        <v/>
      </c>
      <c r="CI559" s="197"/>
      <c r="CJ559" s="197"/>
      <c r="CK559" s="453"/>
      <c r="CL559" s="454"/>
      <c r="CM559" s="441" t="str">
        <f t="shared" si="834"/>
        <v/>
      </c>
      <c r="CN559" s="328"/>
      <c r="CO559" s="197" t="str">
        <f>IF(AND($I559="x",AND(MAX(CK559:CM559)=CK559,CK559&lt;&gt;"")),Data!$BI$2,"")</f>
        <v/>
      </c>
      <c r="CP559" s="197" t="str">
        <f>IF(AND($J559="x",AND(MAX(CK559:CM559)=CL559,CL559&lt;&gt;"")),Data!$BJ$2,"")</f>
        <v/>
      </c>
      <c r="CQ559" s="197" t="str">
        <f>IF(AND($K559="x",AND(MAX(CK559:CM559)=CM559,CM559&lt;&gt;"")),Data!$BK$2,"")</f>
        <v/>
      </c>
      <c r="CR559" s="197"/>
      <c r="CS559" s="197"/>
      <c r="CT559" s="328"/>
      <c r="CU559" s="255"/>
      <c r="CV559" s="209"/>
      <c r="CW559" s="227"/>
    </row>
    <row r="560" spans="1:101" x14ac:dyDescent="0.2">
      <c r="A560" s="227"/>
      <c r="B560" s="227"/>
      <c r="C560" s="168"/>
      <c r="D560" s="232"/>
      <c r="E560" s="136" t="s">
        <v>355</v>
      </c>
      <c r="F560" s="426"/>
      <c r="G560" s="432"/>
      <c r="H560" s="433"/>
      <c r="I560" s="349" t="str">
        <f t="shared" si="821"/>
        <v/>
      </c>
      <c r="J560" s="350" t="str">
        <f t="shared" si="822"/>
        <v/>
      </c>
      <c r="K560" s="351" t="str">
        <f t="shared" si="823"/>
        <v/>
      </c>
      <c r="L560" s="258"/>
      <c r="M560" s="332"/>
      <c r="N560" s="336"/>
      <c r="O560" s="200"/>
      <c r="P560" s="200"/>
      <c r="Q560" s="442"/>
      <c r="R560" s="443"/>
      <c r="S560" s="444" t="str">
        <f t="shared" si="824"/>
        <v/>
      </c>
      <c r="T560" s="328"/>
      <c r="U560" s="197" t="str">
        <f>IF(AND($I560="x",AND(MAX(Q560:S560)=Q560,Q560&gt;=0)),Data!$BI$2,"")</f>
        <v/>
      </c>
      <c r="V560" s="197" t="str">
        <f>IF(AND($J560="x",AND(MAX(Q560:S560)=R560,R560&gt;=0)),Data!$BJ$2,"")</f>
        <v/>
      </c>
      <c r="W560" s="197" t="str">
        <f>IF(AND($K560="x",AND(MAX(Q560:S560)=S560,S560&gt;=0)),Data!$BK$2,"")</f>
        <v/>
      </c>
      <c r="X560" s="197"/>
      <c r="Y560" s="328"/>
      <c r="Z560" s="455"/>
      <c r="AA560" s="456"/>
      <c r="AB560" s="444" t="str">
        <f t="shared" si="825"/>
        <v/>
      </c>
      <c r="AC560" s="328"/>
      <c r="AD560" s="197" t="str">
        <f>IF(AND($I560="x",AND(MAX(Z560:AB560)=Z560,Z560&lt;&gt;"")),Data!$BI$2,"")</f>
        <v/>
      </c>
      <c r="AE560" s="197" t="str">
        <f>IF(AND($J560="x",AND(MAX(Z560:AB560)=AA560,AA560&lt;&gt;"")),Data!$BJ$2,"")</f>
        <v/>
      </c>
      <c r="AF560" s="197" t="str">
        <f>IF(AND($K560="x",AND(MAX(Z560:AB560)=AB560,AB560&lt;&gt;"")),Data!$BK$2,"")</f>
        <v/>
      </c>
      <c r="AG560" s="197"/>
      <c r="AH560" s="328"/>
      <c r="AI560" s="455"/>
      <c r="AJ560" s="456"/>
      <c r="AK560" s="444" t="str">
        <f t="shared" si="826"/>
        <v/>
      </c>
      <c r="AL560" s="328"/>
      <c r="AM560" s="197" t="str">
        <f>IF(AND($I560="x",AND(MAX(AI560:AK560)=AI560,AI560&lt;&gt;"")),Data!$BI$2,"")</f>
        <v/>
      </c>
      <c r="AN560" s="197" t="str">
        <f>IF(AND($J560="x",AND(MAX(AI560:AK560)=AJ560,AJ560&lt;&gt;"")),Data!$BJ$2,"")</f>
        <v/>
      </c>
      <c r="AO560" s="197" t="str">
        <f>IF(AND($K560="x",AND(MAX(AI560:AK560)=AK560,AK560&lt;&gt;"")),Data!$BK$2,"")</f>
        <v/>
      </c>
      <c r="AP560" s="197"/>
      <c r="AQ560" s="328"/>
      <c r="AR560" s="455"/>
      <c r="AS560" s="456"/>
      <c r="AT560" s="444" t="str">
        <f t="shared" si="827"/>
        <v/>
      </c>
      <c r="AU560" s="328"/>
      <c r="AV560" s="197" t="str">
        <f>IF(AND($I560="x",AND(MAX(AR560:AT560)=AR560,AR560&lt;&gt;"")),Data!$BI$2,"")</f>
        <v/>
      </c>
      <c r="AW560" s="197" t="str">
        <f>IF(AND($J560="x",AND(MAX(AR560:AT560)=AS560,AS560&lt;&gt;"")),Data!$BJ$2,"")</f>
        <v/>
      </c>
      <c r="AX560" s="197" t="str">
        <f>IF(AND($K560="x",AND(MAX(AR560:AT560)=AT560,AT560&lt;&gt;"")),Data!$BK$2,"")</f>
        <v/>
      </c>
      <c r="AY560" s="197"/>
      <c r="AZ560" s="328"/>
      <c r="BA560" s="455"/>
      <c r="BB560" s="456"/>
      <c r="BC560" s="444" t="str">
        <f t="shared" si="828"/>
        <v/>
      </c>
      <c r="BD560" s="328"/>
      <c r="BE560" s="197" t="str">
        <f>IF(AND($I560="x",AND(MAX(BA560:BC560)=BA560,BA560&lt;&gt;"")),Data!$BI$2,"")</f>
        <v/>
      </c>
      <c r="BF560" s="197" t="str">
        <f>IF(AND($J560="x",AND(MAX(BA560:BC560)=BB560,BB560&lt;&gt;"")),Data!$BJ$2,"")</f>
        <v/>
      </c>
      <c r="BG560" s="197" t="str">
        <f>IF(AND($K560="x",AND(MAX(BA560:BC560)=BC560,BC560&lt;&gt;"")),Data!$BK$2,"")</f>
        <v/>
      </c>
      <c r="BH560" s="197"/>
      <c r="BI560" s="328"/>
      <c r="BJ560" s="455"/>
      <c r="BK560" s="456"/>
      <c r="BL560" s="444" t="str">
        <f t="shared" si="829"/>
        <v/>
      </c>
      <c r="BM560" s="328"/>
      <c r="BN560" s="197" t="str">
        <f>IF(AND($I560="x",AND(MAX(BJ560:BL560)=BJ560,BJ560&lt;&gt;"")),Data!$BI$2,"")</f>
        <v/>
      </c>
      <c r="BO560" s="197" t="str">
        <f>IF(AND($J560="x",AND(MAX(BJ560:BL560)=BK560,BK560&lt;&gt;"")),Data!$BJ$2,"")</f>
        <v/>
      </c>
      <c r="BP560" s="197" t="str">
        <f>IF(AND($K560="x",AND(MAX(BJ560:BL560)=BL560,BL560&lt;&gt;"")),Data!$BK$2,"")</f>
        <v/>
      </c>
      <c r="BQ560" s="197"/>
      <c r="BR560" s="328"/>
      <c r="BS560" s="455"/>
      <c r="BT560" s="456"/>
      <c r="BU560" s="444" t="str">
        <f t="shared" si="830"/>
        <v/>
      </c>
      <c r="BV560" s="328"/>
      <c r="BW560" s="197" t="str">
        <f>IF(AND($I560="x",AND(MAX(BS560:BU560)=BS560,BS560&lt;&gt;"")),Data!$BI$2,"")</f>
        <v/>
      </c>
      <c r="BX560" s="197" t="str">
        <f>IF(AND($J560="x",AND(MAX(BS560:BU560)=BT560,BT560&lt;&gt;"")),Data!$BJ$2,"")</f>
        <v/>
      </c>
      <c r="BY560" s="197" t="str">
        <f>IF(AND($K560="x",AND(MAX(BS560:BU560)=BU560,BU560&lt;&gt;"")),Data!$BK$2,"")</f>
        <v/>
      </c>
      <c r="BZ560" s="197"/>
      <c r="CA560" s="328"/>
      <c r="CB560" s="463" t="str">
        <f t="shared" si="831"/>
        <v/>
      </c>
      <c r="CC560" s="464" t="str">
        <f t="shared" si="832"/>
        <v/>
      </c>
      <c r="CD560" s="465" t="str">
        <f t="shared" si="833"/>
        <v/>
      </c>
      <c r="CE560" s="328"/>
      <c r="CF560" s="197" t="str">
        <f>IF(AND($I560="x",AND(MAX(CB560:CD560)=CB560,CB560&lt;&gt;"")),Data!$BI$2,"")</f>
        <v/>
      </c>
      <c r="CG560" s="197" t="str">
        <f>IF(AND($J560="x",AND(MAX(CB560:CD560)=CC560,CC560&lt;&gt;"")),Data!$BJ$2,"")</f>
        <v/>
      </c>
      <c r="CH560" s="197" t="str">
        <f>IF(AND($K560="x",AND(MAX(CB560:CD560)=CD560,CD560&lt;&gt;"")),Data!$BK$2,"")</f>
        <v/>
      </c>
      <c r="CI560" s="197"/>
      <c r="CJ560" s="197"/>
      <c r="CK560" s="455"/>
      <c r="CL560" s="456"/>
      <c r="CM560" s="444" t="str">
        <f t="shared" si="834"/>
        <v/>
      </c>
      <c r="CN560" s="328"/>
      <c r="CO560" s="197" t="str">
        <f>IF(AND($I560="x",AND(MAX(CK560:CM560)=CK560,CK560&lt;&gt;"")),Data!$BI$2,"")</f>
        <v/>
      </c>
      <c r="CP560" s="197" t="str">
        <f>IF(AND($J560="x",AND(MAX(CK560:CM560)=CL560,CL560&lt;&gt;"")),Data!$BJ$2,"")</f>
        <v/>
      </c>
      <c r="CQ560" s="197" t="str">
        <f>IF(AND($K560="x",AND(MAX(CK560:CM560)=CM560,CM560&lt;&gt;"")),Data!$BK$2,"")</f>
        <v/>
      </c>
      <c r="CR560" s="197"/>
      <c r="CS560" s="197"/>
      <c r="CT560" s="328"/>
      <c r="CU560" s="255"/>
      <c r="CV560" s="209"/>
      <c r="CW560" s="227"/>
    </row>
    <row r="561" spans="1:101" x14ac:dyDescent="0.2">
      <c r="A561" s="227"/>
      <c r="B561" s="227"/>
      <c r="C561" s="168"/>
      <c r="D561" s="232"/>
      <c r="E561" s="134" t="s">
        <v>356</v>
      </c>
      <c r="F561" s="424"/>
      <c r="G561" s="428"/>
      <c r="H561" s="429"/>
      <c r="I561" s="138" t="str">
        <f t="shared" si="821"/>
        <v/>
      </c>
      <c r="J561" s="344" t="str">
        <f t="shared" si="822"/>
        <v/>
      </c>
      <c r="K561" s="345" t="str">
        <f t="shared" si="823"/>
        <v/>
      </c>
      <c r="L561" s="258"/>
      <c r="M561" s="332"/>
      <c r="N561" s="336"/>
      <c r="O561" s="200"/>
      <c r="P561" s="200"/>
      <c r="Q561" s="436"/>
      <c r="R561" s="437"/>
      <c r="S561" s="438" t="str">
        <f t="shared" si="824"/>
        <v/>
      </c>
      <c r="T561" s="328"/>
      <c r="U561" s="197" t="str">
        <f>IF(AND($I561="x",AND(MAX(Q561:S561)=Q561,Q561&gt;=0)),Data!$BI$2,"")</f>
        <v/>
      </c>
      <c r="V561" s="197" t="str">
        <f>IF(AND($J561="x",AND(MAX(Q561:S561)=R561,R561&gt;=0)),Data!$BJ$2,"")</f>
        <v/>
      </c>
      <c r="W561" s="197" t="str">
        <f>IF(AND($K561="x",AND(MAX(Q561:S561)=S561,S561&gt;=0)),Data!$BK$2,"")</f>
        <v/>
      </c>
      <c r="X561" s="197"/>
      <c r="Y561" s="328"/>
      <c r="Z561" s="451"/>
      <c r="AA561" s="452"/>
      <c r="AB561" s="438" t="str">
        <f t="shared" si="825"/>
        <v/>
      </c>
      <c r="AC561" s="328"/>
      <c r="AD561" s="197" t="str">
        <f>IF(AND($I561="x",AND(MAX(Z561:AB561)=Z561,Z561&lt;&gt;"")),Data!$BI$2,"")</f>
        <v/>
      </c>
      <c r="AE561" s="197" t="str">
        <f>IF(AND($J561="x",AND(MAX(Z561:AB561)=AA561,AA561&lt;&gt;"")),Data!$BJ$2,"")</f>
        <v/>
      </c>
      <c r="AF561" s="197" t="str">
        <f>IF(AND($K561="x",AND(MAX(Z561:AB561)=AB561,AB561&lt;&gt;"")),Data!$BK$2,"")</f>
        <v/>
      </c>
      <c r="AG561" s="197"/>
      <c r="AH561" s="328"/>
      <c r="AI561" s="451"/>
      <c r="AJ561" s="452"/>
      <c r="AK561" s="438" t="str">
        <f t="shared" si="826"/>
        <v/>
      </c>
      <c r="AL561" s="328"/>
      <c r="AM561" s="197" t="str">
        <f>IF(AND($I561="x",AND(MAX(AI561:AK561)=AI561,AI561&lt;&gt;"")),Data!$BI$2,"")</f>
        <v/>
      </c>
      <c r="AN561" s="197" t="str">
        <f>IF(AND($J561="x",AND(MAX(AI561:AK561)=AJ561,AJ561&lt;&gt;"")),Data!$BJ$2,"")</f>
        <v/>
      </c>
      <c r="AO561" s="197" t="str">
        <f>IF(AND($K561="x",AND(MAX(AI561:AK561)=AK561,AK561&lt;&gt;"")),Data!$BK$2,"")</f>
        <v/>
      </c>
      <c r="AP561" s="197"/>
      <c r="AQ561" s="328"/>
      <c r="AR561" s="451"/>
      <c r="AS561" s="452"/>
      <c r="AT561" s="438" t="str">
        <f t="shared" si="827"/>
        <v/>
      </c>
      <c r="AU561" s="328"/>
      <c r="AV561" s="197" t="str">
        <f>IF(AND($I561="x",AND(MAX(AR561:AT561)=AR561,AR561&lt;&gt;"")),Data!$BI$2,"")</f>
        <v/>
      </c>
      <c r="AW561" s="197" t="str">
        <f>IF(AND($J561="x",AND(MAX(AR561:AT561)=AS561,AS561&lt;&gt;"")),Data!$BJ$2,"")</f>
        <v/>
      </c>
      <c r="AX561" s="197" t="str">
        <f>IF(AND($K561="x",AND(MAX(AR561:AT561)=AT561,AT561&lt;&gt;"")),Data!$BK$2,"")</f>
        <v/>
      </c>
      <c r="AY561" s="197"/>
      <c r="AZ561" s="328"/>
      <c r="BA561" s="451"/>
      <c r="BB561" s="452"/>
      <c r="BC561" s="438" t="str">
        <f t="shared" si="828"/>
        <v/>
      </c>
      <c r="BD561" s="328"/>
      <c r="BE561" s="197" t="str">
        <f>IF(AND($I561="x",AND(MAX(BA561:BC561)=BA561,BA561&lt;&gt;"")),Data!$BI$2,"")</f>
        <v/>
      </c>
      <c r="BF561" s="197" t="str">
        <f>IF(AND($J561="x",AND(MAX(BA561:BC561)=BB561,BB561&lt;&gt;"")),Data!$BJ$2,"")</f>
        <v/>
      </c>
      <c r="BG561" s="197" t="str">
        <f>IF(AND($K561="x",AND(MAX(BA561:BC561)=BC561,BC561&lt;&gt;"")),Data!$BK$2,"")</f>
        <v/>
      </c>
      <c r="BH561" s="197"/>
      <c r="BI561" s="328"/>
      <c r="BJ561" s="451"/>
      <c r="BK561" s="452"/>
      <c r="BL561" s="438" t="str">
        <f t="shared" si="829"/>
        <v/>
      </c>
      <c r="BM561" s="328"/>
      <c r="BN561" s="197" t="str">
        <f>IF(AND($I561="x",AND(MAX(BJ561:BL561)=BJ561,BJ561&lt;&gt;"")),Data!$BI$2,"")</f>
        <v/>
      </c>
      <c r="BO561" s="197" t="str">
        <f>IF(AND($J561="x",AND(MAX(BJ561:BL561)=BK561,BK561&lt;&gt;"")),Data!$BJ$2,"")</f>
        <v/>
      </c>
      <c r="BP561" s="197" t="str">
        <f>IF(AND($K561="x",AND(MAX(BJ561:BL561)=BL561,BL561&lt;&gt;"")),Data!$BK$2,"")</f>
        <v/>
      </c>
      <c r="BQ561" s="197"/>
      <c r="BR561" s="328"/>
      <c r="BS561" s="451"/>
      <c r="BT561" s="452"/>
      <c r="BU561" s="438" t="str">
        <f t="shared" si="830"/>
        <v/>
      </c>
      <c r="BV561" s="328"/>
      <c r="BW561" s="197" t="str">
        <f>IF(AND($I561="x",AND(MAX(BS561:BU561)=BS561,BS561&lt;&gt;"")),Data!$BI$2,"")</f>
        <v/>
      </c>
      <c r="BX561" s="197" t="str">
        <f>IF(AND($J561="x",AND(MAX(BS561:BU561)=BT561,BT561&lt;&gt;"")),Data!$BJ$2,"")</f>
        <v/>
      </c>
      <c r="BY561" s="197" t="str">
        <f>IF(AND($K561="x",AND(MAX(BS561:BU561)=BU561,BU561&lt;&gt;"")),Data!$BK$2,"")</f>
        <v/>
      </c>
      <c r="BZ561" s="197"/>
      <c r="CA561" s="328"/>
      <c r="CB561" s="457" t="str">
        <f t="shared" si="831"/>
        <v/>
      </c>
      <c r="CC561" s="458" t="str">
        <f t="shared" si="832"/>
        <v/>
      </c>
      <c r="CD561" s="459" t="str">
        <f t="shared" si="833"/>
        <v/>
      </c>
      <c r="CE561" s="328"/>
      <c r="CF561" s="197" t="str">
        <f>IF(AND($I561="x",AND(MAX(CB561:CD561)=CB561,CB561&lt;&gt;"")),Data!$BI$2,"")</f>
        <v/>
      </c>
      <c r="CG561" s="197" t="str">
        <f>IF(AND($J561="x",AND(MAX(CB561:CD561)=CC561,CC561&lt;&gt;"")),Data!$BJ$2,"")</f>
        <v/>
      </c>
      <c r="CH561" s="197" t="str">
        <f>IF(AND($K561="x",AND(MAX(CB561:CD561)=CD561,CD561&lt;&gt;"")),Data!$BK$2,"")</f>
        <v/>
      </c>
      <c r="CI561" s="197"/>
      <c r="CJ561" s="197"/>
      <c r="CK561" s="451"/>
      <c r="CL561" s="452"/>
      <c r="CM561" s="438" t="str">
        <f t="shared" si="834"/>
        <v/>
      </c>
      <c r="CN561" s="328"/>
      <c r="CO561" s="197" t="str">
        <f>IF(AND($I561="x",AND(MAX(CK561:CM561)=CK561,CK561&lt;&gt;"")),Data!$BI$2,"")</f>
        <v/>
      </c>
      <c r="CP561" s="197" t="str">
        <f>IF(AND($J561="x",AND(MAX(CK561:CM561)=CL561,CL561&lt;&gt;"")),Data!$BJ$2,"")</f>
        <v/>
      </c>
      <c r="CQ561" s="197" t="str">
        <f>IF(AND($K561="x",AND(MAX(CK561:CM561)=CM561,CM561&lt;&gt;"")),Data!$BK$2,"")</f>
        <v/>
      </c>
      <c r="CR561" s="197"/>
      <c r="CS561" s="197"/>
      <c r="CT561" s="328"/>
      <c r="CU561" s="255"/>
      <c r="CV561" s="209"/>
      <c r="CW561" s="227"/>
    </row>
    <row r="562" spans="1:101" x14ac:dyDescent="0.2">
      <c r="A562" s="227"/>
      <c r="B562" s="227"/>
      <c r="C562" s="168"/>
      <c r="D562" s="232"/>
      <c r="E562" s="135" t="s">
        <v>357</v>
      </c>
      <c r="F562" s="425"/>
      <c r="G562" s="430"/>
      <c r="H562" s="431"/>
      <c r="I562" s="346" t="str">
        <f t="shared" si="821"/>
        <v/>
      </c>
      <c r="J562" s="347" t="str">
        <f t="shared" si="822"/>
        <v/>
      </c>
      <c r="K562" s="348" t="str">
        <f t="shared" si="823"/>
        <v/>
      </c>
      <c r="L562" s="258"/>
      <c r="M562" s="332"/>
      <c r="N562" s="336"/>
      <c r="O562" s="200"/>
      <c r="P562" s="200"/>
      <c r="Q562" s="439"/>
      <c r="R562" s="440"/>
      <c r="S562" s="441" t="str">
        <f t="shared" si="824"/>
        <v/>
      </c>
      <c r="T562" s="328"/>
      <c r="U562" s="197" t="str">
        <f>IF(AND($I562="x",AND(MAX(Q562:S562)=Q562,Q562&gt;=0)),Data!$BI$2,"")</f>
        <v/>
      </c>
      <c r="V562" s="197" t="str">
        <f>IF(AND($J562="x",AND(MAX(Q562:S562)=R562,R562&gt;=0)),Data!$BJ$2,"")</f>
        <v/>
      </c>
      <c r="W562" s="197" t="str">
        <f>IF(AND($K562="x",AND(MAX(Q562:S562)=S562,S562&gt;=0)),Data!$BK$2,"")</f>
        <v/>
      </c>
      <c r="X562" s="197"/>
      <c r="Y562" s="328"/>
      <c r="Z562" s="453"/>
      <c r="AA562" s="454"/>
      <c r="AB562" s="441" t="str">
        <f t="shared" si="825"/>
        <v/>
      </c>
      <c r="AC562" s="328"/>
      <c r="AD562" s="197" t="str">
        <f>IF(AND($I562="x",AND(MAX(Z562:AB562)=Z562,Z562&lt;&gt;"")),Data!$BI$2,"")</f>
        <v/>
      </c>
      <c r="AE562" s="197" t="str">
        <f>IF(AND($J562="x",AND(MAX(Z562:AB562)=AA562,AA562&lt;&gt;"")),Data!$BJ$2,"")</f>
        <v/>
      </c>
      <c r="AF562" s="197" t="str">
        <f>IF(AND($K562="x",AND(MAX(Z562:AB562)=AB562,AB562&lt;&gt;"")),Data!$BK$2,"")</f>
        <v/>
      </c>
      <c r="AG562" s="197"/>
      <c r="AH562" s="328"/>
      <c r="AI562" s="453"/>
      <c r="AJ562" s="454"/>
      <c r="AK562" s="441" t="str">
        <f t="shared" si="826"/>
        <v/>
      </c>
      <c r="AL562" s="328"/>
      <c r="AM562" s="197" t="str">
        <f>IF(AND($I562="x",AND(MAX(AI562:AK562)=AI562,AI562&lt;&gt;"")),Data!$BI$2,"")</f>
        <v/>
      </c>
      <c r="AN562" s="197" t="str">
        <f>IF(AND($J562="x",AND(MAX(AI562:AK562)=AJ562,AJ562&lt;&gt;"")),Data!$BJ$2,"")</f>
        <v/>
      </c>
      <c r="AO562" s="197" t="str">
        <f>IF(AND($K562="x",AND(MAX(AI562:AK562)=AK562,AK562&lt;&gt;"")),Data!$BK$2,"")</f>
        <v/>
      </c>
      <c r="AP562" s="197"/>
      <c r="AQ562" s="328"/>
      <c r="AR562" s="453"/>
      <c r="AS562" s="454"/>
      <c r="AT562" s="441" t="str">
        <f t="shared" si="827"/>
        <v/>
      </c>
      <c r="AU562" s="328"/>
      <c r="AV562" s="197" t="str">
        <f>IF(AND($I562="x",AND(MAX(AR562:AT562)=AR562,AR562&lt;&gt;"")),Data!$BI$2,"")</f>
        <v/>
      </c>
      <c r="AW562" s="197" t="str">
        <f>IF(AND($J562="x",AND(MAX(AR562:AT562)=AS562,AS562&lt;&gt;"")),Data!$BJ$2,"")</f>
        <v/>
      </c>
      <c r="AX562" s="197" t="str">
        <f>IF(AND($K562="x",AND(MAX(AR562:AT562)=AT562,AT562&lt;&gt;"")),Data!$BK$2,"")</f>
        <v/>
      </c>
      <c r="AY562" s="197"/>
      <c r="AZ562" s="328"/>
      <c r="BA562" s="453"/>
      <c r="BB562" s="454"/>
      <c r="BC562" s="441" t="str">
        <f t="shared" si="828"/>
        <v/>
      </c>
      <c r="BD562" s="328"/>
      <c r="BE562" s="197" t="str">
        <f>IF(AND($I562="x",AND(MAX(BA562:BC562)=BA562,BA562&lt;&gt;"")),Data!$BI$2,"")</f>
        <v/>
      </c>
      <c r="BF562" s="197" t="str">
        <f>IF(AND($J562="x",AND(MAX(BA562:BC562)=BB562,BB562&lt;&gt;"")),Data!$BJ$2,"")</f>
        <v/>
      </c>
      <c r="BG562" s="197" t="str">
        <f>IF(AND($K562="x",AND(MAX(BA562:BC562)=BC562,BC562&lt;&gt;"")),Data!$BK$2,"")</f>
        <v/>
      </c>
      <c r="BH562" s="197"/>
      <c r="BI562" s="328"/>
      <c r="BJ562" s="453"/>
      <c r="BK562" s="454"/>
      <c r="BL562" s="441" t="str">
        <f t="shared" si="829"/>
        <v/>
      </c>
      <c r="BM562" s="328"/>
      <c r="BN562" s="197" t="str">
        <f>IF(AND($I562="x",AND(MAX(BJ562:BL562)=BJ562,BJ562&lt;&gt;"")),Data!$BI$2,"")</f>
        <v/>
      </c>
      <c r="BO562" s="197" t="str">
        <f>IF(AND($J562="x",AND(MAX(BJ562:BL562)=BK562,BK562&lt;&gt;"")),Data!$BJ$2,"")</f>
        <v/>
      </c>
      <c r="BP562" s="197" t="str">
        <f>IF(AND($K562="x",AND(MAX(BJ562:BL562)=BL562,BL562&lt;&gt;"")),Data!$BK$2,"")</f>
        <v/>
      </c>
      <c r="BQ562" s="197"/>
      <c r="BR562" s="328"/>
      <c r="BS562" s="453"/>
      <c r="BT562" s="454"/>
      <c r="BU562" s="441" t="str">
        <f t="shared" si="830"/>
        <v/>
      </c>
      <c r="BV562" s="328"/>
      <c r="BW562" s="197" t="str">
        <f>IF(AND($I562="x",AND(MAX(BS562:BU562)=BS562,BS562&lt;&gt;"")),Data!$BI$2,"")</f>
        <v/>
      </c>
      <c r="BX562" s="197" t="str">
        <f>IF(AND($J562="x",AND(MAX(BS562:BU562)=BT562,BT562&lt;&gt;"")),Data!$BJ$2,"")</f>
        <v/>
      </c>
      <c r="BY562" s="197" t="str">
        <f>IF(AND($K562="x",AND(MAX(BS562:BU562)=BU562,BU562&lt;&gt;"")),Data!$BK$2,"")</f>
        <v/>
      </c>
      <c r="BZ562" s="197"/>
      <c r="CA562" s="328"/>
      <c r="CB562" s="460" t="str">
        <f t="shared" si="831"/>
        <v/>
      </c>
      <c r="CC562" s="461" t="str">
        <f t="shared" si="832"/>
        <v/>
      </c>
      <c r="CD562" s="462" t="str">
        <f t="shared" si="833"/>
        <v/>
      </c>
      <c r="CE562" s="328"/>
      <c r="CF562" s="197" t="str">
        <f>IF(AND($I562="x",AND(MAX(CB562:CD562)=CB562,CB562&lt;&gt;"")),Data!$BI$2,"")</f>
        <v/>
      </c>
      <c r="CG562" s="197" t="str">
        <f>IF(AND($J562="x",AND(MAX(CB562:CD562)=CC562,CC562&lt;&gt;"")),Data!$BJ$2,"")</f>
        <v/>
      </c>
      <c r="CH562" s="197" t="str">
        <f>IF(AND($K562="x",AND(MAX(CB562:CD562)=CD562,CD562&lt;&gt;"")),Data!$BK$2,"")</f>
        <v/>
      </c>
      <c r="CI562" s="197"/>
      <c r="CJ562" s="197"/>
      <c r="CK562" s="453"/>
      <c r="CL562" s="454"/>
      <c r="CM562" s="441" t="str">
        <f t="shared" si="834"/>
        <v/>
      </c>
      <c r="CN562" s="328"/>
      <c r="CO562" s="197" t="str">
        <f>IF(AND($I562="x",AND(MAX(CK562:CM562)=CK562,CK562&lt;&gt;"")),Data!$BI$2,"")</f>
        <v/>
      </c>
      <c r="CP562" s="197" t="str">
        <f>IF(AND($J562="x",AND(MAX(CK562:CM562)=CL562,CL562&lt;&gt;"")),Data!$BJ$2,"")</f>
        <v/>
      </c>
      <c r="CQ562" s="197" t="str">
        <f>IF(AND($K562="x",AND(MAX(CK562:CM562)=CM562,CM562&lt;&gt;"")),Data!$BK$2,"")</f>
        <v/>
      </c>
      <c r="CR562" s="197"/>
      <c r="CS562" s="197"/>
      <c r="CT562" s="328"/>
      <c r="CU562" s="255"/>
      <c r="CV562" s="209"/>
      <c r="CW562" s="227"/>
    </row>
    <row r="563" spans="1:101" x14ac:dyDescent="0.2">
      <c r="A563" s="227"/>
      <c r="B563" s="227"/>
      <c r="C563" s="168"/>
      <c r="D563" s="232"/>
      <c r="E563" s="136" t="s">
        <v>358</v>
      </c>
      <c r="F563" s="426"/>
      <c r="G563" s="432"/>
      <c r="H563" s="433"/>
      <c r="I563" s="349" t="str">
        <f t="shared" si="821"/>
        <v/>
      </c>
      <c r="J563" s="350" t="str">
        <f t="shared" si="822"/>
        <v/>
      </c>
      <c r="K563" s="351" t="str">
        <f t="shared" si="823"/>
        <v/>
      </c>
      <c r="L563" s="258"/>
      <c r="M563" s="332"/>
      <c r="N563" s="336"/>
      <c r="O563" s="200"/>
      <c r="P563" s="200"/>
      <c r="Q563" s="445"/>
      <c r="R563" s="446"/>
      <c r="S563" s="447" t="str">
        <f t="shared" si="824"/>
        <v/>
      </c>
      <c r="T563" s="328"/>
      <c r="U563" s="197" t="str">
        <f>IF(AND($I563="x",AND(MAX(Q563:S563)=Q563,Q563&gt;=0)),Data!$BI$2,"")</f>
        <v/>
      </c>
      <c r="V563" s="197" t="str">
        <f>IF(AND($J563="x",AND(MAX(Q563:S563)=R563,R563&gt;=0)),Data!$BJ$2,"")</f>
        <v/>
      </c>
      <c r="W563" s="197" t="str">
        <f>IF(AND($K563="x",AND(MAX(Q563:S563)=S563,S563&gt;=0)),Data!$BK$2,"")</f>
        <v/>
      </c>
      <c r="X563" s="197"/>
      <c r="Y563" s="328"/>
      <c r="Z563" s="455"/>
      <c r="AA563" s="456"/>
      <c r="AB563" s="447" t="str">
        <f t="shared" si="825"/>
        <v/>
      </c>
      <c r="AC563" s="328"/>
      <c r="AD563" s="197" t="str">
        <f>IF(AND($I563="x",AND(MAX(Z563:AB563)=Z563,Z563&lt;&gt;"")),Data!$BI$2,"")</f>
        <v/>
      </c>
      <c r="AE563" s="197" t="str">
        <f>IF(AND($J563="x",AND(MAX(Z563:AB563)=AA563,AA563&lt;&gt;"")),Data!$BJ$2,"")</f>
        <v/>
      </c>
      <c r="AF563" s="197" t="str">
        <f>IF(AND($K563="x",AND(MAX(Z563:AB563)=AB563,AB563&lt;&gt;"")),Data!$BK$2,"")</f>
        <v/>
      </c>
      <c r="AG563" s="197"/>
      <c r="AH563" s="328"/>
      <c r="AI563" s="455"/>
      <c r="AJ563" s="456"/>
      <c r="AK563" s="447" t="str">
        <f t="shared" si="826"/>
        <v/>
      </c>
      <c r="AL563" s="328"/>
      <c r="AM563" s="197" t="str">
        <f>IF(AND($I563="x",AND(MAX(AI563:AK563)=AI563,AI563&lt;&gt;"")),Data!$BI$2,"")</f>
        <v/>
      </c>
      <c r="AN563" s="197" t="str">
        <f>IF(AND($J563="x",AND(MAX(AI563:AK563)=AJ563,AJ563&lt;&gt;"")),Data!$BJ$2,"")</f>
        <v/>
      </c>
      <c r="AO563" s="197" t="str">
        <f>IF(AND($K563="x",AND(MAX(AI563:AK563)=AK563,AK563&lt;&gt;"")),Data!$BK$2,"")</f>
        <v/>
      </c>
      <c r="AP563" s="197"/>
      <c r="AQ563" s="328"/>
      <c r="AR563" s="455"/>
      <c r="AS563" s="456"/>
      <c r="AT563" s="447" t="str">
        <f t="shared" si="827"/>
        <v/>
      </c>
      <c r="AU563" s="328"/>
      <c r="AV563" s="197" t="str">
        <f>IF(AND($I563="x",AND(MAX(AR563:AT563)=AR563,AR563&lt;&gt;"")),Data!$BI$2,"")</f>
        <v/>
      </c>
      <c r="AW563" s="197" t="str">
        <f>IF(AND($J563="x",AND(MAX(AR563:AT563)=AS563,AS563&lt;&gt;"")),Data!$BJ$2,"")</f>
        <v/>
      </c>
      <c r="AX563" s="197" t="str">
        <f>IF(AND($K563="x",AND(MAX(AR563:AT563)=AT563,AT563&lt;&gt;"")),Data!$BK$2,"")</f>
        <v/>
      </c>
      <c r="AY563" s="197"/>
      <c r="AZ563" s="328"/>
      <c r="BA563" s="455"/>
      <c r="BB563" s="456"/>
      <c r="BC563" s="447" t="str">
        <f t="shared" si="828"/>
        <v/>
      </c>
      <c r="BD563" s="328"/>
      <c r="BE563" s="197" t="str">
        <f>IF(AND($I563="x",AND(MAX(BA563:BC563)=BA563,BA563&lt;&gt;"")),Data!$BI$2,"")</f>
        <v/>
      </c>
      <c r="BF563" s="197" t="str">
        <f>IF(AND($J563="x",AND(MAX(BA563:BC563)=BB563,BB563&lt;&gt;"")),Data!$BJ$2,"")</f>
        <v/>
      </c>
      <c r="BG563" s="197" t="str">
        <f>IF(AND($K563="x",AND(MAX(BA563:BC563)=BC563,BC563&lt;&gt;"")),Data!$BK$2,"")</f>
        <v/>
      </c>
      <c r="BH563" s="197"/>
      <c r="BI563" s="328"/>
      <c r="BJ563" s="455"/>
      <c r="BK563" s="456"/>
      <c r="BL563" s="447" t="str">
        <f t="shared" si="829"/>
        <v/>
      </c>
      <c r="BM563" s="328"/>
      <c r="BN563" s="197" t="str">
        <f>IF(AND($I563="x",AND(MAX(BJ563:BL563)=BJ563,BJ563&lt;&gt;"")),Data!$BI$2,"")</f>
        <v/>
      </c>
      <c r="BO563" s="197" t="str">
        <f>IF(AND($J563="x",AND(MAX(BJ563:BL563)=BK563,BK563&lt;&gt;"")),Data!$BJ$2,"")</f>
        <v/>
      </c>
      <c r="BP563" s="197" t="str">
        <f>IF(AND($K563="x",AND(MAX(BJ563:BL563)=BL563,BL563&lt;&gt;"")),Data!$BK$2,"")</f>
        <v/>
      </c>
      <c r="BQ563" s="197"/>
      <c r="BR563" s="328"/>
      <c r="BS563" s="455"/>
      <c r="BT563" s="456"/>
      <c r="BU563" s="447" t="str">
        <f t="shared" si="830"/>
        <v/>
      </c>
      <c r="BV563" s="328"/>
      <c r="BW563" s="197" t="str">
        <f>IF(AND($I563="x",AND(MAX(BS563:BU563)=BS563,BS563&lt;&gt;"")),Data!$BI$2,"")</f>
        <v/>
      </c>
      <c r="BX563" s="197" t="str">
        <f>IF(AND($J563="x",AND(MAX(BS563:BU563)=BT563,BT563&lt;&gt;"")),Data!$BJ$2,"")</f>
        <v/>
      </c>
      <c r="BY563" s="197" t="str">
        <f>IF(AND($K563="x",AND(MAX(BS563:BU563)=BU563,BU563&lt;&gt;"")),Data!$BK$2,"")</f>
        <v/>
      </c>
      <c r="BZ563" s="197"/>
      <c r="CA563" s="328"/>
      <c r="CB563" s="463" t="str">
        <f t="shared" si="831"/>
        <v/>
      </c>
      <c r="CC563" s="464" t="str">
        <f t="shared" si="832"/>
        <v/>
      </c>
      <c r="CD563" s="465" t="str">
        <f t="shared" si="833"/>
        <v/>
      </c>
      <c r="CE563" s="328"/>
      <c r="CF563" s="197" t="str">
        <f>IF(AND($I563="x",AND(MAX(CB563:CD563)=CB563,CB563&lt;&gt;"")),Data!$BI$2,"")</f>
        <v/>
      </c>
      <c r="CG563" s="197" t="str">
        <f>IF(AND($J563="x",AND(MAX(CB563:CD563)=CC563,CC563&lt;&gt;"")),Data!$BJ$2,"")</f>
        <v/>
      </c>
      <c r="CH563" s="197" t="str">
        <f>IF(AND($K563="x",AND(MAX(CB563:CD563)=CD563,CD563&lt;&gt;"")),Data!$BK$2,"")</f>
        <v/>
      </c>
      <c r="CI563" s="197"/>
      <c r="CJ563" s="197"/>
      <c r="CK563" s="455"/>
      <c r="CL563" s="456"/>
      <c r="CM563" s="447" t="str">
        <f t="shared" si="834"/>
        <v/>
      </c>
      <c r="CN563" s="328"/>
      <c r="CO563" s="197" t="str">
        <f>IF(AND($I563="x",AND(MAX(CK563:CM563)=CK563,CK563&lt;&gt;"")),Data!$BI$2,"")</f>
        <v/>
      </c>
      <c r="CP563" s="197" t="str">
        <f>IF(AND($J563="x",AND(MAX(CK563:CM563)=CL563,CL563&lt;&gt;"")),Data!$BJ$2,"")</f>
        <v/>
      </c>
      <c r="CQ563" s="197" t="str">
        <f>IF(AND($K563="x",AND(MAX(CK563:CM563)=CM563,CM563&lt;&gt;"")),Data!$BK$2,"")</f>
        <v/>
      </c>
      <c r="CR563" s="197"/>
      <c r="CS563" s="197"/>
      <c r="CT563" s="328"/>
      <c r="CU563" s="255"/>
      <c r="CV563" s="209"/>
      <c r="CW563" s="227"/>
    </row>
    <row r="564" spans="1:101" x14ac:dyDescent="0.2">
      <c r="A564" s="227"/>
      <c r="B564" s="227"/>
      <c r="C564" s="168"/>
      <c r="D564" s="232"/>
      <c r="E564" s="134" t="s">
        <v>359</v>
      </c>
      <c r="F564" s="424"/>
      <c r="G564" s="428"/>
      <c r="H564" s="429"/>
      <c r="I564" s="138" t="str">
        <f t="shared" si="821"/>
        <v/>
      </c>
      <c r="J564" s="344" t="str">
        <f t="shared" si="822"/>
        <v/>
      </c>
      <c r="K564" s="345" t="str">
        <f t="shared" si="823"/>
        <v/>
      </c>
      <c r="L564" s="258"/>
      <c r="M564" s="332"/>
      <c r="N564" s="336"/>
      <c r="O564" s="200"/>
      <c r="P564" s="200"/>
      <c r="Q564" s="436"/>
      <c r="R564" s="437"/>
      <c r="S564" s="438" t="str">
        <f t="shared" si="824"/>
        <v/>
      </c>
      <c r="T564" s="328"/>
      <c r="U564" s="197" t="str">
        <f>IF(AND($I564="x",AND(MAX(Q564:S564)=Q564,Q564&gt;=0)),Data!$BI$2,"")</f>
        <v/>
      </c>
      <c r="V564" s="197" t="str">
        <f>IF(AND($J564="x",AND(MAX(Q564:S564)=R564,R564&gt;=0)),Data!$BJ$2,"")</f>
        <v/>
      </c>
      <c r="W564" s="197" t="str">
        <f>IF(AND($K564="x",AND(MAX(Q564:S564)=S564,S564&gt;=0)),Data!$BK$2,"")</f>
        <v/>
      </c>
      <c r="X564" s="197"/>
      <c r="Y564" s="328"/>
      <c r="Z564" s="451"/>
      <c r="AA564" s="452"/>
      <c r="AB564" s="438" t="str">
        <f t="shared" si="825"/>
        <v/>
      </c>
      <c r="AC564" s="328"/>
      <c r="AD564" s="197" t="str">
        <f>IF(AND($I564="x",AND(MAX(Z564:AB564)=Z564,Z564&lt;&gt;"")),Data!$BI$2,"")</f>
        <v/>
      </c>
      <c r="AE564" s="197" t="str">
        <f>IF(AND($J564="x",AND(MAX(Z564:AB564)=AA564,AA564&lt;&gt;"")),Data!$BJ$2,"")</f>
        <v/>
      </c>
      <c r="AF564" s="197" t="str">
        <f>IF(AND($K564="x",AND(MAX(Z564:AB564)=AB564,AB564&lt;&gt;"")),Data!$BK$2,"")</f>
        <v/>
      </c>
      <c r="AG564" s="197"/>
      <c r="AH564" s="328"/>
      <c r="AI564" s="451"/>
      <c r="AJ564" s="452"/>
      <c r="AK564" s="438" t="str">
        <f t="shared" si="826"/>
        <v/>
      </c>
      <c r="AL564" s="328"/>
      <c r="AM564" s="197" t="str">
        <f>IF(AND($I564="x",AND(MAX(AI564:AK564)=AI564,AI564&lt;&gt;"")),Data!$BI$2,"")</f>
        <v/>
      </c>
      <c r="AN564" s="197" t="str">
        <f>IF(AND($J564="x",AND(MAX(AI564:AK564)=AJ564,AJ564&lt;&gt;"")),Data!$BJ$2,"")</f>
        <v/>
      </c>
      <c r="AO564" s="197" t="str">
        <f>IF(AND($K564="x",AND(MAX(AI564:AK564)=AK564,AK564&lt;&gt;"")),Data!$BK$2,"")</f>
        <v/>
      </c>
      <c r="AP564" s="197"/>
      <c r="AQ564" s="328"/>
      <c r="AR564" s="451"/>
      <c r="AS564" s="452"/>
      <c r="AT564" s="438" t="str">
        <f t="shared" si="827"/>
        <v/>
      </c>
      <c r="AU564" s="328"/>
      <c r="AV564" s="197" t="str">
        <f>IF(AND($I564="x",AND(MAX(AR564:AT564)=AR564,AR564&lt;&gt;"")),Data!$BI$2,"")</f>
        <v/>
      </c>
      <c r="AW564" s="197" t="str">
        <f>IF(AND($J564="x",AND(MAX(AR564:AT564)=AS564,AS564&lt;&gt;"")),Data!$BJ$2,"")</f>
        <v/>
      </c>
      <c r="AX564" s="197" t="str">
        <f>IF(AND($K564="x",AND(MAX(AR564:AT564)=AT564,AT564&lt;&gt;"")),Data!$BK$2,"")</f>
        <v/>
      </c>
      <c r="AY564" s="197"/>
      <c r="AZ564" s="328"/>
      <c r="BA564" s="451"/>
      <c r="BB564" s="452"/>
      <c r="BC564" s="438" t="str">
        <f t="shared" si="828"/>
        <v/>
      </c>
      <c r="BD564" s="328"/>
      <c r="BE564" s="197" t="str">
        <f>IF(AND($I564="x",AND(MAX(BA564:BC564)=BA564,BA564&lt;&gt;"")),Data!$BI$2,"")</f>
        <v/>
      </c>
      <c r="BF564" s="197" t="str">
        <f>IF(AND($J564="x",AND(MAX(BA564:BC564)=BB564,BB564&lt;&gt;"")),Data!$BJ$2,"")</f>
        <v/>
      </c>
      <c r="BG564" s="197" t="str">
        <f>IF(AND($K564="x",AND(MAX(BA564:BC564)=BC564,BC564&lt;&gt;"")),Data!$BK$2,"")</f>
        <v/>
      </c>
      <c r="BH564" s="197"/>
      <c r="BI564" s="328"/>
      <c r="BJ564" s="451"/>
      <c r="BK564" s="452"/>
      <c r="BL564" s="438" t="str">
        <f t="shared" si="829"/>
        <v/>
      </c>
      <c r="BM564" s="328"/>
      <c r="BN564" s="197" t="str">
        <f>IF(AND($I564="x",AND(MAX(BJ564:BL564)=BJ564,BJ564&lt;&gt;"")),Data!$BI$2,"")</f>
        <v/>
      </c>
      <c r="BO564" s="197" t="str">
        <f>IF(AND($J564="x",AND(MAX(BJ564:BL564)=BK564,BK564&lt;&gt;"")),Data!$BJ$2,"")</f>
        <v/>
      </c>
      <c r="BP564" s="197" t="str">
        <f>IF(AND($K564="x",AND(MAX(BJ564:BL564)=BL564,BL564&lt;&gt;"")),Data!$BK$2,"")</f>
        <v/>
      </c>
      <c r="BQ564" s="197"/>
      <c r="BR564" s="328"/>
      <c r="BS564" s="451"/>
      <c r="BT564" s="452"/>
      <c r="BU564" s="438" t="str">
        <f t="shared" si="830"/>
        <v/>
      </c>
      <c r="BV564" s="328"/>
      <c r="BW564" s="197" t="str">
        <f>IF(AND($I564="x",AND(MAX(BS564:BU564)=BS564,BS564&lt;&gt;"")),Data!$BI$2,"")</f>
        <v/>
      </c>
      <c r="BX564" s="197" t="str">
        <f>IF(AND($J564="x",AND(MAX(BS564:BU564)=BT564,BT564&lt;&gt;"")),Data!$BJ$2,"")</f>
        <v/>
      </c>
      <c r="BY564" s="197" t="str">
        <f>IF(AND($K564="x",AND(MAX(BS564:BU564)=BU564,BU564&lt;&gt;"")),Data!$BK$2,"")</f>
        <v/>
      </c>
      <c r="BZ564" s="197"/>
      <c r="CA564" s="328"/>
      <c r="CB564" s="457" t="str">
        <f t="shared" si="831"/>
        <v/>
      </c>
      <c r="CC564" s="458" t="str">
        <f t="shared" si="832"/>
        <v/>
      </c>
      <c r="CD564" s="459" t="str">
        <f t="shared" si="833"/>
        <v/>
      </c>
      <c r="CE564" s="328"/>
      <c r="CF564" s="197" t="str">
        <f>IF(AND($I564="x",AND(MAX(CB564:CD564)=CB564,CB564&lt;&gt;"")),Data!$BI$2,"")</f>
        <v/>
      </c>
      <c r="CG564" s="197" t="str">
        <f>IF(AND($J564="x",AND(MAX(CB564:CD564)=CC564,CC564&lt;&gt;"")),Data!$BJ$2,"")</f>
        <v/>
      </c>
      <c r="CH564" s="197" t="str">
        <f>IF(AND($K564="x",AND(MAX(CB564:CD564)=CD564,CD564&lt;&gt;"")),Data!$BK$2,"")</f>
        <v/>
      </c>
      <c r="CI564" s="197"/>
      <c r="CJ564" s="197"/>
      <c r="CK564" s="451"/>
      <c r="CL564" s="452"/>
      <c r="CM564" s="438" t="str">
        <f t="shared" si="834"/>
        <v/>
      </c>
      <c r="CN564" s="328"/>
      <c r="CO564" s="197" t="str">
        <f>IF(AND($I564="x",AND(MAX(CK564:CM564)=CK564,CK564&lt;&gt;"")),Data!$BI$2,"")</f>
        <v/>
      </c>
      <c r="CP564" s="197" t="str">
        <f>IF(AND($J564="x",AND(MAX(CK564:CM564)=CL564,CL564&lt;&gt;"")),Data!$BJ$2,"")</f>
        <v/>
      </c>
      <c r="CQ564" s="197" t="str">
        <f>IF(AND($K564="x",AND(MAX(CK564:CM564)=CM564,CM564&lt;&gt;"")),Data!$BK$2,"")</f>
        <v/>
      </c>
      <c r="CR564" s="197"/>
      <c r="CS564" s="197"/>
      <c r="CT564" s="328"/>
      <c r="CU564" s="259"/>
      <c r="CV564" s="209"/>
      <c r="CW564" s="227"/>
    </row>
    <row r="565" spans="1:101" x14ac:dyDescent="0.2">
      <c r="A565" s="227"/>
      <c r="B565" s="227"/>
      <c r="C565" s="168"/>
      <c r="D565" s="232"/>
      <c r="E565" s="135" t="s">
        <v>360</v>
      </c>
      <c r="F565" s="425"/>
      <c r="G565" s="430"/>
      <c r="H565" s="431"/>
      <c r="I565" s="346" t="str">
        <f t="shared" si="821"/>
        <v/>
      </c>
      <c r="J565" s="347" t="str">
        <f t="shared" si="822"/>
        <v/>
      </c>
      <c r="K565" s="348" t="str">
        <f t="shared" si="823"/>
        <v/>
      </c>
      <c r="L565" s="258"/>
      <c r="M565" s="332"/>
      <c r="N565" s="336"/>
      <c r="O565" s="200"/>
      <c r="P565" s="200"/>
      <c r="Q565" s="439"/>
      <c r="R565" s="440"/>
      <c r="S565" s="441" t="str">
        <f t="shared" si="824"/>
        <v/>
      </c>
      <c r="T565" s="328"/>
      <c r="U565" s="197" t="str">
        <f>IF(AND($I565="x",AND(MAX(Q565:S565)=Q565,Q565&gt;=0)),Data!$BI$2,"")</f>
        <v/>
      </c>
      <c r="V565" s="197" t="str">
        <f>IF(AND($J565="x",AND(MAX(Q565:S565)=R565,R565&gt;=0)),Data!$BJ$2,"")</f>
        <v/>
      </c>
      <c r="W565" s="197" t="str">
        <f>IF(AND($K565="x",AND(MAX(Q565:S565)=S565,S565&gt;=0)),Data!$BK$2,"")</f>
        <v/>
      </c>
      <c r="X565" s="197"/>
      <c r="Y565" s="328"/>
      <c r="Z565" s="453"/>
      <c r="AA565" s="454"/>
      <c r="AB565" s="441" t="str">
        <f t="shared" si="825"/>
        <v/>
      </c>
      <c r="AC565" s="328"/>
      <c r="AD565" s="197" t="str">
        <f>IF(AND($I565="x",AND(MAX(Z565:AB565)=Z565,Z565&lt;&gt;"")),Data!$BI$2,"")</f>
        <v/>
      </c>
      <c r="AE565" s="197" t="str">
        <f>IF(AND($J565="x",AND(MAX(Z565:AB565)=AA565,AA565&lt;&gt;"")),Data!$BJ$2,"")</f>
        <v/>
      </c>
      <c r="AF565" s="197" t="str">
        <f>IF(AND($K565="x",AND(MAX(Z565:AB565)=AB565,AB565&lt;&gt;"")),Data!$BK$2,"")</f>
        <v/>
      </c>
      <c r="AG565" s="197"/>
      <c r="AH565" s="328"/>
      <c r="AI565" s="453"/>
      <c r="AJ565" s="454"/>
      <c r="AK565" s="441" t="str">
        <f t="shared" si="826"/>
        <v/>
      </c>
      <c r="AL565" s="328"/>
      <c r="AM565" s="197" t="str">
        <f>IF(AND($I565="x",AND(MAX(AI565:AK565)=AI565,AI565&lt;&gt;"")),Data!$BI$2,"")</f>
        <v/>
      </c>
      <c r="AN565" s="197" t="str">
        <f>IF(AND($J565="x",AND(MAX(AI565:AK565)=AJ565,AJ565&lt;&gt;"")),Data!$BJ$2,"")</f>
        <v/>
      </c>
      <c r="AO565" s="197" t="str">
        <f>IF(AND($K565="x",AND(MAX(AI565:AK565)=AK565,AK565&lt;&gt;"")),Data!$BK$2,"")</f>
        <v/>
      </c>
      <c r="AP565" s="197"/>
      <c r="AQ565" s="328"/>
      <c r="AR565" s="453"/>
      <c r="AS565" s="454"/>
      <c r="AT565" s="441" t="str">
        <f t="shared" si="827"/>
        <v/>
      </c>
      <c r="AU565" s="328"/>
      <c r="AV565" s="197" t="str">
        <f>IF(AND($I565="x",AND(MAX(AR565:AT565)=AR565,AR565&lt;&gt;"")),Data!$BI$2,"")</f>
        <v/>
      </c>
      <c r="AW565" s="197" t="str">
        <f>IF(AND($J565="x",AND(MAX(AR565:AT565)=AS565,AS565&lt;&gt;"")),Data!$BJ$2,"")</f>
        <v/>
      </c>
      <c r="AX565" s="197" t="str">
        <f>IF(AND($K565="x",AND(MAX(AR565:AT565)=AT565,AT565&lt;&gt;"")),Data!$BK$2,"")</f>
        <v/>
      </c>
      <c r="AY565" s="197"/>
      <c r="AZ565" s="328"/>
      <c r="BA565" s="453"/>
      <c r="BB565" s="454"/>
      <c r="BC565" s="441" t="str">
        <f t="shared" si="828"/>
        <v/>
      </c>
      <c r="BD565" s="328"/>
      <c r="BE565" s="197" t="str">
        <f>IF(AND($I565="x",AND(MAX(BA565:BC565)=BA565,BA565&lt;&gt;"")),Data!$BI$2,"")</f>
        <v/>
      </c>
      <c r="BF565" s="197" t="str">
        <f>IF(AND($J565="x",AND(MAX(BA565:BC565)=BB565,BB565&lt;&gt;"")),Data!$BJ$2,"")</f>
        <v/>
      </c>
      <c r="BG565" s="197" t="str">
        <f>IF(AND($K565="x",AND(MAX(BA565:BC565)=BC565,BC565&lt;&gt;"")),Data!$BK$2,"")</f>
        <v/>
      </c>
      <c r="BH565" s="197"/>
      <c r="BI565" s="328"/>
      <c r="BJ565" s="453"/>
      <c r="BK565" s="454"/>
      <c r="BL565" s="441" t="str">
        <f t="shared" si="829"/>
        <v/>
      </c>
      <c r="BM565" s="328"/>
      <c r="BN565" s="197" t="str">
        <f>IF(AND($I565="x",AND(MAX(BJ565:BL565)=BJ565,BJ565&lt;&gt;"")),Data!$BI$2,"")</f>
        <v/>
      </c>
      <c r="BO565" s="197" t="str">
        <f>IF(AND($J565="x",AND(MAX(BJ565:BL565)=BK565,BK565&lt;&gt;"")),Data!$BJ$2,"")</f>
        <v/>
      </c>
      <c r="BP565" s="197" t="str">
        <f>IF(AND($K565="x",AND(MAX(BJ565:BL565)=BL565,BL565&lt;&gt;"")),Data!$BK$2,"")</f>
        <v/>
      </c>
      <c r="BQ565" s="197"/>
      <c r="BR565" s="328"/>
      <c r="BS565" s="453"/>
      <c r="BT565" s="454"/>
      <c r="BU565" s="441" t="str">
        <f t="shared" si="830"/>
        <v/>
      </c>
      <c r="BV565" s="328"/>
      <c r="BW565" s="197" t="str">
        <f>IF(AND($I565="x",AND(MAX(BS565:BU565)=BS565,BS565&lt;&gt;"")),Data!$BI$2,"")</f>
        <v/>
      </c>
      <c r="BX565" s="197" t="str">
        <f>IF(AND($J565="x",AND(MAX(BS565:BU565)=BT565,BT565&lt;&gt;"")),Data!$BJ$2,"")</f>
        <v/>
      </c>
      <c r="BY565" s="197" t="str">
        <f>IF(AND($K565="x",AND(MAX(BS565:BU565)=BU565,BU565&lt;&gt;"")),Data!$BK$2,"")</f>
        <v/>
      </c>
      <c r="BZ565" s="197"/>
      <c r="CA565" s="328"/>
      <c r="CB565" s="460" t="str">
        <f t="shared" si="831"/>
        <v/>
      </c>
      <c r="CC565" s="461" t="str">
        <f t="shared" si="832"/>
        <v/>
      </c>
      <c r="CD565" s="462" t="str">
        <f t="shared" si="833"/>
        <v/>
      </c>
      <c r="CE565" s="328"/>
      <c r="CF565" s="197" t="str">
        <f>IF(AND($I565="x",AND(MAX(CB565:CD565)=CB565,CB565&lt;&gt;"")),Data!$BI$2,"")</f>
        <v/>
      </c>
      <c r="CG565" s="197" t="str">
        <f>IF(AND($J565="x",AND(MAX(CB565:CD565)=CC565,CC565&lt;&gt;"")),Data!$BJ$2,"")</f>
        <v/>
      </c>
      <c r="CH565" s="197" t="str">
        <f>IF(AND($K565="x",AND(MAX(CB565:CD565)=CD565,CD565&lt;&gt;"")),Data!$BK$2,"")</f>
        <v/>
      </c>
      <c r="CI565" s="197"/>
      <c r="CJ565" s="197"/>
      <c r="CK565" s="453"/>
      <c r="CL565" s="454"/>
      <c r="CM565" s="441" t="str">
        <f t="shared" si="834"/>
        <v/>
      </c>
      <c r="CN565" s="328"/>
      <c r="CO565" s="197" t="str">
        <f>IF(AND($I565="x",AND(MAX(CK565:CM565)=CK565,CK565&lt;&gt;"")),Data!$BI$2,"")</f>
        <v/>
      </c>
      <c r="CP565" s="197" t="str">
        <f>IF(AND($J565="x",AND(MAX(CK565:CM565)=CL565,CL565&lt;&gt;"")),Data!$BJ$2,"")</f>
        <v/>
      </c>
      <c r="CQ565" s="197" t="str">
        <f>IF(AND($K565="x",AND(MAX(CK565:CM565)=CM565,CM565&lt;&gt;"")),Data!$BK$2,"")</f>
        <v/>
      </c>
      <c r="CR565" s="197"/>
      <c r="CS565" s="197"/>
      <c r="CT565" s="328"/>
      <c r="CU565" s="259"/>
      <c r="CV565" s="209"/>
      <c r="CW565" s="227"/>
    </row>
    <row r="566" spans="1:101" x14ac:dyDescent="0.2">
      <c r="A566" s="227"/>
      <c r="B566" s="227"/>
      <c r="C566" s="168"/>
      <c r="D566" s="232"/>
      <c r="E566" s="136" t="s">
        <v>361</v>
      </c>
      <c r="F566" s="426"/>
      <c r="G566" s="432"/>
      <c r="H566" s="433"/>
      <c r="I566" s="349" t="str">
        <f t="shared" si="821"/>
        <v/>
      </c>
      <c r="J566" s="350" t="str">
        <f t="shared" si="822"/>
        <v/>
      </c>
      <c r="K566" s="351" t="str">
        <f t="shared" si="823"/>
        <v/>
      </c>
      <c r="L566" s="258"/>
      <c r="M566" s="332"/>
      <c r="N566" s="336"/>
      <c r="O566" s="200"/>
      <c r="P566" s="200"/>
      <c r="Q566" s="445"/>
      <c r="R566" s="446"/>
      <c r="S566" s="447" t="str">
        <f t="shared" si="824"/>
        <v/>
      </c>
      <c r="T566" s="328"/>
      <c r="U566" s="197" t="str">
        <f>IF(AND($I566="x",AND(MAX(Q566:S566)=Q566,Q566&gt;=0)),Data!$BI$2,"")</f>
        <v/>
      </c>
      <c r="V566" s="197" t="str">
        <f>IF(AND($J566="x",AND(MAX(Q566:S566)=R566,R566&gt;=0)),Data!$BJ$2,"")</f>
        <v/>
      </c>
      <c r="W566" s="197" t="str">
        <f>IF(AND($K566="x",AND(MAX(Q566:S566)=S566,S566&gt;=0)),Data!$BK$2,"")</f>
        <v/>
      </c>
      <c r="X566" s="197"/>
      <c r="Y566" s="328"/>
      <c r="Z566" s="455"/>
      <c r="AA566" s="456"/>
      <c r="AB566" s="447" t="str">
        <f t="shared" si="825"/>
        <v/>
      </c>
      <c r="AC566" s="328"/>
      <c r="AD566" s="197" t="str">
        <f>IF(AND($I566="x",AND(MAX(Z566:AB566)=Z566,Z566&lt;&gt;"")),Data!$BI$2,"")</f>
        <v/>
      </c>
      <c r="AE566" s="197" t="str">
        <f>IF(AND($J566="x",AND(MAX(Z566:AB566)=AA566,AA566&lt;&gt;"")),Data!$BJ$2,"")</f>
        <v/>
      </c>
      <c r="AF566" s="197" t="str">
        <f>IF(AND($K566="x",AND(MAX(Z566:AB566)=AB566,AB566&lt;&gt;"")),Data!$BK$2,"")</f>
        <v/>
      </c>
      <c r="AG566" s="197"/>
      <c r="AH566" s="328"/>
      <c r="AI566" s="455"/>
      <c r="AJ566" s="456"/>
      <c r="AK566" s="447" t="str">
        <f t="shared" si="826"/>
        <v/>
      </c>
      <c r="AL566" s="328"/>
      <c r="AM566" s="197" t="str">
        <f>IF(AND($I566="x",AND(MAX(AI566:AK566)=AI566,AI566&lt;&gt;"")),Data!$BI$2,"")</f>
        <v/>
      </c>
      <c r="AN566" s="197" t="str">
        <f>IF(AND($J566="x",AND(MAX(AI566:AK566)=AJ566,AJ566&lt;&gt;"")),Data!$BJ$2,"")</f>
        <v/>
      </c>
      <c r="AO566" s="197" t="str">
        <f>IF(AND($K566="x",AND(MAX(AI566:AK566)=AK566,AK566&lt;&gt;"")),Data!$BK$2,"")</f>
        <v/>
      </c>
      <c r="AP566" s="197"/>
      <c r="AQ566" s="328"/>
      <c r="AR566" s="455"/>
      <c r="AS566" s="456"/>
      <c r="AT566" s="447" t="str">
        <f t="shared" si="827"/>
        <v/>
      </c>
      <c r="AU566" s="328"/>
      <c r="AV566" s="197" t="str">
        <f>IF(AND($I566="x",AND(MAX(AR566:AT566)=AR566,AR566&lt;&gt;"")),Data!$BI$2,"")</f>
        <v/>
      </c>
      <c r="AW566" s="197" t="str">
        <f>IF(AND($J566="x",AND(MAX(AR566:AT566)=AS566,AS566&lt;&gt;"")),Data!$BJ$2,"")</f>
        <v/>
      </c>
      <c r="AX566" s="197" t="str">
        <f>IF(AND($K566="x",AND(MAX(AR566:AT566)=AT566,AT566&lt;&gt;"")),Data!$BK$2,"")</f>
        <v/>
      </c>
      <c r="AY566" s="197"/>
      <c r="AZ566" s="328"/>
      <c r="BA566" s="455"/>
      <c r="BB566" s="456"/>
      <c r="BC566" s="447" t="str">
        <f t="shared" si="828"/>
        <v/>
      </c>
      <c r="BD566" s="328"/>
      <c r="BE566" s="197" t="str">
        <f>IF(AND($I566="x",AND(MAX(BA566:BC566)=BA566,BA566&lt;&gt;"")),Data!$BI$2,"")</f>
        <v/>
      </c>
      <c r="BF566" s="197" t="str">
        <f>IF(AND($J566="x",AND(MAX(BA566:BC566)=BB566,BB566&lt;&gt;"")),Data!$BJ$2,"")</f>
        <v/>
      </c>
      <c r="BG566" s="197" t="str">
        <f>IF(AND($K566="x",AND(MAX(BA566:BC566)=BC566,BC566&lt;&gt;"")),Data!$BK$2,"")</f>
        <v/>
      </c>
      <c r="BH566" s="197"/>
      <c r="BI566" s="328"/>
      <c r="BJ566" s="455"/>
      <c r="BK566" s="456"/>
      <c r="BL566" s="447" t="str">
        <f t="shared" si="829"/>
        <v/>
      </c>
      <c r="BM566" s="328"/>
      <c r="BN566" s="197" t="str">
        <f>IF(AND($I566="x",AND(MAX(BJ566:BL566)=BJ566,BJ566&lt;&gt;"")),Data!$BI$2,"")</f>
        <v/>
      </c>
      <c r="BO566" s="197" t="str">
        <f>IF(AND($J566="x",AND(MAX(BJ566:BL566)=BK566,BK566&lt;&gt;"")),Data!$BJ$2,"")</f>
        <v/>
      </c>
      <c r="BP566" s="197" t="str">
        <f>IF(AND($K566="x",AND(MAX(BJ566:BL566)=BL566,BL566&lt;&gt;"")),Data!$BK$2,"")</f>
        <v/>
      </c>
      <c r="BQ566" s="197"/>
      <c r="BR566" s="328"/>
      <c r="BS566" s="455"/>
      <c r="BT566" s="456"/>
      <c r="BU566" s="447" t="str">
        <f t="shared" si="830"/>
        <v/>
      </c>
      <c r="BV566" s="328"/>
      <c r="BW566" s="197" t="str">
        <f>IF(AND($I566="x",AND(MAX(BS566:BU566)=BS566,BS566&lt;&gt;"")),Data!$BI$2,"")</f>
        <v/>
      </c>
      <c r="BX566" s="197" t="str">
        <f>IF(AND($J566="x",AND(MAX(BS566:BU566)=BT566,BT566&lt;&gt;"")),Data!$BJ$2,"")</f>
        <v/>
      </c>
      <c r="BY566" s="197" t="str">
        <f>IF(AND($K566="x",AND(MAX(BS566:BU566)=BU566,BU566&lt;&gt;"")),Data!$BK$2,"")</f>
        <v/>
      </c>
      <c r="BZ566" s="197"/>
      <c r="CA566" s="328"/>
      <c r="CB566" s="463" t="str">
        <f t="shared" si="831"/>
        <v/>
      </c>
      <c r="CC566" s="464" t="str">
        <f t="shared" si="832"/>
        <v/>
      </c>
      <c r="CD566" s="465" t="str">
        <f t="shared" si="833"/>
        <v/>
      </c>
      <c r="CE566" s="328"/>
      <c r="CF566" s="197" t="str">
        <f>IF(AND($I566="x",AND(MAX(CB566:CD566)=CB566,CB566&lt;&gt;"")),Data!$BI$2,"")</f>
        <v/>
      </c>
      <c r="CG566" s="197" t="str">
        <f>IF(AND($J566="x",AND(MAX(CB566:CD566)=CC566,CC566&lt;&gt;"")),Data!$BJ$2,"")</f>
        <v/>
      </c>
      <c r="CH566" s="197" t="str">
        <f>IF(AND($K566="x",AND(MAX(CB566:CD566)=CD566,CD566&lt;&gt;"")),Data!$BK$2,"")</f>
        <v/>
      </c>
      <c r="CI566" s="197"/>
      <c r="CJ566" s="197"/>
      <c r="CK566" s="455"/>
      <c r="CL566" s="456"/>
      <c r="CM566" s="447" t="str">
        <f t="shared" si="834"/>
        <v/>
      </c>
      <c r="CN566" s="328"/>
      <c r="CO566" s="197" t="str">
        <f>IF(AND($I566="x",AND(MAX(CK566:CM566)=CK566,CK566&lt;&gt;"")),Data!$BI$2,"")</f>
        <v/>
      </c>
      <c r="CP566" s="197" t="str">
        <f>IF(AND($J566="x",AND(MAX(CK566:CM566)=CL566,CL566&lt;&gt;"")),Data!$BJ$2,"")</f>
        <v/>
      </c>
      <c r="CQ566" s="197" t="str">
        <f>IF(AND($K566="x",AND(MAX(CK566:CM566)=CM566,CM566&lt;&gt;"")),Data!$BK$2,"")</f>
        <v/>
      </c>
      <c r="CR566" s="197"/>
      <c r="CS566" s="197"/>
      <c r="CT566" s="328"/>
      <c r="CU566" s="259"/>
      <c r="CV566" s="209"/>
      <c r="CW566" s="227"/>
    </row>
    <row r="567" spans="1:101" x14ac:dyDescent="0.2">
      <c r="A567" s="227"/>
      <c r="B567" s="227"/>
      <c r="C567" s="168"/>
      <c r="D567" s="232"/>
      <c r="E567" s="137" t="s">
        <v>362</v>
      </c>
      <c r="F567" s="427"/>
      <c r="G567" s="434"/>
      <c r="H567" s="435"/>
      <c r="I567" s="138" t="str">
        <f t="shared" si="821"/>
        <v/>
      </c>
      <c r="J567" s="344" t="str">
        <f t="shared" si="822"/>
        <v/>
      </c>
      <c r="K567" s="345" t="str">
        <f t="shared" si="823"/>
        <v/>
      </c>
      <c r="L567" s="258"/>
      <c r="M567" s="332"/>
      <c r="N567" s="336"/>
      <c r="O567" s="200"/>
      <c r="P567" s="200"/>
      <c r="Q567" s="448"/>
      <c r="R567" s="449"/>
      <c r="S567" s="450" t="str">
        <f t="shared" si="824"/>
        <v/>
      </c>
      <c r="T567" s="328"/>
      <c r="U567" s="197" t="str">
        <f>IF(AND($I567="x",AND(MAX(Q567:S567)=Q567,Q567&gt;=0)),Data!$BI$2,"")</f>
        <v/>
      </c>
      <c r="V567" s="197" t="str">
        <f>IF(AND($J567="x",AND(MAX(Q567:S567)=R567,R567&gt;=0)),Data!$BJ$2,"")</f>
        <v/>
      </c>
      <c r="W567" s="197" t="str">
        <f>IF(AND($K567="x",AND(MAX(Q567:S567)=S567,S567&gt;=0)),Data!$BK$2,"")</f>
        <v/>
      </c>
      <c r="X567" s="197"/>
      <c r="Y567" s="328"/>
      <c r="Z567" s="451"/>
      <c r="AA567" s="452"/>
      <c r="AB567" s="450" t="str">
        <f t="shared" si="825"/>
        <v/>
      </c>
      <c r="AC567" s="328"/>
      <c r="AD567" s="197" t="str">
        <f>IF(AND($I567="x",AND(MAX(Z567:AB567)=Z567,Z567&lt;&gt;"")),Data!$BI$2,"")</f>
        <v/>
      </c>
      <c r="AE567" s="197" t="str">
        <f>IF(AND($J567="x",AND(MAX(Z567:AB567)=AA567,AA567&lt;&gt;"")),Data!$BJ$2,"")</f>
        <v/>
      </c>
      <c r="AF567" s="197" t="str">
        <f>IF(AND($K567="x",AND(MAX(Z567:AB567)=AB567,AB567&lt;&gt;"")),Data!$BK$2,"")</f>
        <v/>
      </c>
      <c r="AG567" s="197"/>
      <c r="AH567" s="328"/>
      <c r="AI567" s="451"/>
      <c r="AJ567" s="452"/>
      <c r="AK567" s="450" t="str">
        <f t="shared" si="826"/>
        <v/>
      </c>
      <c r="AL567" s="328"/>
      <c r="AM567" s="197" t="str">
        <f>IF(AND($I567="x",AND(MAX(AI567:AK567)=AI567,AI567&lt;&gt;"")),Data!$BI$2,"")</f>
        <v/>
      </c>
      <c r="AN567" s="197" t="str">
        <f>IF(AND($J567="x",AND(MAX(AI567:AK567)=AJ567,AJ567&lt;&gt;"")),Data!$BJ$2,"")</f>
        <v/>
      </c>
      <c r="AO567" s="197" t="str">
        <f>IF(AND($K567="x",AND(MAX(AI567:AK567)=AK567,AK567&lt;&gt;"")),Data!$BK$2,"")</f>
        <v/>
      </c>
      <c r="AP567" s="197"/>
      <c r="AQ567" s="328"/>
      <c r="AR567" s="451"/>
      <c r="AS567" s="452"/>
      <c r="AT567" s="450" t="str">
        <f t="shared" si="827"/>
        <v/>
      </c>
      <c r="AU567" s="328"/>
      <c r="AV567" s="197" t="str">
        <f>IF(AND($I567="x",AND(MAX(AR567:AT567)=AR567,AR567&lt;&gt;"")),Data!$BI$2,"")</f>
        <v/>
      </c>
      <c r="AW567" s="197" t="str">
        <f>IF(AND($J567="x",AND(MAX(AR567:AT567)=AS567,AS567&lt;&gt;"")),Data!$BJ$2,"")</f>
        <v/>
      </c>
      <c r="AX567" s="197" t="str">
        <f>IF(AND($K567="x",AND(MAX(AR567:AT567)=AT567,AT567&lt;&gt;"")),Data!$BK$2,"")</f>
        <v/>
      </c>
      <c r="AY567" s="197"/>
      <c r="AZ567" s="328"/>
      <c r="BA567" s="451"/>
      <c r="BB567" s="452"/>
      <c r="BC567" s="450" t="str">
        <f t="shared" si="828"/>
        <v/>
      </c>
      <c r="BD567" s="328"/>
      <c r="BE567" s="197" t="str">
        <f>IF(AND($I567="x",AND(MAX(BA567:BC567)=BA567,BA567&lt;&gt;"")),Data!$BI$2,"")</f>
        <v/>
      </c>
      <c r="BF567" s="197" t="str">
        <f>IF(AND($J567="x",AND(MAX(BA567:BC567)=BB567,BB567&lt;&gt;"")),Data!$BJ$2,"")</f>
        <v/>
      </c>
      <c r="BG567" s="197" t="str">
        <f>IF(AND($K567="x",AND(MAX(BA567:BC567)=BC567,BC567&lt;&gt;"")),Data!$BK$2,"")</f>
        <v/>
      </c>
      <c r="BH567" s="197"/>
      <c r="BI567" s="328"/>
      <c r="BJ567" s="451"/>
      <c r="BK567" s="452"/>
      <c r="BL567" s="450" t="str">
        <f t="shared" si="829"/>
        <v/>
      </c>
      <c r="BM567" s="328"/>
      <c r="BN567" s="197" t="str">
        <f>IF(AND($I567="x",AND(MAX(BJ567:BL567)=BJ567,BJ567&lt;&gt;"")),Data!$BI$2,"")</f>
        <v/>
      </c>
      <c r="BO567" s="197" t="str">
        <f>IF(AND($J567="x",AND(MAX(BJ567:BL567)=BK567,BK567&lt;&gt;"")),Data!$BJ$2,"")</f>
        <v/>
      </c>
      <c r="BP567" s="197" t="str">
        <f>IF(AND($K567="x",AND(MAX(BJ567:BL567)=BL567,BL567&lt;&gt;"")),Data!$BK$2,"")</f>
        <v/>
      </c>
      <c r="BQ567" s="197"/>
      <c r="BR567" s="328"/>
      <c r="BS567" s="451"/>
      <c r="BT567" s="452"/>
      <c r="BU567" s="450" t="str">
        <f t="shared" si="830"/>
        <v/>
      </c>
      <c r="BV567" s="328"/>
      <c r="BW567" s="197" t="str">
        <f>IF(AND($I567="x",AND(MAX(BS567:BU567)=BS567,BS567&lt;&gt;"")),Data!$BI$2,"")</f>
        <v/>
      </c>
      <c r="BX567" s="197" t="str">
        <f>IF(AND($J567="x",AND(MAX(BS567:BU567)=BT567,BT567&lt;&gt;"")),Data!$BJ$2,"")</f>
        <v/>
      </c>
      <c r="BY567" s="197" t="str">
        <f>IF(AND($K567="x",AND(MAX(BS567:BU567)=BU567,BU567&lt;&gt;"")),Data!$BK$2,"")</f>
        <v/>
      </c>
      <c r="BZ567" s="197"/>
      <c r="CA567" s="328"/>
      <c r="CB567" s="457" t="str">
        <f t="shared" si="831"/>
        <v/>
      </c>
      <c r="CC567" s="458" t="str">
        <f t="shared" si="832"/>
        <v/>
      </c>
      <c r="CD567" s="459" t="str">
        <f t="shared" si="833"/>
        <v/>
      </c>
      <c r="CE567" s="328"/>
      <c r="CF567" s="197" t="str">
        <f>IF(AND($I567="x",AND(MAX(CB567:CD567)=CB567,CB567&lt;&gt;"")),Data!$BI$2,"")</f>
        <v/>
      </c>
      <c r="CG567" s="197" t="str">
        <f>IF(AND($J567="x",AND(MAX(CB567:CD567)=CC567,CC567&lt;&gt;"")),Data!$BJ$2,"")</f>
        <v/>
      </c>
      <c r="CH567" s="197" t="str">
        <f>IF(AND($K567="x",AND(MAX(CB567:CD567)=CD567,CD567&lt;&gt;"")),Data!$BK$2,"")</f>
        <v/>
      </c>
      <c r="CI567" s="197"/>
      <c r="CJ567" s="197"/>
      <c r="CK567" s="451"/>
      <c r="CL567" s="452"/>
      <c r="CM567" s="450" t="str">
        <f t="shared" si="834"/>
        <v/>
      </c>
      <c r="CN567" s="328"/>
      <c r="CO567" s="197" t="str">
        <f>IF(AND($I567="x",AND(MAX(CK567:CM567)=CK567,CK567&lt;&gt;"")),Data!$BI$2,"")</f>
        <v/>
      </c>
      <c r="CP567" s="197" t="str">
        <f>IF(AND($J567="x",AND(MAX(CK567:CM567)=CL567,CL567&lt;&gt;"")),Data!$BJ$2,"")</f>
        <v/>
      </c>
      <c r="CQ567" s="197" t="str">
        <f>IF(AND($K567="x",AND(MAX(CK567:CM567)=CM567,CM567&lt;&gt;"")),Data!$BK$2,"")</f>
        <v/>
      </c>
      <c r="CR567" s="197"/>
      <c r="CS567" s="197"/>
      <c r="CT567" s="328"/>
      <c r="CU567" s="259"/>
      <c r="CV567" s="209"/>
      <c r="CW567" s="227"/>
    </row>
    <row r="568" spans="1:101" x14ac:dyDescent="0.2">
      <c r="A568" s="227"/>
      <c r="B568" s="227"/>
      <c r="C568" s="168"/>
      <c r="D568" s="232"/>
      <c r="E568" s="135" t="s">
        <v>363</v>
      </c>
      <c r="F568" s="425"/>
      <c r="G568" s="430"/>
      <c r="H568" s="431"/>
      <c r="I568" s="346" t="str">
        <f t="shared" si="821"/>
        <v/>
      </c>
      <c r="J568" s="347" t="str">
        <f t="shared" si="822"/>
        <v/>
      </c>
      <c r="K568" s="348" t="str">
        <f t="shared" si="823"/>
        <v/>
      </c>
      <c r="L568" s="258"/>
      <c r="M568" s="332"/>
      <c r="N568" s="336"/>
      <c r="O568" s="200"/>
      <c r="P568" s="200"/>
      <c r="Q568" s="439"/>
      <c r="R568" s="440"/>
      <c r="S568" s="441" t="str">
        <f t="shared" si="824"/>
        <v/>
      </c>
      <c r="T568" s="328"/>
      <c r="U568" s="197" t="str">
        <f>IF(AND($I568="x",AND(MAX(Q568:S568)=Q568,Q568&gt;=0)),Data!$BI$2,"")</f>
        <v/>
      </c>
      <c r="V568" s="197" t="str">
        <f>IF(AND($J568="x",AND(MAX(Q568:S568)=R568,R568&gt;=0)),Data!$BJ$2,"")</f>
        <v/>
      </c>
      <c r="W568" s="197" t="str">
        <f>IF(AND($K568="x",AND(MAX(Q568:S568)=S568,S568&gt;=0)),Data!$BK$2,"")</f>
        <v/>
      </c>
      <c r="X568" s="197"/>
      <c r="Y568" s="328"/>
      <c r="Z568" s="453"/>
      <c r="AA568" s="454"/>
      <c r="AB568" s="441" t="str">
        <f t="shared" si="825"/>
        <v/>
      </c>
      <c r="AC568" s="328"/>
      <c r="AD568" s="197" t="str">
        <f>IF(AND($I568="x",AND(MAX(Z568:AB568)=Z568,Z568&lt;&gt;"")),Data!$BI$2,"")</f>
        <v/>
      </c>
      <c r="AE568" s="197" t="str">
        <f>IF(AND($J568="x",AND(MAX(Z568:AB568)=AA568,AA568&lt;&gt;"")),Data!$BJ$2,"")</f>
        <v/>
      </c>
      <c r="AF568" s="197" t="str">
        <f>IF(AND($K568="x",AND(MAX(Z568:AB568)=AB568,AB568&lt;&gt;"")),Data!$BK$2,"")</f>
        <v/>
      </c>
      <c r="AG568" s="197"/>
      <c r="AH568" s="328"/>
      <c r="AI568" s="453"/>
      <c r="AJ568" s="454"/>
      <c r="AK568" s="441" t="str">
        <f t="shared" si="826"/>
        <v/>
      </c>
      <c r="AL568" s="328"/>
      <c r="AM568" s="197" t="str">
        <f>IF(AND($I568="x",AND(MAX(AI568:AK568)=AI568,AI568&lt;&gt;"")),Data!$BI$2,"")</f>
        <v/>
      </c>
      <c r="AN568" s="197" t="str">
        <f>IF(AND($J568="x",AND(MAX(AI568:AK568)=AJ568,AJ568&lt;&gt;"")),Data!$BJ$2,"")</f>
        <v/>
      </c>
      <c r="AO568" s="197" t="str">
        <f>IF(AND($K568="x",AND(MAX(AI568:AK568)=AK568,AK568&lt;&gt;"")),Data!$BK$2,"")</f>
        <v/>
      </c>
      <c r="AP568" s="197"/>
      <c r="AQ568" s="328"/>
      <c r="AR568" s="453"/>
      <c r="AS568" s="454"/>
      <c r="AT568" s="441" t="str">
        <f t="shared" si="827"/>
        <v/>
      </c>
      <c r="AU568" s="328"/>
      <c r="AV568" s="197" t="str">
        <f>IF(AND($I568="x",AND(MAX(AR568:AT568)=AR568,AR568&lt;&gt;"")),Data!$BI$2,"")</f>
        <v/>
      </c>
      <c r="AW568" s="197" t="str">
        <f>IF(AND($J568="x",AND(MAX(AR568:AT568)=AS568,AS568&lt;&gt;"")),Data!$BJ$2,"")</f>
        <v/>
      </c>
      <c r="AX568" s="197" t="str">
        <f>IF(AND($K568="x",AND(MAX(AR568:AT568)=AT568,AT568&lt;&gt;"")),Data!$BK$2,"")</f>
        <v/>
      </c>
      <c r="AY568" s="197"/>
      <c r="AZ568" s="328"/>
      <c r="BA568" s="453"/>
      <c r="BB568" s="454"/>
      <c r="BC568" s="441" t="str">
        <f t="shared" si="828"/>
        <v/>
      </c>
      <c r="BD568" s="328"/>
      <c r="BE568" s="197" t="str">
        <f>IF(AND($I568="x",AND(MAX(BA568:BC568)=BA568,BA568&lt;&gt;"")),Data!$BI$2,"")</f>
        <v/>
      </c>
      <c r="BF568" s="197" t="str">
        <f>IF(AND($J568="x",AND(MAX(BA568:BC568)=BB568,BB568&lt;&gt;"")),Data!$BJ$2,"")</f>
        <v/>
      </c>
      <c r="BG568" s="197" t="str">
        <f>IF(AND($K568="x",AND(MAX(BA568:BC568)=BC568,BC568&lt;&gt;"")),Data!$BK$2,"")</f>
        <v/>
      </c>
      <c r="BH568" s="197"/>
      <c r="BI568" s="328"/>
      <c r="BJ568" s="453"/>
      <c r="BK568" s="454"/>
      <c r="BL568" s="441" t="str">
        <f t="shared" si="829"/>
        <v/>
      </c>
      <c r="BM568" s="328"/>
      <c r="BN568" s="197" t="str">
        <f>IF(AND($I568="x",AND(MAX(BJ568:BL568)=BJ568,BJ568&lt;&gt;"")),Data!$BI$2,"")</f>
        <v/>
      </c>
      <c r="BO568" s="197" t="str">
        <f>IF(AND($J568="x",AND(MAX(BJ568:BL568)=BK568,BK568&lt;&gt;"")),Data!$BJ$2,"")</f>
        <v/>
      </c>
      <c r="BP568" s="197" t="str">
        <f>IF(AND($K568="x",AND(MAX(BJ568:BL568)=BL568,BL568&lt;&gt;"")),Data!$BK$2,"")</f>
        <v/>
      </c>
      <c r="BQ568" s="197"/>
      <c r="BR568" s="328"/>
      <c r="BS568" s="453"/>
      <c r="BT568" s="454"/>
      <c r="BU568" s="441" t="str">
        <f t="shared" si="830"/>
        <v/>
      </c>
      <c r="BV568" s="328"/>
      <c r="BW568" s="197" t="str">
        <f>IF(AND($I568="x",AND(MAX(BS568:BU568)=BS568,BS568&lt;&gt;"")),Data!$BI$2,"")</f>
        <v/>
      </c>
      <c r="BX568" s="197" t="str">
        <f>IF(AND($J568="x",AND(MAX(BS568:BU568)=BT568,BT568&lt;&gt;"")),Data!$BJ$2,"")</f>
        <v/>
      </c>
      <c r="BY568" s="197" t="str">
        <f>IF(AND($K568="x",AND(MAX(BS568:BU568)=BU568,BU568&lt;&gt;"")),Data!$BK$2,"")</f>
        <v/>
      </c>
      <c r="BZ568" s="197"/>
      <c r="CA568" s="328"/>
      <c r="CB568" s="460" t="str">
        <f t="shared" si="831"/>
        <v/>
      </c>
      <c r="CC568" s="461" t="str">
        <f t="shared" si="832"/>
        <v/>
      </c>
      <c r="CD568" s="462" t="str">
        <f t="shared" si="833"/>
        <v/>
      </c>
      <c r="CE568" s="328"/>
      <c r="CF568" s="197" t="str">
        <f>IF(AND($I568="x",AND(MAX(CB568:CD568)=CB568,CB568&lt;&gt;"")),Data!$BI$2,"")</f>
        <v/>
      </c>
      <c r="CG568" s="197" t="str">
        <f>IF(AND($J568="x",AND(MAX(CB568:CD568)=CC568,CC568&lt;&gt;"")),Data!$BJ$2,"")</f>
        <v/>
      </c>
      <c r="CH568" s="197" t="str">
        <f>IF(AND($K568="x",AND(MAX(CB568:CD568)=CD568,CD568&lt;&gt;"")),Data!$BK$2,"")</f>
        <v/>
      </c>
      <c r="CI568" s="197"/>
      <c r="CJ568" s="197"/>
      <c r="CK568" s="453"/>
      <c r="CL568" s="454"/>
      <c r="CM568" s="441" t="str">
        <f t="shared" si="834"/>
        <v/>
      </c>
      <c r="CN568" s="328"/>
      <c r="CO568" s="197" t="str">
        <f>IF(AND($I568="x",AND(MAX(CK568:CM568)=CK568,CK568&lt;&gt;"")),Data!$BI$2,"")</f>
        <v/>
      </c>
      <c r="CP568" s="197" t="str">
        <f>IF(AND($J568="x",AND(MAX(CK568:CM568)=CL568,CL568&lt;&gt;"")),Data!$BJ$2,"")</f>
        <v/>
      </c>
      <c r="CQ568" s="197" t="str">
        <f>IF(AND($K568="x",AND(MAX(CK568:CM568)=CM568,CM568&lt;&gt;"")),Data!$BK$2,"")</f>
        <v/>
      </c>
      <c r="CR568" s="197"/>
      <c r="CS568" s="197"/>
      <c r="CT568" s="328"/>
      <c r="CU568" s="259"/>
      <c r="CV568" s="209"/>
      <c r="CW568" s="227"/>
    </row>
    <row r="569" spans="1:101" x14ac:dyDescent="0.2">
      <c r="A569" s="227"/>
      <c r="B569" s="227"/>
      <c r="C569" s="168"/>
      <c r="D569" s="232"/>
      <c r="E569" s="136" t="s">
        <v>364</v>
      </c>
      <c r="F569" s="426"/>
      <c r="G569" s="432"/>
      <c r="H569" s="433"/>
      <c r="I569" s="349" t="str">
        <f t="shared" si="821"/>
        <v/>
      </c>
      <c r="J569" s="350" t="str">
        <f t="shared" si="822"/>
        <v/>
      </c>
      <c r="K569" s="351" t="str">
        <f t="shared" si="823"/>
        <v/>
      </c>
      <c r="L569" s="258"/>
      <c r="M569" s="332"/>
      <c r="N569" s="336"/>
      <c r="O569" s="200"/>
      <c r="P569" s="200"/>
      <c r="Q569" s="445"/>
      <c r="R569" s="446"/>
      <c r="S569" s="447" t="str">
        <f t="shared" si="824"/>
        <v/>
      </c>
      <c r="T569" s="328"/>
      <c r="U569" s="197" t="str">
        <f>IF(AND($I569="x",AND(MAX(Q569:S569)=Q569,Q569&gt;=0)),Data!$BI$2,"")</f>
        <v/>
      </c>
      <c r="V569" s="197" t="str">
        <f>IF(AND($J569="x",AND(MAX(Q569:S569)=R569,R569&gt;=0)),Data!$BJ$2,"")</f>
        <v/>
      </c>
      <c r="W569" s="197" t="str">
        <f>IF(AND($K569="x",AND(MAX(Q569:S569)=S569,S569&gt;=0)),Data!$BK$2,"")</f>
        <v/>
      </c>
      <c r="X569" s="197"/>
      <c r="Y569" s="328"/>
      <c r="Z569" s="455"/>
      <c r="AA569" s="456"/>
      <c r="AB569" s="447" t="str">
        <f t="shared" si="825"/>
        <v/>
      </c>
      <c r="AC569" s="328"/>
      <c r="AD569" s="197" t="str">
        <f>IF(AND($I569="x",AND(MAX(Z569:AB569)=Z569,Z569&lt;&gt;"")),Data!$BI$2,"")</f>
        <v/>
      </c>
      <c r="AE569" s="197" t="str">
        <f>IF(AND($J569="x",AND(MAX(Z569:AB569)=AA569,AA569&lt;&gt;"")),Data!$BJ$2,"")</f>
        <v/>
      </c>
      <c r="AF569" s="197" t="str">
        <f>IF(AND($K569="x",AND(MAX(Z569:AB569)=AB569,AB569&lt;&gt;"")),Data!$BK$2,"")</f>
        <v/>
      </c>
      <c r="AG569" s="197"/>
      <c r="AH569" s="328"/>
      <c r="AI569" s="455"/>
      <c r="AJ569" s="456"/>
      <c r="AK569" s="447" t="str">
        <f t="shared" si="826"/>
        <v/>
      </c>
      <c r="AL569" s="328"/>
      <c r="AM569" s="197" t="str">
        <f>IF(AND($I569="x",AND(MAX(AI569:AK569)=AI569,AI569&lt;&gt;"")),Data!$BI$2,"")</f>
        <v/>
      </c>
      <c r="AN569" s="197" t="str">
        <f>IF(AND($J569="x",AND(MAX(AI569:AK569)=AJ569,AJ569&lt;&gt;"")),Data!$BJ$2,"")</f>
        <v/>
      </c>
      <c r="AO569" s="197" t="str">
        <f>IF(AND($K569="x",AND(MAX(AI569:AK569)=AK569,AK569&lt;&gt;"")),Data!$BK$2,"")</f>
        <v/>
      </c>
      <c r="AP569" s="197"/>
      <c r="AQ569" s="328"/>
      <c r="AR569" s="455"/>
      <c r="AS569" s="456"/>
      <c r="AT569" s="447" t="str">
        <f t="shared" si="827"/>
        <v/>
      </c>
      <c r="AU569" s="328"/>
      <c r="AV569" s="197" t="str">
        <f>IF(AND($I569="x",AND(MAX(AR569:AT569)=AR569,AR569&lt;&gt;"")),Data!$BI$2,"")</f>
        <v/>
      </c>
      <c r="AW569" s="197" t="str">
        <f>IF(AND($J569="x",AND(MAX(AR569:AT569)=AS569,AS569&lt;&gt;"")),Data!$BJ$2,"")</f>
        <v/>
      </c>
      <c r="AX569" s="197" t="str">
        <f>IF(AND($K569="x",AND(MAX(AR569:AT569)=AT569,AT569&lt;&gt;"")),Data!$BK$2,"")</f>
        <v/>
      </c>
      <c r="AY569" s="197"/>
      <c r="AZ569" s="328"/>
      <c r="BA569" s="455"/>
      <c r="BB569" s="456"/>
      <c r="BC569" s="447" t="str">
        <f t="shared" si="828"/>
        <v/>
      </c>
      <c r="BD569" s="328"/>
      <c r="BE569" s="197" t="str">
        <f>IF(AND($I569="x",AND(MAX(BA569:BC569)=BA569,BA569&lt;&gt;"")),Data!$BI$2,"")</f>
        <v/>
      </c>
      <c r="BF569" s="197" t="str">
        <f>IF(AND($J569="x",AND(MAX(BA569:BC569)=BB569,BB569&lt;&gt;"")),Data!$BJ$2,"")</f>
        <v/>
      </c>
      <c r="BG569" s="197" t="str">
        <f>IF(AND($K569="x",AND(MAX(BA569:BC569)=BC569,BC569&lt;&gt;"")),Data!$BK$2,"")</f>
        <v/>
      </c>
      <c r="BH569" s="197"/>
      <c r="BI569" s="328"/>
      <c r="BJ569" s="455"/>
      <c r="BK569" s="456"/>
      <c r="BL569" s="447" t="str">
        <f t="shared" si="829"/>
        <v/>
      </c>
      <c r="BM569" s="328"/>
      <c r="BN569" s="197" t="str">
        <f>IF(AND($I569="x",AND(MAX(BJ569:BL569)=BJ569,BJ569&lt;&gt;"")),Data!$BI$2,"")</f>
        <v/>
      </c>
      <c r="BO569" s="197" t="str">
        <f>IF(AND($J569="x",AND(MAX(BJ569:BL569)=BK569,BK569&lt;&gt;"")),Data!$BJ$2,"")</f>
        <v/>
      </c>
      <c r="BP569" s="197" t="str">
        <f>IF(AND($K569="x",AND(MAX(BJ569:BL569)=BL569,BL569&lt;&gt;"")),Data!$BK$2,"")</f>
        <v/>
      </c>
      <c r="BQ569" s="197"/>
      <c r="BR569" s="328"/>
      <c r="BS569" s="455"/>
      <c r="BT569" s="456"/>
      <c r="BU569" s="447" t="str">
        <f t="shared" si="830"/>
        <v/>
      </c>
      <c r="BV569" s="328"/>
      <c r="BW569" s="197" t="str">
        <f>IF(AND($I569="x",AND(MAX(BS569:BU569)=BS569,BS569&lt;&gt;"")),Data!$BI$2,"")</f>
        <v/>
      </c>
      <c r="BX569" s="197" t="str">
        <f>IF(AND($J569="x",AND(MAX(BS569:BU569)=BT569,BT569&lt;&gt;"")),Data!$BJ$2,"")</f>
        <v/>
      </c>
      <c r="BY569" s="197" t="str">
        <f>IF(AND($K569="x",AND(MAX(BS569:BU569)=BU569,BU569&lt;&gt;"")),Data!$BK$2,"")</f>
        <v/>
      </c>
      <c r="BZ569" s="197"/>
      <c r="CA569" s="328"/>
      <c r="CB569" s="463" t="str">
        <f t="shared" si="831"/>
        <v/>
      </c>
      <c r="CC569" s="464" t="str">
        <f t="shared" si="832"/>
        <v/>
      </c>
      <c r="CD569" s="465" t="str">
        <f t="shared" si="833"/>
        <v/>
      </c>
      <c r="CE569" s="328"/>
      <c r="CF569" s="197" t="str">
        <f>IF(AND($I569="x",AND(MAX(CB569:CD569)=CB569,CB569&lt;&gt;"")),Data!$BI$2,"")</f>
        <v/>
      </c>
      <c r="CG569" s="197" t="str">
        <f>IF(AND($J569="x",AND(MAX(CB569:CD569)=CC569,CC569&lt;&gt;"")),Data!$BJ$2,"")</f>
        <v/>
      </c>
      <c r="CH569" s="197" t="str">
        <f>IF(AND($K569="x",AND(MAX(CB569:CD569)=CD569,CD569&lt;&gt;"")),Data!$BK$2,"")</f>
        <v/>
      </c>
      <c r="CI569" s="197"/>
      <c r="CJ569" s="197"/>
      <c r="CK569" s="455"/>
      <c r="CL569" s="456"/>
      <c r="CM569" s="447" t="str">
        <f t="shared" si="834"/>
        <v/>
      </c>
      <c r="CN569" s="328"/>
      <c r="CO569" s="197" t="str">
        <f>IF(AND($I569="x",AND(MAX(CK569:CM569)=CK569,CK569&lt;&gt;"")),Data!$BI$2,"")</f>
        <v/>
      </c>
      <c r="CP569" s="197" t="str">
        <f>IF(AND($J569="x",AND(MAX(CK569:CM569)=CL569,CL569&lt;&gt;"")),Data!$BJ$2,"")</f>
        <v/>
      </c>
      <c r="CQ569" s="197" t="str">
        <f>IF(AND($K569="x",AND(MAX(CK569:CM569)=CM569,CM569&lt;&gt;"")),Data!$BK$2,"")</f>
        <v/>
      </c>
      <c r="CR569" s="197"/>
      <c r="CS569" s="197"/>
      <c r="CT569" s="328"/>
      <c r="CU569" s="259"/>
      <c r="CV569" s="209"/>
      <c r="CW569" s="227"/>
    </row>
    <row r="570" spans="1:101" x14ac:dyDescent="0.2">
      <c r="A570" s="227"/>
      <c r="B570" s="227"/>
      <c r="C570" s="168"/>
      <c r="D570" s="233"/>
      <c r="E570" s="199"/>
      <c r="F570" s="352" t="str">
        <f>IF(SUM(F558:F569)=0,"",SUM(F558:F569))</f>
        <v/>
      </c>
      <c r="G570" s="327" t="s">
        <v>51</v>
      </c>
      <c r="H570" s="353" t="str">
        <f>IF(SUM(H558:H569)=0,"",SUM(H558:H569))</f>
        <v/>
      </c>
      <c r="I570" s="354" t="str">
        <f>IF(COUNTIF(I558:I569,"=x")=0,"",COUNTIF(I558:I569,"=x"))</f>
        <v/>
      </c>
      <c r="J570" s="355" t="str">
        <f>IF(COUNTIF(J558:J569,"=x")=0,"",COUNTIF(J558:J569,"=x"))</f>
        <v/>
      </c>
      <c r="K570" s="356" t="str">
        <f>IF(COUNTIF(K558:K569,"=x")=0,"",COUNTIF(K558:K569,"=x"))</f>
        <v/>
      </c>
      <c r="L570" s="258"/>
      <c r="M570" s="332"/>
      <c r="N570" s="336"/>
      <c r="O570" s="200"/>
      <c r="P570" s="326"/>
      <c r="Q570" s="422">
        <f>SUM(U558:U569)</f>
        <v>0</v>
      </c>
      <c r="R570" s="422">
        <f t="shared" ref="R570:S570" si="835">SUM(V558:V569)</f>
        <v>0</v>
      </c>
      <c r="S570" s="422">
        <f t="shared" si="835"/>
        <v>0</v>
      </c>
      <c r="T570" s="325"/>
      <c r="U570" s="197">
        <f>SUM(U558:U569)</f>
        <v>0</v>
      </c>
      <c r="V570" s="197">
        <f t="shared" ref="V570:W570" si="836">SUM(V558:V569)</f>
        <v>0</v>
      </c>
      <c r="W570" s="197">
        <f t="shared" si="836"/>
        <v>0</v>
      </c>
      <c r="X570" s="197"/>
      <c r="Y570" s="324"/>
      <c r="Z570" s="422">
        <f>SUM(AD558:AD569)</f>
        <v>0</v>
      </c>
      <c r="AA570" s="422">
        <f t="shared" ref="AA570:AB570" si="837">SUM(AE558:AE569)</f>
        <v>0</v>
      </c>
      <c r="AB570" s="422">
        <f t="shared" si="837"/>
        <v>0</v>
      </c>
      <c r="AC570" s="325"/>
      <c r="AD570" s="197">
        <f>SUM(AD558:AD569)</f>
        <v>0</v>
      </c>
      <c r="AE570" s="197">
        <f t="shared" ref="AE570:AF570" si="838">SUM(AE558:AE569)</f>
        <v>0</v>
      </c>
      <c r="AF570" s="197">
        <f t="shared" si="838"/>
        <v>0</v>
      </c>
      <c r="AG570" s="197"/>
      <c r="AH570" s="324"/>
      <c r="AI570" s="422">
        <f>SUM(AM558:AM569)</f>
        <v>0</v>
      </c>
      <c r="AJ570" s="422">
        <f t="shared" ref="AJ570:AK570" si="839">SUM(AN558:AN569)</f>
        <v>0</v>
      </c>
      <c r="AK570" s="422">
        <f t="shared" si="839"/>
        <v>0</v>
      </c>
      <c r="AL570" s="325"/>
      <c r="AM570" s="197">
        <f>SUM(AM558:AM569)</f>
        <v>0</v>
      </c>
      <c r="AN570" s="197">
        <f t="shared" ref="AN570:AO570" si="840">SUM(AN558:AN569)</f>
        <v>0</v>
      </c>
      <c r="AO570" s="197">
        <f t="shared" si="840"/>
        <v>0</v>
      </c>
      <c r="AP570" s="197"/>
      <c r="AQ570" s="324"/>
      <c r="AR570" s="422">
        <f>SUM(AV558:AV569)</f>
        <v>0</v>
      </c>
      <c r="AS570" s="422">
        <f t="shared" ref="AS570:AT570" si="841">SUM(AW558:AW569)</f>
        <v>0</v>
      </c>
      <c r="AT570" s="422">
        <f t="shared" si="841"/>
        <v>0</v>
      </c>
      <c r="AU570" s="325"/>
      <c r="AV570" s="197">
        <f>SUM(AV558:AV569)</f>
        <v>0</v>
      </c>
      <c r="AW570" s="197">
        <f t="shared" ref="AW570:AX570" si="842">SUM(AW558:AW569)</f>
        <v>0</v>
      </c>
      <c r="AX570" s="197">
        <f t="shared" si="842"/>
        <v>0</v>
      </c>
      <c r="AY570" s="197"/>
      <c r="AZ570" s="324"/>
      <c r="BA570" s="422">
        <f>SUM(BE558:BE569)</f>
        <v>0</v>
      </c>
      <c r="BB570" s="422">
        <f t="shared" ref="BB570:BC570" si="843">SUM(BF558:BF569)</f>
        <v>0</v>
      </c>
      <c r="BC570" s="422">
        <f t="shared" si="843"/>
        <v>0</v>
      </c>
      <c r="BD570" s="325"/>
      <c r="BE570" s="197">
        <f>SUM(BE558:BE569)</f>
        <v>0</v>
      </c>
      <c r="BF570" s="197">
        <f t="shared" ref="BF570:BG570" si="844">SUM(BF558:BF569)</f>
        <v>0</v>
      </c>
      <c r="BG570" s="197">
        <f t="shared" si="844"/>
        <v>0</v>
      </c>
      <c r="BH570" s="197"/>
      <c r="BI570" s="324"/>
      <c r="BJ570" s="422">
        <f>SUM(BN558:BN569)</f>
        <v>0</v>
      </c>
      <c r="BK570" s="422">
        <f t="shared" ref="BK570" si="845">SUM(BO558:BO569)</f>
        <v>0</v>
      </c>
      <c r="BL570" s="422">
        <f t="shared" ref="BL570" si="846">SUM(BP558:BP569)</f>
        <v>0</v>
      </c>
      <c r="BM570" s="325"/>
      <c r="BN570" s="197">
        <f>SUM(BN558:BN569)</f>
        <v>0</v>
      </c>
      <c r="BO570" s="197">
        <f t="shared" ref="BO570:BP570" si="847">SUM(BO558:BO569)</f>
        <v>0</v>
      </c>
      <c r="BP570" s="197">
        <f t="shared" si="847"/>
        <v>0</v>
      </c>
      <c r="BQ570" s="197"/>
      <c r="BR570" s="324"/>
      <c r="BS570" s="422">
        <f>SUM(BW558:BW569)</f>
        <v>0</v>
      </c>
      <c r="BT570" s="422">
        <f t="shared" ref="BT570:BU570" si="848">SUM(BX558:BX569)</f>
        <v>0</v>
      </c>
      <c r="BU570" s="422">
        <f t="shared" si="848"/>
        <v>0</v>
      </c>
      <c r="BV570" s="325"/>
      <c r="BW570" s="197">
        <f>SUM(BW558:BW569)</f>
        <v>0</v>
      </c>
      <c r="BX570" s="197">
        <f t="shared" ref="BX570:BY570" si="849">SUM(BX558:BX569)</f>
        <v>0</v>
      </c>
      <c r="BY570" s="197">
        <f t="shared" si="849"/>
        <v>0</v>
      </c>
      <c r="BZ570" s="197"/>
      <c r="CA570" s="326"/>
      <c r="CB570" s="422">
        <f>SUM(CF558:CF569)</f>
        <v>0</v>
      </c>
      <c r="CC570" s="422">
        <f t="shared" ref="CC570:CD570" si="850">SUM(CG558:CG569)</f>
        <v>0</v>
      </c>
      <c r="CD570" s="422">
        <f t="shared" si="850"/>
        <v>0</v>
      </c>
      <c r="CE570" s="325"/>
      <c r="CF570" s="197">
        <f>SUM(CF558:CF569)</f>
        <v>0</v>
      </c>
      <c r="CG570" s="197">
        <f t="shared" ref="CG570:CH570" si="851">SUM(CG558:CG569)</f>
        <v>0</v>
      </c>
      <c r="CH570" s="197">
        <f t="shared" si="851"/>
        <v>0</v>
      </c>
      <c r="CI570" s="197"/>
      <c r="CJ570" s="197"/>
      <c r="CK570" s="422">
        <f>SUM(CO558:CO569)</f>
        <v>0</v>
      </c>
      <c r="CL570" s="422">
        <f t="shared" ref="CL570:CM570" si="852">SUM(CP558:CP569)</f>
        <v>0</v>
      </c>
      <c r="CM570" s="422">
        <f t="shared" si="852"/>
        <v>0</v>
      </c>
      <c r="CN570" s="325"/>
      <c r="CO570" s="197">
        <f>SUM(CO558:CO569)</f>
        <v>0</v>
      </c>
      <c r="CP570" s="197">
        <f t="shared" ref="CP570:CQ570" si="853">SUM(CP558:CP569)</f>
        <v>0</v>
      </c>
      <c r="CQ570" s="197">
        <f t="shared" si="853"/>
        <v>0</v>
      </c>
      <c r="CR570" s="197"/>
      <c r="CS570" s="197"/>
      <c r="CT570" s="197"/>
      <c r="CU570" s="259"/>
      <c r="CV570" s="209"/>
      <c r="CW570" s="228"/>
    </row>
    <row r="571" spans="1:101" x14ac:dyDescent="0.2">
      <c r="A571" s="227"/>
      <c r="B571" s="227"/>
      <c r="C571" s="168"/>
      <c r="D571" s="249"/>
      <c r="E571" s="242"/>
      <c r="F571" s="243"/>
      <c r="G571" s="242"/>
      <c r="H571" s="242"/>
      <c r="I571" s="242"/>
      <c r="J571" s="242"/>
      <c r="K571" s="242"/>
      <c r="L571" s="252"/>
      <c r="M571" s="260"/>
      <c r="N571" s="337"/>
      <c r="O571" s="333"/>
      <c r="P571" s="244"/>
      <c r="Q571" s="245"/>
      <c r="R571" s="245"/>
      <c r="S571" s="245"/>
      <c r="T571" s="246"/>
      <c r="U571" s="247"/>
      <c r="V571" s="247"/>
      <c r="W571" s="247"/>
      <c r="X571" s="247"/>
      <c r="Y571" s="244"/>
      <c r="Z571" s="245"/>
      <c r="AA571" s="245"/>
      <c r="AB571" s="245"/>
      <c r="AC571" s="246"/>
      <c r="AD571" s="247"/>
      <c r="AE571" s="247"/>
      <c r="AF571" s="247"/>
      <c r="AG571" s="247"/>
      <c r="AH571" s="244"/>
      <c r="AI571" s="245"/>
      <c r="AJ571" s="245"/>
      <c r="AK571" s="245"/>
      <c r="AL571" s="246"/>
      <c r="AM571" s="247"/>
      <c r="AN571" s="247"/>
      <c r="AO571" s="247"/>
      <c r="AP571" s="247"/>
      <c r="AQ571" s="244"/>
      <c r="AR571" s="245"/>
      <c r="AS571" s="245"/>
      <c r="AT571" s="245"/>
      <c r="AU571" s="246"/>
      <c r="AV571" s="247"/>
      <c r="AW571" s="247"/>
      <c r="AX571" s="247"/>
      <c r="AY571" s="247"/>
      <c r="AZ571" s="244"/>
      <c r="BA571" s="245"/>
      <c r="BB571" s="245"/>
      <c r="BC571" s="245"/>
      <c r="BD571" s="246"/>
      <c r="BE571" s="247"/>
      <c r="BF571" s="247"/>
      <c r="BG571" s="247"/>
      <c r="BH571" s="247"/>
      <c r="BI571" s="244"/>
      <c r="BJ571" s="244"/>
      <c r="BK571" s="244"/>
      <c r="BL571" s="244"/>
      <c r="BM571" s="244"/>
      <c r="BN571" s="247"/>
      <c r="BO571" s="247"/>
      <c r="BP571" s="247"/>
      <c r="BQ571" s="247"/>
      <c r="BR571" s="244"/>
      <c r="BS571" s="244"/>
      <c r="BT571" s="244"/>
      <c r="BU571" s="244"/>
      <c r="BV571" s="244"/>
      <c r="BW571" s="247"/>
      <c r="BX571" s="247"/>
      <c r="BY571" s="247"/>
      <c r="BZ571" s="247"/>
      <c r="CA571" s="244"/>
      <c r="CB571" s="244"/>
      <c r="CC571" s="244"/>
      <c r="CD571" s="244"/>
      <c r="CE571" s="244"/>
      <c r="CF571" s="247"/>
      <c r="CG571" s="247"/>
      <c r="CH571" s="247"/>
      <c r="CI571" s="247"/>
      <c r="CJ571" s="248"/>
      <c r="CK571" s="248"/>
      <c r="CL571" s="248"/>
      <c r="CM571" s="248"/>
      <c r="CN571" s="248"/>
      <c r="CO571" s="247"/>
      <c r="CP571" s="247"/>
      <c r="CQ571" s="247"/>
      <c r="CR571" s="247"/>
      <c r="CS571" s="248"/>
      <c r="CT571" s="242"/>
      <c r="CU571" s="253"/>
      <c r="CV571" s="209"/>
      <c r="CW571" s="228"/>
    </row>
    <row r="572" spans="1:101" x14ac:dyDescent="0.2">
      <c r="A572" s="219"/>
      <c r="B572" s="219"/>
      <c r="C572" s="175"/>
      <c r="D572" s="176"/>
      <c r="E572" s="210"/>
      <c r="F572" s="211"/>
      <c r="G572" s="210"/>
      <c r="H572" s="210"/>
      <c r="I572" s="210"/>
      <c r="J572" s="210"/>
      <c r="K572" s="210"/>
      <c r="L572" s="212"/>
      <c r="M572" s="213"/>
      <c r="N572" s="213"/>
      <c r="O572" s="213"/>
      <c r="P572" s="213"/>
      <c r="Q572" s="210"/>
      <c r="R572" s="210"/>
      <c r="S572" s="210"/>
      <c r="T572" s="214"/>
      <c r="U572" s="215"/>
      <c r="V572" s="215"/>
      <c r="W572" s="215"/>
      <c r="X572" s="215"/>
      <c r="Y572" s="213"/>
      <c r="Z572" s="210"/>
      <c r="AA572" s="210"/>
      <c r="AB572" s="210"/>
      <c r="AC572" s="214"/>
      <c r="AD572" s="215"/>
      <c r="AE572" s="215"/>
      <c r="AF572" s="215"/>
      <c r="AG572" s="215"/>
      <c r="AH572" s="213"/>
      <c r="AI572" s="210"/>
      <c r="AJ572" s="210"/>
      <c r="AK572" s="210"/>
      <c r="AL572" s="214"/>
      <c r="AM572" s="215"/>
      <c r="AN572" s="215"/>
      <c r="AO572" s="215"/>
      <c r="AP572" s="215"/>
      <c r="AQ572" s="213"/>
      <c r="AR572" s="210"/>
      <c r="AS572" s="210"/>
      <c r="AT572" s="210"/>
      <c r="AU572" s="214"/>
      <c r="AV572" s="215"/>
      <c r="AW572" s="215"/>
      <c r="AX572" s="215"/>
      <c r="AY572" s="215"/>
      <c r="AZ572" s="213"/>
      <c r="BA572" s="210"/>
      <c r="BB572" s="210"/>
      <c r="BC572" s="210"/>
      <c r="BD572" s="214"/>
      <c r="BE572" s="215"/>
      <c r="BF572" s="215"/>
      <c r="BG572" s="215"/>
      <c r="BH572" s="215"/>
      <c r="BI572" s="213"/>
      <c r="BJ572" s="210"/>
      <c r="BK572" s="210"/>
      <c r="BL572" s="210"/>
      <c r="BM572" s="214"/>
      <c r="BN572" s="215"/>
      <c r="BO572" s="215"/>
      <c r="BP572" s="215"/>
      <c r="BQ572" s="215"/>
      <c r="BR572" s="177"/>
      <c r="BS572" s="210"/>
      <c r="BT572" s="210"/>
      <c r="BU572" s="210"/>
      <c r="BV572" s="213"/>
      <c r="BW572" s="215"/>
      <c r="BX572" s="215"/>
      <c r="BY572" s="215"/>
      <c r="BZ572" s="215"/>
      <c r="CA572" s="210"/>
      <c r="CB572" s="216"/>
      <c r="CC572" s="216"/>
      <c r="CD572" s="216"/>
      <c r="CE572" s="216"/>
      <c r="CF572" s="215"/>
      <c r="CG572" s="215"/>
      <c r="CH572" s="215"/>
      <c r="CI572" s="215"/>
      <c r="CJ572" s="210"/>
      <c r="CK572" s="210"/>
      <c r="CL572" s="210"/>
      <c r="CM572" s="210"/>
      <c r="CN572" s="210"/>
      <c r="CO572" s="215"/>
      <c r="CP572" s="215"/>
      <c r="CQ572" s="215"/>
      <c r="CR572" s="215"/>
      <c r="CS572" s="210"/>
      <c r="CT572" s="210"/>
      <c r="CU572" s="210"/>
      <c r="CV572" s="217"/>
      <c r="CW572" s="218"/>
    </row>
    <row r="573" spans="1:101" ht="14.25" thickTop="1" thickBot="1" x14ac:dyDescent="0.25">
      <c r="A573" s="218"/>
      <c r="B573" s="218"/>
      <c r="C573" s="218"/>
      <c r="D573" s="218"/>
      <c r="E573" s="218"/>
      <c r="F573" s="218"/>
      <c r="G573" s="218"/>
      <c r="H573" s="218"/>
      <c r="I573" s="218"/>
      <c r="J573" s="218"/>
      <c r="K573" s="218"/>
      <c r="L573" s="218"/>
      <c r="M573" s="218"/>
      <c r="N573" s="218"/>
      <c r="O573" s="218"/>
      <c r="P573" s="218"/>
      <c r="Q573" s="218"/>
      <c r="R573" s="218"/>
      <c r="S573" s="218"/>
      <c r="T573" s="218"/>
      <c r="U573" s="218"/>
      <c r="V573" s="218"/>
      <c r="W573" s="218"/>
      <c r="X573" s="218"/>
      <c r="Y573" s="218"/>
      <c r="Z573" s="218"/>
      <c r="AA573" s="218"/>
      <c r="AB573" s="218"/>
      <c r="AC573" s="218"/>
      <c r="AD573" s="218"/>
      <c r="AE573" s="218"/>
      <c r="AF573" s="218"/>
      <c r="AG573" s="218"/>
      <c r="AH573" s="218"/>
      <c r="AI573" s="218"/>
      <c r="AJ573" s="218"/>
      <c r="AK573" s="218"/>
      <c r="AL573" s="218"/>
      <c r="AM573" s="218"/>
      <c r="AN573" s="218"/>
      <c r="AO573" s="218"/>
      <c r="AP573" s="218"/>
      <c r="AQ573" s="218"/>
      <c r="AR573" s="218"/>
      <c r="AS573" s="218"/>
      <c r="AT573" s="218"/>
      <c r="AU573" s="218"/>
      <c r="AV573" s="218"/>
      <c r="AW573" s="218"/>
      <c r="AX573" s="218"/>
      <c r="AY573" s="218"/>
      <c r="AZ573" s="218"/>
      <c r="BA573" s="218"/>
      <c r="BB573" s="218"/>
      <c r="BC573" s="218"/>
      <c r="BD573" s="218"/>
      <c r="BE573" s="218"/>
      <c r="BF573" s="218"/>
      <c r="BG573" s="218"/>
      <c r="BH573" s="218"/>
      <c r="BI573" s="218"/>
      <c r="BJ573" s="218"/>
      <c r="BK573" s="218"/>
      <c r="BL573" s="218"/>
      <c r="BM573" s="218"/>
      <c r="BN573" s="218"/>
      <c r="BO573" s="218"/>
      <c r="BP573" s="218"/>
      <c r="BQ573" s="218"/>
      <c r="BR573" s="218"/>
      <c r="BS573" s="218"/>
      <c r="BT573" s="218"/>
      <c r="BU573" s="218"/>
      <c r="BV573" s="218"/>
      <c r="BW573" s="218"/>
      <c r="BX573" s="218"/>
      <c r="BY573" s="218"/>
      <c r="BZ573" s="218"/>
      <c r="CA573" s="218"/>
      <c r="CB573" s="392"/>
      <c r="CC573" s="392"/>
      <c r="CD573" s="392"/>
      <c r="CE573" s="392"/>
      <c r="CF573" s="218"/>
      <c r="CG573" s="218"/>
      <c r="CH573" s="218"/>
      <c r="CI573" s="218"/>
      <c r="CJ573" s="218"/>
      <c r="CK573" s="218"/>
      <c r="CL573" s="218"/>
      <c r="CM573" s="218"/>
      <c r="CN573" s="218"/>
      <c r="CO573" s="218"/>
      <c r="CP573" s="218"/>
      <c r="CQ573" s="218"/>
      <c r="CR573" s="218"/>
      <c r="CS573" s="218"/>
      <c r="CT573" s="218"/>
      <c r="CU573" s="218"/>
      <c r="CV573" s="218"/>
      <c r="CW573" s="218"/>
    </row>
    <row r="574" spans="1:101" ht="21" thickTop="1" x14ac:dyDescent="0.3">
      <c r="A574" s="219"/>
      <c r="B574" s="219"/>
      <c r="C574" s="157"/>
      <c r="D574" s="158"/>
      <c r="E574" s="731" t="s">
        <v>44</v>
      </c>
      <c r="F574" s="229"/>
      <c r="G574" s="229"/>
      <c r="H574" s="229"/>
      <c r="I574" s="877" t="e" vm="1">
        <v>#VALUE!</v>
      </c>
      <c r="J574" s="877"/>
      <c r="K574" s="877"/>
      <c r="L574" s="877"/>
      <c r="M574" s="159"/>
      <c r="N574" s="159"/>
      <c r="O574" s="159"/>
      <c r="P574" s="160"/>
      <c r="Q574" s="159"/>
      <c r="R574" s="159"/>
      <c r="S574" s="159"/>
      <c r="T574" s="161"/>
      <c r="U574" s="162"/>
      <c r="V574" s="162"/>
      <c r="W574" s="162"/>
      <c r="X574" s="162"/>
      <c r="Y574" s="160"/>
      <c r="Z574" s="159"/>
      <c r="AA574" s="159"/>
      <c r="AB574" s="159"/>
      <c r="AC574" s="161"/>
      <c r="AD574" s="162"/>
      <c r="AE574" s="162"/>
      <c r="AF574" s="162"/>
      <c r="AG574" s="162"/>
      <c r="AH574" s="160"/>
      <c r="AI574" s="159"/>
      <c r="AJ574" s="201"/>
      <c r="AK574" s="201"/>
      <c r="AL574" s="164"/>
      <c r="AM574" s="162"/>
      <c r="AN574" s="162"/>
      <c r="AO574" s="162"/>
      <c r="AP574" s="162"/>
      <c r="AQ574" s="202"/>
      <c r="AR574" s="203"/>
      <c r="AS574" s="165"/>
      <c r="AT574" s="166"/>
      <c r="AU574" s="164"/>
      <c r="AV574" s="162"/>
      <c r="AW574" s="162"/>
      <c r="AX574" s="162"/>
      <c r="AY574" s="162"/>
      <c r="AZ574" s="202"/>
      <c r="BA574" s="203"/>
      <c r="BB574" s="166"/>
      <c r="BC574" s="201"/>
      <c r="BD574" s="204"/>
      <c r="BE574" s="162"/>
      <c r="BF574" s="162"/>
      <c r="BG574" s="162"/>
      <c r="BH574" s="162"/>
      <c r="BI574" s="205"/>
      <c r="BJ574" s="201"/>
      <c r="BK574" s="201"/>
      <c r="BL574" s="201"/>
      <c r="BM574" s="204"/>
      <c r="BN574" s="162"/>
      <c r="BO574" s="162"/>
      <c r="BP574" s="162"/>
      <c r="BQ574" s="162"/>
      <c r="BR574" s="167"/>
      <c r="BS574" s="201"/>
      <c r="BT574" s="201"/>
      <c r="BU574" s="201"/>
      <c r="BV574" s="205"/>
      <c r="BW574" s="162"/>
      <c r="BX574" s="162"/>
      <c r="BY574" s="162"/>
      <c r="BZ574" s="162"/>
      <c r="CA574" s="201"/>
      <c r="CB574" s="393"/>
      <c r="CC574" s="393"/>
      <c r="CD574" s="393"/>
      <c r="CE574" s="393"/>
      <c r="CF574" s="162"/>
      <c r="CG574" s="162"/>
      <c r="CH574" s="162"/>
      <c r="CI574" s="162"/>
      <c r="CJ574" s="163"/>
      <c r="CK574" s="163"/>
      <c r="CL574" s="163"/>
      <c r="CM574" s="163"/>
      <c r="CN574" s="163"/>
      <c r="CO574" s="162"/>
      <c r="CP574" s="162"/>
      <c r="CQ574" s="162"/>
      <c r="CR574" s="162"/>
      <c r="CS574" s="163"/>
      <c r="CT574" s="358"/>
      <c r="CU574" s="201"/>
      <c r="CV574" s="206"/>
      <c r="CW574" s="218"/>
    </row>
    <row r="575" spans="1:101" ht="15.75" thickBot="1" x14ac:dyDescent="0.25">
      <c r="A575" s="219"/>
      <c r="B575" s="219"/>
      <c r="C575" s="168"/>
      <c r="D575" s="785"/>
      <c r="E575" s="869" t="s">
        <v>45</v>
      </c>
      <c r="F575" s="363"/>
      <c r="G575" s="363"/>
      <c r="H575" s="363"/>
      <c r="I575" s="878"/>
      <c r="J575" s="878"/>
      <c r="K575" s="878"/>
      <c r="L575" s="878"/>
      <c r="M575" s="363"/>
      <c r="N575" s="363"/>
      <c r="O575" s="363"/>
      <c r="P575" s="363"/>
      <c r="Q575" s="363"/>
      <c r="R575" s="363"/>
      <c r="S575" s="363"/>
      <c r="T575" s="363"/>
      <c r="U575" s="363"/>
      <c r="V575" s="363"/>
      <c r="W575" s="363"/>
      <c r="X575" s="363"/>
      <c r="Y575" s="363"/>
      <c r="Z575" s="363"/>
      <c r="AA575" s="363"/>
      <c r="AB575" s="363"/>
      <c r="AC575" s="363"/>
      <c r="AD575" s="363"/>
      <c r="AE575" s="363"/>
      <c r="AF575" s="363"/>
      <c r="AG575" s="363"/>
      <c r="AH575" s="363"/>
      <c r="AI575" s="363"/>
      <c r="AJ575" s="363"/>
      <c r="AK575" s="363"/>
      <c r="AL575" s="363"/>
      <c r="AM575" s="363"/>
      <c r="AN575" s="363"/>
      <c r="AO575" s="363"/>
      <c r="AP575" s="363"/>
      <c r="AQ575" s="363"/>
      <c r="AR575" s="363"/>
      <c r="AS575" s="363"/>
      <c r="AT575" s="363"/>
      <c r="AU575" s="363"/>
      <c r="AV575" s="363"/>
      <c r="AW575" s="363"/>
      <c r="AX575" s="363"/>
      <c r="AY575" s="363"/>
      <c r="AZ575" s="363"/>
      <c r="BA575" s="363"/>
      <c r="BB575" s="363"/>
      <c r="BC575" s="363"/>
      <c r="BD575" s="363"/>
      <c r="BE575" s="363"/>
      <c r="BF575" s="363"/>
      <c r="BG575" s="363"/>
      <c r="BH575" s="363"/>
      <c r="BI575" s="363"/>
      <c r="BJ575" s="363"/>
      <c r="BK575" s="363"/>
      <c r="BL575" s="363"/>
      <c r="BM575" s="363"/>
      <c r="BN575" s="363"/>
      <c r="BO575" s="363"/>
      <c r="BP575" s="363"/>
      <c r="BQ575" s="363"/>
      <c r="BR575" s="363"/>
      <c r="BS575" s="363"/>
      <c r="BT575" s="363"/>
      <c r="BU575" s="363"/>
      <c r="BV575" s="363"/>
      <c r="BW575" s="363"/>
      <c r="BX575" s="363"/>
      <c r="BY575" s="363"/>
      <c r="BZ575" s="363"/>
      <c r="CA575" s="363"/>
      <c r="CB575" s="394"/>
      <c r="CC575" s="394"/>
      <c r="CD575" s="394"/>
      <c r="CE575" s="394"/>
      <c r="CF575" s="363"/>
      <c r="CG575" s="363"/>
      <c r="CH575" s="363"/>
      <c r="CI575" s="363"/>
      <c r="CJ575" s="363"/>
      <c r="CK575" s="363"/>
      <c r="CL575" s="363"/>
      <c r="CM575" s="363"/>
      <c r="CN575" s="323"/>
      <c r="CO575" s="363"/>
      <c r="CP575" s="363"/>
      <c r="CQ575" s="363"/>
      <c r="CR575" s="363"/>
      <c r="CS575" s="323"/>
      <c r="CT575" s="155"/>
      <c r="CU575" s="269"/>
      <c r="CV575" s="209"/>
      <c r="CW575" s="218"/>
    </row>
    <row r="576" spans="1:101" ht="18.75" thickTop="1" x14ac:dyDescent="0.2">
      <c r="A576" s="219"/>
      <c r="B576" s="219"/>
      <c r="C576" s="174"/>
      <c r="D576" s="778"/>
      <c r="E576" s="777"/>
      <c r="F576" s="235"/>
      <c r="G576" s="234"/>
      <c r="H576" s="234"/>
      <c r="I576" s="875">
        <f>WEEKNUM(E577)</f>
        <v>7</v>
      </c>
      <c r="J576" s="875"/>
      <c r="K576" s="875"/>
      <c r="L576" s="250"/>
      <c r="M576" s="261"/>
      <c r="N576" s="205"/>
      <c r="O576" s="236"/>
      <c r="P576" s="236"/>
      <c r="Q576" s="675" t="str">
        <f>IF($F580="","",SUM(Q592:S592)-S578)</f>
        <v/>
      </c>
      <c r="R576" s="675"/>
      <c r="S576" s="675"/>
      <c r="T576" s="237"/>
      <c r="U576" s="238"/>
      <c r="V576" s="238"/>
      <c r="W576" s="238"/>
      <c r="X576" s="238"/>
      <c r="Y576" s="236"/>
      <c r="Z576" s="675" t="str">
        <f>IF($F580="","",SUM(Z592:AB592)-AB578)</f>
        <v/>
      </c>
      <c r="AA576" s="675"/>
      <c r="AB576" s="675"/>
      <c r="AC576" s="237"/>
      <c r="AD576" s="238"/>
      <c r="AE576" s="238"/>
      <c r="AF576" s="238"/>
      <c r="AG576" s="238"/>
      <c r="AH576" s="236"/>
      <c r="AI576" s="675" t="str">
        <f>IF($F580="","",SUM(AI592:AK592)-AK578)</f>
        <v/>
      </c>
      <c r="AJ576" s="675"/>
      <c r="AK576" s="675"/>
      <c r="AL576" s="237"/>
      <c r="AM576" s="238"/>
      <c r="AN576" s="238"/>
      <c r="AO576" s="238"/>
      <c r="AP576" s="238"/>
      <c r="AQ576" s="236"/>
      <c r="AR576" s="675" t="str">
        <f>IF($F580="","",SUM(AR592:AT592)-AT578)</f>
        <v/>
      </c>
      <c r="AS576" s="675"/>
      <c r="AT576" s="675"/>
      <c r="AU576" s="239"/>
      <c r="AV576" s="238"/>
      <c r="AW576" s="238"/>
      <c r="AX576" s="238"/>
      <c r="AY576" s="238"/>
      <c r="AZ576" s="240"/>
      <c r="BA576" s="675" t="str">
        <f>IF($F580="","",SUM(BA592:BC592)-BC578)</f>
        <v/>
      </c>
      <c r="BB576" s="675"/>
      <c r="BC576" s="675"/>
      <c r="BD576" s="239"/>
      <c r="BE576" s="238"/>
      <c r="BF576" s="238"/>
      <c r="BG576" s="238"/>
      <c r="BH576" s="238"/>
      <c r="BI576" s="240"/>
      <c r="BJ576" s="675" t="str">
        <f>IF($F580="","",SUM(BJ592:BL592)-BL578)</f>
        <v/>
      </c>
      <c r="BK576" s="675"/>
      <c r="BL576" s="675"/>
      <c r="BM576" s="239"/>
      <c r="BN576" s="238"/>
      <c r="BO576" s="238"/>
      <c r="BP576" s="238"/>
      <c r="BQ576" s="238"/>
      <c r="BR576" s="241"/>
      <c r="BS576" s="675" t="str">
        <f>IF($F580="","",SUM(BS592:BU592)-BU578)</f>
        <v/>
      </c>
      <c r="BT576" s="675"/>
      <c r="BU576" s="675"/>
      <c r="BV576" s="240"/>
      <c r="BW576" s="238"/>
      <c r="BX576" s="238"/>
      <c r="BY576" s="238"/>
      <c r="BZ576" s="238"/>
      <c r="CA576" s="241"/>
      <c r="CB576" s="675" t="str">
        <f>IF($F580="","",SUM(CB592:CD592)-CD578)</f>
        <v/>
      </c>
      <c r="CC576" s="675"/>
      <c r="CD576" s="675"/>
      <c r="CE576" s="240"/>
      <c r="CF576" s="238"/>
      <c r="CG576" s="238"/>
      <c r="CH576" s="238"/>
      <c r="CI576" s="238"/>
      <c r="CJ576" s="234"/>
      <c r="CK576" s="675" t="str">
        <f>IF($F580="","",SUM(CK592:CM592))</f>
        <v/>
      </c>
      <c r="CL576" s="675"/>
      <c r="CM576" s="675"/>
      <c r="CN576" s="240"/>
      <c r="CO576" s="238"/>
      <c r="CP576" s="238"/>
      <c r="CQ576" s="238"/>
      <c r="CR576" s="238"/>
      <c r="CS576" s="234"/>
      <c r="CT576" s="234"/>
      <c r="CU576" s="251"/>
      <c r="CV576" s="209"/>
      <c r="CW576" s="218"/>
    </row>
    <row r="577" spans="1:101" x14ac:dyDescent="0.2">
      <c r="A577" s="219"/>
      <c r="B577" s="219"/>
      <c r="C577" s="174"/>
      <c r="D577" s="779"/>
      <c r="E577" s="543">
        <f>E555+7</f>
        <v>46431</v>
      </c>
      <c r="F577" s="178"/>
      <c r="G577" s="179"/>
      <c r="H577" s="179"/>
      <c r="I577" s="876"/>
      <c r="J577" s="876"/>
      <c r="K577" s="876"/>
      <c r="L577" s="254"/>
      <c r="M577" s="329"/>
      <c r="N577" s="208"/>
      <c r="O577" s="180"/>
      <c r="P577" s="180"/>
      <c r="Q577" s="584" t="str">
        <f>IF(Q576="","",Q576/Data!$X$1)</f>
        <v/>
      </c>
      <c r="R577" s="584"/>
      <c r="S577" s="585" t="str">
        <f>IF(SUM(X580:X591)=0,"",SUM(X580:X591))</f>
        <v/>
      </c>
      <c r="T577" s="181"/>
      <c r="U577" s="182"/>
      <c r="V577" s="182"/>
      <c r="W577" s="182"/>
      <c r="X577" s="182"/>
      <c r="Y577" s="180"/>
      <c r="Z577" s="584" t="str">
        <f>IF(Z576="","",Z576/Data!$X$1)</f>
        <v/>
      </c>
      <c r="AA577" s="584"/>
      <c r="AB577" s="585" t="str">
        <f>IF(SUM(AG580:AG591)=0,"",SUM(AG580:AG591))</f>
        <v/>
      </c>
      <c r="AC577" s="181"/>
      <c r="AD577" s="182"/>
      <c r="AE577" s="182"/>
      <c r="AF577" s="182"/>
      <c r="AG577" s="182"/>
      <c r="AH577" s="180"/>
      <c r="AI577" s="584" t="str">
        <f>IF(AI576="","",AI576/Data!$X$1)</f>
        <v/>
      </c>
      <c r="AJ577" s="584"/>
      <c r="AK577" s="585" t="str">
        <f>IF(SUM(AP580:AP591)=0,"",SUM(AP580:AP591))</f>
        <v/>
      </c>
      <c r="AL577" s="181"/>
      <c r="AM577" s="182"/>
      <c r="AN577" s="182"/>
      <c r="AO577" s="182"/>
      <c r="AP577" s="182"/>
      <c r="AQ577" s="180"/>
      <c r="AR577" s="584" t="str">
        <f>IF(AR576="","",AR576/Data!$X$1)</f>
        <v/>
      </c>
      <c r="AS577" s="584"/>
      <c r="AT577" s="585" t="str">
        <f>IF(SUM(AY580:AY591)=0,"",SUM(AY580:AY591))</f>
        <v/>
      </c>
      <c r="AU577" s="183"/>
      <c r="AV577" s="182"/>
      <c r="AW577" s="182"/>
      <c r="AX577" s="182"/>
      <c r="AY577" s="182"/>
      <c r="AZ577" s="184"/>
      <c r="BA577" s="584" t="str">
        <f>IF(BA576="","",BA576/Data!$X$1)</f>
        <v/>
      </c>
      <c r="BB577" s="584"/>
      <c r="BC577" s="585" t="str">
        <f>IF(SUM(BH580:BH591)=0,"",SUM(BH580:BH591))</f>
        <v/>
      </c>
      <c r="BD577" s="183"/>
      <c r="BE577" s="182"/>
      <c r="BF577" s="182"/>
      <c r="BG577" s="182"/>
      <c r="BH577" s="182"/>
      <c r="BI577" s="184"/>
      <c r="BJ577" s="584" t="str">
        <f>IF(BJ576="","",BJ576/Data!$X$1)</f>
        <v/>
      </c>
      <c r="BK577" s="584"/>
      <c r="BL577" s="585" t="str">
        <f>IF(SUM(BQ580:BQ591)=0,"",SUM(BQ580:BQ591))</f>
        <v/>
      </c>
      <c r="BM577" s="183"/>
      <c r="BN577" s="182"/>
      <c r="BO577" s="182"/>
      <c r="BP577" s="182"/>
      <c r="BQ577" s="182"/>
      <c r="BR577" s="185"/>
      <c r="BS577" s="584" t="str">
        <f>IF(BS576="","",BS576/Data!$X$1)</f>
        <v/>
      </c>
      <c r="BT577" s="584"/>
      <c r="BU577" s="585" t="str">
        <f>IF(SUM(BZ580:BZ591)=0,"",SUM(BZ580:BZ591))</f>
        <v/>
      </c>
      <c r="BV577" s="184"/>
      <c r="BW577" s="182"/>
      <c r="BX577" s="182"/>
      <c r="BY577" s="182"/>
      <c r="BZ577" s="182"/>
      <c r="CA577" s="185"/>
      <c r="CB577" s="584" t="str">
        <f>IF(CB576="","",CB576/Data!$X$1)</f>
        <v/>
      </c>
      <c r="CC577" s="584"/>
      <c r="CD577" s="585" t="str">
        <f>IF(SUM(CI580:CI591)=0,"",SUM(CI580:CI591))</f>
        <v/>
      </c>
      <c r="CE577" s="184"/>
      <c r="CF577" s="182"/>
      <c r="CG577" s="182"/>
      <c r="CH577" s="182"/>
      <c r="CI577" s="182"/>
      <c r="CJ577" s="182"/>
      <c r="CK577" s="584" t="str">
        <f>IF(CK576="","",CK576/Data!$X$1)</f>
        <v/>
      </c>
      <c r="CL577" s="584"/>
      <c r="CM577" s="585" t="str">
        <f>IF(SUM(CR580:CR591)=0,"",SUM(CR580:CR591))</f>
        <v/>
      </c>
      <c r="CN577" s="184"/>
      <c r="CO577" s="182"/>
      <c r="CP577" s="182"/>
      <c r="CQ577" s="182"/>
      <c r="CR577" s="182"/>
      <c r="CS577" s="182"/>
      <c r="CT577" s="182"/>
      <c r="CU577" s="255"/>
      <c r="CV577" s="209"/>
      <c r="CW577" s="218"/>
    </row>
    <row r="578" spans="1:101" ht="13.5" thickBot="1" x14ac:dyDescent="0.25">
      <c r="A578" s="219"/>
      <c r="B578" s="219"/>
      <c r="C578" s="174"/>
      <c r="D578" s="230"/>
      <c r="E578" s="359"/>
      <c r="F578" s="186"/>
      <c r="G578" s="187"/>
      <c r="H578" s="187"/>
      <c r="I578" s="673"/>
      <c r="J578" s="674"/>
      <c r="K578" s="674"/>
      <c r="L578" s="256"/>
      <c r="M578" s="330"/>
      <c r="N578" s="334"/>
      <c r="O578" s="187"/>
      <c r="P578" s="187"/>
      <c r="Q578" s="342" t="str">
        <f>Data!$E$11</f>
        <v>AHH</v>
      </c>
      <c r="R578" s="343" t="str">
        <f>IF($F591="","",RANK(Q576,$Q576:$CL576))</f>
        <v/>
      </c>
      <c r="S578" s="466"/>
      <c r="T578" s="181"/>
      <c r="U578" s="182"/>
      <c r="V578" s="182"/>
      <c r="W578" s="182"/>
      <c r="X578" s="197">
        <f>COUNTIF(U580:W591,"&gt;0")</f>
        <v>0</v>
      </c>
      <c r="Y578" s="180"/>
      <c r="Z578" s="342" t="str">
        <f>Data!$E$12</f>
        <v>RB</v>
      </c>
      <c r="AA578" s="343" t="str">
        <f>IF($F591="","",RANK(Z576,$Q576:$CL576))</f>
        <v/>
      </c>
      <c r="AB578" s="466"/>
      <c r="AC578" s="181"/>
      <c r="AD578" s="182"/>
      <c r="AE578" s="182"/>
      <c r="AF578" s="182"/>
      <c r="AG578" s="197">
        <f>COUNTIF(AD580:AF591,"&gt;0")</f>
        <v>0</v>
      </c>
      <c r="AH578" s="180"/>
      <c r="AI578" s="342" t="str">
        <f>Data!$E$13</f>
        <v>EB</v>
      </c>
      <c r="AJ578" s="343" t="str">
        <f>IF($F591="","",RANK(AI576,$Q576:$CL576))</f>
        <v/>
      </c>
      <c r="AK578" s="466"/>
      <c r="AL578" s="181"/>
      <c r="AM578" s="182"/>
      <c r="AN578" s="182"/>
      <c r="AO578" s="182"/>
      <c r="AP578" s="197">
        <f>COUNTIF(AM580:AO591,"&gt;0")</f>
        <v>0</v>
      </c>
      <c r="AQ578" s="180"/>
      <c r="AR578" s="305" t="str">
        <f>Data!$E$14</f>
        <v>KAF</v>
      </c>
      <c r="AS578" s="343" t="str">
        <f>IF($F591="","",RANK(AR576,$Q576:$CL576))</f>
        <v/>
      </c>
      <c r="AT578" s="466"/>
      <c r="AU578" s="181"/>
      <c r="AV578" s="182"/>
      <c r="AW578" s="182"/>
      <c r="AX578" s="182"/>
      <c r="AY578" s="197">
        <f>COUNTIF(AV580:AX591,"&gt;0")</f>
        <v>0</v>
      </c>
      <c r="AZ578" s="180"/>
      <c r="BA578" s="305" t="str">
        <f>Data!$E$15</f>
        <v>ØG</v>
      </c>
      <c r="BB578" s="343" t="str">
        <f>IF($F591="","",RANK(BA576,$Q576:$CL576))</f>
        <v/>
      </c>
      <c r="BC578" s="466"/>
      <c r="BD578" s="181"/>
      <c r="BE578" s="182"/>
      <c r="BF578" s="182"/>
      <c r="BG578" s="182"/>
      <c r="BH578" s="197">
        <f>COUNTIF(BE580:BG591,"&gt;0")</f>
        <v>0</v>
      </c>
      <c r="BI578" s="180"/>
      <c r="BJ578" s="305" t="str">
        <f>Data!$E$16</f>
        <v>JH</v>
      </c>
      <c r="BK578" s="343" t="str">
        <f>IF($F591="","",RANK(BJ576,$Q576:$CL576))</f>
        <v/>
      </c>
      <c r="BL578" s="466"/>
      <c r="BM578" s="181"/>
      <c r="BN578" s="182"/>
      <c r="BO578" s="182"/>
      <c r="BP578" s="182"/>
      <c r="BQ578" s="197">
        <f>COUNTIF(BN580:BP591,"&gt;0")</f>
        <v>0</v>
      </c>
      <c r="BR578" s="188"/>
      <c r="BS578" s="305" t="str">
        <f>Data!$E$17</f>
        <v>TOH</v>
      </c>
      <c r="BT578" s="343" t="str">
        <f>IF($F591="","",RANK(BS576,$Q576:$CL576))</f>
        <v/>
      </c>
      <c r="BU578" s="466"/>
      <c r="BV578" s="180"/>
      <c r="BW578" s="182"/>
      <c r="BX578" s="182"/>
      <c r="BY578" s="182"/>
      <c r="BZ578" s="197">
        <f>COUNTIF(BW580:BY591,"&gt;0")</f>
        <v>0</v>
      </c>
      <c r="CA578" s="188"/>
      <c r="CB578" s="305" t="s">
        <v>26</v>
      </c>
      <c r="CC578" s="343" t="str">
        <f>IF($F591="","",RANK(CB576,$Q576:$CM576))</f>
        <v/>
      </c>
      <c r="CD578" s="467"/>
      <c r="CE578" s="180"/>
      <c r="CF578" s="182"/>
      <c r="CG578" s="182"/>
      <c r="CH578" s="182"/>
      <c r="CI578" s="197">
        <f>COUNTIF(CF580:CH591,"&gt;0")</f>
        <v>0</v>
      </c>
      <c r="CJ578" s="182"/>
      <c r="CK578" s="305" t="s">
        <v>27</v>
      </c>
      <c r="CL578" s="343" t="str">
        <f>IF($F591="","",RANK(CK576,$Q576:$CM576))</f>
        <v/>
      </c>
      <c r="CM578" s="669"/>
      <c r="CN578" s="180"/>
      <c r="CO578" s="182"/>
      <c r="CP578" s="182"/>
      <c r="CQ578" s="182"/>
      <c r="CR578" s="197">
        <f>COUNTIF(CO580:CQ591,"&gt;0")</f>
        <v>0</v>
      </c>
      <c r="CS578" s="182"/>
      <c r="CT578" s="182"/>
      <c r="CU578" s="255"/>
      <c r="CV578" s="209"/>
      <c r="CW578" s="218"/>
    </row>
    <row r="579" spans="1:101" ht="13.5" thickBot="1" x14ac:dyDescent="0.25">
      <c r="A579" s="227"/>
      <c r="B579" s="227"/>
      <c r="C579" s="168"/>
      <c r="D579" s="231"/>
      <c r="E579" s="189"/>
      <c r="F579" s="190"/>
      <c r="G579" s="191"/>
      <c r="H579" s="191"/>
      <c r="I579" s="192" t="s">
        <v>47</v>
      </c>
      <c r="J579" s="193" t="s">
        <v>48</v>
      </c>
      <c r="K579" s="194" t="s">
        <v>49</v>
      </c>
      <c r="L579" s="257"/>
      <c r="M579" s="331"/>
      <c r="N579" s="335"/>
      <c r="O579" s="195"/>
      <c r="P579" s="195"/>
      <c r="Q579" s="192" t="s">
        <v>47</v>
      </c>
      <c r="R579" s="193" t="s">
        <v>48</v>
      </c>
      <c r="S579" s="194" t="s">
        <v>49</v>
      </c>
      <c r="T579" s="196"/>
      <c r="U579" s="197"/>
      <c r="V579" s="197"/>
      <c r="W579" s="197"/>
      <c r="X579" s="197"/>
      <c r="Y579" s="195"/>
      <c r="Z579" s="192" t="s">
        <v>47</v>
      </c>
      <c r="AA579" s="193" t="s">
        <v>48</v>
      </c>
      <c r="AB579" s="194" t="s">
        <v>49</v>
      </c>
      <c r="AC579" s="196"/>
      <c r="AD579" s="197"/>
      <c r="AE579" s="197"/>
      <c r="AF579" s="197"/>
      <c r="AG579" s="197"/>
      <c r="AH579" s="195"/>
      <c r="AI579" s="192" t="s">
        <v>47</v>
      </c>
      <c r="AJ579" s="193" t="s">
        <v>48</v>
      </c>
      <c r="AK579" s="194" t="s">
        <v>49</v>
      </c>
      <c r="AL579" s="196"/>
      <c r="AM579" s="197"/>
      <c r="AN579" s="197"/>
      <c r="AO579" s="197"/>
      <c r="AP579" s="197"/>
      <c r="AQ579" s="195"/>
      <c r="AR579" s="192" t="s">
        <v>47</v>
      </c>
      <c r="AS579" s="193" t="s">
        <v>48</v>
      </c>
      <c r="AT579" s="194" t="s">
        <v>49</v>
      </c>
      <c r="AU579" s="196"/>
      <c r="AV579" s="197"/>
      <c r="AW579" s="197"/>
      <c r="AX579" s="197"/>
      <c r="AY579" s="197"/>
      <c r="AZ579" s="195"/>
      <c r="BA579" s="192" t="s">
        <v>47</v>
      </c>
      <c r="BB579" s="193" t="s">
        <v>48</v>
      </c>
      <c r="BC579" s="194" t="s">
        <v>49</v>
      </c>
      <c r="BD579" s="196"/>
      <c r="BE579" s="197"/>
      <c r="BF579" s="197"/>
      <c r="BG579" s="197"/>
      <c r="BH579" s="197"/>
      <c r="BI579" s="195"/>
      <c r="BJ579" s="192" t="s">
        <v>47</v>
      </c>
      <c r="BK579" s="193" t="s">
        <v>48</v>
      </c>
      <c r="BL579" s="194" t="s">
        <v>49</v>
      </c>
      <c r="BM579" s="196"/>
      <c r="BN579" s="197"/>
      <c r="BO579" s="197"/>
      <c r="BP579" s="197"/>
      <c r="BQ579" s="197"/>
      <c r="BR579" s="195"/>
      <c r="BS579" s="192" t="s">
        <v>47</v>
      </c>
      <c r="BT579" s="193" t="s">
        <v>48</v>
      </c>
      <c r="BU579" s="194" t="s">
        <v>49</v>
      </c>
      <c r="BV579" s="196"/>
      <c r="BW579" s="197"/>
      <c r="BX579" s="197"/>
      <c r="BY579" s="197"/>
      <c r="BZ579" s="197"/>
      <c r="CA579" s="195"/>
      <c r="CB579" s="192" t="s">
        <v>47</v>
      </c>
      <c r="CC579" s="193" t="s">
        <v>48</v>
      </c>
      <c r="CD579" s="194" t="s">
        <v>49</v>
      </c>
      <c r="CE579" s="196"/>
      <c r="CF579" s="197"/>
      <c r="CG579" s="197"/>
      <c r="CH579" s="197"/>
      <c r="CI579" s="197"/>
      <c r="CJ579" s="197"/>
      <c r="CK579" s="192" t="s">
        <v>47</v>
      </c>
      <c r="CL579" s="193" t="s">
        <v>48</v>
      </c>
      <c r="CM579" s="194" t="s">
        <v>49</v>
      </c>
      <c r="CN579" s="196"/>
      <c r="CO579" s="197"/>
      <c r="CP579" s="197"/>
      <c r="CQ579" s="197"/>
      <c r="CR579" s="197"/>
      <c r="CS579" s="197"/>
      <c r="CT579" s="198"/>
      <c r="CU579" s="255"/>
      <c r="CV579" s="209"/>
      <c r="CW579" s="228"/>
    </row>
    <row r="580" spans="1:101" x14ac:dyDescent="0.2">
      <c r="A580" s="227"/>
      <c r="B580" s="227"/>
      <c r="C580" s="168"/>
      <c r="D580" s="232"/>
      <c r="E580" s="134" t="s">
        <v>365</v>
      </c>
      <c r="F580" s="424"/>
      <c r="G580" s="428" t="s">
        <v>51</v>
      </c>
      <c r="H580" s="429"/>
      <c r="I580" s="138" t="str">
        <f t="shared" ref="I580:I591" si="854">IF($F580&gt;$H580,"x","")</f>
        <v/>
      </c>
      <c r="J580" s="344" t="str">
        <f t="shared" ref="J580:J591" si="855">IF(F580&lt;&gt;"",IF(H580&lt;&gt;"",IF(F580=H580,"x",""),""),"")</f>
        <v/>
      </c>
      <c r="K580" s="345" t="str">
        <f t="shared" ref="K580:K591" si="856">IF($F580&lt;$H580,"x","")</f>
        <v/>
      </c>
      <c r="L580" s="258"/>
      <c r="M580" s="332"/>
      <c r="N580" s="336"/>
      <c r="O580" s="200"/>
      <c r="P580" s="200"/>
      <c r="Q580" s="436"/>
      <c r="R580" s="437"/>
      <c r="S580" s="438" t="str">
        <f t="shared" ref="S580:S591" si="857">IF(Q580="","",100-SUM(Q580:R580))</f>
        <v/>
      </c>
      <c r="T580" s="328"/>
      <c r="U580" s="197" t="str">
        <f>IF(AND($I580="x",AND(MAX(Q580:S580)=Q580,Q580&gt;=0)),Data!$BI$2,"")</f>
        <v/>
      </c>
      <c r="V580" s="197" t="str">
        <f>IF(AND($J580="x",AND(MAX(Q580:S580)=R580,R580&gt;=0)),Data!$BJ$2,"")</f>
        <v/>
      </c>
      <c r="W580" s="197" t="str">
        <f>IF(AND($K580="x",AND(MAX(Q580:S580)=S580,S580&gt;=0)),Data!$BK$2,"")</f>
        <v/>
      </c>
      <c r="X580" s="197"/>
      <c r="Y580" s="328"/>
      <c r="Z580" s="451"/>
      <c r="AA580" s="452"/>
      <c r="AB580" s="438" t="str">
        <f t="shared" ref="AB580:AB591" si="858">IF(Z580="","",100-SUM(Z580:AA580))</f>
        <v/>
      </c>
      <c r="AC580" s="328"/>
      <c r="AD580" s="197" t="str">
        <f>IF(AND($I580="x",AND(MAX(Z580:AB580)=Z580,Z580&lt;&gt;"")),Data!$BI$2,"")</f>
        <v/>
      </c>
      <c r="AE580" s="197" t="str">
        <f>IF(AND($J580="x",AND(MAX(Z580:AB580)=AA580,AA580&lt;&gt;"")),Data!$BJ$2,"")</f>
        <v/>
      </c>
      <c r="AF580" s="197" t="str">
        <f>IF(AND($K580="x",AND(MAX(Z580:AB580)=AB580,AB580&lt;&gt;"")),Data!$BK$2,"")</f>
        <v/>
      </c>
      <c r="AG580" s="197"/>
      <c r="AH580" s="328"/>
      <c r="AI580" s="451"/>
      <c r="AJ580" s="452"/>
      <c r="AK580" s="438" t="str">
        <f t="shared" ref="AK580:AK591" si="859">IF(AI580="","",100-SUM(AI580:AJ580))</f>
        <v/>
      </c>
      <c r="AL580" s="328"/>
      <c r="AM580" s="197" t="str">
        <f>IF(AND($I580="x",AND(MAX(AI580:AK580)=AI580,AI580&lt;&gt;"")),Data!$BI$2,"")</f>
        <v/>
      </c>
      <c r="AN580" s="197" t="str">
        <f>IF(AND($J580="x",AND(MAX(AI580:AK580)=AJ580,AJ580&lt;&gt;"")),Data!$BJ$2,"")</f>
        <v/>
      </c>
      <c r="AO580" s="197" t="str">
        <f>IF(AND($K580="x",AND(MAX(AI580:AK580)=AK580,AK580&lt;&gt;"")),Data!$BK$2,"")</f>
        <v/>
      </c>
      <c r="AP580" s="197"/>
      <c r="AQ580" s="328"/>
      <c r="AR580" s="451"/>
      <c r="AS580" s="452"/>
      <c r="AT580" s="438" t="str">
        <f t="shared" ref="AT580:AT591" si="860">IF(AR580="","",100-SUM(AR580:AS580))</f>
        <v/>
      </c>
      <c r="AU580" s="328"/>
      <c r="AV580" s="197" t="str">
        <f>IF(AND($I580="x",AND(MAX(AR580:AT580)=AR580,AR580&lt;&gt;"")),Data!$BI$2,"")</f>
        <v/>
      </c>
      <c r="AW580" s="197" t="str">
        <f>IF(AND($J580="x",AND(MAX(AR580:AT580)=AS580,AS580&lt;&gt;"")),Data!$BJ$2,"")</f>
        <v/>
      </c>
      <c r="AX580" s="197" t="str">
        <f>IF(AND($K580="x",AND(MAX(AR580:AT580)=AT580,AT580&lt;&gt;"")),Data!$BK$2,"")</f>
        <v/>
      </c>
      <c r="AY580" s="197"/>
      <c r="AZ580" s="328"/>
      <c r="BA580" s="451"/>
      <c r="BB580" s="452"/>
      <c r="BC580" s="438" t="str">
        <f t="shared" ref="BC580:BC591" si="861">IF(BA580="","",100-SUM(BA580:BB580))</f>
        <v/>
      </c>
      <c r="BD580" s="328"/>
      <c r="BE580" s="197" t="str">
        <f>IF(AND($I580="x",AND(MAX(BA580:BC580)=BA580,BA580&lt;&gt;"")),Data!$BI$2,"")</f>
        <v/>
      </c>
      <c r="BF580" s="197" t="str">
        <f>IF(AND($J580="x",AND(MAX(BA580:BC580)=BB580,BB580&lt;&gt;"")),Data!$BJ$2,"")</f>
        <v/>
      </c>
      <c r="BG580" s="197" t="str">
        <f>IF(AND($K580="x",AND(MAX(BA580:BC580)=BC580,BC580&lt;&gt;"")),Data!$BK$2,"")</f>
        <v/>
      </c>
      <c r="BH580" s="197"/>
      <c r="BI580" s="328"/>
      <c r="BJ580" s="451"/>
      <c r="BK580" s="452"/>
      <c r="BL580" s="438" t="str">
        <f t="shared" ref="BL580:BL591" si="862">IF(BJ580="","",100-SUM(BJ580:BK580))</f>
        <v/>
      </c>
      <c r="BM580" s="328"/>
      <c r="BN580" s="197" t="str">
        <f>IF(AND($I580="x",AND(MAX(BJ580:BL580)=BJ580,BJ580&lt;&gt;"")),Data!$BI$2,"")</f>
        <v/>
      </c>
      <c r="BO580" s="197" t="str">
        <f>IF(AND($J580="x",AND(MAX(BJ580:BL580)=BK580,BK580&lt;&gt;"")),Data!$BJ$2,"")</f>
        <v/>
      </c>
      <c r="BP580" s="197" t="str">
        <f>IF(AND($K580="x",AND(MAX(BJ580:BL580)=BL580,BL580&lt;&gt;"")),Data!$BK$2,"")</f>
        <v/>
      </c>
      <c r="BQ580" s="197"/>
      <c r="BR580" s="328"/>
      <c r="BS580" s="451"/>
      <c r="BT580" s="452"/>
      <c r="BU580" s="438" t="str">
        <f t="shared" ref="BU580:BU591" si="863">IF(BS580="","",100-SUM(BS580:BT580))</f>
        <v/>
      </c>
      <c r="BV580" s="328"/>
      <c r="BW580" s="197" t="str">
        <f>IF(AND($I580="x",AND(MAX(BS580:BU580)=BS580,BS580&lt;&gt;"")),Data!$BI$2,"")</f>
        <v/>
      </c>
      <c r="BX580" s="197" t="str">
        <f>IF(AND($J580="x",AND(MAX(BS580:BU580)=BT580,BT580&lt;&gt;"")),Data!$BJ$2,"")</f>
        <v/>
      </c>
      <c r="BY580" s="197" t="str">
        <f>IF(AND($K580="x",AND(MAX(BS580:BU580)=BU580,BU580&lt;&gt;"")),Data!$BK$2,"")</f>
        <v/>
      </c>
      <c r="BZ580" s="197"/>
      <c r="CA580" s="328"/>
      <c r="CB580" s="457" t="str">
        <f t="shared" ref="CB580:CB591" si="864">IFERROR(ROUNDUP((SUM(Q580,Z580,AI580,AR580,BA580,BJ580,BS580)/SUM($Q580:$S580,$Z580:$AB580,$AI580:$AK580,$AR580:$AT580,$BA580:$BC580,$BJ580:$BL580,$BS580:$BU580))*100,-1),"")</f>
        <v/>
      </c>
      <c r="CC580" s="458" t="str">
        <f t="shared" ref="CC580:CC591" si="865">IFERROR(ROUNDDOWN((SUM(R580,AA580,AJ580,AS580,BB580,BK580,BT580)/SUM($Q580:$S580,$Z580:$AB580,$AI580:$AK580,$AR580:$AT580,$BA580:$BC580,$BJ580:$BL580,$BS580:$BU580))*100,-1),"")</f>
        <v/>
      </c>
      <c r="CD580" s="459" t="str">
        <f t="shared" ref="CD580:CD591" si="866">IF(CB580="","",100-SUM(CB580:CC580))</f>
        <v/>
      </c>
      <c r="CE580" s="328"/>
      <c r="CF580" s="197" t="str">
        <f>IF(AND($I580="x",AND(MAX(CB580:CD580)=CB580,CB580&lt;&gt;"")),Data!$BI$2,"")</f>
        <v/>
      </c>
      <c r="CG580" s="197" t="str">
        <f>IF(AND($J580="x",AND(MAX(CB580:CD580)=CC580,CC580&lt;&gt;"")),Data!$BJ$2,"")</f>
        <v/>
      </c>
      <c r="CH580" s="197" t="str">
        <f>IF(AND($K580="x",AND(MAX(CB580:CD580)=CD580,CD580&lt;&gt;"")),Data!$BK$2,"")</f>
        <v/>
      </c>
      <c r="CI580" s="197"/>
      <c r="CJ580" s="197"/>
      <c r="CK580" s="451"/>
      <c r="CL580" s="452"/>
      <c r="CM580" s="438" t="str">
        <f t="shared" ref="CM580:CM591" si="867">IF(CK580="","",100-SUM(CK580:CL580))</f>
        <v/>
      </c>
      <c r="CN580" s="328"/>
      <c r="CO580" s="197" t="str">
        <f>IF(AND($I580="x",AND(MAX(CK580:CM580)=CK580,CK580&lt;&gt;"")),Data!$BI$2,"")</f>
        <v/>
      </c>
      <c r="CP580" s="197" t="str">
        <f>IF(AND($J580="x",AND(MAX(CK580:CM580)=CL580,CL580&lt;&gt;"")),Data!$BJ$2,"")</f>
        <v/>
      </c>
      <c r="CQ580" s="197" t="str">
        <f>IF(AND($K580="x",AND(MAX(CK580:CM580)=CM580,CM580&lt;&gt;"")),Data!$BK$2,"")</f>
        <v/>
      </c>
      <c r="CR580" s="197"/>
      <c r="CS580" s="197"/>
      <c r="CT580" s="328"/>
      <c r="CU580" s="255"/>
      <c r="CV580" s="209"/>
      <c r="CW580" s="227"/>
    </row>
    <row r="581" spans="1:101" x14ac:dyDescent="0.2">
      <c r="A581" s="227"/>
      <c r="B581" s="227"/>
      <c r="C581" s="168"/>
      <c r="D581" s="232"/>
      <c r="E581" s="135" t="s">
        <v>366</v>
      </c>
      <c r="F581" s="425"/>
      <c r="G581" s="430" t="s">
        <v>51</v>
      </c>
      <c r="H581" s="431"/>
      <c r="I581" s="346" t="str">
        <f t="shared" si="854"/>
        <v/>
      </c>
      <c r="J581" s="347" t="str">
        <f t="shared" si="855"/>
        <v/>
      </c>
      <c r="K581" s="348" t="str">
        <f t="shared" si="856"/>
        <v/>
      </c>
      <c r="L581" s="258"/>
      <c r="M581" s="332"/>
      <c r="N581" s="336"/>
      <c r="O581" s="200"/>
      <c r="P581" s="200"/>
      <c r="Q581" s="439"/>
      <c r="R581" s="440"/>
      <c r="S581" s="441" t="str">
        <f t="shared" si="857"/>
        <v/>
      </c>
      <c r="T581" s="328"/>
      <c r="U581" s="197" t="str">
        <f>IF(AND($I581="x",AND(MAX(Q581:S581)=Q581,Q581&gt;=0)),Data!$BI$2,"")</f>
        <v/>
      </c>
      <c r="V581" s="197" t="str">
        <f>IF(AND($J581="x",AND(MAX(Q581:S581)=R581,R581&gt;=0)),Data!$BJ$2,"")</f>
        <v/>
      </c>
      <c r="W581" s="197" t="str">
        <f>IF(AND($K581="x",AND(MAX(Q581:S581)=S581,S581&gt;=0)),Data!$BK$2,"")</f>
        <v/>
      </c>
      <c r="X581" s="197"/>
      <c r="Y581" s="328"/>
      <c r="Z581" s="453"/>
      <c r="AA581" s="454"/>
      <c r="AB581" s="441" t="str">
        <f t="shared" si="858"/>
        <v/>
      </c>
      <c r="AC581" s="328"/>
      <c r="AD581" s="197" t="str">
        <f>IF(AND($I581="x",AND(MAX(Z581:AB581)=Z581,Z581&lt;&gt;"")),Data!$BI$2,"")</f>
        <v/>
      </c>
      <c r="AE581" s="197" t="str">
        <f>IF(AND($J581="x",AND(MAX(Z581:AB581)=AA581,AA581&lt;&gt;"")),Data!$BJ$2,"")</f>
        <v/>
      </c>
      <c r="AF581" s="197" t="str">
        <f>IF(AND($K581="x",AND(MAX(Z581:AB581)=AB581,AB581&lt;&gt;"")),Data!$BK$2,"")</f>
        <v/>
      </c>
      <c r="AG581" s="197"/>
      <c r="AH581" s="328"/>
      <c r="AI581" s="453"/>
      <c r="AJ581" s="454"/>
      <c r="AK581" s="441" t="str">
        <f t="shared" si="859"/>
        <v/>
      </c>
      <c r="AL581" s="328"/>
      <c r="AM581" s="197" t="str">
        <f>IF(AND($I581="x",AND(MAX(AI581:AK581)=AI581,AI581&lt;&gt;"")),Data!$BI$2,"")</f>
        <v/>
      </c>
      <c r="AN581" s="197" t="str">
        <f>IF(AND($J581="x",AND(MAX(AI581:AK581)=AJ581,AJ581&lt;&gt;"")),Data!$BJ$2,"")</f>
        <v/>
      </c>
      <c r="AO581" s="197" t="str">
        <f>IF(AND($K581="x",AND(MAX(AI581:AK581)=AK581,AK581&lt;&gt;"")),Data!$BK$2,"")</f>
        <v/>
      </c>
      <c r="AP581" s="197"/>
      <c r="AQ581" s="328"/>
      <c r="AR581" s="453"/>
      <c r="AS581" s="454"/>
      <c r="AT581" s="441" t="str">
        <f t="shared" si="860"/>
        <v/>
      </c>
      <c r="AU581" s="328"/>
      <c r="AV581" s="197" t="str">
        <f>IF(AND($I581="x",AND(MAX(AR581:AT581)=AR581,AR581&lt;&gt;"")),Data!$BI$2,"")</f>
        <v/>
      </c>
      <c r="AW581" s="197" t="str">
        <f>IF(AND($J581="x",AND(MAX(AR581:AT581)=AS581,AS581&lt;&gt;"")),Data!$BJ$2,"")</f>
        <v/>
      </c>
      <c r="AX581" s="197" t="str">
        <f>IF(AND($K581="x",AND(MAX(AR581:AT581)=AT581,AT581&lt;&gt;"")),Data!$BK$2,"")</f>
        <v/>
      </c>
      <c r="AY581" s="197"/>
      <c r="AZ581" s="328"/>
      <c r="BA581" s="453"/>
      <c r="BB581" s="454"/>
      <c r="BC581" s="441" t="str">
        <f t="shared" si="861"/>
        <v/>
      </c>
      <c r="BD581" s="328"/>
      <c r="BE581" s="197" t="str">
        <f>IF(AND($I581="x",AND(MAX(BA581:BC581)=BA581,BA581&lt;&gt;"")),Data!$BI$2,"")</f>
        <v/>
      </c>
      <c r="BF581" s="197" t="str">
        <f>IF(AND($J581="x",AND(MAX(BA581:BC581)=BB581,BB581&lt;&gt;"")),Data!$BJ$2,"")</f>
        <v/>
      </c>
      <c r="BG581" s="197" t="str">
        <f>IF(AND($K581="x",AND(MAX(BA581:BC581)=BC581,BC581&lt;&gt;"")),Data!$BK$2,"")</f>
        <v/>
      </c>
      <c r="BH581" s="197"/>
      <c r="BI581" s="328"/>
      <c r="BJ581" s="453"/>
      <c r="BK581" s="454"/>
      <c r="BL581" s="441" t="str">
        <f t="shared" si="862"/>
        <v/>
      </c>
      <c r="BM581" s="328"/>
      <c r="BN581" s="197" t="str">
        <f>IF(AND($I581="x",AND(MAX(BJ581:BL581)=BJ581,BJ581&lt;&gt;"")),Data!$BI$2,"")</f>
        <v/>
      </c>
      <c r="BO581" s="197" t="str">
        <f>IF(AND($J581="x",AND(MAX(BJ581:BL581)=BK581,BK581&lt;&gt;"")),Data!$BJ$2,"")</f>
        <v/>
      </c>
      <c r="BP581" s="197" t="str">
        <f>IF(AND($K581="x",AND(MAX(BJ581:BL581)=BL581,BL581&lt;&gt;"")),Data!$BK$2,"")</f>
        <v/>
      </c>
      <c r="BQ581" s="197"/>
      <c r="BR581" s="328"/>
      <c r="BS581" s="453"/>
      <c r="BT581" s="454"/>
      <c r="BU581" s="441" t="str">
        <f t="shared" si="863"/>
        <v/>
      </c>
      <c r="BV581" s="328"/>
      <c r="BW581" s="197" t="str">
        <f>IF(AND($I581="x",AND(MAX(BS581:BU581)=BS581,BS581&lt;&gt;"")),Data!$BI$2,"")</f>
        <v/>
      </c>
      <c r="BX581" s="197" t="str">
        <f>IF(AND($J581="x",AND(MAX(BS581:BU581)=BT581,BT581&lt;&gt;"")),Data!$BJ$2,"")</f>
        <v/>
      </c>
      <c r="BY581" s="197" t="str">
        <f>IF(AND($K581="x",AND(MAX(BS581:BU581)=BU581,BU581&lt;&gt;"")),Data!$BK$2,"")</f>
        <v/>
      </c>
      <c r="BZ581" s="197"/>
      <c r="CA581" s="328"/>
      <c r="CB581" s="460" t="str">
        <f t="shared" si="864"/>
        <v/>
      </c>
      <c r="CC581" s="461" t="str">
        <f t="shared" si="865"/>
        <v/>
      </c>
      <c r="CD581" s="462" t="str">
        <f t="shared" si="866"/>
        <v/>
      </c>
      <c r="CE581" s="328"/>
      <c r="CF581" s="197" t="str">
        <f>IF(AND($I581="x",AND(MAX(CB581:CD581)=CB581,CB581&lt;&gt;"")),Data!$BI$2,"")</f>
        <v/>
      </c>
      <c r="CG581" s="197" t="str">
        <f>IF(AND($J581="x",AND(MAX(CB581:CD581)=CC581,CC581&lt;&gt;"")),Data!$BJ$2,"")</f>
        <v/>
      </c>
      <c r="CH581" s="197" t="str">
        <f>IF(AND($K581="x",AND(MAX(CB581:CD581)=CD581,CD581&lt;&gt;"")),Data!$BK$2,"")</f>
        <v/>
      </c>
      <c r="CI581" s="197"/>
      <c r="CJ581" s="197"/>
      <c r="CK581" s="453"/>
      <c r="CL581" s="454"/>
      <c r="CM581" s="441" t="str">
        <f t="shared" si="867"/>
        <v/>
      </c>
      <c r="CN581" s="328"/>
      <c r="CO581" s="197" t="str">
        <f>IF(AND($I581="x",AND(MAX(CK581:CM581)=CK581,CK581&lt;&gt;"")),Data!$BI$2,"")</f>
        <v/>
      </c>
      <c r="CP581" s="197" t="str">
        <f>IF(AND($J581="x",AND(MAX(CK581:CM581)=CL581,CL581&lt;&gt;"")),Data!$BJ$2,"")</f>
        <v/>
      </c>
      <c r="CQ581" s="197" t="str">
        <f>IF(AND($K581="x",AND(MAX(CK581:CM581)=CM581,CM581&lt;&gt;"")),Data!$BK$2,"")</f>
        <v/>
      </c>
      <c r="CR581" s="197"/>
      <c r="CS581" s="197"/>
      <c r="CT581" s="328"/>
      <c r="CU581" s="255"/>
      <c r="CV581" s="209"/>
      <c r="CW581" s="227"/>
    </row>
    <row r="582" spans="1:101" x14ac:dyDescent="0.2">
      <c r="A582" s="227"/>
      <c r="B582" s="227"/>
      <c r="C582" s="168"/>
      <c r="D582" s="232"/>
      <c r="E582" s="136" t="s">
        <v>367</v>
      </c>
      <c r="F582" s="426"/>
      <c r="G582" s="432" t="s">
        <v>51</v>
      </c>
      <c r="H582" s="433"/>
      <c r="I582" s="349" t="str">
        <f t="shared" si="854"/>
        <v/>
      </c>
      <c r="J582" s="350" t="str">
        <f t="shared" si="855"/>
        <v/>
      </c>
      <c r="K582" s="351" t="str">
        <f t="shared" si="856"/>
        <v/>
      </c>
      <c r="L582" s="258"/>
      <c r="M582" s="332"/>
      <c r="N582" s="336"/>
      <c r="O582" s="200"/>
      <c r="P582" s="200"/>
      <c r="Q582" s="442"/>
      <c r="R582" s="443"/>
      <c r="S582" s="444" t="str">
        <f t="shared" si="857"/>
        <v/>
      </c>
      <c r="T582" s="328"/>
      <c r="U582" s="197" t="str">
        <f>IF(AND($I582="x",AND(MAX(Q582:S582)=Q582,Q582&gt;=0)),Data!$BI$2,"")</f>
        <v/>
      </c>
      <c r="V582" s="197" t="str">
        <f>IF(AND($J582="x",AND(MAX(Q582:S582)=R582,R582&gt;=0)),Data!$BJ$2,"")</f>
        <v/>
      </c>
      <c r="W582" s="197" t="str">
        <f>IF(AND($K582="x",AND(MAX(Q582:S582)=S582,S582&gt;=0)),Data!$BK$2,"")</f>
        <v/>
      </c>
      <c r="X582" s="197"/>
      <c r="Y582" s="328"/>
      <c r="Z582" s="455"/>
      <c r="AA582" s="456"/>
      <c r="AB582" s="444" t="str">
        <f t="shared" si="858"/>
        <v/>
      </c>
      <c r="AC582" s="328"/>
      <c r="AD582" s="197" t="str">
        <f>IF(AND($I582="x",AND(MAX(Z582:AB582)=Z582,Z582&lt;&gt;"")),Data!$BI$2,"")</f>
        <v/>
      </c>
      <c r="AE582" s="197" t="str">
        <f>IF(AND($J582="x",AND(MAX(Z582:AB582)=AA582,AA582&lt;&gt;"")),Data!$BJ$2,"")</f>
        <v/>
      </c>
      <c r="AF582" s="197" t="str">
        <f>IF(AND($K582="x",AND(MAX(Z582:AB582)=AB582,AB582&lt;&gt;"")),Data!$BK$2,"")</f>
        <v/>
      </c>
      <c r="AG582" s="197"/>
      <c r="AH582" s="328"/>
      <c r="AI582" s="455"/>
      <c r="AJ582" s="456"/>
      <c r="AK582" s="444" t="str">
        <f t="shared" si="859"/>
        <v/>
      </c>
      <c r="AL582" s="328"/>
      <c r="AM582" s="197" t="str">
        <f>IF(AND($I582="x",AND(MAX(AI582:AK582)=AI582,AI582&lt;&gt;"")),Data!$BI$2,"")</f>
        <v/>
      </c>
      <c r="AN582" s="197" t="str">
        <f>IF(AND($J582="x",AND(MAX(AI582:AK582)=AJ582,AJ582&lt;&gt;"")),Data!$BJ$2,"")</f>
        <v/>
      </c>
      <c r="AO582" s="197" t="str">
        <f>IF(AND($K582="x",AND(MAX(AI582:AK582)=AK582,AK582&lt;&gt;"")),Data!$BK$2,"")</f>
        <v/>
      </c>
      <c r="AP582" s="197"/>
      <c r="AQ582" s="328"/>
      <c r="AR582" s="455"/>
      <c r="AS582" s="456"/>
      <c r="AT582" s="444" t="str">
        <f t="shared" si="860"/>
        <v/>
      </c>
      <c r="AU582" s="328"/>
      <c r="AV582" s="197" t="str">
        <f>IF(AND($I582="x",AND(MAX(AR582:AT582)=AR582,AR582&lt;&gt;"")),Data!$BI$2,"")</f>
        <v/>
      </c>
      <c r="AW582" s="197" t="str">
        <f>IF(AND($J582="x",AND(MAX(AR582:AT582)=AS582,AS582&lt;&gt;"")),Data!$BJ$2,"")</f>
        <v/>
      </c>
      <c r="AX582" s="197" t="str">
        <f>IF(AND($K582="x",AND(MAX(AR582:AT582)=AT582,AT582&lt;&gt;"")),Data!$BK$2,"")</f>
        <v/>
      </c>
      <c r="AY582" s="197"/>
      <c r="AZ582" s="328"/>
      <c r="BA582" s="455"/>
      <c r="BB582" s="456"/>
      <c r="BC582" s="444" t="str">
        <f t="shared" si="861"/>
        <v/>
      </c>
      <c r="BD582" s="328"/>
      <c r="BE582" s="197" t="str">
        <f>IF(AND($I582="x",AND(MAX(BA582:BC582)=BA582,BA582&lt;&gt;"")),Data!$BI$2,"")</f>
        <v/>
      </c>
      <c r="BF582" s="197" t="str">
        <f>IF(AND($J582="x",AND(MAX(BA582:BC582)=BB582,BB582&lt;&gt;"")),Data!$BJ$2,"")</f>
        <v/>
      </c>
      <c r="BG582" s="197" t="str">
        <f>IF(AND($K582="x",AND(MAX(BA582:BC582)=BC582,BC582&lt;&gt;"")),Data!$BK$2,"")</f>
        <v/>
      </c>
      <c r="BH582" s="197"/>
      <c r="BI582" s="328"/>
      <c r="BJ582" s="455"/>
      <c r="BK582" s="456"/>
      <c r="BL582" s="444" t="str">
        <f t="shared" si="862"/>
        <v/>
      </c>
      <c r="BM582" s="328"/>
      <c r="BN582" s="197" t="str">
        <f>IF(AND($I582="x",AND(MAX(BJ582:BL582)=BJ582,BJ582&lt;&gt;"")),Data!$BI$2,"")</f>
        <v/>
      </c>
      <c r="BO582" s="197" t="str">
        <f>IF(AND($J582="x",AND(MAX(BJ582:BL582)=BK582,BK582&lt;&gt;"")),Data!$BJ$2,"")</f>
        <v/>
      </c>
      <c r="BP582" s="197" t="str">
        <f>IF(AND($K582="x",AND(MAX(BJ582:BL582)=BL582,BL582&lt;&gt;"")),Data!$BK$2,"")</f>
        <v/>
      </c>
      <c r="BQ582" s="197"/>
      <c r="BR582" s="328"/>
      <c r="BS582" s="455"/>
      <c r="BT582" s="456"/>
      <c r="BU582" s="444" t="str">
        <f t="shared" si="863"/>
        <v/>
      </c>
      <c r="BV582" s="328"/>
      <c r="BW582" s="197" t="str">
        <f>IF(AND($I582="x",AND(MAX(BS582:BU582)=BS582,BS582&lt;&gt;"")),Data!$BI$2,"")</f>
        <v/>
      </c>
      <c r="BX582" s="197" t="str">
        <f>IF(AND($J582="x",AND(MAX(BS582:BU582)=BT582,BT582&lt;&gt;"")),Data!$BJ$2,"")</f>
        <v/>
      </c>
      <c r="BY582" s="197" t="str">
        <f>IF(AND($K582="x",AND(MAX(BS582:BU582)=BU582,BU582&lt;&gt;"")),Data!$BK$2,"")</f>
        <v/>
      </c>
      <c r="BZ582" s="197"/>
      <c r="CA582" s="328"/>
      <c r="CB582" s="463" t="str">
        <f t="shared" si="864"/>
        <v/>
      </c>
      <c r="CC582" s="464" t="str">
        <f t="shared" si="865"/>
        <v/>
      </c>
      <c r="CD582" s="465" t="str">
        <f t="shared" si="866"/>
        <v/>
      </c>
      <c r="CE582" s="328"/>
      <c r="CF582" s="197" t="str">
        <f>IF(AND($I582="x",AND(MAX(CB582:CD582)=CB582,CB582&lt;&gt;"")),Data!$BI$2,"")</f>
        <v/>
      </c>
      <c r="CG582" s="197" t="str">
        <f>IF(AND($J582="x",AND(MAX(CB582:CD582)=CC582,CC582&lt;&gt;"")),Data!$BJ$2,"")</f>
        <v/>
      </c>
      <c r="CH582" s="197" t="str">
        <f>IF(AND($K582="x",AND(MAX(CB582:CD582)=CD582,CD582&lt;&gt;"")),Data!$BK$2,"")</f>
        <v/>
      </c>
      <c r="CI582" s="197"/>
      <c r="CJ582" s="197"/>
      <c r="CK582" s="455"/>
      <c r="CL582" s="456"/>
      <c r="CM582" s="444" t="str">
        <f t="shared" si="867"/>
        <v/>
      </c>
      <c r="CN582" s="328"/>
      <c r="CO582" s="197" t="str">
        <f>IF(AND($I582="x",AND(MAX(CK582:CM582)=CK582,CK582&lt;&gt;"")),Data!$BI$2,"")</f>
        <v/>
      </c>
      <c r="CP582" s="197" t="str">
        <f>IF(AND($J582="x",AND(MAX(CK582:CM582)=CL582,CL582&lt;&gt;"")),Data!$BJ$2,"")</f>
        <v/>
      </c>
      <c r="CQ582" s="197" t="str">
        <f>IF(AND($K582="x",AND(MAX(CK582:CM582)=CM582,CM582&lt;&gt;"")),Data!$BK$2,"")</f>
        <v/>
      </c>
      <c r="CR582" s="197"/>
      <c r="CS582" s="197"/>
      <c r="CT582" s="328"/>
      <c r="CU582" s="255"/>
      <c r="CV582" s="209"/>
      <c r="CW582" s="227"/>
    </row>
    <row r="583" spans="1:101" x14ac:dyDescent="0.2">
      <c r="A583" s="227"/>
      <c r="B583" s="227"/>
      <c r="C583" s="168"/>
      <c r="D583" s="232"/>
      <c r="E583" s="134" t="s">
        <v>368</v>
      </c>
      <c r="F583" s="424"/>
      <c r="G583" s="428" t="s">
        <v>51</v>
      </c>
      <c r="H583" s="429"/>
      <c r="I583" s="138" t="str">
        <f t="shared" si="854"/>
        <v/>
      </c>
      <c r="J583" s="344" t="str">
        <f t="shared" si="855"/>
        <v/>
      </c>
      <c r="K583" s="345" t="str">
        <f t="shared" si="856"/>
        <v/>
      </c>
      <c r="L583" s="258"/>
      <c r="M583" s="332"/>
      <c r="N583" s="336"/>
      <c r="O583" s="200"/>
      <c r="P583" s="200"/>
      <c r="Q583" s="436"/>
      <c r="R583" s="437"/>
      <c r="S583" s="438" t="str">
        <f t="shared" si="857"/>
        <v/>
      </c>
      <c r="T583" s="328"/>
      <c r="U583" s="197" t="str">
        <f>IF(AND($I583="x",AND(MAX(Q583:S583)=Q583,Q583&gt;=0)),Data!$BI$2,"")</f>
        <v/>
      </c>
      <c r="V583" s="197" t="str">
        <f>IF(AND($J583="x",AND(MAX(Q583:S583)=R583,R583&gt;=0)),Data!$BJ$2,"")</f>
        <v/>
      </c>
      <c r="W583" s="197" t="str">
        <f>IF(AND($K583="x",AND(MAX(Q583:S583)=S583,S583&gt;=0)),Data!$BK$2,"")</f>
        <v/>
      </c>
      <c r="X583" s="197"/>
      <c r="Y583" s="328"/>
      <c r="Z583" s="451"/>
      <c r="AA583" s="452"/>
      <c r="AB583" s="438" t="str">
        <f t="shared" si="858"/>
        <v/>
      </c>
      <c r="AC583" s="328"/>
      <c r="AD583" s="197" t="str">
        <f>IF(AND($I583="x",AND(MAX(Z583:AB583)=Z583,Z583&lt;&gt;"")),Data!$BI$2,"")</f>
        <v/>
      </c>
      <c r="AE583" s="197" t="str">
        <f>IF(AND($J583="x",AND(MAX(Z583:AB583)=AA583,AA583&lt;&gt;"")),Data!$BJ$2,"")</f>
        <v/>
      </c>
      <c r="AF583" s="197" t="str">
        <f>IF(AND($K583="x",AND(MAX(Z583:AB583)=AB583,AB583&lt;&gt;"")),Data!$BK$2,"")</f>
        <v/>
      </c>
      <c r="AG583" s="197"/>
      <c r="AH583" s="328"/>
      <c r="AI583" s="451"/>
      <c r="AJ583" s="452"/>
      <c r="AK583" s="438" t="str">
        <f t="shared" si="859"/>
        <v/>
      </c>
      <c r="AL583" s="328"/>
      <c r="AM583" s="197" t="str">
        <f>IF(AND($I583="x",AND(MAX(AI583:AK583)=AI583,AI583&lt;&gt;"")),Data!$BI$2,"")</f>
        <v/>
      </c>
      <c r="AN583" s="197" t="str">
        <f>IF(AND($J583="x",AND(MAX(AI583:AK583)=AJ583,AJ583&lt;&gt;"")),Data!$BJ$2,"")</f>
        <v/>
      </c>
      <c r="AO583" s="197" t="str">
        <f>IF(AND($K583="x",AND(MAX(AI583:AK583)=AK583,AK583&lt;&gt;"")),Data!$BK$2,"")</f>
        <v/>
      </c>
      <c r="AP583" s="197"/>
      <c r="AQ583" s="328"/>
      <c r="AR583" s="451"/>
      <c r="AS583" s="452"/>
      <c r="AT583" s="438" t="str">
        <f t="shared" si="860"/>
        <v/>
      </c>
      <c r="AU583" s="328"/>
      <c r="AV583" s="197" t="str">
        <f>IF(AND($I583="x",AND(MAX(AR583:AT583)=AR583,AR583&lt;&gt;"")),Data!$BI$2,"")</f>
        <v/>
      </c>
      <c r="AW583" s="197" t="str">
        <f>IF(AND($J583="x",AND(MAX(AR583:AT583)=AS583,AS583&lt;&gt;"")),Data!$BJ$2,"")</f>
        <v/>
      </c>
      <c r="AX583" s="197" t="str">
        <f>IF(AND($K583="x",AND(MAX(AR583:AT583)=AT583,AT583&lt;&gt;"")),Data!$BK$2,"")</f>
        <v/>
      </c>
      <c r="AY583" s="197"/>
      <c r="AZ583" s="328"/>
      <c r="BA583" s="451"/>
      <c r="BB583" s="452"/>
      <c r="BC583" s="438" t="str">
        <f t="shared" si="861"/>
        <v/>
      </c>
      <c r="BD583" s="328"/>
      <c r="BE583" s="197" t="str">
        <f>IF(AND($I583="x",AND(MAX(BA583:BC583)=BA583,BA583&lt;&gt;"")),Data!$BI$2,"")</f>
        <v/>
      </c>
      <c r="BF583" s="197" t="str">
        <f>IF(AND($J583="x",AND(MAX(BA583:BC583)=BB583,BB583&lt;&gt;"")),Data!$BJ$2,"")</f>
        <v/>
      </c>
      <c r="BG583" s="197" t="str">
        <f>IF(AND($K583="x",AND(MAX(BA583:BC583)=BC583,BC583&lt;&gt;"")),Data!$BK$2,"")</f>
        <v/>
      </c>
      <c r="BH583" s="197"/>
      <c r="BI583" s="328"/>
      <c r="BJ583" s="451"/>
      <c r="BK583" s="452"/>
      <c r="BL583" s="438" t="str">
        <f t="shared" si="862"/>
        <v/>
      </c>
      <c r="BM583" s="328"/>
      <c r="BN583" s="197" t="str">
        <f>IF(AND($I583="x",AND(MAX(BJ583:BL583)=BJ583,BJ583&lt;&gt;"")),Data!$BI$2,"")</f>
        <v/>
      </c>
      <c r="BO583" s="197" t="str">
        <f>IF(AND($J583="x",AND(MAX(BJ583:BL583)=BK583,BK583&lt;&gt;"")),Data!$BJ$2,"")</f>
        <v/>
      </c>
      <c r="BP583" s="197" t="str">
        <f>IF(AND($K583="x",AND(MAX(BJ583:BL583)=BL583,BL583&lt;&gt;"")),Data!$BK$2,"")</f>
        <v/>
      </c>
      <c r="BQ583" s="197"/>
      <c r="BR583" s="328"/>
      <c r="BS583" s="451"/>
      <c r="BT583" s="452"/>
      <c r="BU583" s="438" t="str">
        <f t="shared" si="863"/>
        <v/>
      </c>
      <c r="BV583" s="328"/>
      <c r="BW583" s="197" t="str">
        <f>IF(AND($I583="x",AND(MAX(BS583:BU583)=BS583,BS583&lt;&gt;"")),Data!$BI$2,"")</f>
        <v/>
      </c>
      <c r="BX583" s="197" t="str">
        <f>IF(AND($J583="x",AND(MAX(BS583:BU583)=BT583,BT583&lt;&gt;"")),Data!$BJ$2,"")</f>
        <v/>
      </c>
      <c r="BY583" s="197" t="str">
        <f>IF(AND($K583="x",AND(MAX(BS583:BU583)=BU583,BU583&lt;&gt;"")),Data!$BK$2,"")</f>
        <v/>
      </c>
      <c r="BZ583" s="197"/>
      <c r="CA583" s="328"/>
      <c r="CB583" s="457" t="str">
        <f t="shared" si="864"/>
        <v/>
      </c>
      <c r="CC583" s="458" t="str">
        <f t="shared" si="865"/>
        <v/>
      </c>
      <c r="CD583" s="459" t="str">
        <f t="shared" si="866"/>
        <v/>
      </c>
      <c r="CE583" s="328"/>
      <c r="CF583" s="197" t="str">
        <f>IF(AND($I583="x",AND(MAX(CB583:CD583)=CB583,CB583&lt;&gt;"")),Data!$BI$2,"")</f>
        <v/>
      </c>
      <c r="CG583" s="197" t="str">
        <f>IF(AND($J583="x",AND(MAX(CB583:CD583)=CC583,CC583&lt;&gt;"")),Data!$BJ$2,"")</f>
        <v/>
      </c>
      <c r="CH583" s="197" t="str">
        <f>IF(AND($K583="x",AND(MAX(CB583:CD583)=CD583,CD583&lt;&gt;"")),Data!$BK$2,"")</f>
        <v/>
      </c>
      <c r="CI583" s="197"/>
      <c r="CJ583" s="197"/>
      <c r="CK583" s="451"/>
      <c r="CL583" s="452"/>
      <c r="CM583" s="438" t="str">
        <f t="shared" si="867"/>
        <v/>
      </c>
      <c r="CN583" s="328"/>
      <c r="CO583" s="197" t="str">
        <f>IF(AND($I583="x",AND(MAX(CK583:CM583)=CK583,CK583&lt;&gt;"")),Data!$BI$2,"")</f>
        <v/>
      </c>
      <c r="CP583" s="197" t="str">
        <f>IF(AND($J583="x",AND(MAX(CK583:CM583)=CL583,CL583&lt;&gt;"")),Data!$BJ$2,"")</f>
        <v/>
      </c>
      <c r="CQ583" s="197" t="str">
        <f>IF(AND($K583="x",AND(MAX(CK583:CM583)=CM583,CM583&lt;&gt;"")),Data!$BK$2,"")</f>
        <v/>
      </c>
      <c r="CR583" s="197"/>
      <c r="CS583" s="197"/>
      <c r="CT583" s="328"/>
      <c r="CU583" s="255"/>
      <c r="CV583" s="209"/>
      <c r="CW583" s="227"/>
    </row>
    <row r="584" spans="1:101" x14ac:dyDescent="0.2">
      <c r="A584" s="227"/>
      <c r="B584" s="227"/>
      <c r="C584" s="168"/>
      <c r="D584" s="232"/>
      <c r="E584" s="135" t="s">
        <v>369</v>
      </c>
      <c r="F584" s="425"/>
      <c r="G584" s="430" t="s">
        <v>51</v>
      </c>
      <c r="H584" s="431"/>
      <c r="I584" s="346" t="str">
        <f t="shared" si="854"/>
        <v/>
      </c>
      <c r="J584" s="347" t="str">
        <f t="shared" si="855"/>
        <v/>
      </c>
      <c r="K584" s="348" t="str">
        <f t="shared" si="856"/>
        <v/>
      </c>
      <c r="L584" s="258"/>
      <c r="M584" s="332"/>
      <c r="N584" s="336"/>
      <c r="O584" s="200"/>
      <c r="P584" s="200"/>
      <c r="Q584" s="439"/>
      <c r="R584" s="440"/>
      <c r="S584" s="441" t="str">
        <f t="shared" si="857"/>
        <v/>
      </c>
      <c r="T584" s="328"/>
      <c r="U584" s="197" t="str">
        <f>IF(AND($I584="x",AND(MAX(Q584:S584)=Q584,Q584&gt;=0)),Data!$BI$2,"")</f>
        <v/>
      </c>
      <c r="V584" s="197" t="str">
        <f>IF(AND($J584="x",AND(MAX(Q584:S584)=R584,R584&gt;=0)),Data!$BJ$2,"")</f>
        <v/>
      </c>
      <c r="W584" s="197" t="str">
        <f>IF(AND($K584="x",AND(MAX(Q584:S584)=S584,S584&gt;=0)),Data!$BK$2,"")</f>
        <v/>
      </c>
      <c r="X584" s="197"/>
      <c r="Y584" s="328"/>
      <c r="Z584" s="453"/>
      <c r="AA584" s="454"/>
      <c r="AB584" s="441" t="str">
        <f t="shared" si="858"/>
        <v/>
      </c>
      <c r="AC584" s="328"/>
      <c r="AD584" s="197" t="str">
        <f>IF(AND($I584="x",AND(MAX(Z584:AB584)=Z584,Z584&lt;&gt;"")),Data!$BI$2,"")</f>
        <v/>
      </c>
      <c r="AE584" s="197" t="str">
        <f>IF(AND($J584="x",AND(MAX(Z584:AB584)=AA584,AA584&lt;&gt;"")),Data!$BJ$2,"")</f>
        <v/>
      </c>
      <c r="AF584" s="197" t="str">
        <f>IF(AND($K584="x",AND(MAX(Z584:AB584)=AB584,AB584&lt;&gt;"")),Data!$BK$2,"")</f>
        <v/>
      </c>
      <c r="AG584" s="197"/>
      <c r="AH584" s="328"/>
      <c r="AI584" s="453"/>
      <c r="AJ584" s="454"/>
      <c r="AK584" s="441" t="str">
        <f t="shared" si="859"/>
        <v/>
      </c>
      <c r="AL584" s="328"/>
      <c r="AM584" s="197" t="str">
        <f>IF(AND($I584="x",AND(MAX(AI584:AK584)=AI584,AI584&lt;&gt;"")),Data!$BI$2,"")</f>
        <v/>
      </c>
      <c r="AN584" s="197" t="str">
        <f>IF(AND($J584="x",AND(MAX(AI584:AK584)=AJ584,AJ584&lt;&gt;"")),Data!$BJ$2,"")</f>
        <v/>
      </c>
      <c r="AO584" s="197" t="str">
        <f>IF(AND($K584="x",AND(MAX(AI584:AK584)=AK584,AK584&lt;&gt;"")),Data!$BK$2,"")</f>
        <v/>
      </c>
      <c r="AP584" s="197"/>
      <c r="AQ584" s="328"/>
      <c r="AR584" s="453"/>
      <c r="AS584" s="454"/>
      <c r="AT584" s="441" t="str">
        <f t="shared" si="860"/>
        <v/>
      </c>
      <c r="AU584" s="328"/>
      <c r="AV584" s="197" t="str">
        <f>IF(AND($I584="x",AND(MAX(AR584:AT584)=AR584,AR584&lt;&gt;"")),Data!$BI$2,"")</f>
        <v/>
      </c>
      <c r="AW584" s="197" t="str">
        <f>IF(AND($J584="x",AND(MAX(AR584:AT584)=AS584,AS584&lt;&gt;"")),Data!$BJ$2,"")</f>
        <v/>
      </c>
      <c r="AX584" s="197" t="str">
        <f>IF(AND($K584="x",AND(MAX(AR584:AT584)=AT584,AT584&lt;&gt;"")),Data!$BK$2,"")</f>
        <v/>
      </c>
      <c r="AY584" s="197"/>
      <c r="AZ584" s="328"/>
      <c r="BA584" s="453"/>
      <c r="BB584" s="454"/>
      <c r="BC584" s="441" t="str">
        <f t="shared" si="861"/>
        <v/>
      </c>
      <c r="BD584" s="328"/>
      <c r="BE584" s="197" t="str">
        <f>IF(AND($I584="x",AND(MAX(BA584:BC584)=BA584,BA584&lt;&gt;"")),Data!$BI$2,"")</f>
        <v/>
      </c>
      <c r="BF584" s="197" t="str">
        <f>IF(AND($J584="x",AND(MAX(BA584:BC584)=BB584,BB584&lt;&gt;"")),Data!$BJ$2,"")</f>
        <v/>
      </c>
      <c r="BG584" s="197" t="str">
        <f>IF(AND($K584="x",AND(MAX(BA584:BC584)=BC584,BC584&lt;&gt;"")),Data!$BK$2,"")</f>
        <v/>
      </c>
      <c r="BH584" s="197"/>
      <c r="BI584" s="328"/>
      <c r="BJ584" s="453"/>
      <c r="BK584" s="454"/>
      <c r="BL584" s="441" t="str">
        <f t="shared" si="862"/>
        <v/>
      </c>
      <c r="BM584" s="328"/>
      <c r="BN584" s="197" t="str">
        <f>IF(AND($I584="x",AND(MAX(BJ584:BL584)=BJ584,BJ584&lt;&gt;"")),Data!$BI$2,"")</f>
        <v/>
      </c>
      <c r="BO584" s="197" t="str">
        <f>IF(AND($J584="x",AND(MAX(BJ584:BL584)=BK584,BK584&lt;&gt;"")),Data!$BJ$2,"")</f>
        <v/>
      </c>
      <c r="BP584" s="197" t="str">
        <f>IF(AND($K584="x",AND(MAX(BJ584:BL584)=BL584,BL584&lt;&gt;"")),Data!$BK$2,"")</f>
        <v/>
      </c>
      <c r="BQ584" s="197"/>
      <c r="BR584" s="328"/>
      <c r="BS584" s="453"/>
      <c r="BT584" s="454"/>
      <c r="BU584" s="441" t="str">
        <f t="shared" si="863"/>
        <v/>
      </c>
      <c r="BV584" s="328"/>
      <c r="BW584" s="197" t="str">
        <f>IF(AND($I584="x",AND(MAX(BS584:BU584)=BS584,BS584&lt;&gt;"")),Data!$BI$2,"")</f>
        <v/>
      </c>
      <c r="BX584" s="197" t="str">
        <f>IF(AND($J584="x",AND(MAX(BS584:BU584)=BT584,BT584&lt;&gt;"")),Data!$BJ$2,"")</f>
        <v/>
      </c>
      <c r="BY584" s="197" t="str">
        <f>IF(AND($K584="x",AND(MAX(BS584:BU584)=BU584,BU584&lt;&gt;"")),Data!$BK$2,"")</f>
        <v/>
      </c>
      <c r="BZ584" s="197"/>
      <c r="CA584" s="328"/>
      <c r="CB584" s="460" t="str">
        <f t="shared" si="864"/>
        <v/>
      </c>
      <c r="CC584" s="461" t="str">
        <f t="shared" si="865"/>
        <v/>
      </c>
      <c r="CD584" s="462" t="str">
        <f t="shared" si="866"/>
        <v/>
      </c>
      <c r="CE584" s="328"/>
      <c r="CF584" s="197" t="str">
        <f>IF(AND($I584="x",AND(MAX(CB584:CD584)=CB584,CB584&lt;&gt;"")),Data!$BI$2,"")</f>
        <v/>
      </c>
      <c r="CG584" s="197" t="str">
        <f>IF(AND($J584="x",AND(MAX(CB584:CD584)=CC584,CC584&lt;&gt;"")),Data!$BJ$2,"")</f>
        <v/>
      </c>
      <c r="CH584" s="197" t="str">
        <f>IF(AND($K584="x",AND(MAX(CB584:CD584)=CD584,CD584&lt;&gt;"")),Data!$BK$2,"")</f>
        <v/>
      </c>
      <c r="CI584" s="197"/>
      <c r="CJ584" s="197"/>
      <c r="CK584" s="453"/>
      <c r="CL584" s="454"/>
      <c r="CM584" s="441" t="str">
        <f t="shared" si="867"/>
        <v/>
      </c>
      <c r="CN584" s="328"/>
      <c r="CO584" s="197" t="str">
        <f>IF(AND($I584="x",AND(MAX(CK584:CM584)=CK584,CK584&lt;&gt;"")),Data!$BI$2,"")</f>
        <v/>
      </c>
      <c r="CP584" s="197" t="str">
        <f>IF(AND($J584="x",AND(MAX(CK584:CM584)=CL584,CL584&lt;&gt;"")),Data!$BJ$2,"")</f>
        <v/>
      </c>
      <c r="CQ584" s="197" t="str">
        <f>IF(AND($K584="x",AND(MAX(CK584:CM584)=CM584,CM584&lt;&gt;"")),Data!$BK$2,"")</f>
        <v/>
      </c>
      <c r="CR584" s="197"/>
      <c r="CS584" s="197"/>
      <c r="CT584" s="328"/>
      <c r="CU584" s="255"/>
      <c r="CV584" s="209"/>
      <c r="CW584" s="227"/>
    </row>
    <row r="585" spans="1:101" x14ac:dyDescent="0.2">
      <c r="A585" s="227"/>
      <c r="B585" s="227"/>
      <c r="C585" s="168"/>
      <c r="D585" s="232"/>
      <c r="E585" s="136" t="s">
        <v>370</v>
      </c>
      <c r="F585" s="426"/>
      <c r="G585" s="432" t="s">
        <v>51</v>
      </c>
      <c r="H585" s="433"/>
      <c r="I585" s="349" t="str">
        <f t="shared" si="854"/>
        <v/>
      </c>
      <c r="J585" s="350" t="str">
        <f t="shared" si="855"/>
        <v/>
      </c>
      <c r="K585" s="351" t="str">
        <f t="shared" si="856"/>
        <v/>
      </c>
      <c r="L585" s="258"/>
      <c r="M585" s="332"/>
      <c r="N585" s="336"/>
      <c r="O585" s="200"/>
      <c r="P585" s="200"/>
      <c r="Q585" s="445"/>
      <c r="R585" s="446"/>
      <c r="S585" s="447" t="str">
        <f t="shared" si="857"/>
        <v/>
      </c>
      <c r="T585" s="328"/>
      <c r="U585" s="197" t="str">
        <f>IF(AND($I585="x",AND(MAX(Q585:S585)=Q585,Q585&gt;=0)),Data!$BI$2,"")</f>
        <v/>
      </c>
      <c r="V585" s="197" t="str">
        <f>IF(AND($J585="x",AND(MAX(Q585:S585)=R585,R585&gt;=0)),Data!$BJ$2,"")</f>
        <v/>
      </c>
      <c r="W585" s="197" t="str">
        <f>IF(AND($K585="x",AND(MAX(Q585:S585)=S585,S585&gt;=0)),Data!$BK$2,"")</f>
        <v/>
      </c>
      <c r="X585" s="197"/>
      <c r="Y585" s="328"/>
      <c r="Z585" s="455"/>
      <c r="AA585" s="456"/>
      <c r="AB585" s="447" t="str">
        <f t="shared" si="858"/>
        <v/>
      </c>
      <c r="AC585" s="328"/>
      <c r="AD585" s="197" t="str">
        <f>IF(AND($I585="x",AND(MAX(Z585:AB585)=Z585,Z585&lt;&gt;"")),Data!$BI$2,"")</f>
        <v/>
      </c>
      <c r="AE585" s="197" t="str">
        <f>IF(AND($J585="x",AND(MAX(Z585:AB585)=AA585,AA585&lt;&gt;"")),Data!$BJ$2,"")</f>
        <v/>
      </c>
      <c r="AF585" s="197" t="str">
        <f>IF(AND($K585="x",AND(MAX(Z585:AB585)=AB585,AB585&lt;&gt;"")),Data!$BK$2,"")</f>
        <v/>
      </c>
      <c r="AG585" s="197"/>
      <c r="AH585" s="328"/>
      <c r="AI585" s="455"/>
      <c r="AJ585" s="456"/>
      <c r="AK585" s="447" t="str">
        <f t="shared" si="859"/>
        <v/>
      </c>
      <c r="AL585" s="328"/>
      <c r="AM585" s="197" t="str">
        <f>IF(AND($I585="x",AND(MAX(AI585:AK585)=AI585,AI585&lt;&gt;"")),Data!$BI$2,"")</f>
        <v/>
      </c>
      <c r="AN585" s="197" t="str">
        <f>IF(AND($J585="x",AND(MAX(AI585:AK585)=AJ585,AJ585&lt;&gt;"")),Data!$BJ$2,"")</f>
        <v/>
      </c>
      <c r="AO585" s="197" t="str">
        <f>IF(AND($K585="x",AND(MAX(AI585:AK585)=AK585,AK585&lt;&gt;"")),Data!$BK$2,"")</f>
        <v/>
      </c>
      <c r="AP585" s="197"/>
      <c r="AQ585" s="328"/>
      <c r="AR585" s="455"/>
      <c r="AS585" s="456"/>
      <c r="AT585" s="447" t="str">
        <f t="shared" si="860"/>
        <v/>
      </c>
      <c r="AU585" s="328"/>
      <c r="AV585" s="197" t="str">
        <f>IF(AND($I585="x",AND(MAX(AR585:AT585)=AR585,AR585&lt;&gt;"")),Data!$BI$2,"")</f>
        <v/>
      </c>
      <c r="AW585" s="197" t="str">
        <f>IF(AND($J585="x",AND(MAX(AR585:AT585)=AS585,AS585&lt;&gt;"")),Data!$BJ$2,"")</f>
        <v/>
      </c>
      <c r="AX585" s="197" t="str">
        <f>IF(AND($K585="x",AND(MAX(AR585:AT585)=AT585,AT585&lt;&gt;"")),Data!$BK$2,"")</f>
        <v/>
      </c>
      <c r="AY585" s="197"/>
      <c r="AZ585" s="328"/>
      <c r="BA585" s="455"/>
      <c r="BB585" s="456"/>
      <c r="BC585" s="447" t="str">
        <f t="shared" si="861"/>
        <v/>
      </c>
      <c r="BD585" s="328"/>
      <c r="BE585" s="197" t="str">
        <f>IF(AND($I585="x",AND(MAX(BA585:BC585)=BA585,BA585&lt;&gt;"")),Data!$BI$2,"")</f>
        <v/>
      </c>
      <c r="BF585" s="197" t="str">
        <f>IF(AND($J585="x",AND(MAX(BA585:BC585)=BB585,BB585&lt;&gt;"")),Data!$BJ$2,"")</f>
        <v/>
      </c>
      <c r="BG585" s="197" t="str">
        <f>IF(AND($K585="x",AND(MAX(BA585:BC585)=BC585,BC585&lt;&gt;"")),Data!$BK$2,"")</f>
        <v/>
      </c>
      <c r="BH585" s="197"/>
      <c r="BI585" s="328"/>
      <c r="BJ585" s="455"/>
      <c r="BK585" s="456"/>
      <c r="BL585" s="447" t="str">
        <f t="shared" si="862"/>
        <v/>
      </c>
      <c r="BM585" s="328"/>
      <c r="BN585" s="197" t="str">
        <f>IF(AND($I585="x",AND(MAX(BJ585:BL585)=BJ585,BJ585&lt;&gt;"")),Data!$BI$2,"")</f>
        <v/>
      </c>
      <c r="BO585" s="197" t="str">
        <f>IF(AND($J585="x",AND(MAX(BJ585:BL585)=BK585,BK585&lt;&gt;"")),Data!$BJ$2,"")</f>
        <v/>
      </c>
      <c r="BP585" s="197" t="str">
        <f>IF(AND($K585="x",AND(MAX(BJ585:BL585)=BL585,BL585&lt;&gt;"")),Data!$BK$2,"")</f>
        <v/>
      </c>
      <c r="BQ585" s="197"/>
      <c r="BR585" s="328"/>
      <c r="BS585" s="455"/>
      <c r="BT585" s="456"/>
      <c r="BU585" s="447" t="str">
        <f t="shared" si="863"/>
        <v/>
      </c>
      <c r="BV585" s="328"/>
      <c r="BW585" s="197" t="str">
        <f>IF(AND($I585="x",AND(MAX(BS585:BU585)=BS585,BS585&lt;&gt;"")),Data!$BI$2,"")</f>
        <v/>
      </c>
      <c r="BX585" s="197" t="str">
        <f>IF(AND($J585="x",AND(MAX(BS585:BU585)=BT585,BT585&lt;&gt;"")),Data!$BJ$2,"")</f>
        <v/>
      </c>
      <c r="BY585" s="197" t="str">
        <f>IF(AND($K585="x",AND(MAX(BS585:BU585)=BU585,BU585&lt;&gt;"")),Data!$BK$2,"")</f>
        <v/>
      </c>
      <c r="BZ585" s="197"/>
      <c r="CA585" s="328"/>
      <c r="CB585" s="463" t="str">
        <f t="shared" si="864"/>
        <v/>
      </c>
      <c r="CC585" s="464" t="str">
        <f t="shared" si="865"/>
        <v/>
      </c>
      <c r="CD585" s="465" t="str">
        <f t="shared" si="866"/>
        <v/>
      </c>
      <c r="CE585" s="328"/>
      <c r="CF585" s="197" t="str">
        <f>IF(AND($I585="x",AND(MAX(CB585:CD585)=CB585,CB585&lt;&gt;"")),Data!$BI$2,"")</f>
        <v/>
      </c>
      <c r="CG585" s="197" t="str">
        <f>IF(AND($J585="x",AND(MAX(CB585:CD585)=CC585,CC585&lt;&gt;"")),Data!$BJ$2,"")</f>
        <v/>
      </c>
      <c r="CH585" s="197" t="str">
        <f>IF(AND($K585="x",AND(MAX(CB585:CD585)=CD585,CD585&lt;&gt;"")),Data!$BK$2,"")</f>
        <v/>
      </c>
      <c r="CI585" s="197"/>
      <c r="CJ585" s="197"/>
      <c r="CK585" s="455"/>
      <c r="CL585" s="456"/>
      <c r="CM585" s="447" t="str">
        <f t="shared" si="867"/>
        <v/>
      </c>
      <c r="CN585" s="328"/>
      <c r="CO585" s="197" t="str">
        <f>IF(AND($I585="x",AND(MAX(CK585:CM585)=CK585,CK585&lt;&gt;"")),Data!$BI$2,"")</f>
        <v/>
      </c>
      <c r="CP585" s="197" t="str">
        <f>IF(AND($J585="x",AND(MAX(CK585:CM585)=CL585,CL585&lt;&gt;"")),Data!$BJ$2,"")</f>
        <v/>
      </c>
      <c r="CQ585" s="197" t="str">
        <f>IF(AND($K585="x",AND(MAX(CK585:CM585)=CM585,CM585&lt;&gt;"")),Data!$BK$2,"")</f>
        <v/>
      </c>
      <c r="CR585" s="197"/>
      <c r="CS585" s="197"/>
      <c r="CT585" s="328"/>
      <c r="CU585" s="255"/>
      <c r="CV585" s="209"/>
      <c r="CW585" s="227"/>
    </row>
    <row r="586" spans="1:101" x14ac:dyDescent="0.2">
      <c r="A586" s="227"/>
      <c r="B586" s="227"/>
      <c r="C586" s="168"/>
      <c r="D586" s="232"/>
      <c r="E586" s="134" t="s">
        <v>371</v>
      </c>
      <c r="F586" s="424"/>
      <c r="G586" s="428" t="s">
        <v>51</v>
      </c>
      <c r="H586" s="429"/>
      <c r="I586" s="138" t="str">
        <f t="shared" si="854"/>
        <v/>
      </c>
      <c r="J586" s="344" t="str">
        <f t="shared" si="855"/>
        <v/>
      </c>
      <c r="K586" s="345" t="str">
        <f t="shared" si="856"/>
        <v/>
      </c>
      <c r="L586" s="258"/>
      <c r="M586" s="332"/>
      <c r="N586" s="336"/>
      <c r="O586" s="200"/>
      <c r="P586" s="200"/>
      <c r="Q586" s="436"/>
      <c r="R586" s="437"/>
      <c r="S586" s="438" t="str">
        <f t="shared" si="857"/>
        <v/>
      </c>
      <c r="T586" s="328"/>
      <c r="U586" s="197" t="str">
        <f>IF(AND($I586="x",AND(MAX(Q586:S586)=Q586,Q586&gt;=0)),Data!$BI$2,"")</f>
        <v/>
      </c>
      <c r="V586" s="197" t="str">
        <f>IF(AND($J586="x",AND(MAX(Q586:S586)=R586,R586&gt;=0)),Data!$BJ$2,"")</f>
        <v/>
      </c>
      <c r="W586" s="197" t="str">
        <f>IF(AND($K586="x",AND(MAX(Q586:S586)=S586,S586&gt;=0)),Data!$BK$2,"")</f>
        <v/>
      </c>
      <c r="X586" s="197"/>
      <c r="Y586" s="328"/>
      <c r="Z586" s="451"/>
      <c r="AA586" s="452"/>
      <c r="AB586" s="438" t="str">
        <f t="shared" si="858"/>
        <v/>
      </c>
      <c r="AC586" s="328"/>
      <c r="AD586" s="197" t="str">
        <f>IF(AND($I586="x",AND(MAX(Z586:AB586)=Z586,Z586&lt;&gt;"")),Data!$BI$2,"")</f>
        <v/>
      </c>
      <c r="AE586" s="197" t="str">
        <f>IF(AND($J586="x",AND(MAX(Z586:AB586)=AA586,AA586&lt;&gt;"")),Data!$BJ$2,"")</f>
        <v/>
      </c>
      <c r="AF586" s="197" t="str">
        <f>IF(AND($K586="x",AND(MAX(Z586:AB586)=AB586,AB586&lt;&gt;"")),Data!$BK$2,"")</f>
        <v/>
      </c>
      <c r="AG586" s="197"/>
      <c r="AH586" s="328"/>
      <c r="AI586" s="451"/>
      <c r="AJ586" s="452"/>
      <c r="AK586" s="438" t="str">
        <f t="shared" si="859"/>
        <v/>
      </c>
      <c r="AL586" s="328"/>
      <c r="AM586" s="197" t="str">
        <f>IF(AND($I586="x",AND(MAX(AI586:AK586)=AI586,AI586&lt;&gt;"")),Data!$BI$2,"")</f>
        <v/>
      </c>
      <c r="AN586" s="197" t="str">
        <f>IF(AND($J586="x",AND(MAX(AI586:AK586)=AJ586,AJ586&lt;&gt;"")),Data!$BJ$2,"")</f>
        <v/>
      </c>
      <c r="AO586" s="197" t="str">
        <f>IF(AND($K586="x",AND(MAX(AI586:AK586)=AK586,AK586&lt;&gt;"")),Data!$BK$2,"")</f>
        <v/>
      </c>
      <c r="AP586" s="197"/>
      <c r="AQ586" s="328"/>
      <c r="AR586" s="451"/>
      <c r="AS586" s="452"/>
      <c r="AT586" s="438" t="str">
        <f t="shared" si="860"/>
        <v/>
      </c>
      <c r="AU586" s="328"/>
      <c r="AV586" s="197" t="str">
        <f>IF(AND($I586="x",AND(MAX(AR586:AT586)=AR586,AR586&lt;&gt;"")),Data!$BI$2,"")</f>
        <v/>
      </c>
      <c r="AW586" s="197" t="str">
        <f>IF(AND($J586="x",AND(MAX(AR586:AT586)=AS586,AS586&lt;&gt;"")),Data!$BJ$2,"")</f>
        <v/>
      </c>
      <c r="AX586" s="197" t="str">
        <f>IF(AND($K586="x",AND(MAX(AR586:AT586)=AT586,AT586&lt;&gt;"")),Data!$BK$2,"")</f>
        <v/>
      </c>
      <c r="AY586" s="197"/>
      <c r="AZ586" s="328"/>
      <c r="BA586" s="451"/>
      <c r="BB586" s="452"/>
      <c r="BC586" s="438" t="str">
        <f t="shared" si="861"/>
        <v/>
      </c>
      <c r="BD586" s="328"/>
      <c r="BE586" s="197" t="str">
        <f>IF(AND($I586="x",AND(MAX(BA586:BC586)=BA586,BA586&lt;&gt;"")),Data!$BI$2,"")</f>
        <v/>
      </c>
      <c r="BF586" s="197" t="str">
        <f>IF(AND($J586="x",AND(MAX(BA586:BC586)=BB586,BB586&lt;&gt;"")),Data!$BJ$2,"")</f>
        <v/>
      </c>
      <c r="BG586" s="197" t="str">
        <f>IF(AND($K586="x",AND(MAX(BA586:BC586)=BC586,BC586&lt;&gt;"")),Data!$BK$2,"")</f>
        <v/>
      </c>
      <c r="BH586" s="197"/>
      <c r="BI586" s="328"/>
      <c r="BJ586" s="451"/>
      <c r="BK586" s="452"/>
      <c r="BL586" s="438" t="str">
        <f t="shared" si="862"/>
        <v/>
      </c>
      <c r="BM586" s="328"/>
      <c r="BN586" s="197" t="str">
        <f>IF(AND($I586="x",AND(MAX(BJ586:BL586)=BJ586,BJ586&lt;&gt;"")),Data!$BI$2,"")</f>
        <v/>
      </c>
      <c r="BO586" s="197" t="str">
        <f>IF(AND($J586="x",AND(MAX(BJ586:BL586)=BK586,BK586&lt;&gt;"")),Data!$BJ$2,"")</f>
        <v/>
      </c>
      <c r="BP586" s="197" t="str">
        <f>IF(AND($K586="x",AND(MAX(BJ586:BL586)=BL586,BL586&lt;&gt;"")),Data!$BK$2,"")</f>
        <v/>
      </c>
      <c r="BQ586" s="197"/>
      <c r="BR586" s="328"/>
      <c r="BS586" s="451"/>
      <c r="BT586" s="452"/>
      <c r="BU586" s="438" t="str">
        <f t="shared" si="863"/>
        <v/>
      </c>
      <c r="BV586" s="328"/>
      <c r="BW586" s="197" t="str">
        <f>IF(AND($I586="x",AND(MAX(BS586:BU586)=BS586,BS586&lt;&gt;"")),Data!$BI$2,"")</f>
        <v/>
      </c>
      <c r="BX586" s="197" t="str">
        <f>IF(AND($J586="x",AND(MAX(BS586:BU586)=BT586,BT586&lt;&gt;"")),Data!$BJ$2,"")</f>
        <v/>
      </c>
      <c r="BY586" s="197" t="str">
        <f>IF(AND($K586="x",AND(MAX(BS586:BU586)=BU586,BU586&lt;&gt;"")),Data!$BK$2,"")</f>
        <v/>
      </c>
      <c r="BZ586" s="197"/>
      <c r="CA586" s="328"/>
      <c r="CB586" s="457" t="str">
        <f t="shared" si="864"/>
        <v/>
      </c>
      <c r="CC586" s="458" t="str">
        <f t="shared" si="865"/>
        <v/>
      </c>
      <c r="CD586" s="459" t="str">
        <f t="shared" si="866"/>
        <v/>
      </c>
      <c r="CE586" s="328"/>
      <c r="CF586" s="197" t="str">
        <f>IF(AND($I586="x",AND(MAX(CB586:CD586)=CB586,CB586&lt;&gt;"")),Data!$BI$2,"")</f>
        <v/>
      </c>
      <c r="CG586" s="197" t="str">
        <f>IF(AND($J586="x",AND(MAX(CB586:CD586)=CC586,CC586&lt;&gt;"")),Data!$BJ$2,"")</f>
        <v/>
      </c>
      <c r="CH586" s="197" t="str">
        <f>IF(AND($K586="x",AND(MAX(CB586:CD586)=CD586,CD586&lt;&gt;"")),Data!$BK$2,"")</f>
        <v/>
      </c>
      <c r="CI586" s="197"/>
      <c r="CJ586" s="197"/>
      <c r="CK586" s="451"/>
      <c r="CL586" s="452"/>
      <c r="CM586" s="438" t="str">
        <f t="shared" si="867"/>
        <v/>
      </c>
      <c r="CN586" s="328"/>
      <c r="CO586" s="197" t="str">
        <f>IF(AND($I586="x",AND(MAX(CK586:CM586)=CK586,CK586&lt;&gt;"")),Data!$BI$2,"")</f>
        <v/>
      </c>
      <c r="CP586" s="197" t="str">
        <f>IF(AND($J586="x",AND(MAX(CK586:CM586)=CL586,CL586&lt;&gt;"")),Data!$BJ$2,"")</f>
        <v/>
      </c>
      <c r="CQ586" s="197" t="str">
        <f>IF(AND($K586="x",AND(MAX(CK586:CM586)=CM586,CM586&lt;&gt;"")),Data!$BK$2,"")</f>
        <v/>
      </c>
      <c r="CR586" s="197"/>
      <c r="CS586" s="197"/>
      <c r="CT586" s="328"/>
      <c r="CU586" s="259"/>
      <c r="CV586" s="209"/>
      <c r="CW586" s="227"/>
    </row>
    <row r="587" spans="1:101" x14ac:dyDescent="0.2">
      <c r="A587" s="227"/>
      <c r="B587" s="227"/>
      <c r="C587" s="168"/>
      <c r="D587" s="232"/>
      <c r="E587" s="135" t="s">
        <v>372</v>
      </c>
      <c r="F587" s="425"/>
      <c r="G587" s="430" t="s">
        <v>51</v>
      </c>
      <c r="H587" s="431"/>
      <c r="I587" s="346" t="str">
        <f t="shared" si="854"/>
        <v/>
      </c>
      <c r="J587" s="347" t="str">
        <f t="shared" si="855"/>
        <v/>
      </c>
      <c r="K587" s="348" t="str">
        <f t="shared" si="856"/>
        <v/>
      </c>
      <c r="L587" s="258"/>
      <c r="M587" s="332"/>
      <c r="N587" s="336"/>
      <c r="O587" s="200"/>
      <c r="P587" s="200"/>
      <c r="Q587" s="439"/>
      <c r="R587" s="440"/>
      <c r="S587" s="441" t="str">
        <f t="shared" si="857"/>
        <v/>
      </c>
      <c r="T587" s="328"/>
      <c r="U587" s="197" t="str">
        <f>IF(AND($I587="x",AND(MAX(Q587:S587)=Q587,Q587&gt;=0)),Data!$BI$2,"")</f>
        <v/>
      </c>
      <c r="V587" s="197" t="str">
        <f>IF(AND($J587="x",AND(MAX(Q587:S587)=R587,R587&gt;=0)),Data!$BJ$2,"")</f>
        <v/>
      </c>
      <c r="W587" s="197" t="str">
        <f>IF(AND($K587="x",AND(MAX(Q587:S587)=S587,S587&gt;=0)),Data!$BK$2,"")</f>
        <v/>
      </c>
      <c r="X587" s="197"/>
      <c r="Y587" s="328"/>
      <c r="Z587" s="453"/>
      <c r="AA587" s="454"/>
      <c r="AB587" s="441" t="str">
        <f t="shared" si="858"/>
        <v/>
      </c>
      <c r="AC587" s="328"/>
      <c r="AD587" s="197" t="str">
        <f>IF(AND($I587="x",AND(MAX(Z587:AB587)=Z587,Z587&lt;&gt;"")),Data!$BI$2,"")</f>
        <v/>
      </c>
      <c r="AE587" s="197" t="str">
        <f>IF(AND($J587="x",AND(MAX(Z587:AB587)=AA587,AA587&lt;&gt;"")),Data!$BJ$2,"")</f>
        <v/>
      </c>
      <c r="AF587" s="197" t="str">
        <f>IF(AND($K587="x",AND(MAX(Z587:AB587)=AB587,AB587&lt;&gt;"")),Data!$BK$2,"")</f>
        <v/>
      </c>
      <c r="AG587" s="197"/>
      <c r="AH587" s="328"/>
      <c r="AI587" s="453"/>
      <c r="AJ587" s="454"/>
      <c r="AK587" s="441" t="str">
        <f t="shared" si="859"/>
        <v/>
      </c>
      <c r="AL587" s="328"/>
      <c r="AM587" s="197" t="str">
        <f>IF(AND($I587="x",AND(MAX(AI587:AK587)=AI587,AI587&lt;&gt;"")),Data!$BI$2,"")</f>
        <v/>
      </c>
      <c r="AN587" s="197" t="str">
        <f>IF(AND($J587="x",AND(MAX(AI587:AK587)=AJ587,AJ587&lt;&gt;"")),Data!$BJ$2,"")</f>
        <v/>
      </c>
      <c r="AO587" s="197" t="str">
        <f>IF(AND($K587="x",AND(MAX(AI587:AK587)=AK587,AK587&lt;&gt;"")),Data!$BK$2,"")</f>
        <v/>
      </c>
      <c r="AP587" s="197"/>
      <c r="AQ587" s="328"/>
      <c r="AR587" s="453"/>
      <c r="AS587" s="454"/>
      <c r="AT587" s="441" t="str">
        <f t="shared" si="860"/>
        <v/>
      </c>
      <c r="AU587" s="328"/>
      <c r="AV587" s="197" t="str">
        <f>IF(AND($I587="x",AND(MAX(AR587:AT587)=AR587,AR587&lt;&gt;"")),Data!$BI$2,"")</f>
        <v/>
      </c>
      <c r="AW587" s="197" t="str">
        <f>IF(AND($J587="x",AND(MAX(AR587:AT587)=AS587,AS587&lt;&gt;"")),Data!$BJ$2,"")</f>
        <v/>
      </c>
      <c r="AX587" s="197" t="str">
        <f>IF(AND($K587="x",AND(MAX(AR587:AT587)=AT587,AT587&lt;&gt;"")),Data!$BK$2,"")</f>
        <v/>
      </c>
      <c r="AY587" s="197"/>
      <c r="AZ587" s="328"/>
      <c r="BA587" s="453"/>
      <c r="BB587" s="454"/>
      <c r="BC587" s="441" t="str">
        <f t="shared" si="861"/>
        <v/>
      </c>
      <c r="BD587" s="328"/>
      <c r="BE587" s="197" t="str">
        <f>IF(AND($I587="x",AND(MAX(BA587:BC587)=BA587,BA587&lt;&gt;"")),Data!$BI$2,"")</f>
        <v/>
      </c>
      <c r="BF587" s="197" t="str">
        <f>IF(AND($J587="x",AND(MAX(BA587:BC587)=BB587,BB587&lt;&gt;"")),Data!$BJ$2,"")</f>
        <v/>
      </c>
      <c r="BG587" s="197" t="str">
        <f>IF(AND($K587="x",AND(MAX(BA587:BC587)=BC587,BC587&lt;&gt;"")),Data!$BK$2,"")</f>
        <v/>
      </c>
      <c r="BH587" s="197"/>
      <c r="BI587" s="328"/>
      <c r="BJ587" s="453"/>
      <c r="BK587" s="454"/>
      <c r="BL587" s="441" t="str">
        <f t="shared" si="862"/>
        <v/>
      </c>
      <c r="BM587" s="328"/>
      <c r="BN587" s="197" t="str">
        <f>IF(AND($I587="x",AND(MAX(BJ587:BL587)=BJ587,BJ587&lt;&gt;"")),Data!$BI$2,"")</f>
        <v/>
      </c>
      <c r="BO587" s="197" t="str">
        <f>IF(AND($J587="x",AND(MAX(BJ587:BL587)=BK587,BK587&lt;&gt;"")),Data!$BJ$2,"")</f>
        <v/>
      </c>
      <c r="BP587" s="197" t="str">
        <f>IF(AND($K587="x",AND(MAX(BJ587:BL587)=BL587,BL587&lt;&gt;"")),Data!$BK$2,"")</f>
        <v/>
      </c>
      <c r="BQ587" s="197"/>
      <c r="BR587" s="328"/>
      <c r="BS587" s="453"/>
      <c r="BT587" s="454"/>
      <c r="BU587" s="441" t="str">
        <f t="shared" si="863"/>
        <v/>
      </c>
      <c r="BV587" s="328"/>
      <c r="BW587" s="197" t="str">
        <f>IF(AND($I587="x",AND(MAX(BS587:BU587)=BS587,BS587&lt;&gt;"")),Data!$BI$2,"")</f>
        <v/>
      </c>
      <c r="BX587" s="197" t="str">
        <f>IF(AND($J587="x",AND(MAX(BS587:BU587)=BT587,BT587&lt;&gt;"")),Data!$BJ$2,"")</f>
        <v/>
      </c>
      <c r="BY587" s="197" t="str">
        <f>IF(AND($K587="x",AND(MAX(BS587:BU587)=BU587,BU587&lt;&gt;"")),Data!$BK$2,"")</f>
        <v/>
      </c>
      <c r="BZ587" s="197"/>
      <c r="CA587" s="328"/>
      <c r="CB587" s="460" t="str">
        <f t="shared" si="864"/>
        <v/>
      </c>
      <c r="CC587" s="461" t="str">
        <f t="shared" si="865"/>
        <v/>
      </c>
      <c r="CD587" s="462" t="str">
        <f t="shared" si="866"/>
        <v/>
      </c>
      <c r="CE587" s="328"/>
      <c r="CF587" s="197" t="str">
        <f>IF(AND($I587="x",AND(MAX(CB587:CD587)=CB587,CB587&lt;&gt;"")),Data!$BI$2,"")</f>
        <v/>
      </c>
      <c r="CG587" s="197" t="str">
        <f>IF(AND($J587="x",AND(MAX(CB587:CD587)=CC587,CC587&lt;&gt;"")),Data!$BJ$2,"")</f>
        <v/>
      </c>
      <c r="CH587" s="197" t="str">
        <f>IF(AND($K587="x",AND(MAX(CB587:CD587)=CD587,CD587&lt;&gt;"")),Data!$BK$2,"")</f>
        <v/>
      </c>
      <c r="CI587" s="197"/>
      <c r="CJ587" s="197"/>
      <c r="CK587" s="453"/>
      <c r="CL587" s="454"/>
      <c r="CM587" s="441" t="str">
        <f t="shared" si="867"/>
        <v/>
      </c>
      <c r="CN587" s="328"/>
      <c r="CO587" s="197" t="str">
        <f>IF(AND($I587="x",AND(MAX(CK587:CM587)=CK587,CK587&lt;&gt;"")),Data!$BI$2,"")</f>
        <v/>
      </c>
      <c r="CP587" s="197" t="str">
        <f>IF(AND($J587="x",AND(MAX(CK587:CM587)=CL587,CL587&lt;&gt;"")),Data!$BJ$2,"")</f>
        <v/>
      </c>
      <c r="CQ587" s="197" t="str">
        <f>IF(AND($K587="x",AND(MAX(CK587:CM587)=CM587,CM587&lt;&gt;"")),Data!$BK$2,"")</f>
        <v/>
      </c>
      <c r="CR587" s="197"/>
      <c r="CS587" s="197"/>
      <c r="CT587" s="328"/>
      <c r="CU587" s="259"/>
      <c r="CV587" s="209"/>
      <c r="CW587" s="227"/>
    </row>
    <row r="588" spans="1:101" x14ac:dyDescent="0.2">
      <c r="A588" s="227"/>
      <c r="B588" s="227"/>
      <c r="C588" s="168"/>
      <c r="D588" s="232"/>
      <c r="E588" s="136" t="s">
        <v>373</v>
      </c>
      <c r="F588" s="426"/>
      <c r="G588" s="432" t="s">
        <v>51</v>
      </c>
      <c r="H588" s="433"/>
      <c r="I588" s="349" t="str">
        <f t="shared" si="854"/>
        <v/>
      </c>
      <c r="J588" s="350" t="str">
        <f t="shared" si="855"/>
        <v/>
      </c>
      <c r="K588" s="351" t="str">
        <f t="shared" si="856"/>
        <v/>
      </c>
      <c r="L588" s="258"/>
      <c r="M588" s="332"/>
      <c r="N588" s="336"/>
      <c r="O588" s="200"/>
      <c r="P588" s="200"/>
      <c r="Q588" s="445"/>
      <c r="R588" s="446"/>
      <c r="S588" s="447" t="str">
        <f t="shared" si="857"/>
        <v/>
      </c>
      <c r="T588" s="328"/>
      <c r="U588" s="197" t="str">
        <f>IF(AND($I588="x",AND(MAX(Q588:S588)=Q588,Q588&gt;=0)),Data!$BI$2,"")</f>
        <v/>
      </c>
      <c r="V588" s="197" t="str">
        <f>IF(AND($J588="x",AND(MAX(Q588:S588)=R588,R588&gt;=0)),Data!$BJ$2,"")</f>
        <v/>
      </c>
      <c r="W588" s="197" t="str">
        <f>IF(AND($K588="x",AND(MAX(Q588:S588)=S588,S588&gt;=0)),Data!$BK$2,"")</f>
        <v/>
      </c>
      <c r="X588" s="197"/>
      <c r="Y588" s="328"/>
      <c r="Z588" s="455"/>
      <c r="AA588" s="456"/>
      <c r="AB588" s="447" t="str">
        <f t="shared" si="858"/>
        <v/>
      </c>
      <c r="AC588" s="328"/>
      <c r="AD588" s="197" t="str">
        <f>IF(AND($I588="x",AND(MAX(Z588:AB588)=Z588,Z588&lt;&gt;"")),Data!$BI$2,"")</f>
        <v/>
      </c>
      <c r="AE588" s="197" t="str">
        <f>IF(AND($J588="x",AND(MAX(Z588:AB588)=AA588,AA588&lt;&gt;"")),Data!$BJ$2,"")</f>
        <v/>
      </c>
      <c r="AF588" s="197" t="str">
        <f>IF(AND($K588="x",AND(MAX(Z588:AB588)=AB588,AB588&lt;&gt;"")),Data!$BK$2,"")</f>
        <v/>
      </c>
      <c r="AG588" s="197"/>
      <c r="AH588" s="328"/>
      <c r="AI588" s="455"/>
      <c r="AJ588" s="456"/>
      <c r="AK588" s="447" t="str">
        <f t="shared" si="859"/>
        <v/>
      </c>
      <c r="AL588" s="328"/>
      <c r="AM588" s="197" t="str">
        <f>IF(AND($I588="x",AND(MAX(AI588:AK588)=AI588,AI588&lt;&gt;"")),Data!$BI$2,"")</f>
        <v/>
      </c>
      <c r="AN588" s="197" t="str">
        <f>IF(AND($J588="x",AND(MAX(AI588:AK588)=AJ588,AJ588&lt;&gt;"")),Data!$BJ$2,"")</f>
        <v/>
      </c>
      <c r="AO588" s="197" t="str">
        <f>IF(AND($K588="x",AND(MAX(AI588:AK588)=AK588,AK588&lt;&gt;"")),Data!$BK$2,"")</f>
        <v/>
      </c>
      <c r="AP588" s="197"/>
      <c r="AQ588" s="328"/>
      <c r="AR588" s="455"/>
      <c r="AS588" s="456"/>
      <c r="AT588" s="447" t="str">
        <f t="shared" si="860"/>
        <v/>
      </c>
      <c r="AU588" s="328"/>
      <c r="AV588" s="197" t="str">
        <f>IF(AND($I588="x",AND(MAX(AR588:AT588)=AR588,AR588&lt;&gt;"")),Data!$BI$2,"")</f>
        <v/>
      </c>
      <c r="AW588" s="197" t="str">
        <f>IF(AND($J588="x",AND(MAX(AR588:AT588)=AS588,AS588&lt;&gt;"")),Data!$BJ$2,"")</f>
        <v/>
      </c>
      <c r="AX588" s="197" t="str">
        <f>IF(AND($K588="x",AND(MAX(AR588:AT588)=AT588,AT588&lt;&gt;"")),Data!$BK$2,"")</f>
        <v/>
      </c>
      <c r="AY588" s="197"/>
      <c r="AZ588" s="328"/>
      <c r="BA588" s="455"/>
      <c r="BB588" s="456"/>
      <c r="BC588" s="447" t="str">
        <f t="shared" si="861"/>
        <v/>
      </c>
      <c r="BD588" s="328"/>
      <c r="BE588" s="197" t="str">
        <f>IF(AND($I588="x",AND(MAX(BA588:BC588)=BA588,BA588&lt;&gt;"")),Data!$BI$2,"")</f>
        <v/>
      </c>
      <c r="BF588" s="197" t="str">
        <f>IF(AND($J588="x",AND(MAX(BA588:BC588)=BB588,BB588&lt;&gt;"")),Data!$BJ$2,"")</f>
        <v/>
      </c>
      <c r="BG588" s="197" t="str">
        <f>IF(AND($K588="x",AND(MAX(BA588:BC588)=BC588,BC588&lt;&gt;"")),Data!$BK$2,"")</f>
        <v/>
      </c>
      <c r="BH588" s="197"/>
      <c r="BI588" s="328"/>
      <c r="BJ588" s="455"/>
      <c r="BK588" s="456"/>
      <c r="BL588" s="447" t="str">
        <f t="shared" si="862"/>
        <v/>
      </c>
      <c r="BM588" s="328"/>
      <c r="BN588" s="197" t="str">
        <f>IF(AND($I588="x",AND(MAX(BJ588:BL588)=BJ588,BJ588&lt;&gt;"")),Data!$BI$2,"")</f>
        <v/>
      </c>
      <c r="BO588" s="197" t="str">
        <f>IF(AND($J588="x",AND(MAX(BJ588:BL588)=BK588,BK588&lt;&gt;"")),Data!$BJ$2,"")</f>
        <v/>
      </c>
      <c r="BP588" s="197" t="str">
        <f>IF(AND($K588="x",AND(MAX(BJ588:BL588)=BL588,BL588&lt;&gt;"")),Data!$BK$2,"")</f>
        <v/>
      </c>
      <c r="BQ588" s="197"/>
      <c r="BR588" s="328"/>
      <c r="BS588" s="455"/>
      <c r="BT588" s="456"/>
      <c r="BU588" s="447" t="str">
        <f t="shared" si="863"/>
        <v/>
      </c>
      <c r="BV588" s="328"/>
      <c r="BW588" s="197" t="str">
        <f>IF(AND($I588="x",AND(MAX(BS588:BU588)=BS588,BS588&lt;&gt;"")),Data!$BI$2,"")</f>
        <v/>
      </c>
      <c r="BX588" s="197" t="str">
        <f>IF(AND($J588="x",AND(MAX(BS588:BU588)=BT588,BT588&lt;&gt;"")),Data!$BJ$2,"")</f>
        <v/>
      </c>
      <c r="BY588" s="197" t="str">
        <f>IF(AND($K588="x",AND(MAX(BS588:BU588)=BU588,BU588&lt;&gt;"")),Data!$BK$2,"")</f>
        <v/>
      </c>
      <c r="BZ588" s="197"/>
      <c r="CA588" s="328"/>
      <c r="CB588" s="463" t="str">
        <f t="shared" si="864"/>
        <v/>
      </c>
      <c r="CC588" s="464" t="str">
        <f t="shared" si="865"/>
        <v/>
      </c>
      <c r="CD588" s="465" t="str">
        <f t="shared" si="866"/>
        <v/>
      </c>
      <c r="CE588" s="328"/>
      <c r="CF588" s="197" t="str">
        <f>IF(AND($I588="x",AND(MAX(CB588:CD588)=CB588,CB588&lt;&gt;"")),Data!$BI$2,"")</f>
        <v/>
      </c>
      <c r="CG588" s="197" t="str">
        <f>IF(AND($J588="x",AND(MAX(CB588:CD588)=CC588,CC588&lt;&gt;"")),Data!$BJ$2,"")</f>
        <v/>
      </c>
      <c r="CH588" s="197" t="str">
        <f>IF(AND($K588="x",AND(MAX(CB588:CD588)=CD588,CD588&lt;&gt;"")),Data!$BK$2,"")</f>
        <v/>
      </c>
      <c r="CI588" s="197"/>
      <c r="CJ588" s="197"/>
      <c r="CK588" s="455"/>
      <c r="CL588" s="456"/>
      <c r="CM588" s="447" t="str">
        <f t="shared" si="867"/>
        <v/>
      </c>
      <c r="CN588" s="328"/>
      <c r="CO588" s="197" t="str">
        <f>IF(AND($I588="x",AND(MAX(CK588:CM588)=CK588,CK588&lt;&gt;"")),Data!$BI$2,"")</f>
        <v/>
      </c>
      <c r="CP588" s="197" t="str">
        <f>IF(AND($J588="x",AND(MAX(CK588:CM588)=CL588,CL588&lt;&gt;"")),Data!$BJ$2,"")</f>
        <v/>
      </c>
      <c r="CQ588" s="197" t="str">
        <f>IF(AND($K588="x",AND(MAX(CK588:CM588)=CM588,CM588&lt;&gt;"")),Data!$BK$2,"")</f>
        <v/>
      </c>
      <c r="CR588" s="197"/>
      <c r="CS588" s="197"/>
      <c r="CT588" s="328"/>
      <c r="CU588" s="259"/>
      <c r="CV588" s="209"/>
      <c r="CW588" s="227"/>
    </row>
    <row r="589" spans="1:101" x14ac:dyDescent="0.2">
      <c r="A589" s="227"/>
      <c r="B589" s="227"/>
      <c r="C589" s="168"/>
      <c r="D589" s="232"/>
      <c r="E589" s="137" t="s">
        <v>374</v>
      </c>
      <c r="F589" s="427"/>
      <c r="G589" s="434" t="s">
        <v>51</v>
      </c>
      <c r="H589" s="435"/>
      <c r="I589" s="138" t="str">
        <f t="shared" si="854"/>
        <v/>
      </c>
      <c r="J589" s="344" t="str">
        <f t="shared" si="855"/>
        <v/>
      </c>
      <c r="K589" s="345" t="str">
        <f t="shared" si="856"/>
        <v/>
      </c>
      <c r="L589" s="258"/>
      <c r="M589" s="332"/>
      <c r="N589" s="336"/>
      <c r="O589" s="200"/>
      <c r="P589" s="200"/>
      <c r="Q589" s="448"/>
      <c r="R589" s="449"/>
      <c r="S589" s="450" t="str">
        <f t="shared" si="857"/>
        <v/>
      </c>
      <c r="T589" s="328"/>
      <c r="U589" s="197" t="str">
        <f>IF(AND($I589="x",AND(MAX(Q589:S589)=Q589,Q589&gt;=0)),Data!$BI$2,"")</f>
        <v/>
      </c>
      <c r="V589" s="197" t="str">
        <f>IF(AND($J589="x",AND(MAX(Q589:S589)=R589,R589&gt;=0)),Data!$BJ$2,"")</f>
        <v/>
      </c>
      <c r="W589" s="197" t="str">
        <f>IF(AND($K589="x",AND(MAX(Q589:S589)=S589,S589&gt;=0)),Data!$BK$2,"")</f>
        <v/>
      </c>
      <c r="X589" s="197"/>
      <c r="Y589" s="328"/>
      <c r="Z589" s="451"/>
      <c r="AA589" s="452"/>
      <c r="AB589" s="450" t="str">
        <f t="shared" si="858"/>
        <v/>
      </c>
      <c r="AC589" s="328"/>
      <c r="AD589" s="197" t="str">
        <f>IF(AND($I589="x",AND(MAX(Z589:AB589)=Z589,Z589&lt;&gt;"")),Data!$BI$2,"")</f>
        <v/>
      </c>
      <c r="AE589" s="197" t="str">
        <f>IF(AND($J589="x",AND(MAX(Z589:AB589)=AA589,AA589&lt;&gt;"")),Data!$BJ$2,"")</f>
        <v/>
      </c>
      <c r="AF589" s="197" t="str">
        <f>IF(AND($K589="x",AND(MAX(Z589:AB589)=AB589,AB589&lt;&gt;"")),Data!$BK$2,"")</f>
        <v/>
      </c>
      <c r="AG589" s="197"/>
      <c r="AH589" s="328"/>
      <c r="AI589" s="451"/>
      <c r="AJ589" s="452"/>
      <c r="AK589" s="450" t="str">
        <f t="shared" si="859"/>
        <v/>
      </c>
      <c r="AL589" s="328"/>
      <c r="AM589" s="197" t="str">
        <f>IF(AND($I589="x",AND(MAX(AI589:AK589)=AI589,AI589&lt;&gt;"")),Data!$BI$2,"")</f>
        <v/>
      </c>
      <c r="AN589" s="197" t="str">
        <f>IF(AND($J589="x",AND(MAX(AI589:AK589)=AJ589,AJ589&lt;&gt;"")),Data!$BJ$2,"")</f>
        <v/>
      </c>
      <c r="AO589" s="197" t="str">
        <f>IF(AND($K589="x",AND(MAX(AI589:AK589)=AK589,AK589&lt;&gt;"")),Data!$BK$2,"")</f>
        <v/>
      </c>
      <c r="AP589" s="197"/>
      <c r="AQ589" s="328"/>
      <c r="AR589" s="451"/>
      <c r="AS589" s="452"/>
      <c r="AT589" s="450" t="str">
        <f t="shared" si="860"/>
        <v/>
      </c>
      <c r="AU589" s="328"/>
      <c r="AV589" s="197" t="str">
        <f>IF(AND($I589="x",AND(MAX(AR589:AT589)=AR589,AR589&lt;&gt;"")),Data!$BI$2,"")</f>
        <v/>
      </c>
      <c r="AW589" s="197" t="str">
        <f>IF(AND($J589="x",AND(MAX(AR589:AT589)=AS589,AS589&lt;&gt;"")),Data!$BJ$2,"")</f>
        <v/>
      </c>
      <c r="AX589" s="197" t="str">
        <f>IF(AND($K589="x",AND(MAX(AR589:AT589)=AT589,AT589&lt;&gt;"")),Data!$BK$2,"")</f>
        <v/>
      </c>
      <c r="AY589" s="197"/>
      <c r="AZ589" s="328"/>
      <c r="BA589" s="451"/>
      <c r="BB589" s="452"/>
      <c r="BC589" s="450" t="str">
        <f t="shared" si="861"/>
        <v/>
      </c>
      <c r="BD589" s="328"/>
      <c r="BE589" s="197" t="str">
        <f>IF(AND($I589="x",AND(MAX(BA589:BC589)=BA589,BA589&lt;&gt;"")),Data!$BI$2,"")</f>
        <v/>
      </c>
      <c r="BF589" s="197" t="str">
        <f>IF(AND($J589="x",AND(MAX(BA589:BC589)=BB589,BB589&lt;&gt;"")),Data!$BJ$2,"")</f>
        <v/>
      </c>
      <c r="BG589" s="197" t="str">
        <f>IF(AND($K589="x",AND(MAX(BA589:BC589)=BC589,BC589&lt;&gt;"")),Data!$BK$2,"")</f>
        <v/>
      </c>
      <c r="BH589" s="197"/>
      <c r="BI589" s="328"/>
      <c r="BJ589" s="451"/>
      <c r="BK589" s="452"/>
      <c r="BL589" s="450" t="str">
        <f t="shared" si="862"/>
        <v/>
      </c>
      <c r="BM589" s="328"/>
      <c r="BN589" s="197" t="str">
        <f>IF(AND($I589="x",AND(MAX(BJ589:BL589)=BJ589,BJ589&lt;&gt;"")),Data!$BI$2,"")</f>
        <v/>
      </c>
      <c r="BO589" s="197" t="str">
        <f>IF(AND($J589="x",AND(MAX(BJ589:BL589)=BK589,BK589&lt;&gt;"")),Data!$BJ$2,"")</f>
        <v/>
      </c>
      <c r="BP589" s="197" t="str">
        <f>IF(AND($K589="x",AND(MAX(BJ589:BL589)=BL589,BL589&lt;&gt;"")),Data!$BK$2,"")</f>
        <v/>
      </c>
      <c r="BQ589" s="197"/>
      <c r="BR589" s="328"/>
      <c r="BS589" s="451"/>
      <c r="BT589" s="452"/>
      <c r="BU589" s="450" t="str">
        <f t="shared" si="863"/>
        <v/>
      </c>
      <c r="BV589" s="328"/>
      <c r="BW589" s="197" t="str">
        <f>IF(AND($I589="x",AND(MAX(BS589:BU589)=BS589,BS589&lt;&gt;"")),Data!$BI$2,"")</f>
        <v/>
      </c>
      <c r="BX589" s="197" t="str">
        <f>IF(AND($J589="x",AND(MAX(BS589:BU589)=BT589,BT589&lt;&gt;"")),Data!$BJ$2,"")</f>
        <v/>
      </c>
      <c r="BY589" s="197" t="str">
        <f>IF(AND($K589="x",AND(MAX(BS589:BU589)=BU589,BU589&lt;&gt;"")),Data!$BK$2,"")</f>
        <v/>
      </c>
      <c r="BZ589" s="197"/>
      <c r="CA589" s="328"/>
      <c r="CB589" s="457" t="str">
        <f t="shared" si="864"/>
        <v/>
      </c>
      <c r="CC589" s="458" t="str">
        <f t="shared" si="865"/>
        <v/>
      </c>
      <c r="CD589" s="459" t="str">
        <f t="shared" si="866"/>
        <v/>
      </c>
      <c r="CE589" s="328"/>
      <c r="CF589" s="197" t="str">
        <f>IF(AND($I589="x",AND(MAX(CB589:CD589)=CB589,CB589&lt;&gt;"")),Data!$BI$2,"")</f>
        <v/>
      </c>
      <c r="CG589" s="197" t="str">
        <f>IF(AND($J589="x",AND(MAX(CB589:CD589)=CC589,CC589&lt;&gt;"")),Data!$BJ$2,"")</f>
        <v/>
      </c>
      <c r="CH589" s="197" t="str">
        <f>IF(AND($K589="x",AND(MAX(CB589:CD589)=CD589,CD589&lt;&gt;"")),Data!$BK$2,"")</f>
        <v/>
      </c>
      <c r="CI589" s="197"/>
      <c r="CJ589" s="197"/>
      <c r="CK589" s="451"/>
      <c r="CL589" s="452"/>
      <c r="CM589" s="450" t="str">
        <f t="shared" si="867"/>
        <v/>
      </c>
      <c r="CN589" s="328"/>
      <c r="CO589" s="197" t="str">
        <f>IF(AND($I589="x",AND(MAX(CK589:CM589)=CK589,CK589&lt;&gt;"")),Data!$BI$2,"")</f>
        <v/>
      </c>
      <c r="CP589" s="197" t="str">
        <f>IF(AND($J589="x",AND(MAX(CK589:CM589)=CL589,CL589&lt;&gt;"")),Data!$BJ$2,"")</f>
        <v/>
      </c>
      <c r="CQ589" s="197" t="str">
        <f>IF(AND($K589="x",AND(MAX(CK589:CM589)=CM589,CM589&lt;&gt;"")),Data!$BK$2,"")</f>
        <v/>
      </c>
      <c r="CR589" s="197"/>
      <c r="CS589" s="197"/>
      <c r="CT589" s="328"/>
      <c r="CU589" s="259"/>
      <c r="CV589" s="209"/>
      <c r="CW589" s="227"/>
    </row>
    <row r="590" spans="1:101" x14ac:dyDescent="0.2">
      <c r="A590" s="227"/>
      <c r="B590" s="227"/>
      <c r="C590" s="168"/>
      <c r="D590" s="232"/>
      <c r="E590" s="135" t="s">
        <v>375</v>
      </c>
      <c r="F590" s="425"/>
      <c r="G590" s="430" t="s">
        <v>51</v>
      </c>
      <c r="H590" s="431"/>
      <c r="I590" s="346" t="str">
        <f t="shared" si="854"/>
        <v/>
      </c>
      <c r="J590" s="347" t="str">
        <f t="shared" si="855"/>
        <v/>
      </c>
      <c r="K590" s="348" t="str">
        <f t="shared" si="856"/>
        <v/>
      </c>
      <c r="L590" s="258"/>
      <c r="M590" s="332"/>
      <c r="N590" s="336"/>
      <c r="O590" s="200"/>
      <c r="P590" s="200"/>
      <c r="Q590" s="439"/>
      <c r="R590" s="440"/>
      <c r="S590" s="441" t="str">
        <f t="shared" si="857"/>
        <v/>
      </c>
      <c r="T590" s="328"/>
      <c r="U590" s="197" t="str">
        <f>IF(AND($I590="x",AND(MAX(Q590:S590)=Q590,Q590&gt;=0)),Data!$BI$2,"")</f>
        <v/>
      </c>
      <c r="V590" s="197" t="str">
        <f>IF(AND($J590="x",AND(MAX(Q590:S590)=R590,R590&gt;=0)),Data!$BJ$2,"")</f>
        <v/>
      </c>
      <c r="W590" s="197" t="str">
        <f>IF(AND($K590="x",AND(MAX(Q590:S590)=S590,S590&gt;=0)),Data!$BK$2,"")</f>
        <v/>
      </c>
      <c r="X590" s="197"/>
      <c r="Y590" s="328"/>
      <c r="Z590" s="453"/>
      <c r="AA590" s="454"/>
      <c r="AB590" s="441" t="str">
        <f t="shared" si="858"/>
        <v/>
      </c>
      <c r="AC590" s="328"/>
      <c r="AD590" s="197" t="str">
        <f>IF(AND($I590="x",AND(MAX(Z590:AB590)=Z590,Z590&lt;&gt;"")),Data!$BI$2,"")</f>
        <v/>
      </c>
      <c r="AE590" s="197" t="str">
        <f>IF(AND($J590="x",AND(MAX(Z590:AB590)=AA590,AA590&lt;&gt;"")),Data!$BJ$2,"")</f>
        <v/>
      </c>
      <c r="AF590" s="197" t="str">
        <f>IF(AND($K590="x",AND(MAX(Z590:AB590)=AB590,AB590&lt;&gt;"")),Data!$BK$2,"")</f>
        <v/>
      </c>
      <c r="AG590" s="197"/>
      <c r="AH590" s="328"/>
      <c r="AI590" s="453"/>
      <c r="AJ590" s="454"/>
      <c r="AK590" s="441" t="str">
        <f t="shared" si="859"/>
        <v/>
      </c>
      <c r="AL590" s="328"/>
      <c r="AM590" s="197" t="str">
        <f>IF(AND($I590="x",AND(MAX(AI590:AK590)=AI590,AI590&lt;&gt;"")),Data!$BI$2,"")</f>
        <v/>
      </c>
      <c r="AN590" s="197" t="str">
        <f>IF(AND($J590="x",AND(MAX(AI590:AK590)=AJ590,AJ590&lt;&gt;"")),Data!$BJ$2,"")</f>
        <v/>
      </c>
      <c r="AO590" s="197" t="str">
        <f>IF(AND($K590="x",AND(MAX(AI590:AK590)=AK590,AK590&lt;&gt;"")),Data!$BK$2,"")</f>
        <v/>
      </c>
      <c r="AP590" s="197"/>
      <c r="AQ590" s="328"/>
      <c r="AR590" s="453"/>
      <c r="AS590" s="454"/>
      <c r="AT590" s="441" t="str">
        <f t="shared" si="860"/>
        <v/>
      </c>
      <c r="AU590" s="328"/>
      <c r="AV590" s="197" t="str">
        <f>IF(AND($I590="x",AND(MAX(AR590:AT590)=AR590,AR590&lt;&gt;"")),Data!$BI$2,"")</f>
        <v/>
      </c>
      <c r="AW590" s="197" t="str">
        <f>IF(AND($J590="x",AND(MAX(AR590:AT590)=AS590,AS590&lt;&gt;"")),Data!$BJ$2,"")</f>
        <v/>
      </c>
      <c r="AX590" s="197" t="str">
        <f>IF(AND($K590="x",AND(MAX(AR590:AT590)=AT590,AT590&lt;&gt;"")),Data!$BK$2,"")</f>
        <v/>
      </c>
      <c r="AY590" s="197"/>
      <c r="AZ590" s="328"/>
      <c r="BA590" s="453"/>
      <c r="BB590" s="454"/>
      <c r="BC590" s="441" t="str">
        <f t="shared" si="861"/>
        <v/>
      </c>
      <c r="BD590" s="328"/>
      <c r="BE590" s="197" t="str">
        <f>IF(AND($I590="x",AND(MAX(BA590:BC590)=BA590,BA590&lt;&gt;"")),Data!$BI$2,"")</f>
        <v/>
      </c>
      <c r="BF590" s="197" t="str">
        <f>IF(AND($J590="x",AND(MAX(BA590:BC590)=BB590,BB590&lt;&gt;"")),Data!$BJ$2,"")</f>
        <v/>
      </c>
      <c r="BG590" s="197" t="str">
        <f>IF(AND($K590="x",AND(MAX(BA590:BC590)=BC590,BC590&lt;&gt;"")),Data!$BK$2,"")</f>
        <v/>
      </c>
      <c r="BH590" s="197"/>
      <c r="BI590" s="328"/>
      <c r="BJ590" s="453"/>
      <c r="BK590" s="454"/>
      <c r="BL590" s="441" t="str">
        <f t="shared" si="862"/>
        <v/>
      </c>
      <c r="BM590" s="328"/>
      <c r="BN590" s="197" t="str">
        <f>IF(AND($I590="x",AND(MAX(BJ590:BL590)=BJ590,BJ590&lt;&gt;"")),Data!$BI$2,"")</f>
        <v/>
      </c>
      <c r="BO590" s="197" t="str">
        <f>IF(AND($J590="x",AND(MAX(BJ590:BL590)=BK590,BK590&lt;&gt;"")),Data!$BJ$2,"")</f>
        <v/>
      </c>
      <c r="BP590" s="197" t="str">
        <f>IF(AND($K590="x",AND(MAX(BJ590:BL590)=BL590,BL590&lt;&gt;"")),Data!$BK$2,"")</f>
        <v/>
      </c>
      <c r="BQ590" s="197"/>
      <c r="BR590" s="328"/>
      <c r="BS590" s="453"/>
      <c r="BT590" s="454"/>
      <c r="BU590" s="441" t="str">
        <f t="shared" si="863"/>
        <v/>
      </c>
      <c r="BV590" s="328"/>
      <c r="BW590" s="197" t="str">
        <f>IF(AND($I590="x",AND(MAX(BS590:BU590)=BS590,BS590&lt;&gt;"")),Data!$BI$2,"")</f>
        <v/>
      </c>
      <c r="BX590" s="197" t="str">
        <f>IF(AND($J590="x",AND(MAX(BS590:BU590)=BT590,BT590&lt;&gt;"")),Data!$BJ$2,"")</f>
        <v/>
      </c>
      <c r="BY590" s="197" t="str">
        <f>IF(AND($K590="x",AND(MAX(BS590:BU590)=BU590,BU590&lt;&gt;"")),Data!$BK$2,"")</f>
        <v/>
      </c>
      <c r="BZ590" s="197"/>
      <c r="CA590" s="328"/>
      <c r="CB590" s="460" t="str">
        <f t="shared" si="864"/>
        <v/>
      </c>
      <c r="CC590" s="461" t="str">
        <f t="shared" si="865"/>
        <v/>
      </c>
      <c r="CD590" s="462" t="str">
        <f t="shared" si="866"/>
        <v/>
      </c>
      <c r="CE590" s="328"/>
      <c r="CF590" s="197" t="str">
        <f>IF(AND($I590="x",AND(MAX(CB590:CD590)=CB590,CB590&lt;&gt;"")),Data!$BI$2,"")</f>
        <v/>
      </c>
      <c r="CG590" s="197" t="str">
        <f>IF(AND($J590="x",AND(MAX(CB590:CD590)=CC590,CC590&lt;&gt;"")),Data!$BJ$2,"")</f>
        <v/>
      </c>
      <c r="CH590" s="197" t="str">
        <f>IF(AND($K590="x",AND(MAX(CB590:CD590)=CD590,CD590&lt;&gt;"")),Data!$BK$2,"")</f>
        <v/>
      </c>
      <c r="CI590" s="197"/>
      <c r="CJ590" s="197"/>
      <c r="CK590" s="453"/>
      <c r="CL590" s="454"/>
      <c r="CM590" s="441" t="str">
        <f t="shared" si="867"/>
        <v/>
      </c>
      <c r="CN590" s="328"/>
      <c r="CO590" s="197" t="str">
        <f>IF(AND($I590="x",AND(MAX(CK590:CM590)=CK590,CK590&lt;&gt;"")),Data!$BI$2,"")</f>
        <v/>
      </c>
      <c r="CP590" s="197" t="str">
        <f>IF(AND($J590="x",AND(MAX(CK590:CM590)=CL590,CL590&lt;&gt;"")),Data!$BJ$2,"")</f>
        <v/>
      </c>
      <c r="CQ590" s="197" t="str">
        <f>IF(AND($K590="x",AND(MAX(CK590:CM590)=CM590,CM590&lt;&gt;"")),Data!$BK$2,"")</f>
        <v/>
      </c>
      <c r="CR590" s="197"/>
      <c r="CS590" s="197"/>
      <c r="CT590" s="328"/>
      <c r="CU590" s="259"/>
      <c r="CV590" s="209"/>
      <c r="CW590" s="227"/>
    </row>
    <row r="591" spans="1:101" x14ac:dyDescent="0.2">
      <c r="A591" s="227"/>
      <c r="B591" s="227"/>
      <c r="C591" s="168"/>
      <c r="D591" s="232"/>
      <c r="E591" s="136" t="s">
        <v>376</v>
      </c>
      <c r="F591" s="426"/>
      <c r="G591" s="432" t="s">
        <v>51</v>
      </c>
      <c r="H591" s="433"/>
      <c r="I591" s="349" t="str">
        <f t="shared" si="854"/>
        <v/>
      </c>
      <c r="J591" s="350" t="str">
        <f t="shared" si="855"/>
        <v/>
      </c>
      <c r="K591" s="351" t="str">
        <f t="shared" si="856"/>
        <v/>
      </c>
      <c r="L591" s="258"/>
      <c r="M591" s="332"/>
      <c r="N591" s="336"/>
      <c r="O591" s="200"/>
      <c r="P591" s="200"/>
      <c r="Q591" s="445"/>
      <c r="R591" s="446"/>
      <c r="S591" s="447" t="str">
        <f t="shared" si="857"/>
        <v/>
      </c>
      <c r="T591" s="328"/>
      <c r="U591" s="197" t="str">
        <f>IF(AND($I591="x",AND(MAX(Q591:S591)=Q591,Q591&gt;=0)),Data!$BI$2,"")</f>
        <v/>
      </c>
      <c r="V591" s="197" t="str">
        <f>IF(AND($J591="x",AND(MAX(Q591:S591)=R591,R591&gt;=0)),Data!$BJ$2,"")</f>
        <v/>
      </c>
      <c r="W591" s="197" t="str">
        <f>IF(AND($K591="x",AND(MAX(Q591:S591)=S591,S591&gt;=0)),Data!$BK$2,"")</f>
        <v/>
      </c>
      <c r="X591" s="197"/>
      <c r="Y591" s="328"/>
      <c r="Z591" s="455"/>
      <c r="AA591" s="456"/>
      <c r="AB591" s="447" t="str">
        <f t="shared" si="858"/>
        <v/>
      </c>
      <c r="AC591" s="328"/>
      <c r="AD591" s="197" t="str">
        <f>IF(AND($I591="x",AND(MAX(Z591:AB591)=Z591,Z591&lt;&gt;"")),Data!$BI$2,"")</f>
        <v/>
      </c>
      <c r="AE591" s="197" t="str">
        <f>IF(AND($J591="x",AND(MAX(Z591:AB591)=AA591,AA591&lt;&gt;"")),Data!$BJ$2,"")</f>
        <v/>
      </c>
      <c r="AF591" s="197" t="str">
        <f>IF(AND($K591="x",AND(MAX(Z591:AB591)=AB591,AB591&lt;&gt;"")),Data!$BK$2,"")</f>
        <v/>
      </c>
      <c r="AG591" s="197"/>
      <c r="AH591" s="328"/>
      <c r="AI591" s="455"/>
      <c r="AJ591" s="456"/>
      <c r="AK591" s="447" t="str">
        <f t="shared" si="859"/>
        <v/>
      </c>
      <c r="AL591" s="328"/>
      <c r="AM591" s="197" t="str">
        <f>IF(AND($I591="x",AND(MAX(AI591:AK591)=AI591,AI591&lt;&gt;"")),Data!$BI$2,"")</f>
        <v/>
      </c>
      <c r="AN591" s="197" t="str">
        <f>IF(AND($J591="x",AND(MAX(AI591:AK591)=AJ591,AJ591&lt;&gt;"")),Data!$BJ$2,"")</f>
        <v/>
      </c>
      <c r="AO591" s="197" t="str">
        <f>IF(AND($K591="x",AND(MAX(AI591:AK591)=AK591,AK591&lt;&gt;"")),Data!$BK$2,"")</f>
        <v/>
      </c>
      <c r="AP591" s="197"/>
      <c r="AQ591" s="328"/>
      <c r="AR591" s="455"/>
      <c r="AS591" s="456"/>
      <c r="AT591" s="447" t="str">
        <f t="shared" si="860"/>
        <v/>
      </c>
      <c r="AU591" s="328"/>
      <c r="AV591" s="197" t="str">
        <f>IF(AND($I591="x",AND(MAX(AR591:AT591)=AR591,AR591&lt;&gt;"")),Data!$BI$2,"")</f>
        <v/>
      </c>
      <c r="AW591" s="197" t="str">
        <f>IF(AND($J591="x",AND(MAX(AR591:AT591)=AS591,AS591&lt;&gt;"")),Data!$BJ$2,"")</f>
        <v/>
      </c>
      <c r="AX591" s="197" t="str">
        <f>IF(AND($K591="x",AND(MAX(AR591:AT591)=AT591,AT591&lt;&gt;"")),Data!$BK$2,"")</f>
        <v/>
      </c>
      <c r="AY591" s="197"/>
      <c r="AZ591" s="328"/>
      <c r="BA591" s="455"/>
      <c r="BB591" s="456"/>
      <c r="BC591" s="447" t="str">
        <f t="shared" si="861"/>
        <v/>
      </c>
      <c r="BD591" s="328"/>
      <c r="BE591" s="197" t="str">
        <f>IF(AND($I591="x",AND(MAX(BA591:BC591)=BA591,BA591&lt;&gt;"")),Data!$BI$2,"")</f>
        <v/>
      </c>
      <c r="BF591" s="197" t="str">
        <f>IF(AND($J591="x",AND(MAX(BA591:BC591)=BB591,BB591&lt;&gt;"")),Data!$BJ$2,"")</f>
        <v/>
      </c>
      <c r="BG591" s="197" t="str">
        <f>IF(AND($K591="x",AND(MAX(BA591:BC591)=BC591,BC591&lt;&gt;"")),Data!$BK$2,"")</f>
        <v/>
      </c>
      <c r="BH591" s="197"/>
      <c r="BI591" s="328"/>
      <c r="BJ591" s="455"/>
      <c r="BK591" s="456"/>
      <c r="BL591" s="447" t="str">
        <f t="shared" si="862"/>
        <v/>
      </c>
      <c r="BM591" s="328"/>
      <c r="BN591" s="197" t="str">
        <f>IF(AND($I591="x",AND(MAX(BJ591:BL591)=BJ591,BJ591&lt;&gt;"")),Data!$BI$2,"")</f>
        <v/>
      </c>
      <c r="BO591" s="197" t="str">
        <f>IF(AND($J591="x",AND(MAX(BJ591:BL591)=BK591,BK591&lt;&gt;"")),Data!$BJ$2,"")</f>
        <v/>
      </c>
      <c r="BP591" s="197" t="str">
        <f>IF(AND($K591="x",AND(MAX(BJ591:BL591)=BL591,BL591&lt;&gt;"")),Data!$BK$2,"")</f>
        <v/>
      </c>
      <c r="BQ591" s="197"/>
      <c r="BR591" s="328"/>
      <c r="BS591" s="455"/>
      <c r="BT591" s="456"/>
      <c r="BU591" s="447" t="str">
        <f t="shared" si="863"/>
        <v/>
      </c>
      <c r="BV591" s="328"/>
      <c r="BW591" s="197" t="str">
        <f>IF(AND($I591="x",AND(MAX(BS591:BU591)=BS591,BS591&lt;&gt;"")),Data!$BI$2,"")</f>
        <v/>
      </c>
      <c r="BX591" s="197" t="str">
        <f>IF(AND($J591="x",AND(MAX(BS591:BU591)=BT591,BT591&lt;&gt;"")),Data!$BJ$2,"")</f>
        <v/>
      </c>
      <c r="BY591" s="197" t="str">
        <f>IF(AND($K591="x",AND(MAX(BS591:BU591)=BU591,BU591&lt;&gt;"")),Data!$BK$2,"")</f>
        <v/>
      </c>
      <c r="BZ591" s="197"/>
      <c r="CA591" s="328"/>
      <c r="CB591" s="463" t="str">
        <f t="shared" si="864"/>
        <v/>
      </c>
      <c r="CC591" s="464" t="str">
        <f t="shared" si="865"/>
        <v/>
      </c>
      <c r="CD591" s="465" t="str">
        <f t="shared" si="866"/>
        <v/>
      </c>
      <c r="CE591" s="328"/>
      <c r="CF591" s="197" t="str">
        <f>IF(AND($I591="x",AND(MAX(CB591:CD591)=CB591,CB591&lt;&gt;"")),Data!$BI$2,"")</f>
        <v/>
      </c>
      <c r="CG591" s="197" t="str">
        <f>IF(AND($J591="x",AND(MAX(CB591:CD591)=CC591,CC591&lt;&gt;"")),Data!$BJ$2,"")</f>
        <v/>
      </c>
      <c r="CH591" s="197" t="str">
        <f>IF(AND($K591="x",AND(MAX(CB591:CD591)=CD591,CD591&lt;&gt;"")),Data!$BK$2,"")</f>
        <v/>
      </c>
      <c r="CI591" s="197"/>
      <c r="CJ591" s="197"/>
      <c r="CK591" s="455"/>
      <c r="CL591" s="456"/>
      <c r="CM591" s="447" t="str">
        <f t="shared" si="867"/>
        <v/>
      </c>
      <c r="CN591" s="328"/>
      <c r="CO591" s="197" t="str">
        <f>IF(AND($I591="x",AND(MAX(CK591:CM591)=CK591,CK591&lt;&gt;"")),Data!$BI$2,"")</f>
        <v/>
      </c>
      <c r="CP591" s="197" t="str">
        <f>IF(AND($J591="x",AND(MAX(CK591:CM591)=CL591,CL591&lt;&gt;"")),Data!$BJ$2,"")</f>
        <v/>
      </c>
      <c r="CQ591" s="197" t="str">
        <f>IF(AND($K591="x",AND(MAX(CK591:CM591)=CM591,CM591&lt;&gt;"")),Data!$BK$2,"")</f>
        <v/>
      </c>
      <c r="CR591" s="197"/>
      <c r="CS591" s="197"/>
      <c r="CT591" s="328"/>
      <c r="CU591" s="259"/>
      <c r="CV591" s="209"/>
      <c r="CW591" s="227"/>
    </row>
    <row r="592" spans="1:101" x14ac:dyDescent="0.2">
      <c r="A592" s="227"/>
      <c r="B592" s="227"/>
      <c r="C592" s="168"/>
      <c r="D592" s="233"/>
      <c r="E592" s="199"/>
      <c r="F592" s="352" t="str">
        <f>IF(SUM(F580:F591)=0,"",SUM(F580:F591))</f>
        <v/>
      </c>
      <c r="G592" s="327" t="s">
        <v>51</v>
      </c>
      <c r="H592" s="353" t="str">
        <f>IF(SUM(H580:H591)=0,"",SUM(H580:H591))</f>
        <v/>
      </c>
      <c r="I592" s="354" t="str">
        <f>IF(COUNTIF(I580:I591,"=x")=0,"",COUNTIF(I580:I591,"=x"))</f>
        <v/>
      </c>
      <c r="J592" s="355" t="str">
        <f>IF(COUNTIF(J580:J591,"=x")=0,"",COUNTIF(J580:J591,"=x"))</f>
        <v/>
      </c>
      <c r="K592" s="356" t="str">
        <f>IF(COUNTIF(K580:K591,"=x")=0,"",COUNTIF(K580:K591,"=x"))</f>
        <v/>
      </c>
      <c r="L592" s="258"/>
      <c r="M592" s="332"/>
      <c r="N592" s="336"/>
      <c r="O592" s="200"/>
      <c r="P592" s="326"/>
      <c r="Q592" s="422">
        <f>SUM(U580:U591)</f>
        <v>0</v>
      </c>
      <c r="R592" s="422">
        <f t="shared" ref="R592:S592" si="868">SUM(V580:V591)</f>
        <v>0</v>
      </c>
      <c r="S592" s="422">
        <f t="shared" si="868"/>
        <v>0</v>
      </c>
      <c r="T592" s="325"/>
      <c r="U592" s="197">
        <f>SUM(U580:U591)</f>
        <v>0</v>
      </c>
      <c r="V592" s="197">
        <f t="shared" ref="V592:W592" si="869">SUM(V580:V591)</f>
        <v>0</v>
      </c>
      <c r="W592" s="197">
        <f t="shared" si="869"/>
        <v>0</v>
      </c>
      <c r="X592" s="197"/>
      <c r="Y592" s="324"/>
      <c r="Z592" s="422">
        <f>SUM(AD580:AD591)</f>
        <v>0</v>
      </c>
      <c r="AA592" s="422">
        <f t="shared" ref="AA592:AB592" si="870">SUM(AE580:AE591)</f>
        <v>0</v>
      </c>
      <c r="AB592" s="422">
        <f t="shared" si="870"/>
        <v>0</v>
      </c>
      <c r="AC592" s="325"/>
      <c r="AD592" s="197">
        <f>SUM(AD580:AD591)</f>
        <v>0</v>
      </c>
      <c r="AE592" s="197">
        <f t="shared" ref="AE592:AF592" si="871">SUM(AE580:AE591)</f>
        <v>0</v>
      </c>
      <c r="AF592" s="197">
        <f t="shared" si="871"/>
        <v>0</v>
      </c>
      <c r="AG592" s="197"/>
      <c r="AH592" s="324"/>
      <c r="AI592" s="422">
        <f>SUM(AM580:AM591)</f>
        <v>0</v>
      </c>
      <c r="AJ592" s="422">
        <f t="shared" ref="AJ592:AK592" si="872">SUM(AN580:AN591)</f>
        <v>0</v>
      </c>
      <c r="AK592" s="422">
        <f t="shared" si="872"/>
        <v>0</v>
      </c>
      <c r="AL592" s="325"/>
      <c r="AM592" s="197">
        <f>SUM(AM580:AM591)</f>
        <v>0</v>
      </c>
      <c r="AN592" s="197">
        <f t="shared" ref="AN592:AO592" si="873">SUM(AN580:AN591)</f>
        <v>0</v>
      </c>
      <c r="AO592" s="197">
        <f t="shared" si="873"/>
        <v>0</v>
      </c>
      <c r="AP592" s="197"/>
      <c r="AQ592" s="324"/>
      <c r="AR592" s="422">
        <f>SUM(AV580:AV591)</f>
        <v>0</v>
      </c>
      <c r="AS592" s="422">
        <f t="shared" ref="AS592:AT592" si="874">SUM(AW580:AW591)</f>
        <v>0</v>
      </c>
      <c r="AT592" s="422">
        <f t="shared" si="874"/>
        <v>0</v>
      </c>
      <c r="AU592" s="325"/>
      <c r="AV592" s="197">
        <f>SUM(AV580:AV591)</f>
        <v>0</v>
      </c>
      <c r="AW592" s="197">
        <f t="shared" ref="AW592:AX592" si="875">SUM(AW580:AW591)</f>
        <v>0</v>
      </c>
      <c r="AX592" s="197">
        <f t="shared" si="875"/>
        <v>0</v>
      </c>
      <c r="AY592" s="197"/>
      <c r="AZ592" s="324"/>
      <c r="BA592" s="422">
        <f>SUM(BE580:BE591)</f>
        <v>0</v>
      </c>
      <c r="BB592" s="422">
        <f t="shared" ref="BB592:BC592" si="876">SUM(BF580:BF591)</f>
        <v>0</v>
      </c>
      <c r="BC592" s="422">
        <f t="shared" si="876"/>
        <v>0</v>
      </c>
      <c r="BD592" s="325"/>
      <c r="BE592" s="197">
        <f>SUM(BE580:BE591)</f>
        <v>0</v>
      </c>
      <c r="BF592" s="197">
        <f t="shared" ref="BF592:BG592" si="877">SUM(BF580:BF591)</f>
        <v>0</v>
      </c>
      <c r="BG592" s="197">
        <f t="shared" si="877"/>
        <v>0</v>
      </c>
      <c r="BH592" s="197"/>
      <c r="BI592" s="324"/>
      <c r="BJ592" s="422">
        <f>SUM(BN580:BN591)</f>
        <v>0</v>
      </c>
      <c r="BK592" s="422">
        <f t="shared" ref="BK592" si="878">SUM(BO580:BO591)</f>
        <v>0</v>
      </c>
      <c r="BL592" s="422">
        <f t="shared" ref="BL592" si="879">SUM(BP580:BP591)</f>
        <v>0</v>
      </c>
      <c r="BM592" s="325"/>
      <c r="BN592" s="197">
        <f>SUM(BN580:BN591)</f>
        <v>0</v>
      </c>
      <c r="BO592" s="197">
        <f t="shared" ref="BO592:BP592" si="880">SUM(BO580:BO591)</f>
        <v>0</v>
      </c>
      <c r="BP592" s="197">
        <f t="shared" si="880"/>
        <v>0</v>
      </c>
      <c r="BQ592" s="197"/>
      <c r="BR592" s="324"/>
      <c r="BS592" s="422">
        <f>SUM(BW580:BW591)</f>
        <v>0</v>
      </c>
      <c r="BT592" s="422">
        <f t="shared" ref="BT592:BU592" si="881">SUM(BX580:BX591)</f>
        <v>0</v>
      </c>
      <c r="BU592" s="422">
        <f t="shared" si="881"/>
        <v>0</v>
      </c>
      <c r="BV592" s="325"/>
      <c r="BW592" s="197">
        <f>SUM(BW580:BW591)</f>
        <v>0</v>
      </c>
      <c r="BX592" s="197">
        <f t="shared" ref="BX592:BY592" si="882">SUM(BX580:BX591)</f>
        <v>0</v>
      </c>
      <c r="BY592" s="197">
        <f t="shared" si="882"/>
        <v>0</v>
      </c>
      <c r="BZ592" s="197"/>
      <c r="CA592" s="326"/>
      <c r="CB592" s="422">
        <f>SUM(CF580:CF591)</f>
        <v>0</v>
      </c>
      <c r="CC592" s="422">
        <f t="shared" ref="CC592:CD592" si="883">SUM(CG580:CG591)</f>
        <v>0</v>
      </c>
      <c r="CD592" s="422">
        <f t="shared" si="883"/>
        <v>0</v>
      </c>
      <c r="CE592" s="325"/>
      <c r="CF592" s="197">
        <f>SUM(CF580:CF591)</f>
        <v>0</v>
      </c>
      <c r="CG592" s="197">
        <f t="shared" ref="CG592:CH592" si="884">SUM(CG580:CG591)</f>
        <v>0</v>
      </c>
      <c r="CH592" s="197">
        <f t="shared" si="884"/>
        <v>0</v>
      </c>
      <c r="CI592" s="197"/>
      <c r="CJ592" s="197"/>
      <c r="CK592" s="422">
        <f>SUM(CO580:CO591)</f>
        <v>0</v>
      </c>
      <c r="CL592" s="422">
        <f t="shared" ref="CL592:CM592" si="885">SUM(CP580:CP591)</f>
        <v>0</v>
      </c>
      <c r="CM592" s="422">
        <f t="shared" si="885"/>
        <v>0</v>
      </c>
      <c r="CN592" s="325"/>
      <c r="CO592" s="197">
        <f>SUM(CO580:CO591)</f>
        <v>0</v>
      </c>
      <c r="CP592" s="197">
        <f t="shared" ref="CP592:CQ592" si="886">SUM(CP580:CP591)</f>
        <v>0</v>
      </c>
      <c r="CQ592" s="197">
        <f t="shared" si="886"/>
        <v>0</v>
      </c>
      <c r="CR592" s="197"/>
      <c r="CS592" s="197"/>
      <c r="CT592" s="197"/>
      <c r="CU592" s="259"/>
      <c r="CV592" s="209"/>
      <c r="CW592" s="228"/>
    </row>
    <row r="593" spans="1:101" x14ac:dyDescent="0.2">
      <c r="A593" s="227"/>
      <c r="B593" s="227"/>
      <c r="C593" s="168"/>
      <c r="D593" s="249"/>
      <c r="E593" s="242"/>
      <c r="F593" s="243"/>
      <c r="G593" s="242"/>
      <c r="H593" s="242"/>
      <c r="I593" s="242"/>
      <c r="J593" s="242"/>
      <c r="K593" s="242"/>
      <c r="L593" s="252"/>
      <c r="M593" s="260"/>
      <c r="N593" s="337"/>
      <c r="O593" s="333"/>
      <c r="P593" s="244"/>
      <c r="Q593" s="245"/>
      <c r="R593" s="245"/>
      <c r="S593" s="245"/>
      <c r="T593" s="246"/>
      <c r="U593" s="247"/>
      <c r="V593" s="247"/>
      <c r="W593" s="247"/>
      <c r="X593" s="247"/>
      <c r="Y593" s="244"/>
      <c r="Z593" s="245"/>
      <c r="AA593" s="245"/>
      <c r="AB593" s="245"/>
      <c r="AC593" s="246"/>
      <c r="AD593" s="247"/>
      <c r="AE593" s="247"/>
      <c r="AF593" s="247"/>
      <c r="AG593" s="247"/>
      <c r="AH593" s="244"/>
      <c r="AI593" s="245"/>
      <c r="AJ593" s="245"/>
      <c r="AK593" s="245"/>
      <c r="AL593" s="246"/>
      <c r="AM593" s="247"/>
      <c r="AN593" s="247"/>
      <c r="AO593" s="247"/>
      <c r="AP593" s="247"/>
      <c r="AQ593" s="244"/>
      <c r="AR593" s="245"/>
      <c r="AS593" s="245"/>
      <c r="AT593" s="245"/>
      <c r="AU593" s="246"/>
      <c r="AV593" s="247"/>
      <c r="AW593" s="247"/>
      <c r="AX593" s="247"/>
      <c r="AY593" s="247"/>
      <c r="AZ593" s="244"/>
      <c r="BA593" s="245"/>
      <c r="BB593" s="245"/>
      <c r="BC593" s="245"/>
      <c r="BD593" s="246"/>
      <c r="BE593" s="247"/>
      <c r="BF593" s="247"/>
      <c r="BG593" s="247"/>
      <c r="BH593" s="247"/>
      <c r="BI593" s="244"/>
      <c r="BJ593" s="244"/>
      <c r="BK593" s="244"/>
      <c r="BL593" s="244"/>
      <c r="BM593" s="244"/>
      <c r="BN593" s="247"/>
      <c r="BO593" s="247"/>
      <c r="BP593" s="247"/>
      <c r="BQ593" s="247"/>
      <c r="BR593" s="244"/>
      <c r="BS593" s="244"/>
      <c r="BT593" s="244"/>
      <c r="BU593" s="244"/>
      <c r="BV593" s="244"/>
      <c r="BW593" s="247"/>
      <c r="BX593" s="247"/>
      <c r="BY593" s="247"/>
      <c r="BZ593" s="247"/>
      <c r="CA593" s="244"/>
      <c r="CB593" s="244"/>
      <c r="CC593" s="244"/>
      <c r="CD593" s="244"/>
      <c r="CE593" s="244"/>
      <c r="CF593" s="247"/>
      <c r="CG593" s="247"/>
      <c r="CH593" s="247"/>
      <c r="CI593" s="247"/>
      <c r="CJ593" s="248"/>
      <c r="CK593" s="248"/>
      <c r="CL593" s="248"/>
      <c r="CM593" s="248"/>
      <c r="CN593" s="248"/>
      <c r="CO593" s="247"/>
      <c r="CP593" s="247"/>
      <c r="CQ593" s="247"/>
      <c r="CR593" s="247"/>
      <c r="CS593" s="248"/>
      <c r="CT593" s="242"/>
      <c r="CU593" s="253"/>
      <c r="CV593" s="209"/>
      <c r="CW593" s="228"/>
    </row>
    <row r="594" spans="1:101" x14ac:dyDescent="0.2">
      <c r="A594" s="219"/>
      <c r="B594" s="219"/>
      <c r="C594" s="175"/>
      <c r="D594" s="176"/>
      <c r="E594" s="210"/>
      <c r="F594" s="211"/>
      <c r="G594" s="210"/>
      <c r="H594" s="210"/>
      <c r="I594" s="210"/>
      <c r="J594" s="210"/>
      <c r="K594" s="210"/>
      <c r="L594" s="212"/>
      <c r="M594" s="213"/>
      <c r="N594" s="213"/>
      <c r="O594" s="213"/>
      <c r="P594" s="213"/>
      <c r="Q594" s="210"/>
      <c r="R594" s="210"/>
      <c r="S594" s="210"/>
      <c r="T594" s="214"/>
      <c r="U594" s="215"/>
      <c r="V594" s="215"/>
      <c r="W594" s="215"/>
      <c r="X594" s="215"/>
      <c r="Y594" s="213"/>
      <c r="Z594" s="210"/>
      <c r="AA594" s="210"/>
      <c r="AB594" s="210"/>
      <c r="AC594" s="214"/>
      <c r="AD594" s="215"/>
      <c r="AE594" s="215"/>
      <c r="AF594" s="215"/>
      <c r="AG594" s="215"/>
      <c r="AH594" s="213"/>
      <c r="AI594" s="210"/>
      <c r="AJ594" s="210"/>
      <c r="AK594" s="210"/>
      <c r="AL594" s="214"/>
      <c r="AM594" s="215"/>
      <c r="AN594" s="215"/>
      <c r="AO594" s="215"/>
      <c r="AP594" s="215"/>
      <c r="AQ594" s="213"/>
      <c r="AR594" s="210"/>
      <c r="AS594" s="210"/>
      <c r="AT594" s="210"/>
      <c r="AU594" s="214"/>
      <c r="AV594" s="215"/>
      <c r="AW594" s="215"/>
      <c r="AX594" s="215"/>
      <c r="AY594" s="215"/>
      <c r="AZ594" s="213"/>
      <c r="BA594" s="210"/>
      <c r="BB594" s="210"/>
      <c r="BC594" s="210"/>
      <c r="BD594" s="214"/>
      <c r="BE594" s="215"/>
      <c r="BF594" s="215"/>
      <c r="BG594" s="215"/>
      <c r="BH594" s="215"/>
      <c r="BI594" s="213"/>
      <c r="BJ594" s="210"/>
      <c r="BK594" s="210"/>
      <c r="BL594" s="210"/>
      <c r="BM594" s="214"/>
      <c r="BN594" s="215"/>
      <c r="BO594" s="215"/>
      <c r="BP594" s="215"/>
      <c r="BQ594" s="215"/>
      <c r="BR594" s="177"/>
      <c r="BS594" s="210"/>
      <c r="BT594" s="210"/>
      <c r="BU594" s="210"/>
      <c r="BV594" s="213"/>
      <c r="BW594" s="215"/>
      <c r="BX594" s="215"/>
      <c r="BY594" s="215"/>
      <c r="BZ594" s="215"/>
      <c r="CA594" s="210"/>
      <c r="CB594" s="216"/>
      <c r="CC594" s="216"/>
      <c r="CD594" s="216"/>
      <c r="CE594" s="216"/>
      <c r="CF594" s="215"/>
      <c r="CG594" s="215"/>
      <c r="CH594" s="215"/>
      <c r="CI594" s="215"/>
      <c r="CJ594" s="210"/>
      <c r="CK594" s="210"/>
      <c r="CL594" s="210"/>
      <c r="CM594" s="210"/>
      <c r="CN594" s="210"/>
      <c r="CO594" s="215"/>
      <c r="CP594" s="215"/>
      <c r="CQ594" s="215"/>
      <c r="CR594" s="215"/>
      <c r="CS594" s="210"/>
      <c r="CT594" s="210"/>
      <c r="CU594" s="210"/>
      <c r="CV594" s="217"/>
      <c r="CW594" s="218"/>
    </row>
    <row r="595" spans="1:101" ht="14.25" thickTop="1" thickBot="1" x14ac:dyDescent="0.25">
      <c r="A595" s="218"/>
      <c r="B595" s="218"/>
      <c r="C595" s="218"/>
      <c r="D595" s="218"/>
      <c r="E595" s="218"/>
      <c r="F595" s="218"/>
      <c r="G595" s="218"/>
      <c r="H595" s="218"/>
      <c r="I595" s="218"/>
      <c r="J595" s="218"/>
      <c r="K595" s="218"/>
      <c r="L595" s="218"/>
      <c r="M595" s="218"/>
      <c r="N595" s="218"/>
      <c r="O595" s="218"/>
      <c r="P595" s="218"/>
      <c r="Q595" s="218"/>
      <c r="R595" s="218"/>
      <c r="S595" s="218"/>
      <c r="T595" s="218"/>
      <c r="U595" s="218"/>
      <c r="V595" s="218"/>
      <c r="W595" s="218"/>
      <c r="X595" s="218"/>
      <c r="Y595" s="218"/>
      <c r="Z595" s="218"/>
      <c r="AA595" s="218"/>
      <c r="AB595" s="218"/>
      <c r="AC595" s="218"/>
      <c r="AD595" s="218"/>
      <c r="AE595" s="218"/>
      <c r="AF595" s="218"/>
      <c r="AG595" s="218"/>
      <c r="AH595" s="218"/>
      <c r="AI595" s="218"/>
      <c r="AJ595" s="218"/>
      <c r="AK595" s="218"/>
      <c r="AL595" s="218"/>
      <c r="AM595" s="218"/>
      <c r="AN595" s="218"/>
      <c r="AO595" s="218"/>
      <c r="AP595" s="218"/>
      <c r="AQ595" s="218"/>
      <c r="AR595" s="218"/>
      <c r="AS595" s="218"/>
      <c r="AT595" s="218"/>
      <c r="AU595" s="218"/>
      <c r="AV595" s="218"/>
      <c r="AW595" s="218"/>
      <c r="AX595" s="218"/>
      <c r="AY595" s="218"/>
      <c r="AZ595" s="218"/>
      <c r="BA595" s="218"/>
      <c r="BB595" s="218"/>
      <c r="BC595" s="218"/>
      <c r="BD595" s="218"/>
      <c r="BE595" s="218"/>
      <c r="BF595" s="218"/>
      <c r="BG595" s="218"/>
      <c r="BH595" s="218"/>
      <c r="BI595" s="218"/>
      <c r="BJ595" s="218"/>
      <c r="BK595" s="218"/>
      <c r="BL595" s="218"/>
      <c r="BM595" s="218"/>
      <c r="BN595" s="218"/>
      <c r="BO595" s="218"/>
      <c r="BP595" s="218"/>
      <c r="BQ595" s="218"/>
      <c r="BR595" s="218"/>
      <c r="BS595" s="218"/>
      <c r="BT595" s="218"/>
      <c r="BU595" s="218"/>
      <c r="BV595" s="218"/>
      <c r="BW595" s="218"/>
      <c r="BX595" s="218"/>
      <c r="BY595" s="218"/>
      <c r="BZ595" s="218"/>
      <c r="CA595" s="218"/>
      <c r="CB595" s="392"/>
      <c r="CC595" s="392"/>
      <c r="CD595" s="392"/>
      <c r="CE595" s="392"/>
      <c r="CF595" s="218"/>
      <c r="CG595" s="218"/>
      <c r="CH595" s="218"/>
      <c r="CI595" s="218"/>
      <c r="CJ595" s="218"/>
      <c r="CK595" s="218"/>
      <c r="CL595" s="218"/>
      <c r="CM595" s="218"/>
      <c r="CN595" s="218"/>
      <c r="CO595" s="218"/>
      <c r="CP595" s="218"/>
      <c r="CQ595" s="218"/>
      <c r="CR595" s="218"/>
      <c r="CS595" s="218"/>
      <c r="CT595" s="218"/>
      <c r="CU595" s="218"/>
      <c r="CV595" s="218"/>
      <c r="CW595" s="218"/>
    </row>
    <row r="596" spans="1:101" ht="21" thickTop="1" x14ac:dyDescent="0.3">
      <c r="A596" s="219"/>
      <c r="B596" s="219"/>
      <c r="C596" s="157"/>
      <c r="D596" s="158"/>
      <c r="E596" s="731" t="s">
        <v>44</v>
      </c>
      <c r="F596" s="229"/>
      <c r="G596" s="229"/>
      <c r="H596" s="229"/>
      <c r="I596" s="877" t="e" vm="1">
        <v>#VALUE!</v>
      </c>
      <c r="J596" s="877"/>
      <c r="K596" s="877"/>
      <c r="L596" s="877"/>
      <c r="M596" s="159"/>
      <c r="N596" s="159"/>
      <c r="O596" s="159"/>
      <c r="P596" s="160"/>
      <c r="Q596" s="159"/>
      <c r="R596" s="159"/>
      <c r="S596" s="159"/>
      <c r="T596" s="161"/>
      <c r="U596" s="162"/>
      <c r="V596" s="162"/>
      <c r="W596" s="162"/>
      <c r="X596" s="162"/>
      <c r="Y596" s="160"/>
      <c r="Z596" s="159"/>
      <c r="AA596" s="159"/>
      <c r="AB596" s="159"/>
      <c r="AC596" s="161"/>
      <c r="AD596" s="162"/>
      <c r="AE596" s="162"/>
      <c r="AF596" s="162"/>
      <c r="AG596" s="162"/>
      <c r="AH596" s="160"/>
      <c r="AI596" s="159"/>
      <c r="AJ596" s="201"/>
      <c r="AK596" s="201"/>
      <c r="AL596" s="164"/>
      <c r="AM596" s="162"/>
      <c r="AN596" s="162"/>
      <c r="AO596" s="162"/>
      <c r="AP596" s="162"/>
      <c r="AQ596" s="202"/>
      <c r="AR596" s="203"/>
      <c r="AS596" s="165"/>
      <c r="AT596" s="166"/>
      <c r="AU596" s="164"/>
      <c r="AV596" s="162"/>
      <c r="AW596" s="162"/>
      <c r="AX596" s="162"/>
      <c r="AY596" s="162"/>
      <c r="AZ596" s="202"/>
      <c r="BA596" s="203"/>
      <c r="BB596" s="166"/>
      <c r="BC596" s="201"/>
      <c r="BD596" s="204"/>
      <c r="BE596" s="162"/>
      <c r="BF596" s="162"/>
      <c r="BG596" s="162"/>
      <c r="BH596" s="162"/>
      <c r="BI596" s="205"/>
      <c r="BJ596" s="201"/>
      <c r="BK596" s="201"/>
      <c r="BL596" s="201"/>
      <c r="BM596" s="204"/>
      <c r="BN596" s="162"/>
      <c r="BO596" s="162"/>
      <c r="BP596" s="162"/>
      <c r="BQ596" s="162"/>
      <c r="BR596" s="167"/>
      <c r="BS596" s="201"/>
      <c r="BT596" s="201"/>
      <c r="BU596" s="201"/>
      <c r="BV596" s="205"/>
      <c r="BW596" s="162"/>
      <c r="BX596" s="162"/>
      <c r="BY596" s="162"/>
      <c r="BZ596" s="162"/>
      <c r="CA596" s="201"/>
      <c r="CB596" s="393"/>
      <c r="CC596" s="393"/>
      <c r="CD596" s="393"/>
      <c r="CE596" s="393"/>
      <c r="CF596" s="162"/>
      <c r="CG596" s="162"/>
      <c r="CH596" s="162"/>
      <c r="CI596" s="162"/>
      <c r="CJ596" s="163"/>
      <c r="CK596" s="163"/>
      <c r="CL596" s="163"/>
      <c r="CM596" s="163"/>
      <c r="CN596" s="163"/>
      <c r="CO596" s="162"/>
      <c r="CP596" s="162"/>
      <c r="CQ596" s="162"/>
      <c r="CR596" s="162"/>
      <c r="CS596" s="163"/>
      <c r="CT596" s="358"/>
      <c r="CU596" s="201"/>
      <c r="CV596" s="206"/>
      <c r="CW596" s="218"/>
    </row>
    <row r="597" spans="1:101" ht="15.75" thickBot="1" x14ac:dyDescent="0.25">
      <c r="A597" s="219"/>
      <c r="B597" s="219"/>
      <c r="C597" s="168"/>
      <c r="D597" s="785"/>
      <c r="E597" s="869" t="s">
        <v>45</v>
      </c>
      <c r="F597" s="363"/>
      <c r="G597" s="363"/>
      <c r="H597" s="363"/>
      <c r="I597" s="878"/>
      <c r="J597" s="878"/>
      <c r="K597" s="878"/>
      <c r="L597" s="878"/>
      <c r="M597" s="363"/>
      <c r="N597" s="363"/>
      <c r="O597" s="363"/>
      <c r="P597" s="363"/>
      <c r="Q597" s="363"/>
      <c r="R597" s="363"/>
      <c r="S597" s="363"/>
      <c r="T597" s="363"/>
      <c r="U597" s="363"/>
      <c r="V597" s="363"/>
      <c r="W597" s="363"/>
      <c r="X597" s="363"/>
      <c r="Y597" s="363"/>
      <c r="Z597" s="363"/>
      <c r="AA597" s="363"/>
      <c r="AB597" s="363"/>
      <c r="AC597" s="363"/>
      <c r="AD597" s="363"/>
      <c r="AE597" s="363"/>
      <c r="AF597" s="363"/>
      <c r="AG597" s="363"/>
      <c r="AH597" s="363"/>
      <c r="AI597" s="363"/>
      <c r="AJ597" s="363"/>
      <c r="AK597" s="363"/>
      <c r="AL597" s="363"/>
      <c r="AM597" s="363"/>
      <c r="AN597" s="363"/>
      <c r="AO597" s="363"/>
      <c r="AP597" s="363"/>
      <c r="AQ597" s="363"/>
      <c r="AR597" s="363"/>
      <c r="AS597" s="363"/>
      <c r="AT597" s="363"/>
      <c r="AU597" s="363"/>
      <c r="AV597" s="363"/>
      <c r="AW597" s="363"/>
      <c r="AX597" s="363"/>
      <c r="AY597" s="363"/>
      <c r="AZ597" s="363"/>
      <c r="BA597" s="363"/>
      <c r="BB597" s="363"/>
      <c r="BC597" s="363"/>
      <c r="BD597" s="363"/>
      <c r="BE597" s="363"/>
      <c r="BF597" s="363"/>
      <c r="BG597" s="363"/>
      <c r="BH597" s="363"/>
      <c r="BI597" s="363"/>
      <c r="BJ597" s="363"/>
      <c r="BK597" s="363"/>
      <c r="BL597" s="363"/>
      <c r="BM597" s="363"/>
      <c r="BN597" s="363"/>
      <c r="BO597" s="363"/>
      <c r="BP597" s="363"/>
      <c r="BQ597" s="363"/>
      <c r="BR597" s="363"/>
      <c r="BS597" s="363"/>
      <c r="BT597" s="363"/>
      <c r="BU597" s="363"/>
      <c r="BV597" s="363"/>
      <c r="BW597" s="363"/>
      <c r="BX597" s="363"/>
      <c r="BY597" s="363"/>
      <c r="BZ597" s="363"/>
      <c r="CA597" s="363"/>
      <c r="CB597" s="394"/>
      <c r="CC597" s="394"/>
      <c r="CD597" s="394"/>
      <c r="CE597" s="394"/>
      <c r="CF597" s="363"/>
      <c r="CG597" s="363"/>
      <c r="CH597" s="363"/>
      <c r="CI597" s="363"/>
      <c r="CJ597" s="363"/>
      <c r="CK597" s="363"/>
      <c r="CL597" s="363"/>
      <c r="CM597" s="363"/>
      <c r="CN597" s="323"/>
      <c r="CO597" s="363"/>
      <c r="CP597" s="363"/>
      <c r="CQ597" s="363"/>
      <c r="CR597" s="363"/>
      <c r="CS597" s="323"/>
      <c r="CT597" s="155"/>
      <c r="CU597" s="269"/>
      <c r="CV597" s="209"/>
      <c r="CW597" s="218"/>
    </row>
    <row r="598" spans="1:101" ht="18.75" thickTop="1" x14ac:dyDescent="0.2">
      <c r="A598" s="219"/>
      <c r="B598" s="219"/>
      <c r="C598" s="174"/>
      <c r="D598" s="778"/>
      <c r="E598" s="777"/>
      <c r="F598" s="235"/>
      <c r="G598" s="234"/>
      <c r="H598" s="234"/>
      <c r="I598" s="875">
        <f>WEEKNUM(E599)</f>
        <v>8</v>
      </c>
      <c r="J598" s="875"/>
      <c r="K598" s="875"/>
      <c r="L598" s="250"/>
      <c r="M598" s="261"/>
      <c r="N598" s="205"/>
      <c r="O598" s="236"/>
      <c r="P598" s="236"/>
      <c r="Q598" s="675" t="str">
        <f>IF($F602="","",SUM(Q614:S614)-S600)</f>
        <v/>
      </c>
      <c r="R598" s="675"/>
      <c r="S598" s="675"/>
      <c r="T598" s="237"/>
      <c r="U598" s="238"/>
      <c r="V598" s="238"/>
      <c r="W598" s="238"/>
      <c r="X598" s="238"/>
      <c r="Y598" s="236"/>
      <c r="Z598" s="675" t="str">
        <f>IF($F602="","",SUM(Z614:AB614)-AB600)</f>
        <v/>
      </c>
      <c r="AA598" s="675"/>
      <c r="AB598" s="675"/>
      <c r="AC598" s="237"/>
      <c r="AD598" s="238"/>
      <c r="AE598" s="238"/>
      <c r="AF598" s="238"/>
      <c r="AG598" s="238"/>
      <c r="AH598" s="236"/>
      <c r="AI598" s="675" t="str">
        <f>IF($F602="","",SUM(AI614:AK614)-AK600)</f>
        <v/>
      </c>
      <c r="AJ598" s="675"/>
      <c r="AK598" s="675"/>
      <c r="AL598" s="237"/>
      <c r="AM598" s="238"/>
      <c r="AN598" s="238"/>
      <c r="AO598" s="238"/>
      <c r="AP598" s="238"/>
      <c r="AQ598" s="236"/>
      <c r="AR598" s="675" t="str">
        <f>IF($F602="","",SUM(AR614:AT614)-AT600)</f>
        <v/>
      </c>
      <c r="AS598" s="675"/>
      <c r="AT598" s="675"/>
      <c r="AU598" s="239"/>
      <c r="AV598" s="238"/>
      <c r="AW598" s="238"/>
      <c r="AX598" s="238"/>
      <c r="AY598" s="238"/>
      <c r="AZ598" s="240"/>
      <c r="BA598" s="675" t="str">
        <f>IF($F602="","",SUM(BA614:BC614)-BC600)</f>
        <v/>
      </c>
      <c r="BB598" s="675"/>
      <c r="BC598" s="675"/>
      <c r="BD598" s="239"/>
      <c r="BE598" s="238"/>
      <c r="BF598" s="238"/>
      <c r="BG598" s="238"/>
      <c r="BH598" s="238"/>
      <c r="BI598" s="240"/>
      <c r="BJ598" s="675" t="str">
        <f>IF($F602="","",SUM(BJ614:BL614)-BL600)</f>
        <v/>
      </c>
      <c r="BK598" s="675"/>
      <c r="BL598" s="675"/>
      <c r="BM598" s="239"/>
      <c r="BN598" s="238"/>
      <c r="BO598" s="238"/>
      <c r="BP598" s="238"/>
      <c r="BQ598" s="238"/>
      <c r="BR598" s="241"/>
      <c r="BS598" s="675" t="str">
        <f>IF($F602="","",SUM(BS614:BU614)-BU600)</f>
        <v/>
      </c>
      <c r="BT598" s="675"/>
      <c r="BU598" s="675"/>
      <c r="BV598" s="240"/>
      <c r="BW598" s="238"/>
      <c r="BX598" s="238"/>
      <c r="BY598" s="238"/>
      <c r="BZ598" s="238"/>
      <c r="CA598" s="241"/>
      <c r="CB598" s="675" t="str">
        <f>IF($F602="","",SUM(CB614:CD614)-CD600)</f>
        <v/>
      </c>
      <c r="CC598" s="675"/>
      <c r="CD598" s="675"/>
      <c r="CE598" s="240"/>
      <c r="CF598" s="238"/>
      <c r="CG598" s="238"/>
      <c r="CH598" s="238"/>
      <c r="CI598" s="238"/>
      <c r="CJ598" s="234"/>
      <c r="CK598" s="675" t="str">
        <f>IF($F602="","",SUM(CK614:CM614))</f>
        <v/>
      </c>
      <c r="CL598" s="675"/>
      <c r="CM598" s="675"/>
      <c r="CN598" s="240"/>
      <c r="CO598" s="238"/>
      <c r="CP598" s="238"/>
      <c r="CQ598" s="238"/>
      <c r="CR598" s="238"/>
      <c r="CS598" s="234"/>
      <c r="CT598" s="234"/>
      <c r="CU598" s="251"/>
      <c r="CV598" s="209"/>
      <c r="CW598" s="218"/>
    </row>
    <row r="599" spans="1:101" x14ac:dyDescent="0.2">
      <c r="A599" s="219"/>
      <c r="B599" s="219"/>
      <c r="C599" s="174"/>
      <c r="D599" s="779"/>
      <c r="E599" s="543">
        <f>E577+7</f>
        <v>46438</v>
      </c>
      <c r="F599" s="178"/>
      <c r="G599" s="179"/>
      <c r="H599" s="179"/>
      <c r="I599" s="876"/>
      <c r="J599" s="876"/>
      <c r="K599" s="876"/>
      <c r="L599" s="254"/>
      <c r="M599" s="329"/>
      <c r="N599" s="208"/>
      <c r="O599" s="180"/>
      <c r="P599" s="180"/>
      <c r="Q599" s="584" t="str">
        <f>IF(Q598="","",Q598/Data!$X$1)</f>
        <v/>
      </c>
      <c r="R599" s="584"/>
      <c r="S599" s="585" t="str">
        <f>IF(SUM(X602:X613)=0,"",SUM(X602:X613))</f>
        <v/>
      </c>
      <c r="T599" s="181"/>
      <c r="U599" s="182"/>
      <c r="V599" s="182"/>
      <c r="W599" s="182"/>
      <c r="X599" s="182"/>
      <c r="Y599" s="180"/>
      <c r="Z599" s="584" t="str">
        <f>IF(Z598="","",Z598/Data!$X$1)</f>
        <v/>
      </c>
      <c r="AA599" s="584"/>
      <c r="AB599" s="585" t="str">
        <f>IF(SUM(AG602:AG613)=0,"",SUM(AG602:AG613))</f>
        <v/>
      </c>
      <c r="AC599" s="181"/>
      <c r="AD599" s="182"/>
      <c r="AE599" s="182"/>
      <c r="AF599" s="182"/>
      <c r="AG599" s="182"/>
      <c r="AH599" s="180"/>
      <c r="AI599" s="584" t="str">
        <f>IF(AI598="","",AI598/Data!$X$1)</f>
        <v/>
      </c>
      <c r="AJ599" s="584"/>
      <c r="AK599" s="585" t="str">
        <f>IF(SUM(AP602:AP613)=0,"",SUM(AP602:AP613))</f>
        <v/>
      </c>
      <c r="AL599" s="181"/>
      <c r="AM599" s="182"/>
      <c r="AN599" s="182"/>
      <c r="AO599" s="182"/>
      <c r="AP599" s="182"/>
      <c r="AQ599" s="180"/>
      <c r="AR599" s="584" t="str">
        <f>IF(AR598="","",AR598/Data!$X$1)</f>
        <v/>
      </c>
      <c r="AS599" s="584"/>
      <c r="AT599" s="585" t="str">
        <f>IF(SUM(AY602:AY613)=0,"",SUM(AY602:AY613))</f>
        <v/>
      </c>
      <c r="AU599" s="183"/>
      <c r="AV599" s="182"/>
      <c r="AW599" s="182"/>
      <c r="AX599" s="182"/>
      <c r="AY599" s="182"/>
      <c r="AZ599" s="184"/>
      <c r="BA599" s="584" t="str">
        <f>IF(BA598="","",BA598/Data!$X$1)</f>
        <v/>
      </c>
      <c r="BB599" s="584"/>
      <c r="BC599" s="585" t="str">
        <f>IF(SUM(BH602:BH613)=0,"",SUM(BH602:BH613))</f>
        <v/>
      </c>
      <c r="BD599" s="183"/>
      <c r="BE599" s="182"/>
      <c r="BF599" s="182"/>
      <c r="BG599" s="182"/>
      <c r="BH599" s="182"/>
      <c r="BI599" s="184"/>
      <c r="BJ599" s="584" t="str">
        <f>IF(BJ598="","",BJ598/Data!$X$1)</f>
        <v/>
      </c>
      <c r="BK599" s="584"/>
      <c r="BL599" s="585" t="str">
        <f>IF(SUM(BQ602:BQ613)=0,"",SUM(BQ602:BQ613))</f>
        <v/>
      </c>
      <c r="BM599" s="183"/>
      <c r="BN599" s="182"/>
      <c r="BO599" s="182"/>
      <c r="BP599" s="182"/>
      <c r="BQ599" s="182"/>
      <c r="BR599" s="185"/>
      <c r="BS599" s="584" t="str">
        <f>IF(BS598="","",BS598/Data!$X$1)</f>
        <v/>
      </c>
      <c r="BT599" s="584"/>
      <c r="BU599" s="585" t="str">
        <f>IF(SUM(BZ602:BZ613)=0,"",SUM(BZ602:BZ613))</f>
        <v/>
      </c>
      <c r="BV599" s="184"/>
      <c r="BW599" s="182"/>
      <c r="BX599" s="182"/>
      <c r="BY599" s="182"/>
      <c r="BZ599" s="182"/>
      <c r="CA599" s="185"/>
      <c r="CB599" s="584" t="str">
        <f>IF(CB598="","",CB598/Data!$X$1)</f>
        <v/>
      </c>
      <c r="CC599" s="584"/>
      <c r="CD599" s="585" t="str">
        <f>IF(SUM(CI602:CI613)=0,"",SUM(CI602:CI613))</f>
        <v/>
      </c>
      <c r="CE599" s="184"/>
      <c r="CF599" s="182"/>
      <c r="CG599" s="182"/>
      <c r="CH599" s="182"/>
      <c r="CI599" s="182"/>
      <c r="CJ599" s="182"/>
      <c r="CK599" s="584" t="str">
        <f>IF(CK598="","",CK598/Data!$X$1)</f>
        <v/>
      </c>
      <c r="CL599" s="584"/>
      <c r="CM599" s="585" t="str">
        <f>IF(SUM(CR602:CR613)=0,"",SUM(CR602:CR613))</f>
        <v/>
      </c>
      <c r="CN599" s="184"/>
      <c r="CO599" s="182"/>
      <c r="CP599" s="182"/>
      <c r="CQ599" s="182"/>
      <c r="CR599" s="182"/>
      <c r="CS599" s="182"/>
      <c r="CT599" s="182"/>
      <c r="CU599" s="255"/>
      <c r="CV599" s="209"/>
      <c r="CW599" s="218"/>
    </row>
    <row r="600" spans="1:101" ht="13.5" thickBot="1" x14ac:dyDescent="0.25">
      <c r="A600" s="219"/>
      <c r="B600" s="219"/>
      <c r="C600" s="174"/>
      <c r="D600" s="230"/>
      <c r="E600" s="359"/>
      <c r="F600" s="186"/>
      <c r="G600" s="187"/>
      <c r="H600" s="187"/>
      <c r="I600" s="673"/>
      <c r="J600" s="674"/>
      <c r="K600" s="674"/>
      <c r="L600" s="256"/>
      <c r="M600" s="330"/>
      <c r="N600" s="334"/>
      <c r="O600" s="187"/>
      <c r="P600" s="187"/>
      <c r="Q600" s="342" t="str">
        <f>Data!$E$11</f>
        <v>AHH</v>
      </c>
      <c r="R600" s="343" t="str">
        <f>IF($F613="","",RANK(Q598,$Q598:$CL598))</f>
        <v/>
      </c>
      <c r="S600" s="466"/>
      <c r="T600" s="181"/>
      <c r="U600" s="182"/>
      <c r="V600" s="182"/>
      <c r="W600" s="182"/>
      <c r="X600" s="197">
        <f>COUNTIF(U602:W613,"&gt;0")</f>
        <v>0</v>
      </c>
      <c r="Y600" s="180"/>
      <c r="Z600" s="342" t="str">
        <f>Data!$E$12</f>
        <v>RB</v>
      </c>
      <c r="AA600" s="343" t="str">
        <f>IF($F613="","",RANK(Z598,$Q598:$CL598))</f>
        <v/>
      </c>
      <c r="AB600" s="466"/>
      <c r="AC600" s="181"/>
      <c r="AD600" s="182"/>
      <c r="AE600" s="182"/>
      <c r="AF600" s="182"/>
      <c r="AG600" s="197">
        <f>COUNTIF(AD602:AF613,"&gt;0")</f>
        <v>0</v>
      </c>
      <c r="AH600" s="180"/>
      <c r="AI600" s="342" t="str">
        <f>Data!$E$13</f>
        <v>EB</v>
      </c>
      <c r="AJ600" s="343" t="str">
        <f>IF($F613="","",RANK(AI598,$Q598:$CL598))</f>
        <v/>
      </c>
      <c r="AK600" s="466"/>
      <c r="AL600" s="181"/>
      <c r="AM600" s="182"/>
      <c r="AN600" s="182"/>
      <c r="AO600" s="182"/>
      <c r="AP600" s="197">
        <f>COUNTIF(AM602:AO613,"&gt;0")</f>
        <v>0</v>
      </c>
      <c r="AQ600" s="180"/>
      <c r="AR600" s="305" t="str">
        <f>Data!$E$14</f>
        <v>KAF</v>
      </c>
      <c r="AS600" s="343" t="str">
        <f>IF($F613="","",RANK(AR598,$Q598:$CL598))</f>
        <v/>
      </c>
      <c r="AT600" s="466"/>
      <c r="AU600" s="181"/>
      <c r="AV600" s="182"/>
      <c r="AW600" s="182"/>
      <c r="AX600" s="182"/>
      <c r="AY600" s="197">
        <f>COUNTIF(AV602:AX613,"&gt;0")</f>
        <v>0</v>
      </c>
      <c r="AZ600" s="180"/>
      <c r="BA600" s="305" t="str">
        <f>Data!$E$15</f>
        <v>ØG</v>
      </c>
      <c r="BB600" s="343" t="str">
        <f>IF($F613="","",RANK(BA598,$Q598:$CL598))</f>
        <v/>
      </c>
      <c r="BC600" s="466"/>
      <c r="BD600" s="181"/>
      <c r="BE600" s="182"/>
      <c r="BF600" s="182"/>
      <c r="BG600" s="182"/>
      <c r="BH600" s="197">
        <f>COUNTIF(BE602:BG613,"&gt;0")</f>
        <v>0</v>
      </c>
      <c r="BI600" s="180"/>
      <c r="BJ600" s="305" t="str">
        <f>Data!$E$16</f>
        <v>JH</v>
      </c>
      <c r="BK600" s="343" t="str">
        <f>IF($F613="","",RANK(BJ598,$Q598:$CL598))</f>
        <v/>
      </c>
      <c r="BL600" s="466"/>
      <c r="BM600" s="181"/>
      <c r="BN600" s="182"/>
      <c r="BO600" s="182"/>
      <c r="BP600" s="182"/>
      <c r="BQ600" s="197">
        <f>COUNTIF(BN602:BP613,"&gt;0")</f>
        <v>0</v>
      </c>
      <c r="BR600" s="188"/>
      <c r="BS600" s="305" t="str">
        <f>Data!$E$17</f>
        <v>TOH</v>
      </c>
      <c r="BT600" s="343" t="str">
        <f>IF($F613="","",RANK(BS598,$Q598:$CL598))</f>
        <v/>
      </c>
      <c r="BU600" s="466"/>
      <c r="BV600" s="180"/>
      <c r="BW600" s="182"/>
      <c r="BX600" s="182"/>
      <c r="BY600" s="182"/>
      <c r="BZ600" s="197">
        <f>COUNTIF(BW602:BY613,"&gt;0")</f>
        <v>0</v>
      </c>
      <c r="CA600" s="188"/>
      <c r="CB600" s="305" t="s">
        <v>26</v>
      </c>
      <c r="CC600" s="343" t="str">
        <f>IF($F613="","",RANK(CB598,$Q598:$CM598))</f>
        <v/>
      </c>
      <c r="CD600" s="467"/>
      <c r="CE600" s="180"/>
      <c r="CF600" s="182"/>
      <c r="CG600" s="182"/>
      <c r="CH600" s="182"/>
      <c r="CI600" s="197">
        <f>COUNTIF(CF602:CH613,"&gt;0")</f>
        <v>0</v>
      </c>
      <c r="CJ600" s="182"/>
      <c r="CK600" s="305" t="s">
        <v>27</v>
      </c>
      <c r="CL600" s="343" t="str">
        <f>IF($F613="","",RANK(CK598,$Q598:$CM598))</f>
        <v/>
      </c>
      <c r="CM600" s="669"/>
      <c r="CN600" s="180"/>
      <c r="CO600" s="182"/>
      <c r="CP600" s="182"/>
      <c r="CQ600" s="182"/>
      <c r="CR600" s="197">
        <f>COUNTIF(CO602:CQ613,"&gt;0")</f>
        <v>0</v>
      </c>
      <c r="CS600" s="182"/>
      <c r="CT600" s="182"/>
      <c r="CU600" s="255"/>
      <c r="CV600" s="209"/>
      <c r="CW600" s="218"/>
    </row>
    <row r="601" spans="1:101" ht="13.5" thickBot="1" x14ac:dyDescent="0.25">
      <c r="A601" s="227"/>
      <c r="B601" s="227"/>
      <c r="C601" s="168"/>
      <c r="D601" s="231"/>
      <c r="E601" s="189"/>
      <c r="F601" s="190"/>
      <c r="G601" s="191"/>
      <c r="H601" s="191"/>
      <c r="I601" s="192" t="s">
        <v>47</v>
      </c>
      <c r="J601" s="193" t="s">
        <v>48</v>
      </c>
      <c r="K601" s="194" t="s">
        <v>49</v>
      </c>
      <c r="L601" s="257"/>
      <c r="M601" s="331"/>
      <c r="N601" s="335"/>
      <c r="O601" s="195"/>
      <c r="P601" s="195"/>
      <c r="Q601" s="192" t="s">
        <v>47</v>
      </c>
      <c r="R601" s="193" t="s">
        <v>48</v>
      </c>
      <c r="S601" s="194" t="s">
        <v>49</v>
      </c>
      <c r="T601" s="196"/>
      <c r="U601" s="197"/>
      <c r="V601" s="197"/>
      <c r="W601" s="197"/>
      <c r="X601" s="197"/>
      <c r="Y601" s="195"/>
      <c r="Z601" s="192" t="s">
        <v>47</v>
      </c>
      <c r="AA601" s="193" t="s">
        <v>48</v>
      </c>
      <c r="AB601" s="194" t="s">
        <v>49</v>
      </c>
      <c r="AC601" s="196"/>
      <c r="AD601" s="197"/>
      <c r="AE601" s="197"/>
      <c r="AF601" s="197"/>
      <c r="AG601" s="197"/>
      <c r="AH601" s="195"/>
      <c r="AI601" s="192" t="s">
        <v>47</v>
      </c>
      <c r="AJ601" s="193" t="s">
        <v>48</v>
      </c>
      <c r="AK601" s="194" t="s">
        <v>49</v>
      </c>
      <c r="AL601" s="196"/>
      <c r="AM601" s="197"/>
      <c r="AN601" s="197"/>
      <c r="AO601" s="197"/>
      <c r="AP601" s="197"/>
      <c r="AQ601" s="195"/>
      <c r="AR601" s="192" t="s">
        <v>47</v>
      </c>
      <c r="AS601" s="193" t="s">
        <v>48</v>
      </c>
      <c r="AT601" s="194" t="s">
        <v>49</v>
      </c>
      <c r="AU601" s="196"/>
      <c r="AV601" s="197"/>
      <c r="AW601" s="197"/>
      <c r="AX601" s="197"/>
      <c r="AY601" s="197"/>
      <c r="AZ601" s="195"/>
      <c r="BA601" s="192" t="s">
        <v>47</v>
      </c>
      <c r="BB601" s="193" t="s">
        <v>48</v>
      </c>
      <c r="BC601" s="194" t="s">
        <v>49</v>
      </c>
      <c r="BD601" s="196"/>
      <c r="BE601" s="197"/>
      <c r="BF601" s="197"/>
      <c r="BG601" s="197"/>
      <c r="BH601" s="197"/>
      <c r="BI601" s="195"/>
      <c r="BJ601" s="192" t="s">
        <v>47</v>
      </c>
      <c r="BK601" s="193" t="s">
        <v>48</v>
      </c>
      <c r="BL601" s="194" t="s">
        <v>49</v>
      </c>
      <c r="BM601" s="196"/>
      <c r="BN601" s="197"/>
      <c r="BO601" s="197"/>
      <c r="BP601" s="197"/>
      <c r="BQ601" s="197"/>
      <c r="BR601" s="195"/>
      <c r="BS601" s="192" t="s">
        <v>47</v>
      </c>
      <c r="BT601" s="193" t="s">
        <v>48</v>
      </c>
      <c r="BU601" s="194" t="s">
        <v>49</v>
      </c>
      <c r="BV601" s="196"/>
      <c r="BW601" s="197"/>
      <c r="BX601" s="197"/>
      <c r="BY601" s="197"/>
      <c r="BZ601" s="197"/>
      <c r="CA601" s="195"/>
      <c r="CB601" s="192" t="s">
        <v>47</v>
      </c>
      <c r="CC601" s="193" t="s">
        <v>48</v>
      </c>
      <c r="CD601" s="194" t="s">
        <v>49</v>
      </c>
      <c r="CE601" s="196"/>
      <c r="CF601" s="197"/>
      <c r="CG601" s="197"/>
      <c r="CH601" s="197"/>
      <c r="CI601" s="197"/>
      <c r="CJ601" s="197"/>
      <c r="CK601" s="192" t="s">
        <v>47</v>
      </c>
      <c r="CL601" s="193" t="s">
        <v>48</v>
      </c>
      <c r="CM601" s="194" t="s">
        <v>49</v>
      </c>
      <c r="CN601" s="196"/>
      <c r="CO601" s="197"/>
      <c r="CP601" s="197"/>
      <c r="CQ601" s="197"/>
      <c r="CR601" s="197"/>
      <c r="CS601" s="197"/>
      <c r="CT601" s="198"/>
      <c r="CU601" s="255"/>
      <c r="CV601" s="209"/>
      <c r="CW601" s="228"/>
    </row>
    <row r="602" spans="1:101" x14ac:dyDescent="0.2">
      <c r="A602" s="227"/>
      <c r="B602" s="227"/>
      <c r="C602" s="168"/>
      <c r="D602" s="232"/>
      <c r="E602" s="134" t="s">
        <v>377</v>
      </c>
      <c r="F602" s="424"/>
      <c r="G602" s="428"/>
      <c r="H602" s="429"/>
      <c r="I602" s="138" t="str">
        <f t="shared" ref="I602:I613" si="887">IF($F602&gt;$H602,"x","")</f>
        <v/>
      </c>
      <c r="J602" s="344" t="str">
        <f t="shared" ref="J602:J613" si="888">IF(F602&lt;&gt;"",IF(H602&lt;&gt;"",IF(F602=H602,"x",""),""),"")</f>
        <v/>
      </c>
      <c r="K602" s="345" t="str">
        <f t="shared" ref="K602:K613" si="889">IF($F602&lt;$H602,"x","")</f>
        <v/>
      </c>
      <c r="L602" s="258"/>
      <c r="M602" s="332"/>
      <c r="N602" s="336"/>
      <c r="O602" s="200"/>
      <c r="P602" s="200"/>
      <c r="Q602" s="436"/>
      <c r="R602" s="437"/>
      <c r="S602" s="438" t="str">
        <f t="shared" ref="S602:S613" si="890">IF(Q602="","",100-SUM(Q602:R602))</f>
        <v/>
      </c>
      <c r="T602" s="328"/>
      <c r="U602" s="197" t="str">
        <f>IF(AND($I602="x",AND(MAX(Q602:S602)=Q602,Q602&gt;=0)),Data!$BI$2,"")</f>
        <v/>
      </c>
      <c r="V602" s="197" t="str">
        <f>IF(AND($J602="x",AND(MAX(Q602:S602)=R602,R602&gt;=0)),Data!$BJ$2,"")</f>
        <v/>
      </c>
      <c r="W602" s="197" t="str">
        <f>IF(AND($K602="x",AND(MAX(Q602:S602)=S602,S602&gt;=0)),Data!$BK$2,"")</f>
        <v/>
      </c>
      <c r="X602" s="197"/>
      <c r="Y602" s="328"/>
      <c r="Z602" s="451"/>
      <c r="AA602" s="452"/>
      <c r="AB602" s="438" t="str">
        <f t="shared" ref="AB602:AB613" si="891">IF(Z602="","",100-SUM(Z602:AA602))</f>
        <v/>
      </c>
      <c r="AC602" s="328"/>
      <c r="AD602" s="197" t="str">
        <f>IF(AND($I602="x",AND(MAX(Z602:AB602)=Z602,Z602&lt;&gt;"")),Data!$BI$2,"")</f>
        <v/>
      </c>
      <c r="AE602" s="197" t="str">
        <f>IF(AND($J602="x",AND(MAX(Z602:AB602)=AA602,AA602&lt;&gt;"")),Data!$BJ$2,"")</f>
        <v/>
      </c>
      <c r="AF602" s="197" t="str">
        <f>IF(AND($K602="x",AND(MAX(Z602:AB602)=AB602,AB602&lt;&gt;"")),Data!$BK$2,"")</f>
        <v/>
      </c>
      <c r="AG602" s="197"/>
      <c r="AH602" s="328"/>
      <c r="AI602" s="451"/>
      <c r="AJ602" s="452"/>
      <c r="AK602" s="438" t="str">
        <f t="shared" ref="AK602:AK613" si="892">IF(AI602="","",100-SUM(AI602:AJ602))</f>
        <v/>
      </c>
      <c r="AL602" s="328"/>
      <c r="AM602" s="197" t="str">
        <f>IF(AND($I602="x",AND(MAX(AI602:AK602)=AI602,AI602&lt;&gt;"")),Data!$BI$2,"")</f>
        <v/>
      </c>
      <c r="AN602" s="197" t="str">
        <f>IF(AND($J602="x",AND(MAX(AI602:AK602)=AJ602,AJ602&lt;&gt;"")),Data!$BJ$2,"")</f>
        <v/>
      </c>
      <c r="AO602" s="197" t="str">
        <f>IF(AND($K602="x",AND(MAX(AI602:AK602)=AK602,AK602&lt;&gt;"")),Data!$BK$2,"")</f>
        <v/>
      </c>
      <c r="AP602" s="197"/>
      <c r="AQ602" s="328"/>
      <c r="AR602" s="451"/>
      <c r="AS602" s="452"/>
      <c r="AT602" s="438" t="str">
        <f t="shared" ref="AT602:AT613" si="893">IF(AR602="","",100-SUM(AR602:AS602))</f>
        <v/>
      </c>
      <c r="AU602" s="328"/>
      <c r="AV602" s="197" t="str">
        <f>IF(AND($I602="x",AND(MAX(AR602:AT602)=AR602,AR602&lt;&gt;"")),Data!$BI$2,"")</f>
        <v/>
      </c>
      <c r="AW602" s="197" t="str">
        <f>IF(AND($J602="x",AND(MAX(AR602:AT602)=AS602,AS602&lt;&gt;"")),Data!$BJ$2,"")</f>
        <v/>
      </c>
      <c r="AX602" s="197" t="str">
        <f>IF(AND($K602="x",AND(MAX(AR602:AT602)=AT602,AT602&lt;&gt;"")),Data!$BK$2,"")</f>
        <v/>
      </c>
      <c r="AY602" s="197"/>
      <c r="AZ602" s="328"/>
      <c r="BA602" s="451"/>
      <c r="BB602" s="452"/>
      <c r="BC602" s="438" t="str">
        <f t="shared" ref="BC602:BC613" si="894">IF(BA602="","",100-SUM(BA602:BB602))</f>
        <v/>
      </c>
      <c r="BD602" s="328"/>
      <c r="BE602" s="197" t="str">
        <f>IF(AND($I602="x",AND(MAX(BA602:BC602)=BA602,BA602&lt;&gt;"")),Data!$BI$2,"")</f>
        <v/>
      </c>
      <c r="BF602" s="197" t="str">
        <f>IF(AND($J602="x",AND(MAX(BA602:BC602)=BB602,BB602&lt;&gt;"")),Data!$BJ$2,"")</f>
        <v/>
      </c>
      <c r="BG602" s="197" t="str">
        <f>IF(AND($K602="x",AND(MAX(BA602:BC602)=BC602,BC602&lt;&gt;"")),Data!$BK$2,"")</f>
        <v/>
      </c>
      <c r="BH602" s="197"/>
      <c r="BI602" s="328"/>
      <c r="BJ602" s="451"/>
      <c r="BK602" s="452"/>
      <c r="BL602" s="438" t="str">
        <f t="shared" ref="BL602:BL613" si="895">IF(BJ602="","",100-SUM(BJ602:BK602))</f>
        <v/>
      </c>
      <c r="BM602" s="328"/>
      <c r="BN602" s="197" t="str">
        <f>IF(AND($I602="x",AND(MAX(BJ602:BL602)=BJ602,BJ602&lt;&gt;"")),Data!$BI$2,"")</f>
        <v/>
      </c>
      <c r="BO602" s="197" t="str">
        <f>IF(AND($J602="x",AND(MAX(BJ602:BL602)=BK602,BK602&lt;&gt;"")),Data!$BJ$2,"")</f>
        <v/>
      </c>
      <c r="BP602" s="197" t="str">
        <f>IF(AND($K602="x",AND(MAX(BJ602:BL602)=BL602,BL602&lt;&gt;"")),Data!$BK$2,"")</f>
        <v/>
      </c>
      <c r="BQ602" s="197"/>
      <c r="BR602" s="328"/>
      <c r="BS602" s="451"/>
      <c r="BT602" s="452"/>
      <c r="BU602" s="438" t="str">
        <f t="shared" ref="BU602:BU613" si="896">IF(BS602="","",100-SUM(BS602:BT602))</f>
        <v/>
      </c>
      <c r="BV602" s="328"/>
      <c r="BW602" s="197" t="str">
        <f>IF(AND($I602="x",AND(MAX(BS602:BU602)=BS602,BS602&lt;&gt;"")),Data!$BI$2,"")</f>
        <v/>
      </c>
      <c r="BX602" s="197" t="str">
        <f>IF(AND($J602="x",AND(MAX(BS602:BU602)=BT602,BT602&lt;&gt;"")),Data!$BJ$2,"")</f>
        <v/>
      </c>
      <c r="BY602" s="197" t="str">
        <f>IF(AND($K602="x",AND(MAX(BS602:BU602)=BU602,BU602&lt;&gt;"")),Data!$BK$2,"")</f>
        <v/>
      </c>
      <c r="BZ602" s="197"/>
      <c r="CA602" s="328"/>
      <c r="CB602" s="457" t="str">
        <f t="shared" ref="CB602:CB613" si="897">IFERROR(ROUNDUP((SUM(Q602,Z602,AI602,AR602,BA602,BJ602,BS602)/SUM($Q602:$S602,$Z602:$AB602,$AI602:$AK602,$AR602:$AT602,$BA602:$BC602,$BJ602:$BL602,$BS602:$BU602))*100,-1),"")</f>
        <v/>
      </c>
      <c r="CC602" s="458" t="str">
        <f t="shared" ref="CC602:CC613" si="898">IFERROR(ROUNDDOWN((SUM(R602,AA602,AJ602,AS602,BB602,BK602,BT602)/SUM($Q602:$S602,$Z602:$AB602,$AI602:$AK602,$AR602:$AT602,$BA602:$BC602,$BJ602:$BL602,$BS602:$BU602))*100,-1),"")</f>
        <v/>
      </c>
      <c r="CD602" s="459" t="str">
        <f t="shared" ref="CD602:CD613" si="899">IF(CB602="","",100-SUM(CB602:CC602))</f>
        <v/>
      </c>
      <c r="CE602" s="328"/>
      <c r="CF602" s="197" t="str">
        <f>IF(AND($I602="x",AND(MAX(CB602:CD602)=CB602,CB602&lt;&gt;"")),Data!$BI$2,"")</f>
        <v/>
      </c>
      <c r="CG602" s="197" t="str">
        <f>IF(AND($J602="x",AND(MAX(CB602:CD602)=CC602,CC602&lt;&gt;"")),Data!$BJ$2,"")</f>
        <v/>
      </c>
      <c r="CH602" s="197" t="str">
        <f>IF(AND($K602="x",AND(MAX(CB602:CD602)=CD602,CD602&lt;&gt;"")),Data!$BK$2,"")</f>
        <v/>
      </c>
      <c r="CI602" s="197"/>
      <c r="CJ602" s="197"/>
      <c r="CK602" s="451"/>
      <c r="CL602" s="452"/>
      <c r="CM602" s="438" t="str">
        <f t="shared" ref="CM602:CM613" si="900">IF(CK602="","",100-SUM(CK602:CL602))</f>
        <v/>
      </c>
      <c r="CN602" s="328"/>
      <c r="CO602" s="197" t="str">
        <f>IF(AND($I602="x",AND(MAX(CK602:CM602)=CK602,CK602&lt;&gt;"")),Data!$BI$2,"")</f>
        <v/>
      </c>
      <c r="CP602" s="197" t="str">
        <f>IF(AND($J602="x",AND(MAX(CK602:CM602)=CL602,CL602&lt;&gt;"")),Data!$BJ$2,"")</f>
        <v/>
      </c>
      <c r="CQ602" s="197" t="str">
        <f>IF(AND($K602="x",AND(MAX(CK602:CM602)=CM602,CM602&lt;&gt;"")),Data!$BK$2,"")</f>
        <v/>
      </c>
      <c r="CR602" s="197"/>
      <c r="CS602" s="197"/>
      <c r="CT602" s="328"/>
      <c r="CU602" s="255"/>
      <c r="CV602" s="209"/>
      <c r="CW602" s="227"/>
    </row>
    <row r="603" spans="1:101" x14ac:dyDescent="0.2">
      <c r="A603" s="227"/>
      <c r="B603" s="227"/>
      <c r="C603" s="168"/>
      <c r="D603" s="232"/>
      <c r="E603" s="135" t="s">
        <v>378</v>
      </c>
      <c r="F603" s="425"/>
      <c r="G603" s="430"/>
      <c r="H603" s="431"/>
      <c r="I603" s="346" t="str">
        <f t="shared" si="887"/>
        <v/>
      </c>
      <c r="J603" s="347" t="str">
        <f t="shared" si="888"/>
        <v/>
      </c>
      <c r="K603" s="348" t="str">
        <f t="shared" si="889"/>
        <v/>
      </c>
      <c r="L603" s="258"/>
      <c r="M603" s="332"/>
      <c r="N603" s="336"/>
      <c r="O603" s="200"/>
      <c r="P603" s="200"/>
      <c r="Q603" s="439"/>
      <c r="R603" s="440"/>
      <c r="S603" s="441" t="str">
        <f t="shared" si="890"/>
        <v/>
      </c>
      <c r="T603" s="328"/>
      <c r="U603" s="197" t="str">
        <f>IF(AND($I603="x",AND(MAX(Q603:S603)=Q603,Q603&gt;=0)),Data!$BI$2,"")</f>
        <v/>
      </c>
      <c r="V603" s="197" t="str">
        <f>IF(AND($J603="x",AND(MAX(Q603:S603)=R603,R603&gt;=0)),Data!$BJ$2,"")</f>
        <v/>
      </c>
      <c r="W603" s="197" t="str">
        <f>IF(AND($K603="x",AND(MAX(Q603:S603)=S603,S603&gt;=0)),Data!$BK$2,"")</f>
        <v/>
      </c>
      <c r="X603" s="197"/>
      <c r="Y603" s="328"/>
      <c r="Z603" s="453"/>
      <c r="AA603" s="454"/>
      <c r="AB603" s="441" t="str">
        <f t="shared" si="891"/>
        <v/>
      </c>
      <c r="AC603" s="328"/>
      <c r="AD603" s="197" t="str">
        <f>IF(AND($I603="x",AND(MAX(Z603:AB603)=Z603,Z603&lt;&gt;"")),Data!$BI$2,"")</f>
        <v/>
      </c>
      <c r="AE603" s="197" t="str">
        <f>IF(AND($J603="x",AND(MAX(Z603:AB603)=AA603,AA603&lt;&gt;"")),Data!$BJ$2,"")</f>
        <v/>
      </c>
      <c r="AF603" s="197" t="str">
        <f>IF(AND($K603="x",AND(MAX(Z603:AB603)=AB603,AB603&lt;&gt;"")),Data!$BK$2,"")</f>
        <v/>
      </c>
      <c r="AG603" s="197"/>
      <c r="AH603" s="328"/>
      <c r="AI603" s="453"/>
      <c r="AJ603" s="454"/>
      <c r="AK603" s="441" t="str">
        <f t="shared" si="892"/>
        <v/>
      </c>
      <c r="AL603" s="328"/>
      <c r="AM603" s="197" t="str">
        <f>IF(AND($I603="x",AND(MAX(AI603:AK603)=AI603,AI603&lt;&gt;"")),Data!$BI$2,"")</f>
        <v/>
      </c>
      <c r="AN603" s="197" t="str">
        <f>IF(AND($J603="x",AND(MAX(AI603:AK603)=AJ603,AJ603&lt;&gt;"")),Data!$BJ$2,"")</f>
        <v/>
      </c>
      <c r="AO603" s="197" t="str">
        <f>IF(AND($K603="x",AND(MAX(AI603:AK603)=AK603,AK603&lt;&gt;"")),Data!$BK$2,"")</f>
        <v/>
      </c>
      <c r="AP603" s="197"/>
      <c r="AQ603" s="328"/>
      <c r="AR603" s="453"/>
      <c r="AS603" s="454"/>
      <c r="AT603" s="441" t="str">
        <f t="shared" si="893"/>
        <v/>
      </c>
      <c r="AU603" s="328"/>
      <c r="AV603" s="197" t="str">
        <f>IF(AND($I603="x",AND(MAX(AR603:AT603)=AR603,AR603&lt;&gt;"")),Data!$BI$2,"")</f>
        <v/>
      </c>
      <c r="AW603" s="197" t="str">
        <f>IF(AND($J603="x",AND(MAX(AR603:AT603)=AS603,AS603&lt;&gt;"")),Data!$BJ$2,"")</f>
        <v/>
      </c>
      <c r="AX603" s="197" t="str">
        <f>IF(AND($K603="x",AND(MAX(AR603:AT603)=AT603,AT603&lt;&gt;"")),Data!$BK$2,"")</f>
        <v/>
      </c>
      <c r="AY603" s="197"/>
      <c r="AZ603" s="328"/>
      <c r="BA603" s="453"/>
      <c r="BB603" s="454"/>
      <c r="BC603" s="441" t="str">
        <f t="shared" si="894"/>
        <v/>
      </c>
      <c r="BD603" s="328"/>
      <c r="BE603" s="197" t="str">
        <f>IF(AND($I603="x",AND(MAX(BA603:BC603)=BA603,BA603&lt;&gt;"")),Data!$BI$2,"")</f>
        <v/>
      </c>
      <c r="BF603" s="197" t="str">
        <f>IF(AND($J603="x",AND(MAX(BA603:BC603)=BB603,BB603&lt;&gt;"")),Data!$BJ$2,"")</f>
        <v/>
      </c>
      <c r="BG603" s="197" t="str">
        <f>IF(AND($K603="x",AND(MAX(BA603:BC603)=BC603,BC603&lt;&gt;"")),Data!$BK$2,"")</f>
        <v/>
      </c>
      <c r="BH603" s="197"/>
      <c r="BI603" s="328"/>
      <c r="BJ603" s="453"/>
      <c r="BK603" s="454"/>
      <c r="BL603" s="441" t="str">
        <f t="shared" si="895"/>
        <v/>
      </c>
      <c r="BM603" s="328"/>
      <c r="BN603" s="197" t="str">
        <f>IF(AND($I603="x",AND(MAX(BJ603:BL603)=BJ603,BJ603&lt;&gt;"")),Data!$BI$2,"")</f>
        <v/>
      </c>
      <c r="BO603" s="197" t="str">
        <f>IF(AND($J603="x",AND(MAX(BJ603:BL603)=BK603,BK603&lt;&gt;"")),Data!$BJ$2,"")</f>
        <v/>
      </c>
      <c r="BP603" s="197" t="str">
        <f>IF(AND($K603="x",AND(MAX(BJ603:BL603)=BL603,BL603&lt;&gt;"")),Data!$BK$2,"")</f>
        <v/>
      </c>
      <c r="BQ603" s="197"/>
      <c r="BR603" s="328"/>
      <c r="BS603" s="453"/>
      <c r="BT603" s="454"/>
      <c r="BU603" s="441" t="str">
        <f t="shared" si="896"/>
        <v/>
      </c>
      <c r="BV603" s="328"/>
      <c r="BW603" s="197" t="str">
        <f>IF(AND($I603="x",AND(MAX(BS603:BU603)=BS603,BS603&lt;&gt;"")),Data!$BI$2,"")</f>
        <v/>
      </c>
      <c r="BX603" s="197" t="str">
        <f>IF(AND($J603="x",AND(MAX(BS603:BU603)=BT603,BT603&lt;&gt;"")),Data!$BJ$2,"")</f>
        <v/>
      </c>
      <c r="BY603" s="197" t="str">
        <f>IF(AND($K603="x",AND(MAX(BS603:BU603)=BU603,BU603&lt;&gt;"")),Data!$BK$2,"")</f>
        <v/>
      </c>
      <c r="BZ603" s="197"/>
      <c r="CA603" s="328"/>
      <c r="CB603" s="460" t="str">
        <f t="shared" si="897"/>
        <v/>
      </c>
      <c r="CC603" s="461" t="str">
        <f t="shared" si="898"/>
        <v/>
      </c>
      <c r="CD603" s="462" t="str">
        <f t="shared" si="899"/>
        <v/>
      </c>
      <c r="CE603" s="328"/>
      <c r="CF603" s="197" t="str">
        <f>IF(AND($I603="x",AND(MAX(CB603:CD603)=CB603,CB603&lt;&gt;"")),Data!$BI$2,"")</f>
        <v/>
      </c>
      <c r="CG603" s="197" t="str">
        <f>IF(AND($J603="x",AND(MAX(CB603:CD603)=CC603,CC603&lt;&gt;"")),Data!$BJ$2,"")</f>
        <v/>
      </c>
      <c r="CH603" s="197" t="str">
        <f>IF(AND($K603="x",AND(MAX(CB603:CD603)=CD603,CD603&lt;&gt;"")),Data!$BK$2,"")</f>
        <v/>
      </c>
      <c r="CI603" s="197"/>
      <c r="CJ603" s="197"/>
      <c r="CK603" s="453"/>
      <c r="CL603" s="454"/>
      <c r="CM603" s="441" t="str">
        <f t="shared" si="900"/>
        <v/>
      </c>
      <c r="CN603" s="328"/>
      <c r="CO603" s="197" t="str">
        <f>IF(AND($I603="x",AND(MAX(CK603:CM603)=CK603,CK603&lt;&gt;"")),Data!$BI$2,"")</f>
        <v/>
      </c>
      <c r="CP603" s="197" t="str">
        <f>IF(AND($J603="x",AND(MAX(CK603:CM603)=CL603,CL603&lt;&gt;"")),Data!$BJ$2,"")</f>
        <v/>
      </c>
      <c r="CQ603" s="197" t="str">
        <f>IF(AND($K603="x",AND(MAX(CK603:CM603)=CM603,CM603&lt;&gt;"")),Data!$BK$2,"")</f>
        <v/>
      </c>
      <c r="CR603" s="197"/>
      <c r="CS603" s="197"/>
      <c r="CT603" s="328"/>
      <c r="CU603" s="255"/>
      <c r="CV603" s="209"/>
      <c r="CW603" s="227"/>
    </row>
    <row r="604" spans="1:101" x14ac:dyDescent="0.2">
      <c r="A604" s="227"/>
      <c r="B604" s="227"/>
      <c r="C604" s="168"/>
      <c r="D604" s="232"/>
      <c r="E604" s="136" t="s">
        <v>379</v>
      </c>
      <c r="F604" s="426"/>
      <c r="G604" s="432"/>
      <c r="H604" s="433"/>
      <c r="I604" s="349" t="str">
        <f t="shared" si="887"/>
        <v/>
      </c>
      <c r="J604" s="350" t="str">
        <f t="shared" si="888"/>
        <v/>
      </c>
      <c r="K604" s="351" t="str">
        <f t="shared" si="889"/>
        <v/>
      </c>
      <c r="L604" s="258"/>
      <c r="M604" s="332"/>
      <c r="N604" s="336"/>
      <c r="O604" s="200"/>
      <c r="P604" s="200"/>
      <c r="Q604" s="442"/>
      <c r="R604" s="443"/>
      <c r="S604" s="444" t="str">
        <f t="shared" si="890"/>
        <v/>
      </c>
      <c r="T604" s="328"/>
      <c r="U604" s="197" t="str">
        <f>IF(AND($I604="x",AND(MAX(Q604:S604)=Q604,Q604&gt;=0)),Data!$BI$2,"")</f>
        <v/>
      </c>
      <c r="V604" s="197" t="str">
        <f>IF(AND($J604="x",AND(MAX(Q604:S604)=R604,R604&gt;=0)),Data!$BJ$2,"")</f>
        <v/>
      </c>
      <c r="W604" s="197" t="str">
        <f>IF(AND($K604="x",AND(MAX(Q604:S604)=S604,S604&gt;=0)),Data!$BK$2,"")</f>
        <v/>
      </c>
      <c r="X604" s="197"/>
      <c r="Y604" s="328"/>
      <c r="Z604" s="455"/>
      <c r="AA604" s="456"/>
      <c r="AB604" s="444" t="str">
        <f t="shared" si="891"/>
        <v/>
      </c>
      <c r="AC604" s="328"/>
      <c r="AD604" s="197" t="str">
        <f>IF(AND($I604="x",AND(MAX(Z604:AB604)=Z604,Z604&lt;&gt;"")),Data!$BI$2,"")</f>
        <v/>
      </c>
      <c r="AE604" s="197" t="str">
        <f>IF(AND($J604="x",AND(MAX(Z604:AB604)=AA604,AA604&lt;&gt;"")),Data!$BJ$2,"")</f>
        <v/>
      </c>
      <c r="AF604" s="197" t="str">
        <f>IF(AND($K604="x",AND(MAX(Z604:AB604)=AB604,AB604&lt;&gt;"")),Data!$BK$2,"")</f>
        <v/>
      </c>
      <c r="AG604" s="197"/>
      <c r="AH604" s="328"/>
      <c r="AI604" s="455"/>
      <c r="AJ604" s="456"/>
      <c r="AK604" s="444" t="str">
        <f t="shared" si="892"/>
        <v/>
      </c>
      <c r="AL604" s="328"/>
      <c r="AM604" s="197" t="str">
        <f>IF(AND($I604="x",AND(MAX(AI604:AK604)=AI604,AI604&lt;&gt;"")),Data!$BI$2,"")</f>
        <v/>
      </c>
      <c r="AN604" s="197" t="str">
        <f>IF(AND($J604="x",AND(MAX(AI604:AK604)=AJ604,AJ604&lt;&gt;"")),Data!$BJ$2,"")</f>
        <v/>
      </c>
      <c r="AO604" s="197" t="str">
        <f>IF(AND($K604="x",AND(MAX(AI604:AK604)=AK604,AK604&lt;&gt;"")),Data!$BK$2,"")</f>
        <v/>
      </c>
      <c r="AP604" s="197"/>
      <c r="AQ604" s="328"/>
      <c r="AR604" s="455"/>
      <c r="AS604" s="456"/>
      <c r="AT604" s="444" t="str">
        <f t="shared" si="893"/>
        <v/>
      </c>
      <c r="AU604" s="328"/>
      <c r="AV604" s="197" t="str">
        <f>IF(AND($I604="x",AND(MAX(AR604:AT604)=AR604,AR604&lt;&gt;"")),Data!$BI$2,"")</f>
        <v/>
      </c>
      <c r="AW604" s="197" t="str">
        <f>IF(AND($J604="x",AND(MAX(AR604:AT604)=AS604,AS604&lt;&gt;"")),Data!$BJ$2,"")</f>
        <v/>
      </c>
      <c r="AX604" s="197" t="str">
        <f>IF(AND($K604="x",AND(MAX(AR604:AT604)=AT604,AT604&lt;&gt;"")),Data!$BK$2,"")</f>
        <v/>
      </c>
      <c r="AY604" s="197"/>
      <c r="AZ604" s="328"/>
      <c r="BA604" s="455"/>
      <c r="BB604" s="456"/>
      <c r="BC604" s="444" t="str">
        <f t="shared" si="894"/>
        <v/>
      </c>
      <c r="BD604" s="328"/>
      <c r="BE604" s="197" t="str">
        <f>IF(AND($I604="x",AND(MAX(BA604:BC604)=BA604,BA604&lt;&gt;"")),Data!$BI$2,"")</f>
        <v/>
      </c>
      <c r="BF604" s="197" t="str">
        <f>IF(AND($J604="x",AND(MAX(BA604:BC604)=BB604,BB604&lt;&gt;"")),Data!$BJ$2,"")</f>
        <v/>
      </c>
      <c r="BG604" s="197" t="str">
        <f>IF(AND($K604="x",AND(MAX(BA604:BC604)=BC604,BC604&lt;&gt;"")),Data!$BK$2,"")</f>
        <v/>
      </c>
      <c r="BH604" s="197"/>
      <c r="BI604" s="328"/>
      <c r="BJ604" s="455"/>
      <c r="BK604" s="456"/>
      <c r="BL604" s="444" t="str">
        <f t="shared" si="895"/>
        <v/>
      </c>
      <c r="BM604" s="328"/>
      <c r="BN604" s="197" t="str">
        <f>IF(AND($I604="x",AND(MAX(BJ604:BL604)=BJ604,BJ604&lt;&gt;"")),Data!$BI$2,"")</f>
        <v/>
      </c>
      <c r="BO604" s="197" t="str">
        <f>IF(AND($J604="x",AND(MAX(BJ604:BL604)=BK604,BK604&lt;&gt;"")),Data!$BJ$2,"")</f>
        <v/>
      </c>
      <c r="BP604" s="197" t="str">
        <f>IF(AND($K604="x",AND(MAX(BJ604:BL604)=BL604,BL604&lt;&gt;"")),Data!$BK$2,"")</f>
        <v/>
      </c>
      <c r="BQ604" s="197"/>
      <c r="BR604" s="328"/>
      <c r="BS604" s="455"/>
      <c r="BT604" s="456"/>
      <c r="BU604" s="444" t="str">
        <f t="shared" si="896"/>
        <v/>
      </c>
      <c r="BV604" s="328"/>
      <c r="BW604" s="197" t="str">
        <f>IF(AND($I604="x",AND(MAX(BS604:BU604)=BS604,BS604&lt;&gt;"")),Data!$BI$2,"")</f>
        <v/>
      </c>
      <c r="BX604" s="197" t="str">
        <f>IF(AND($J604="x",AND(MAX(BS604:BU604)=BT604,BT604&lt;&gt;"")),Data!$BJ$2,"")</f>
        <v/>
      </c>
      <c r="BY604" s="197" t="str">
        <f>IF(AND($K604="x",AND(MAX(BS604:BU604)=BU604,BU604&lt;&gt;"")),Data!$BK$2,"")</f>
        <v/>
      </c>
      <c r="BZ604" s="197"/>
      <c r="CA604" s="328"/>
      <c r="CB604" s="463" t="str">
        <f t="shared" si="897"/>
        <v/>
      </c>
      <c r="CC604" s="464" t="str">
        <f t="shared" si="898"/>
        <v/>
      </c>
      <c r="CD604" s="465" t="str">
        <f t="shared" si="899"/>
        <v/>
      </c>
      <c r="CE604" s="328"/>
      <c r="CF604" s="197" t="str">
        <f>IF(AND($I604="x",AND(MAX(CB604:CD604)=CB604,CB604&lt;&gt;"")),Data!$BI$2,"")</f>
        <v/>
      </c>
      <c r="CG604" s="197" t="str">
        <f>IF(AND($J604="x",AND(MAX(CB604:CD604)=CC604,CC604&lt;&gt;"")),Data!$BJ$2,"")</f>
        <v/>
      </c>
      <c r="CH604" s="197" t="str">
        <f>IF(AND($K604="x",AND(MAX(CB604:CD604)=CD604,CD604&lt;&gt;"")),Data!$BK$2,"")</f>
        <v/>
      </c>
      <c r="CI604" s="197"/>
      <c r="CJ604" s="197"/>
      <c r="CK604" s="455"/>
      <c r="CL604" s="456"/>
      <c r="CM604" s="444" t="str">
        <f t="shared" si="900"/>
        <v/>
      </c>
      <c r="CN604" s="328"/>
      <c r="CO604" s="197" t="str">
        <f>IF(AND($I604="x",AND(MAX(CK604:CM604)=CK604,CK604&lt;&gt;"")),Data!$BI$2,"")</f>
        <v/>
      </c>
      <c r="CP604" s="197" t="str">
        <f>IF(AND($J604="x",AND(MAX(CK604:CM604)=CL604,CL604&lt;&gt;"")),Data!$BJ$2,"")</f>
        <v/>
      </c>
      <c r="CQ604" s="197" t="str">
        <f>IF(AND($K604="x",AND(MAX(CK604:CM604)=CM604,CM604&lt;&gt;"")),Data!$BK$2,"")</f>
        <v/>
      </c>
      <c r="CR604" s="197"/>
      <c r="CS604" s="197"/>
      <c r="CT604" s="328"/>
      <c r="CU604" s="255"/>
      <c r="CV604" s="209"/>
      <c r="CW604" s="227"/>
    </row>
    <row r="605" spans="1:101" x14ac:dyDescent="0.2">
      <c r="A605" s="227"/>
      <c r="B605" s="227"/>
      <c r="C605" s="168"/>
      <c r="D605" s="232"/>
      <c r="E605" s="134" t="s">
        <v>380</v>
      </c>
      <c r="F605" s="424"/>
      <c r="G605" s="428"/>
      <c r="H605" s="429"/>
      <c r="I605" s="138" t="str">
        <f t="shared" si="887"/>
        <v/>
      </c>
      <c r="J605" s="344" t="str">
        <f t="shared" si="888"/>
        <v/>
      </c>
      <c r="K605" s="345" t="str">
        <f t="shared" si="889"/>
        <v/>
      </c>
      <c r="L605" s="258"/>
      <c r="M605" s="332"/>
      <c r="N605" s="336"/>
      <c r="O605" s="200"/>
      <c r="P605" s="200"/>
      <c r="Q605" s="436"/>
      <c r="R605" s="437"/>
      <c r="S605" s="438" t="str">
        <f t="shared" si="890"/>
        <v/>
      </c>
      <c r="T605" s="328"/>
      <c r="U605" s="197" t="str">
        <f>IF(AND($I605="x",AND(MAX(Q605:S605)=Q605,Q605&gt;=0)),Data!$BI$2,"")</f>
        <v/>
      </c>
      <c r="V605" s="197" t="str">
        <f>IF(AND($J605="x",AND(MAX(Q605:S605)=R605,R605&gt;=0)),Data!$BJ$2,"")</f>
        <v/>
      </c>
      <c r="W605" s="197" t="str">
        <f>IF(AND($K605="x",AND(MAX(Q605:S605)=S605,S605&gt;=0)),Data!$BK$2,"")</f>
        <v/>
      </c>
      <c r="X605" s="197"/>
      <c r="Y605" s="328"/>
      <c r="Z605" s="451"/>
      <c r="AA605" s="452"/>
      <c r="AB605" s="438" t="str">
        <f t="shared" si="891"/>
        <v/>
      </c>
      <c r="AC605" s="328"/>
      <c r="AD605" s="197" t="str">
        <f>IF(AND($I605="x",AND(MAX(Z605:AB605)=Z605,Z605&lt;&gt;"")),Data!$BI$2,"")</f>
        <v/>
      </c>
      <c r="AE605" s="197" t="str">
        <f>IF(AND($J605="x",AND(MAX(Z605:AB605)=AA605,AA605&lt;&gt;"")),Data!$BJ$2,"")</f>
        <v/>
      </c>
      <c r="AF605" s="197" t="str">
        <f>IF(AND($K605="x",AND(MAX(Z605:AB605)=AB605,AB605&lt;&gt;"")),Data!$BK$2,"")</f>
        <v/>
      </c>
      <c r="AG605" s="197"/>
      <c r="AH605" s="328"/>
      <c r="AI605" s="451"/>
      <c r="AJ605" s="452"/>
      <c r="AK605" s="438" t="str">
        <f t="shared" si="892"/>
        <v/>
      </c>
      <c r="AL605" s="328"/>
      <c r="AM605" s="197" t="str">
        <f>IF(AND($I605="x",AND(MAX(AI605:AK605)=AI605,AI605&lt;&gt;"")),Data!$BI$2,"")</f>
        <v/>
      </c>
      <c r="AN605" s="197" t="str">
        <f>IF(AND($J605="x",AND(MAX(AI605:AK605)=AJ605,AJ605&lt;&gt;"")),Data!$BJ$2,"")</f>
        <v/>
      </c>
      <c r="AO605" s="197" t="str">
        <f>IF(AND($K605="x",AND(MAX(AI605:AK605)=AK605,AK605&lt;&gt;"")),Data!$BK$2,"")</f>
        <v/>
      </c>
      <c r="AP605" s="197"/>
      <c r="AQ605" s="328"/>
      <c r="AR605" s="451"/>
      <c r="AS605" s="452"/>
      <c r="AT605" s="438" t="str">
        <f t="shared" si="893"/>
        <v/>
      </c>
      <c r="AU605" s="328"/>
      <c r="AV605" s="197" t="str">
        <f>IF(AND($I605="x",AND(MAX(AR605:AT605)=AR605,AR605&lt;&gt;"")),Data!$BI$2,"")</f>
        <v/>
      </c>
      <c r="AW605" s="197" t="str">
        <f>IF(AND($J605="x",AND(MAX(AR605:AT605)=AS605,AS605&lt;&gt;"")),Data!$BJ$2,"")</f>
        <v/>
      </c>
      <c r="AX605" s="197" t="str">
        <f>IF(AND($K605="x",AND(MAX(AR605:AT605)=AT605,AT605&lt;&gt;"")),Data!$BK$2,"")</f>
        <v/>
      </c>
      <c r="AY605" s="197"/>
      <c r="AZ605" s="328"/>
      <c r="BA605" s="451"/>
      <c r="BB605" s="452"/>
      <c r="BC605" s="438" t="str">
        <f t="shared" si="894"/>
        <v/>
      </c>
      <c r="BD605" s="328"/>
      <c r="BE605" s="197" t="str">
        <f>IF(AND($I605="x",AND(MAX(BA605:BC605)=BA605,BA605&lt;&gt;"")),Data!$BI$2,"")</f>
        <v/>
      </c>
      <c r="BF605" s="197" t="str">
        <f>IF(AND($J605="x",AND(MAX(BA605:BC605)=BB605,BB605&lt;&gt;"")),Data!$BJ$2,"")</f>
        <v/>
      </c>
      <c r="BG605" s="197" t="str">
        <f>IF(AND($K605="x",AND(MAX(BA605:BC605)=BC605,BC605&lt;&gt;"")),Data!$BK$2,"")</f>
        <v/>
      </c>
      <c r="BH605" s="197"/>
      <c r="BI605" s="328"/>
      <c r="BJ605" s="451"/>
      <c r="BK605" s="452"/>
      <c r="BL605" s="438" t="str">
        <f t="shared" si="895"/>
        <v/>
      </c>
      <c r="BM605" s="328"/>
      <c r="BN605" s="197" t="str">
        <f>IF(AND($I605="x",AND(MAX(BJ605:BL605)=BJ605,BJ605&lt;&gt;"")),Data!$BI$2,"")</f>
        <v/>
      </c>
      <c r="BO605" s="197" t="str">
        <f>IF(AND($J605="x",AND(MAX(BJ605:BL605)=BK605,BK605&lt;&gt;"")),Data!$BJ$2,"")</f>
        <v/>
      </c>
      <c r="BP605" s="197" t="str">
        <f>IF(AND($K605="x",AND(MAX(BJ605:BL605)=BL605,BL605&lt;&gt;"")),Data!$BK$2,"")</f>
        <v/>
      </c>
      <c r="BQ605" s="197"/>
      <c r="BR605" s="328"/>
      <c r="BS605" s="451"/>
      <c r="BT605" s="452"/>
      <c r="BU605" s="438" t="str">
        <f t="shared" si="896"/>
        <v/>
      </c>
      <c r="BV605" s="328"/>
      <c r="BW605" s="197" t="str">
        <f>IF(AND($I605="x",AND(MAX(BS605:BU605)=BS605,BS605&lt;&gt;"")),Data!$BI$2,"")</f>
        <v/>
      </c>
      <c r="BX605" s="197" t="str">
        <f>IF(AND($J605="x",AND(MAX(BS605:BU605)=BT605,BT605&lt;&gt;"")),Data!$BJ$2,"")</f>
        <v/>
      </c>
      <c r="BY605" s="197" t="str">
        <f>IF(AND($K605="x",AND(MAX(BS605:BU605)=BU605,BU605&lt;&gt;"")),Data!$BK$2,"")</f>
        <v/>
      </c>
      <c r="BZ605" s="197"/>
      <c r="CA605" s="328"/>
      <c r="CB605" s="457" t="str">
        <f t="shared" si="897"/>
        <v/>
      </c>
      <c r="CC605" s="458" t="str">
        <f t="shared" si="898"/>
        <v/>
      </c>
      <c r="CD605" s="459" t="str">
        <f t="shared" si="899"/>
        <v/>
      </c>
      <c r="CE605" s="328"/>
      <c r="CF605" s="197" t="str">
        <f>IF(AND($I605="x",AND(MAX(CB605:CD605)=CB605,CB605&lt;&gt;"")),Data!$BI$2,"")</f>
        <v/>
      </c>
      <c r="CG605" s="197" t="str">
        <f>IF(AND($J605="x",AND(MAX(CB605:CD605)=CC605,CC605&lt;&gt;"")),Data!$BJ$2,"")</f>
        <v/>
      </c>
      <c r="CH605" s="197" t="str">
        <f>IF(AND($K605="x",AND(MAX(CB605:CD605)=CD605,CD605&lt;&gt;"")),Data!$BK$2,"")</f>
        <v/>
      </c>
      <c r="CI605" s="197"/>
      <c r="CJ605" s="197"/>
      <c r="CK605" s="451"/>
      <c r="CL605" s="452"/>
      <c r="CM605" s="438" t="str">
        <f t="shared" si="900"/>
        <v/>
      </c>
      <c r="CN605" s="328"/>
      <c r="CO605" s="197" t="str">
        <f>IF(AND($I605="x",AND(MAX(CK605:CM605)=CK605,CK605&lt;&gt;"")),Data!$BI$2,"")</f>
        <v/>
      </c>
      <c r="CP605" s="197" t="str">
        <f>IF(AND($J605="x",AND(MAX(CK605:CM605)=CL605,CL605&lt;&gt;"")),Data!$BJ$2,"")</f>
        <v/>
      </c>
      <c r="CQ605" s="197" t="str">
        <f>IF(AND($K605="x",AND(MAX(CK605:CM605)=CM605,CM605&lt;&gt;"")),Data!$BK$2,"")</f>
        <v/>
      </c>
      <c r="CR605" s="197"/>
      <c r="CS605" s="197"/>
      <c r="CT605" s="328"/>
      <c r="CU605" s="255"/>
      <c r="CV605" s="209"/>
      <c r="CW605" s="227"/>
    </row>
    <row r="606" spans="1:101" x14ac:dyDescent="0.2">
      <c r="A606" s="227"/>
      <c r="B606" s="227"/>
      <c r="C606" s="168"/>
      <c r="D606" s="232"/>
      <c r="E606" s="135" t="s">
        <v>381</v>
      </c>
      <c r="F606" s="425"/>
      <c r="G606" s="430"/>
      <c r="H606" s="431"/>
      <c r="I606" s="346" t="str">
        <f t="shared" si="887"/>
        <v/>
      </c>
      <c r="J606" s="347" t="str">
        <f t="shared" si="888"/>
        <v/>
      </c>
      <c r="K606" s="348" t="str">
        <f t="shared" si="889"/>
        <v/>
      </c>
      <c r="L606" s="258"/>
      <c r="M606" s="332"/>
      <c r="N606" s="336"/>
      <c r="O606" s="200"/>
      <c r="P606" s="200"/>
      <c r="Q606" s="439"/>
      <c r="R606" s="440"/>
      <c r="S606" s="441" t="str">
        <f t="shared" si="890"/>
        <v/>
      </c>
      <c r="T606" s="328"/>
      <c r="U606" s="197" t="str">
        <f>IF(AND($I606="x",AND(MAX(Q606:S606)=Q606,Q606&gt;=0)),Data!$BI$2,"")</f>
        <v/>
      </c>
      <c r="V606" s="197" t="str">
        <f>IF(AND($J606="x",AND(MAX(Q606:S606)=R606,R606&gt;=0)),Data!$BJ$2,"")</f>
        <v/>
      </c>
      <c r="W606" s="197" t="str">
        <f>IF(AND($K606="x",AND(MAX(Q606:S606)=S606,S606&gt;=0)),Data!$BK$2,"")</f>
        <v/>
      </c>
      <c r="X606" s="197"/>
      <c r="Y606" s="328"/>
      <c r="Z606" s="453"/>
      <c r="AA606" s="454"/>
      <c r="AB606" s="441" t="str">
        <f t="shared" si="891"/>
        <v/>
      </c>
      <c r="AC606" s="328"/>
      <c r="AD606" s="197" t="str">
        <f>IF(AND($I606="x",AND(MAX(Z606:AB606)=Z606,Z606&lt;&gt;"")),Data!$BI$2,"")</f>
        <v/>
      </c>
      <c r="AE606" s="197" t="str">
        <f>IF(AND($J606="x",AND(MAX(Z606:AB606)=AA606,AA606&lt;&gt;"")),Data!$BJ$2,"")</f>
        <v/>
      </c>
      <c r="AF606" s="197" t="str">
        <f>IF(AND($K606="x",AND(MAX(Z606:AB606)=AB606,AB606&lt;&gt;"")),Data!$BK$2,"")</f>
        <v/>
      </c>
      <c r="AG606" s="197"/>
      <c r="AH606" s="328"/>
      <c r="AI606" s="453"/>
      <c r="AJ606" s="454"/>
      <c r="AK606" s="441" t="str">
        <f t="shared" si="892"/>
        <v/>
      </c>
      <c r="AL606" s="328"/>
      <c r="AM606" s="197" t="str">
        <f>IF(AND($I606="x",AND(MAX(AI606:AK606)=AI606,AI606&lt;&gt;"")),Data!$BI$2,"")</f>
        <v/>
      </c>
      <c r="AN606" s="197" t="str">
        <f>IF(AND($J606="x",AND(MAX(AI606:AK606)=AJ606,AJ606&lt;&gt;"")),Data!$BJ$2,"")</f>
        <v/>
      </c>
      <c r="AO606" s="197" t="str">
        <f>IF(AND($K606="x",AND(MAX(AI606:AK606)=AK606,AK606&lt;&gt;"")),Data!$BK$2,"")</f>
        <v/>
      </c>
      <c r="AP606" s="197"/>
      <c r="AQ606" s="328"/>
      <c r="AR606" s="453"/>
      <c r="AS606" s="454"/>
      <c r="AT606" s="441" t="str">
        <f t="shared" si="893"/>
        <v/>
      </c>
      <c r="AU606" s="328"/>
      <c r="AV606" s="197" t="str">
        <f>IF(AND($I606="x",AND(MAX(AR606:AT606)=AR606,AR606&lt;&gt;"")),Data!$BI$2,"")</f>
        <v/>
      </c>
      <c r="AW606" s="197" t="str">
        <f>IF(AND($J606="x",AND(MAX(AR606:AT606)=AS606,AS606&lt;&gt;"")),Data!$BJ$2,"")</f>
        <v/>
      </c>
      <c r="AX606" s="197" t="str">
        <f>IF(AND($K606="x",AND(MAX(AR606:AT606)=AT606,AT606&lt;&gt;"")),Data!$BK$2,"")</f>
        <v/>
      </c>
      <c r="AY606" s="197"/>
      <c r="AZ606" s="328"/>
      <c r="BA606" s="453"/>
      <c r="BB606" s="454"/>
      <c r="BC606" s="441" t="str">
        <f t="shared" si="894"/>
        <v/>
      </c>
      <c r="BD606" s="328"/>
      <c r="BE606" s="197" t="str">
        <f>IF(AND($I606="x",AND(MAX(BA606:BC606)=BA606,BA606&lt;&gt;"")),Data!$BI$2,"")</f>
        <v/>
      </c>
      <c r="BF606" s="197" t="str">
        <f>IF(AND($J606="x",AND(MAX(BA606:BC606)=BB606,BB606&lt;&gt;"")),Data!$BJ$2,"")</f>
        <v/>
      </c>
      <c r="BG606" s="197" t="str">
        <f>IF(AND($K606="x",AND(MAX(BA606:BC606)=BC606,BC606&lt;&gt;"")),Data!$BK$2,"")</f>
        <v/>
      </c>
      <c r="BH606" s="197"/>
      <c r="BI606" s="328"/>
      <c r="BJ606" s="453"/>
      <c r="BK606" s="454"/>
      <c r="BL606" s="441" t="str">
        <f t="shared" si="895"/>
        <v/>
      </c>
      <c r="BM606" s="328"/>
      <c r="BN606" s="197" t="str">
        <f>IF(AND($I606="x",AND(MAX(BJ606:BL606)=BJ606,BJ606&lt;&gt;"")),Data!$BI$2,"")</f>
        <v/>
      </c>
      <c r="BO606" s="197" t="str">
        <f>IF(AND($J606="x",AND(MAX(BJ606:BL606)=BK606,BK606&lt;&gt;"")),Data!$BJ$2,"")</f>
        <v/>
      </c>
      <c r="BP606" s="197" t="str">
        <f>IF(AND($K606="x",AND(MAX(BJ606:BL606)=BL606,BL606&lt;&gt;"")),Data!$BK$2,"")</f>
        <v/>
      </c>
      <c r="BQ606" s="197"/>
      <c r="BR606" s="328"/>
      <c r="BS606" s="453"/>
      <c r="BT606" s="454"/>
      <c r="BU606" s="441" t="str">
        <f t="shared" si="896"/>
        <v/>
      </c>
      <c r="BV606" s="328"/>
      <c r="BW606" s="197" t="str">
        <f>IF(AND($I606="x",AND(MAX(BS606:BU606)=BS606,BS606&lt;&gt;"")),Data!$BI$2,"")</f>
        <v/>
      </c>
      <c r="BX606" s="197" t="str">
        <f>IF(AND($J606="x",AND(MAX(BS606:BU606)=BT606,BT606&lt;&gt;"")),Data!$BJ$2,"")</f>
        <v/>
      </c>
      <c r="BY606" s="197" t="str">
        <f>IF(AND($K606="x",AND(MAX(BS606:BU606)=BU606,BU606&lt;&gt;"")),Data!$BK$2,"")</f>
        <v/>
      </c>
      <c r="BZ606" s="197"/>
      <c r="CA606" s="328"/>
      <c r="CB606" s="460" t="str">
        <f t="shared" si="897"/>
        <v/>
      </c>
      <c r="CC606" s="461" t="str">
        <f t="shared" si="898"/>
        <v/>
      </c>
      <c r="CD606" s="462" t="str">
        <f t="shared" si="899"/>
        <v/>
      </c>
      <c r="CE606" s="328"/>
      <c r="CF606" s="197" t="str">
        <f>IF(AND($I606="x",AND(MAX(CB606:CD606)=CB606,CB606&lt;&gt;"")),Data!$BI$2,"")</f>
        <v/>
      </c>
      <c r="CG606" s="197" t="str">
        <f>IF(AND($J606="x",AND(MAX(CB606:CD606)=CC606,CC606&lt;&gt;"")),Data!$BJ$2,"")</f>
        <v/>
      </c>
      <c r="CH606" s="197" t="str">
        <f>IF(AND($K606="x",AND(MAX(CB606:CD606)=CD606,CD606&lt;&gt;"")),Data!$BK$2,"")</f>
        <v/>
      </c>
      <c r="CI606" s="197"/>
      <c r="CJ606" s="197"/>
      <c r="CK606" s="453"/>
      <c r="CL606" s="454"/>
      <c r="CM606" s="441" t="str">
        <f t="shared" si="900"/>
        <v/>
      </c>
      <c r="CN606" s="328"/>
      <c r="CO606" s="197" t="str">
        <f>IF(AND($I606="x",AND(MAX(CK606:CM606)=CK606,CK606&lt;&gt;"")),Data!$BI$2,"")</f>
        <v/>
      </c>
      <c r="CP606" s="197" t="str">
        <f>IF(AND($J606="x",AND(MAX(CK606:CM606)=CL606,CL606&lt;&gt;"")),Data!$BJ$2,"")</f>
        <v/>
      </c>
      <c r="CQ606" s="197" t="str">
        <f>IF(AND($K606="x",AND(MAX(CK606:CM606)=CM606,CM606&lt;&gt;"")),Data!$BK$2,"")</f>
        <v/>
      </c>
      <c r="CR606" s="197"/>
      <c r="CS606" s="197"/>
      <c r="CT606" s="328"/>
      <c r="CU606" s="255"/>
      <c r="CV606" s="209"/>
      <c r="CW606" s="227"/>
    </row>
    <row r="607" spans="1:101" x14ac:dyDescent="0.2">
      <c r="A607" s="227"/>
      <c r="B607" s="227"/>
      <c r="C607" s="168"/>
      <c r="D607" s="232"/>
      <c r="E607" s="136" t="s">
        <v>382</v>
      </c>
      <c r="F607" s="426"/>
      <c r="G607" s="432"/>
      <c r="H607" s="433"/>
      <c r="I607" s="349" t="str">
        <f t="shared" si="887"/>
        <v/>
      </c>
      <c r="J607" s="350" t="str">
        <f t="shared" si="888"/>
        <v/>
      </c>
      <c r="K607" s="351" t="str">
        <f t="shared" si="889"/>
        <v/>
      </c>
      <c r="L607" s="258"/>
      <c r="M607" s="332"/>
      <c r="N607" s="336"/>
      <c r="O607" s="200"/>
      <c r="P607" s="200"/>
      <c r="Q607" s="445"/>
      <c r="R607" s="446"/>
      <c r="S607" s="447" t="str">
        <f t="shared" si="890"/>
        <v/>
      </c>
      <c r="T607" s="328"/>
      <c r="U607" s="197" t="str">
        <f>IF(AND($I607="x",AND(MAX(Q607:S607)=Q607,Q607&gt;=0)),Data!$BI$2,"")</f>
        <v/>
      </c>
      <c r="V607" s="197" t="str">
        <f>IF(AND($J607="x",AND(MAX(Q607:S607)=R607,R607&gt;=0)),Data!$BJ$2,"")</f>
        <v/>
      </c>
      <c r="W607" s="197" t="str">
        <f>IF(AND($K607="x",AND(MAX(Q607:S607)=S607,S607&gt;=0)),Data!$BK$2,"")</f>
        <v/>
      </c>
      <c r="X607" s="197"/>
      <c r="Y607" s="328"/>
      <c r="Z607" s="455"/>
      <c r="AA607" s="456"/>
      <c r="AB607" s="447" t="str">
        <f t="shared" si="891"/>
        <v/>
      </c>
      <c r="AC607" s="328"/>
      <c r="AD607" s="197" t="str">
        <f>IF(AND($I607="x",AND(MAX(Z607:AB607)=Z607,Z607&lt;&gt;"")),Data!$BI$2,"")</f>
        <v/>
      </c>
      <c r="AE607" s="197" t="str">
        <f>IF(AND($J607="x",AND(MAX(Z607:AB607)=AA607,AA607&lt;&gt;"")),Data!$BJ$2,"")</f>
        <v/>
      </c>
      <c r="AF607" s="197" t="str">
        <f>IF(AND($K607="x",AND(MAX(Z607:AB607)=AB607,AB607&lt;&gt;"")),Data!$BK$2,"")</f>
        <v/>
      </c>
      <c r="AG607" s="197"/>
      <c r="AH607" s="328"/>
      <c r="AI607" s="455"/>
      <c r="AJ607" s="456"/>
      <c r="AK607" s="447" t="str">
        <f t="shared" si="892"/>
        <v/>
      </c>
      <c r="AL607" s="328"/>
      <c r="AM607" s="197" t="str">
        <f>IF(AND($I607="x",AND(MAX(AI607:AK607)=AI607,AI607&lt;&gt;"")),Data!$BI$2,"")</f>
        <v/>
      </c>
      <c r="AN607" s="197" t="str">
        <f>IF(AND($J607="x",AND(MAX(AI607:AK607)=AJ607,AJ607&lt;&gt;"")),Data!$BJ$2,"")</f>
        <v/>
      </c>
      <c r="AO607" s="197" t="str">
        <f>IF(AND($K607="x",AND(MAX(AI607:AK607)=AK607,AK607&lt;&gt;"")),Data!$BK$2,"")</f>
        <v/>
      </c>
      <c r="AP607" s="197"/>
      <c r="AQ607" s="328"/>
      <c r="AR607" s="455"/>
      <c r="AS607" s="456"/>
      <c r="AT607" s="447" t="str">
        <f t="shared" si="893"/>
        <v/>
      </c>
      <c r="AU607" s="328"/>
      <c r="AV607" s="197" t="str">
        <f>IF(AND($I607="x",AND(MAX(AR607:AT607)=AR607,AR607&lt;&gt;"")),Data!$BI$2,"")</f>
        <v/>
      </c>
      <c r="AW607" s="197" t="str">
        <f>IF(AND($J607="x",AND(MAX(AR607:AT607)=AS607,AS607&lt;&gt;"")),Data!$BJ$2,"")</f>
        <v/>
      </c>
      <c r="AX607" s="197" t="str">
        <f>IF(AND($K607="x",AND(MAX(AR607:AT607)=AT607,AT607&lt;&gt;"")),Data!$BK$2,"")</f>
        <v/>
      </c>
      <c r="AY607" s="197"/>
      <c r="AZ607" s="328"/>
      <c r="BA607" s="455"/>
      <c r="BB607" s="456"/>
      <c r="BC607" s="447" t="str">
        <f t="shared" si="894"/>
        <v/>
      </c>
      <c r="BD607" s="328"/>
      <c r="BE607" s="197" t="str">
        <f>IF(AND($I607="x",AND(MAX(BA607:BC607)=BA607,BA607&lt;&gt;"")),Data!$BI$2,"")</f>
        <v/>
      </c>
      <c r="BF607" s="197" t="str">
        <f>IF(AND($J607="x",AND(MAX(BA607:BC607)=BB607,BB607&lt;&gt;"")),Data!$BJ$2,"")</f>
        <v/>
      </c>
      <c r="BG607" s="197" t="str">
        <f>IF(AND($K607="x",AND(MAX(BA607:BC607)=BC607,BC607&lt;&gt;"")),Data!$BK$2,"")</f>
        <v/>
      </c>
      <c r="BH607" s="197"/>
      <c r="BI607" s="328"/>
      <c r="BJ607" s="455"/>
      <c r="BK607" s="456"/>
      <c r="BL607" s="447" t="str">
        <f t="shared" si="895"/>
        <v/>
      </c>
      <c r="BM607" s="328"/>
      <c r="BN607" s="197" t="str">
        <f>IF(AND($I607="x",AND(MAX(BJ607:BL607)=BJ607,BJ607&lt;&gt;"")),Data!$BI$2,"")</f>
        <v/>
      </c>
      <c r="BO607" s="197" t="str">
        <f>IF(AND($J607="x",AND(MAX(BJ607:BL607)=BK607,BK607&lt;&gt;"")),Data!$BJ$2,"")</f>
        <v/>
      </c>
      <c r="BP607" s="197" t="str">
        <f>IF(AND($K607="x",AND(MAX(BJ607:BL607)=BL607,BL607&lt;&gt;"")),Data!$BK$2,"")</f>
        <v/>
      </c>
      <c r="BQ607" s="197"/>
      <c r="BR607" s="328"/>
      <c r="BS607" s="455"/>
      <c r="BT607" s="456"/>
      <c r="BU607" s="447" t="str">
        <f t="shared" si="896"/>
        <v/>
      </c>
      <c r="BV607" s="328"/>
      <c r="BW607" s="197" t="str">
        <f>IF(AND($I607="x",AND(MAX(BS607:BU607)=BS607,BS607&lt;&gt;"")),Data!$BI$2,"")</f>
        <v/>
      </c>
      <c r="BX607" s="197" t="str">
        <f>IF(AND($J607="x",AND(MAX(BS607:BU607)=BT607,BT607&lt;&gt;"")),Data!$BJ$2,"")</f>
        <v/>
      </c>
      <c r="BY607" s="197" t="str">
        <f>IF(AND($K607="x",AND(MAX(BS607:BU607)=BU607,BU607&lt;&gt;"")),Data!$BK$2,"")</f>
        <v/>
      </c>
      <c r="BZ607" s="197"/>
      <c r="CA607" s="328"/>
      <c r="CB607" s="463" t="str">
        <f t="shared" si="897"/>
        <v/>
      </c>
      <c r="CC607" s="464" t="str">
        <f t="shared" si="898"/>
        <v/>
      </c>
      <c r="CD607" s="465" t="str">
        <f t="shared" si="899"/>
        <v/>
      </c>
      <c r="CE607" s="328"/>
      <c r="CF607" s="197" t="str">
        <f>IF(AND($I607="x",AND(MAX(CB607:CD607)=CB607,CB607&lt;&gt;"")),Data!$BI$2,"")</f>
        <v/>
      </c>
      <c r="CG607" s="197" t="str">
        <f>IF(AND($J607="x",AND(MAX(CB607:CD607)=CC607,CC607&lt;&gt;"")),Data!$BJ$2,"")</f>
        <v/>
      </c>
      <c r="CH607" s="197" t="str">
        <f>IF(AND($K607="x",AND(MAX(CB607:CD607)=CD607,CD607&lt;&gt;"")),Data!$BK$2,"")</f>
        <v/>
      </c>
      <c r="CI607" s="197"/>
      <c r="CJ607" s="197"/>
      <c r="CK607" s="455"/>
      <c r="CL607" s="456"/>
      <c r="CM607" s="447" t="str">
        <f t="shared" si="900"/>
        <v/>
      </c>
      <c r="CN607" s="328"/>
      <c r="CO607" s="197" t="str">
        <f>IF(AND($I607="x",AND(MAX(CK607:CM607)=CK607,CK607&lt;&gt;"")),Data!$BI$2,"")</f>
        <v/>
      </c>
      <c r="CP607" s="197" t="str">
        <f>IF(AND($J607="x",AND(MAX(CK607:CM607)=CL607,CL607&lt;&gt;"")),Data!$BJ$2,"")</f>
        <v/>
      </c>
      <c r="CQ607" s="197" t="str">
        <f>IF(AND($K607="x",AND(MAX(CK607:CM607)=CM607,CM607&lt;&gt;"")),Data!$BK$2,"")</f>
        <v/>
      </c>
      <c r="CR607" s="197"/>
      <c r="CS607" s="197"/>
      <c r="CT607" s="328"/>
      <c r="CU607" s="255"/>
      <c r="CV607" s="209"/>
      <c r="CW607" s="227"/>
    </row>
    <row r="608" spans="1:101" x14ac:dyDescent="0.2">
      <c r="A608" s="227"/>
      <c r="B608" s="227"/>
      <c r="C608" s="168"/>
      <c r="D608" s="232"/>
      <c r="E608" s="134" t="s">
        <v>383</v>
      </c>
      <c r="F608" s="424"/>
      <c r="G608" s="428"/>
      <c r="H608" s="429"/>
      <c r="I608" s="138" t="str">
        <f t="shared" si="887"/>
        <v/>
      </c>
      <c r="J608" s="344" t="str">
        <f t="shared" si="888"/>
        <v/>
      </c>
      <c r="K608" s="345" t="str">
        <f t="shared" si="889"/>
        <v/>
      </c>
      <c r="L608" s="258"/>
      <c r="M608" s="332"/>
      <c r="N608" s="336"/>
      <c r="O608" s="200"/>
      <c r="P608" s="200"/>
      <c r="Q608" s="436"/>
      <c r="R608" s="437"/>
      <c r="S608" s="438" t="str">
        <f t="shared" si="890"/>
        <v/>
      </c>
      <c r="T608" s="328"/>
      <c r="U608" s="197" t="str">
        <f>IF(AND($I608="x",AND(MAX(Q608:S608)=Q608,Q608&gt;=0)),Data!$BI$2,"")</f>
        <v/>
      </c>
      <c r="V608" s="197" t="str">
        <f>IF(AND($J608="x",AND(MAX(Q608:S608)=R608,R608&gt;=0)),Data!$BJ$2,"")</f>
        <v/>
      </c>
      <c r="W608" s="197" t="str">
        <f>IF(AND($K608="x",AND(MAX(Q608:S608)=S608,S608&gt;=0)),Data!$BK$2,"")</f>
        <v/>
      </c>
      <c r="X608" s="197"/>
      <c r="Y608" s="328"/>
      <c r="Z608" s="451"/>
      <c r="AA608" s="452"/>
      <c r="AB608" s="438" t="str">
        <f t="shared" si="891"/>
        <v/>
      </c>
      <c r="AC608" s="328"/>
      <c r="AD608" s="197" t="str">
        <f>IF(AND($I608="x",AND(MAX(Z608:AB608)=Z608,Z608&lt;&gt;"")),Data!$BI$2,"")</f>
        <v/>
      </c>
      <c r="AE608" s="197" t="str">
        <f>IF(AND($J608="x",AND(MAX(Z608:AB608)=AA608,AA608&lt;&gt;"")),Data!$BJ$2,"")</f>
        <v/>
      </c>
      <c r="AF608" s="197" t="str">
        <f>IF(AND($K608="x",AND(MAX(Z608:AB608)=AB608,AB608&lt;&gt;"")),Data!$BK$2,"")</f>
        <v/>
      </c>
      <c r="AG608" s="197"/>
      <c r="AH608" s="328"/>
      <c r="AI608" s="451"/>
      <c r="AJ608" s="452"/>
      <c r="AK608" s="438" t="str">
        <f t="shared" si="892"/>
        <v/>
      </c>
      <c r="AL608" s="328"/>
      <c r="AM608" s="197" t="str">
        <f>IF(AND($I608="x",AND(MAX(AI608:AK608)=AI608,AI608&lt;&gt;"")),Data!$BI$2,"")</f>
        <v/>
      </c>
      <c r="AN608" s="197" t="str">
        <f>IF(AND($J608="x",AND(MAX(AI608:AK608)=AJ608,AJ608&lt;&gt;"")),Data!$BJ$2,"")</f>
        <v/>
      </c>
      <c r="AO608" s="197" t="str">
        <f>IF(AND($K608="x",AND(MAX(AI608:AK608)=AK608,AK608&lt;&gt;"")),Data!$BK$2,"")</f>
        <v/>
      </c>
      <c r="AP608" s="197"/>
      <c r="AQ608" s="328"/>
      <c r="AR608" s="451"/>
      <c r="AS608" s="452"/>
      <c r="AT608" s="438" t="str">
        <f t="shared" si="893"/>
        <v/>
      </c>
      <c r="AU608" s="328"/>
      <c r="AV608" s="197" t="str">
        <f>IF(AND($I608="x",AND(MAX(AR608:AT608)=AR608,AR608&lt;&gt;"")),Data!$BI$2,"")</f>
        <v/>
      </c>
      <c r="AW608" s="197" t="str">
        <f>IF(AND($J608="x",AND(MAX(AR608:AT608)=AS608,AS608&lt;&gt;"")),Data!$BJ$2,"")</f>
        <v/>
      </c>
      <c r="AX608" s="197" t="str">
        <f>IF(AND($K608="x",AND(MAX(AR608:AT608)=AT608,AT608&lt;&gt;"")),Data!$BK$2,"")</f>
        <v/>
      </c>
      <c r="AY608" s="197"/>
      <c r="AZ608" s="328"/>
      <c r="BA608" s="451"/>
      <c r="BB608" s="452"/>
      <c r="BC608" s="438" t="str">
        <f t="shared" si="894"/>
        <v/>
      </c>
      <c r="BD608" s="328"/>
      <c r="BE608" s="197" t="str">
        <f>IF(AND($I608="x",AND(MAX(BA608:BC608)=BA608,BA608&lt;&gt;"")),Data!$BI$2,"")</f>
        <v/>
      </c>
      <c r="BF608" s="197" t="str">
        <f>IF(AND($J608="x",AND(MAX(BA608:BC608)=BB608,BB608&lt;&gt;"")),Data!$BJ$2,"")</f>
        <v/>
      </c>
      <c r="BG608" s="197" t="str">
        <f>IF(AND($K608="x",AND(MAX(BA608:BC608)=BC608,BC608&lt;&gt;"")),Data!$BK$2,"")</f>
        <v/>
      </c>
      <c r="BH608" s="197"/>
      <c r="BI608" s="328"/>
      <c r="BJ608" s="451"/>
      <c r="BK608" s="452"/>
      <c r="BL608" s="438" t="str">
        <f t="shared" si="895"/>
        <v/>
      </c>
      <c r="BM608" s="328"/>
      <c r="BN608" s="197" t="str">
        <f>IF(AND($I608="x",AND(MAX(BJ608:BL608)=BJ608,BJ608&lt;&gt;"")),Data!$BI$2,"")</f>
        <v/>
      </c>
      <c r="BO608" s="197" t="str">
        <f>IF(AND($J608="x",AND(MAX(BJ608:BL608)=BK608,BK608&lt;&gt;"")),Data!$BJ$2,"")</f>
        <v/>
      </c>
      <c r="BP608" s="197" t="str">
        <f>IF(AND($K608="x",AND(MAX(BJ608:BL608)=BL608,BL608&lt;&gt;"")),Data!$BK$2,"")</f>
        <v/>
      </c>
      <c r="BQ608" s="197"/>
      <c r="BR608" s="328"/>
      <c r="BS608" s="451"/>
      <c r="BT608" s="452"/>
      <c r="BU608" s="438" t="str">
        <f t="shared" si="896"/>
        <v/>
      </c>
      <c r="BV608" s="328"/>
      <c r="BW608" s="197" t="str">
        <f>IF(AND($I608="x",AND(MAX(BS608:BU608)=BS608,BS608&lt;&gt;"")),Data!$BI$2,"")</f>
        <v/>
      </c>
      <c r="BX608" s="197" t="str">
        <f>IF(AND($J608="x",AND(MAX(BS608:BU608)=BT608,BT608&lt;&gt;"")),Data!$BJ$2,"")</f>
        <v/>
      </c>
      <c r="BY608" s="197" t="str">
        <f>IF(AND($K608="x",AND(MAX(BS608:BU608)=BU608,BU608&lt;&gt;"")),Data!$BK$2,"")</f>
        <v/>
      </c>
      <c r="BZ608" s="197"/>
      <c r="CA608" s="328"/>
      <c r="CB608" s="457" t="str">
        <f t="shared" si="897"/>
        <v/>
      </c>
      <c r="CC608" s="458" t="str">
        <f t="shared" si="898"/>
        <v/>
      </c>
      <c r="CD608" s="459" t="str">
        <f t="shared" si="899"/>
        <v/>
      </c>
      <c r="CE608" s="328"/>
      <c r="CF608" s="197" t="str">
        <f>IF(AND($I608="x",AND(MAX(CB608:CD608)=CB608,CB608&lt;&gt;"")),Data!$BI$2,"")</f>
        <v/>
      </c>
      <c r="CG608" s="197" t="str">
        <f>IF(AND($J608="x",AND(MAX(CB608:CD608)=CC608,CC608&lt;&gt;"")),Data!$BJ$2,"")</f>
        <v/>
      </c>
      <c r="CH608" s="197" t="str">
        <f>IF(AND($K608="x",AND(MAX(CB608:CD608)=CD608,CD608&lt;&gt;"")),Data!$BK$2,"")</f>
        <v/>
      </c>
      <c r="CI608" s="197"/>
      <c r="CJ608" s="197"/>
      <c r="CK608" s="451"/>
      <c r="CL608" s="452"/>
      <c r="CM608" s="438" t="str">
        <f t="shared" si="900"/>
        <v/>
      </c>
      <c r="CN608" s="328"/>
      <c r="CO608" s="197" t="str">
        <f>IF(AND($I608="x",AND(MAX(CK608:CM608)=CK608,CK608&lt;&gt;"")),Data!$BI$2,"")</f>
        <v/>
      </c>
      <c r="CP608" s="197" t="str">
        <f>IF(AND($J608="x",AND(MAX(CK608:CM608)=CL608,CL608&lt;&gt;"")),Data!$BJ$2,"")</f>
        <v/>
      </c>
      <c r="CQ608" s="197" t="str">
        <f>IF(AND($K608="x",AND(MAX(CK608:CM608)=CM608,CM608&lt;&gt;"")),Data!$BK$2,"")</f>
        <v/>
      </c>
      <c r="CR608" s="197"/>
      <c r="CS608" s="197"/>
      <c r="CT608" s="328"/>
      <c r="CU608" s="259"/>
      <c r="CV608" s="209"/>
      <c r="CW608" s="227"/>
    </row>
    <row r="609" spans="1:101" x14ac:dyDescent="0.2">
      <c r="A609" s="227"/>
      <c r="B609" s="227"/>
      <c r="C609" s="168"/>
      <c r="D609" s="232"/>
      <c r="E609" s="135" t="s">
        <v>384</v>
      </c>
      <c r="F609" s="425"/>
      <c r="G609" s="430"/>
      <c r="H609" s="431"/>
      <c r="I609" s="346" t="str">
        <f t="shared" si="887"/>
        <v/>
      </c>
      <c r="J609" s="347" t="str">
        <f t="shared" si="888"/>
        <v/>
      </c>
      <c r="K609" s="348" t="str">
        <f t="shared" si="889"/>
        <v/>
      </c>
      <c r="L609" s="258"/>
      <c r="M609" s="332"/>
      <c r="N609" s="336"/>
      <c r="O609" s="200"/>
      <c r="P609" s="200"/>
      <c r="Q609" s="439"/>
      <c r="R609" s="440"/>
      <c r="S609" s="441" t="str">
        <f t="shared" si="890"/>
        <v/>
      </c>
      <c r="T609" s="328"/>
      <c r="U609" s="197" t="str">
        <f>IF(AND($I609="x",AND(MAX(Q609:S609)=Q609,Q609&gt;=0)),Data!$BI$2,"")</f>
        <v/>
      </c>
      <c r="V609" s="197" t="str">
        <f>IF(AND($J609="x",AND(MAX(Q609:S609)=R609,R609&gt;=0)),Data!$BJ$2,"")</f>
        <v/>
      </c>
      <c r="W609" s="197" t="str">
        <f>IF(AND($K609="x",AND(MAX(Q609:S609)=S609,S609&gt;=0)),Data!$BK$2,"")</f>
        <v/>
      </c>
      <c r="X609" s="197"/>
      <c r="Y609" s="328"/>
      <c r="Z609" s="453"/>
      <c r="AA609" s="454"/>
      <c r="AB609" s="441" t="str">
        <f t="shared" si="891"/>
        <v/>
      </c>
      <c r="AC609" s="328"/>
      <c r="AD609" s="197" t="str">
        <f>IF(AND($I609="x",AND(MAX(Z609:AB609)=Z609,Z609&lt;&gt;"")),Data!$BI$2,"")</f>
        <v/>
      </c>
      <c r="AE609" s="197" t="str">
        <f>IF(AND($J609="x",AND(MAX(Z609:AB609)=AA609,AA609&lt;&gt;"")),Data!$BJ$2,"")</f>
        <v/>
      </c>
      <c r="AF609" s="197" t="str">
        <f>IF(AND($K609="x",AND(MAX(Z609:AB609)=AB609,AB609&lt;&gt;"")),Data!$BK$2,"")</f>
        <v/>
      </c>
      <c r="AG609" s="197"/>
      <c r="AH609" s="328"/>
      <c r="AI609" s="453"/>
      <c r="AJ609" s="454"/>
      <c r="AK609" s="441" t="str">
        <f t="shared" si="892"/>
        <v/>
      </c>
      <c r="AL609" s="328"/>
      <c r="AM609" s="197" t="str">
        <f>IF(AND($I609="x",AND(MAX(AI609:AK609)=AI609,AI609&lt;&gt;"")),Data!$BI$2,"")</f>
        <v/>
      </c>
      <c r="AN609" s="197" t="str">
        <f>IF(AND($J609="x",AND(MAX(AI609:AK609)=AJ609,AJ609&lt;&gt;"")),Data!$BJ$2,"")</f>
        <v/>
      </c>
      <c r="AO609" s="197" t="str">
        <f>IF(AND($K609="x",AND(MAX(AI609:AK609)=AK609,AK609&lt;&gt;"")),Data!$BK$2,"")</f>
        <v/>
      </c>
      <c r="AP609" s="197"/>
      <c r="AQ609" s="328"/>
      <c r="AR609" s="453"/>
      <c r="AS609" s="454"/>
      <c r="AT609" s="441" t="str">
        <f t="shared" si="893"/>
        <v/>
      </c>
      <c r="AU609" s="328"/>
      <c r="AV609" s="197" t="str">
        <f>IF(AND($I609="x",AND(MAX(AR609:AT609)=AR609,AR609&lt;&gt;"")),Data!$BI$2,"")</f>
        <v/>
      </c>
      <c r="AW609" s="197" t="str">
        <f>IF(AND($J609="x",AND(MAX(AR609:AT609)=AS609,AS609&lt;&gt;"")),Data!$BJ$2,"")</f>
        <v/>
      </c>
      <c r="AX609" s="197" t="str">
        <f>IF(AND($K609="x",AND(MAX(AR609:AT609)=AT609,AT609&lt;&gt;"")),Data!$BK$2,"")</f>
        <v/>
      </c>
      <c r="AY609" s="197"/>
      <c r="AZ609" s="328"/>
      <c r="BA609" s="453"/>
      <c r="BB609" s="454"/>
      <c r="BC609" s="441" t="str">
        <f t="shared" si="894"/>
        <v/>
      </c>
      <c r="BD609" s="328"/>
      <c r="BE609" s="197" t="str">
        <f>IF(AND($I609="x",AND(MAX(BA609:BC609)=BA609,BA609&lt;&gt;"")),Data!$BI$2,"")</f>
        <v/>
      </c>
      <c r="BF609" s="197" t="str">
        <f>IF(AND($J609="x",AND(MAX(BA609:BC609)=BB609,BB609&lt;&gt;"")),Data!$BJ$2,"")</f>
        <v/>
      </c>
      <c r="BG609" s="197" t="str">
        <f>IF(AND($K609="x",AND(MAX(BA609:BC609)=BC609,BC609&lt;&gt;"")),Data!$BK$2,"")</f>
        <v/>
      </c>
      <c r="BH609" s="197"/>
      <c r="BI609" s="328"/>
      <c r="BJ609" s="453"/>
      <c r="BK609" s="454"/>
      <c r="BL609" s="441" t="str">
        <f t="shared" si="895"/>
        <v/>
      </c>
      <c r="BM609" s="328"/>
      <c r="BN609" s="197" t="str">
        <f>IF(AND($I609="x",AND(MAX(BJ609:BL609)=BJ609,BJ609&lt;&gt;"")),Data!$BI$2,"")</f>
        <v/>
      </c>
      <c r="BO609" s="197" t="str">
        <f>IF(AND($J609="x",AND(MAX(BJ609:BL609)=BK609,BK609&lt;&gt;"")),Data!$BJ$2,"")</f>
        <v/>
      </c>
      <c r="BP609" s="197" t="str">
        <f>IF(AND($K609="x",AND(MAX(BJ609:BL609)=BL609,BL609&lt;&gt;"")),Data!$BK$2,"")</f>
        <v/>
      </c>
      <c r="BQ609" s="197"/>
      <c r="BR609" s="328"/>
      <c r="BS609" s="453"/>
      <c r="BT609" s="454"/>
      <c r="BU609" s="441" t="str">
        <f t="shared" si="896"/>
        <v/>
      </c>
      <c r="BV609" s="328"/>
      <c r="BW609" s="197" t="str">
        <f>IF(AND($I609="x",AND(MAX(BS609:BU609)=BS609,BS609&lt;&gt;"")),Data!$BI$2,"")</f>
        <v/>
      </c>
      <c r="BX609" s="197" t="str">
        <f>IF(AND($J609="x",AND(MAX(BS609:BU609)=BT609,BT609&lt;&gt;"")),Data!$BJ$2,"")</f>
        <v/>
      </c>
      <c r="BY609" s="197" t="str">
        <f>IF(AND($K609="x",AND(MAX(BS609:BU609)=BU609,BU609&lt;&gt;"")),Data!$BK$2,"")</f>
        <v/>
      </c>
      <c r="BZ609" s="197"/>
      <c r="CA609" s="328"/>
      <c r="CB609" s="460" t="str">
        <f t="shared" si="897"/>
        <v/>
      </c>
      <c r="CC609" s="461" t="str">
        <f t="shared" si="898"/>
        <v/>
      </c>
      <c r="CD609" s="462" t="str">
        <f t="shared" si="899"/>
        <v/>
      </c>
      <c r="CE609" s="328"/>
      <c r="CF609" s="197" t="str">
        <f>IF(AND($I609="x",AND(MAX(CB609:CD609)=CB609,CB609&lt;&gt;"")),Data!$BI$2,"")</f>
        <v/>
      </c>
      <c r="CG609" s="197" t="str">
        <f>IF(AND($J609="x",AND(MAX(CB609:CD609)=CC609,CC609&lt;&gt;"")),Data!$BJ$2,"")</f>
        <v/>
      </c>
      <c r="CH609" s="197" t="str">
        <f>IF(AND($K609="x",AND(MAX(CB609:CD609)=CD609,CD609&lt;&gt;"")),Data!$BK$2,"")</f>
        <v/>
      </c>
      <c r="CI609" s="197"/>
      <c r="CJ609" s="197"/>
      <c r="CK609" s="453"/>
      <c r="CL609" s="454"/>
      <c r="CM609" s="441" t="str">
        <f t="shared" si="900"/>
        <v/>
      </c>
      <c r="CN609" s="328"/>
      <c r="CO609" s="197" t="str">
        <f>IF(AND($I609="x",AND(MAX(CK609:CM609)=CK609,CK609&lt;&gt;"")),Data!$BI$2,"")</f>
        <v/>
      </c>
      <c r="CP609" s="197" t="str">
        <f>IF(AND($J609="x",AND(MAX(CK609:CM609)=CL609,CL609&lt;&gt;"")),Data!$BJ$2,"")</f>
        <v/>
      </c>
      <c r="CQ609" s="197" t="str">
        <f>IF(AND($K609="x",AND(MAX(CK609:CM609)=CM609,CM609&lt;&gt;"")),Data!$BK$2,"")</f>
        <v/>
      </c>
      <c r="CR609" s="197"/>
      <c r="CS609" s="197"/>
      <c r="CT609" s="328"/>
      <c r="CU609" s="259"/>
      <c r="CV609" s="209"/>
      <c r="CW609" s="227"/>
    </row>
    <row r="610" spans="1:101" x14ac:dyDescent="0.2">
      <c r="A610" s="227"/>
      <c r="B610" s="227"/>
      <c r="C610" s="168"/>
      <c r="D610" s="232"/>
      <c r="E610" s="136" t="s">
        <v>385</v>
      </c>
      <c r="F610" s="426"/>
      <c r="G610" s="432"/>
      <c r="H610" s="433"/>
      <c r="I610" s="349" t="str">
        <f t="shared" si="887"/>
        <v/>
      </c>
      <c r="J610" s="350" t="str">
        <f t="shared" si="888"/>
        <v/>
      </c>
      <c r="K610" s="351" t="str">
        <f t="shared" si="889"/>
        <v/>
      </c>
      <c r="L610" s="258"/>
      <c r="M610" s="332"/>
      <c r="N610" s="336"/>
      <c r="O610" s="200"/>
      <c r="P610" s="200"/>
      <c r="Q610" s="445"/>
      <c r="R610" s="446"/>
      <c r="S610" s="447" t="str">
        <f t="shared" si="890"/>
        <v/>
      </c>
      <c r="T610" s="328"/>
      <c r="U610" s="197" t="str">
        <f>IF(AND($I610="x",AND(MAX(Q610:S610)=Q610,Q610&gt;=0)),Data!$BI$2,"")</f>
        <v/>
      </c>
      <c r="V610" s="197" t="str">
        <f>IF(AND($J610="x",AND(MAX(Q610:S610)=R610,R610&gt;=0)),Data!$BJ$2,"")</f>
        <v/>
      </c>
      <c r="W610" s="197" t="str">
        <f>IF(AND($K610="x",AND(MAX(Q610:S610)=S610,S610&gt;=0)),Data!$BK$2,"")</f>
        <v/>
      </c>
      <c r="X610" s="197"/>
      <c r="Y610" s="328"/>
      <c r="Z610" s="455"/>
      <c r="AA610" s="456"/>
      <c r="AB610" s="447" t="str">
        <f t="shared" si="891"/>
        <v/>
      </c>
      <c r="AC610" s="328"/>
      <c r="AD610" s="197" t="str">
        <f>IF(AND($I610="x",AND(MAX(Z610:AB610)=Z610,Z610&lt;&gt;"")),Data!$BI$2,"")</f>
        <v/>
      </c>
      <c r="AE610" s="197" t="str">
        <f>IF(AND($J610="x",AND(MAX(Z610:AB610)=AA610,AA610&lt;&gt;"")),Data!$BJ$2,"")</f>
        <v/>
      </c>
      <c r="AF610" s="197" t="str">
        <f>IF(AND($K610="x",AND(MAX(Z610:AB610)=AB610,AB610&lt;&gt;"")),Data!$BK$2,"")</f>
        <v/>
      </c>
      <c r="AG610" s="197"/>
      <c r="AH610" s="328"/>
      <c r="AI610" s="455"/>
      <c r="AJ610" s="456"/>
      <c r="AK610" s="447" t="str">
        <f t="shared" si="892"/>
        <v/>
      </c>
      <c r="AL610" s="328"/>
      <c r="AM610" s="197" t="str">
        <f>IF(AND($I610="x",AND(MAX(AI610:AK610)=AI610,AI610&lt;&gt;"")),Data!$BI$2,"")</f>
        <v/>
      </c>
      <c r="AN610" s="197" t="str">
        <f>IF(AND($J610="x",AND(MAX(AI610:AK610)=AJ610,AJ610&lt;&gt;"")),Data!$BJ$2,"")</f>
        <v/>
      </c>
      <c r="AO610" s="197" t="str">
        <f>IF(AND($K610="x",AND(MAX(AI610:AK610)=AK610,AK610&lt;&gt;"")),Data!$BK$2,"")</f>
        <v/>
      </c>
      <c r="AP610" s="197"/>
      <c r="AQ610" s="328"/>
      <c r="AR610" s="455"/>
      <c r="AS610" s="456"/>
      <c r="AT610" s="447" t="str">
        <f t="shared" si="893"/>
        <v/>
      </c>
      <c r="AU610" s="328"/>
      <c r="AV610" s="197" t="str">
        <f>IF(AND($I610="x",AND(MAX(AR610:AT610)=AR610,AR610&lt;&gt;"")),Data!$BI$2,"")</f>
        <v/>
      </c>
      <c r="AW610" s="197" t="str">
        <f>IF(AND($J610="x",AND(MAX(AR610:AT610)=AS610,AS610&lt;&gt;"")),Data!$BJ$2,"")</f>
        <v/>
      </c>
      <c r="AX610" s="197" t="str">
        <f>IF(AND($K610="x",AND(MAX(AR610:AT610)=AT610,AT610&lt;&gt;"")),Data!$BK$2,"")</f>
        <v/>
      </c>
      <c r="AY610" s="197"/>
      <c r="AZ610" s="328"/>
      <c r="BA610" s="455"/>
      <c r="BB610" s="456"/>
      <c r="BC610" s="447" t="str">
        <f t="shared" si="894"/>
        <v/>
      </c>
      <c r="BD610" s="328"/>
      <c r="BE610" s="197" t="str">
        <f>IF(AND($I610="x",AND(MAX(BA610:BC610)=BA610,BA610&lt;&gt;"")),Data!$BI$2,"")</f>
        <v/>
      </c>
      <c r="BF610" s="197" t="str">
        <f>IF(AND($J610="x",AND(MAX(BA610:BC610)=BB610,BB610&lt;&gt;"")),Data!$BJ$2,"")</f>
        <v/>
      </c>
      <c r="BG610" s="197" t="str">
        <f>IF(AND($K610="x",AND(MAX(BA610:BC610)=BC610,BC610&lt;&gt;"")),Data!$BK$2,"")</f>
        <v/>
      </c>
      <c r="BH610" s="197"/>
      <c r="BI610" s="328"/>
      <c r="BJ610" s="455"/>
      <c r="BK610" s="456"/>
      <c r="BL610" s="447" t="str">
        <f t="shared" si="895"/>
        <v/>
      </c>
      <c r="BM610" s="328"/>
      <c r="BN610" s="197" t="str">
        <f>IF(AND($I610="x",AND(MAX(BJ610:BL610)=BJ610,BJ610&lt;&gt;"")),Data!$BI$2,"")</f>
        <v/>
      </c>
      <c r="BO610" s="197" t="str">
        <f>IF(AND($J610="x",AND(MAX(BJ610:BL610)=BK610,BK610&lt;&gt;"")),Data!$BJ$2,"")</f>
        <v/>
      </c>
      <c r="BP610" s="197" t="str">
        <f>IF(AND($K610="x",AND(MAX(BJ610:BL610)=BL610,BL610&lt;&gt;"")),Data!$BK$2,"")</f>
        <v/>
      </c>
      <c r="BQ610" s="197"/>
      <c r="BR610" s="328"/>
      <c r="BS610" s="455"/>
      <c r="BT610" s="456"/>
      <c r="BU610" s="447" t="str">
        <f t="shared" si="896"/>
        <v/>
      </c>
      <c r="BV610" s="328"/>
      <c r="BW610" s="197" t="str">
        <f>IF(AND($I610="x",AND(MAX(BS610:BU610)=BS610,BS610&lt;&gt;"")),Data!$BI$2,"")</f>
        <v/>
      </c>
      <c r="BX610" s="197" t="str">
        <f>IF(AND($J610="x",AND(MAX(BS610:BU610)=BT610,BT610&lt;&gt;"")),Data!$BJ$2,"")</f>
        <v/>
      </c>
      <c r="BY610" s="197" t="str">
        <f>IF(AND($K610="x",AND(MAX(BS610:BU610)=BU610,BU610&lt;&gt;"")),Data!$BK$2,"")</f>
        <v/>
      </c>
      <c r="BZ610" s="197"/>
      <c r="CA610" s="328"/>
      <c r="CB610" s="463" t="str">
        <f t="shared" si="897"/>
        <v/>
      </c>
      <c r="CC610" s="464" t="str">
        <f t="shared" si="898"/>
        <v/>
      </c>
      <c r="CD610" s="465" t="str">
        <f t="shared" si="899"/>
        <v/>
      </c>
      <c r="CE610" s="328"/>
      <c r="CF610" s="197" t="str">
        <f>IF(AND($I610="x",AND(MAX(CB610:CD610)=CB610,CB610&lt;&gt;"")),Data!$BI$2,"")</f>
        <v/>
      </c>
      <c r="CG610" s="197" t="str">
        <f>IF(AND($J610="x",AND(MAX(CB610:CD610)=CC610,CC610&lt;&gt;"")),Data!$BJ$2,"")</f>
        <v/>
      </c>
      <c r="CH610" s="197" t="str">
        <f>IF(AND($K610="x",AND(MAX(CB610:CD610)=CD610,CD610&lt;&gt;"")),Data!$BK$2,"")</f>
        <v/>
      </c>
      <c r="CI610" s="197"/>
      <c r="CJ610" s="197"/>
      <c r="CK610" s="455"/>
      <c r="CL610" s="456"/>
      <c r="CM610" s="447" t="str">
        <f t="shared" si="900"/>
        <v/>
      </c>
      <c r="CN610" s="328"/>
      <c r="CO610" s="197" t="str">
        <f>IF(AND($I610="x",AND(MAX(CK610:CM610)=CK610,CK610&lt;&gt;"")),Data!$BI$2,"")</f>
        <v/>
      </c>
      <c r="CP610" s="197" t="str">
        <f>IF(AND($J610="x",AND(MAX(CK610:CM610)=CL610,CL610&lt;&gt;"")),Data!$BJ$2,"")</f>
        <v/>
      </c>
      <c r="CQ610" s="197" t="str">
        <f>IF(AND($K610="x",AND(MAX(CK610:CM610)=CM610,CM610&lt;&gt;"")),Data!$BK$2,"")</f>
        <v/>
      </c>
      <c r="CR610" s="197"/>
      <c r="CS610" s="197"/>
      <c r="CT610" s="328"/>
      <c r="CU610" s="259"/>
      <c r="CV610" s="209"/>
      <c r="CW610" s="227"/>
    </row>
    <row r="611" spans="1:101" x14ac:dyDescent="0.2">
      <c r="A611" s="227"/>
      <c r="B611" s="227"/>
      <c r="C611" s="168"/>
      <c r="D611" s="232"/>
      <c r="E611" s="137" t="s">
        <v>386</v>
      </c>
      <c r="F611" s="427"/>
      <c r="G611" s="434"/>
      <c r="H611" s="435"/>
      <c r="I611" s="138" t="str">
        <f t="shared" si="887"/>
        <v/>
      </c>
      <c r="J611" s="344" t="str">
        <f t="shared" si="888"/>
        <v/>
      </c>
      <c r="K611" s="345" t="str">
        <f t="shared" si="889"/>
        <v/>
      </c>
      <c r="L611" s="258"/>
      <c r="M611" s="332"/>
      <c r="N611" s="336"/>
      <c r="O611" s="200"/>
      <c r="P611" s="200"/>
      <c r="Q611" s="448"/>
      <c r="R611" s="449"/>
      <c r="S611" s="450" t="str">
        <f t="shared" si="890"/>
        <v/>
      </c>
      <c r="T611" s="328"/>
      <c r="U611" s="197" t="str">
        <f>IF(AND($I611="x",AND(MAX(Q611:S611)=Q611,Q611&gt;=0)),Data!$BI$2,"")</f>
        <v/>
      </c>
      <c r="V611" s="197" t="str">
        <f>IF(AND($J611="x",AND(MAX(Q611:S611)=R611,R611&gt;=0)),Data!$BJ$2,"")</f>
        <v/>
      </c>
      <c r="W611" s="197" t="str">
        <f>IF(AND($K611="x",AND(MAX(Q611:S611)=S611,S611&gt;=0)),Data!$BK$2,"")</f>
        <v/>
      </c>
      <c r="X611" s="197"/>
      <c r="Y611" s="328"/>
      <c r="Z611" s="451"/>
      <c r="AA611" s="452"/>
      <c r="AB611" s="450" t="str">
        <f t="shared" si="891"/>
        <v/>
      </c>
      <c r="AC611" s="328"/>
      <c r="AD611" s="197" t="str">
        <f>IF(AND($I611="x",AND(MAX(Z611:AB611)=Z611,Z611&lt;&gt;"")),Data!$BI$2,"")</f>
        <v/>
      </c>
      <c r="AE611" s="197" t="str">
        <f>IF(AND($J611="x",AND(MAX(Z611:AB611)=AA611,AA611&lt;&gt;"")),Data!$BJ$2,"")</f>
        <v/>
      </c>
      <c r="AF611" s="197" t="str">
        <f>IF(AND($K611="x",AND(MAX(Z611:AB611)=AB611,AB611&lt;&gt;"")),Data!$BK$2,"")</f>
        <v/>
      </c>
      <c r="AG611" s="197"/>
      <c r="AH611" s="328"/>
      <c r="AI611" s="451"/>
      <c r="AJ611" s="452"/>
      <c r="AK611" s="450" t="str">
        <f t="shared" si="892"/>
        <v/>
      </c>
      <c r="AL611" s="328"/>
      <c r="AM611" s="197" t="str">
        <f>IF(AND($I611="x",AND(MAX(AI611:AK611)=AI611,AI611&lt;&gt;"")),Data!$BI$2,"")</f>
        <v/>
      </c>
      <c r="AN611" s="197" t="str">
        <f>IF(AND($J611="x",AND(MAX(AI611:AK611)=AJ611,AJ611&lt;&gt;"")),Data!$BJ$2,"")</f>
        <v/>
      </c>
      <c r="AO611" s="197" t="str">
        <f>IF(AND($K611="x",AND(MAX(AI611:AK611)=AK611,AK611&lt;&gt;"")),Data!$BK$2,"")</f>
        <v/>
      </c>
      <c r="AP611" s="197"/>
      <c r="AQ611" s="328"/>
      <c r="AR611" s="451"/>
      <c r="AS611" s="452"/>
      <c r="AT611" s="450" t="str">
        <f t="shared" si="893"/>
        <v/>
      </c>
      <c r="AU611" s="328"/>
      <c r="AV611" s="197" t="str">
        <f>IF(AND($I611="x",AND(MAX(AR611:AT611)=AR611,AR611&lt;&gt;"")),Data!$BI$2,"")</f>
        <v/>
      </c>
      <c r="AW611" s="197" t="str">
        <f>IF(AND($J611="x",AND(MAX(AR611:AT611)=AS611,AS611&lt;&gt;"")),Data!$BJ$2,"")</f>
        <v/>
      </c>
      <c r="AX611" s="197" t="str">
        <f>IF(AND($K611="x",AND(MAX(AR611:AT611)=AT611,AT611&lt;&gt;"")),Data!$BK$2,"")</f>
        <v/>
      </c>
      <c r="AY611" s="197"/>
      <c r="AZ611" s="328"/>
      <c r="BA611" s="451"/>
      <c r="BB611" s="452"/>
      <c r="BC611" s="450" t="str">
        <f t="shared" si="894"/>
        <v/>
      </c>
      <c r="BD611" s="328"/>
      <c r="BE611" s="197" t="str">
        <f>IF(AND($I611="x",AND(MAX(BA611:BC611)=BA611,BA611&lt;&gt;"")),Data!$BI$2,"")</f>
        <v/>
      </c>
      <c r="BF611" s="197" t="str">
        <f>IF(AND($J611="x",AND(MAX(BA611:BC611)=BB611,BB611&lt;&gt;"")),Data!$BJ$2,"")</f>
        <v/>
      </c>
      <c r="BG611" s="197" t="str">
        <f>IF(AND($K611="x",AND(MAX(BA611:BC611)=BC611,BC611&lt;&gt;"")),Data!$BK$2,"")</f>
        <v/>
      </c>
      <c r="BH611" s="197"/>
      <c r="BI611" s="328"/>
      <c r="BJ611" s="451"/>
      <c r="BK611" s="452"/>
      <c r="BL611" s="450" t="str">
        <f t="shared" si="895"/>
        <v/>
      </c>
      <c r="BM611" s="328"/>
      <c r="BN611" s="197" t="str">
        <f>IF(AND($I611="x",AND(MAX(BJ611:BL611)=BJ611,BJ611&lt;&gt;"")),Data!$BI$2,"")</f>
        <v/>
      </c>
      <c r="BO611" s="197" t="str">
        <f>IF(AND($J611="x",AND(MAX(BJ611:BL611)=BK611,BK611&lt;&gt;"")),Data!$BJ$2,"")</f>
        <v/>
      </c>
      <c r="BP611" s="197" t="str">
        <f>IF(AND($K611="x",AND(MAX(BJ611:BL611)=BL611,BL611&lt;&gt;"")),Data!$BK$2,"")</f>
        <v/>
      </c>
      <c r="BQ611" s="197"/>
      <c r="BR611" s="328"/>
      <c r="BS611" s="451"/>
      <c r="BT611" s="452"/>
      <c r="BU611" s="450" t="str">
        <f t="shared" si="896"/>
        <v/>
      </c>
      <c r="BV611" s="328"/>
      <c r="BW611" s="197" t="str">
        <f>IF(AND($I611="x",AND(MAX(BS611:BU611)=BS611,BS611&lt;&gt;"")),Data!$BI$2,"")</f>
        <v/>
      </c>
      <c r="BX611" s="197" t="str">
        <f>IF(AND($J611="x",AND(MAX(BS611:BU611)=BT611,BT611&lt;&gt;"")),Data!$BJ$2,"")</f>
        <v/>
      </c>
      <c r="BY611" s="197" t="str">
        <f>IF(AND($K611="x",AND(MAX(BS611:BU611)=BU611,BU611&lt;&gt;"")),Data!$BK$2,"")</f>
        <v/>
      </c>
      <c r="BZ611" s="197"/>
      <c r="CA611" s="328"/>
      <c r="CB611" s="457" t="str">
        <f t="shared" si="897"/>
        <v/>
      </c>
      <c r="CC611" s="458" t="str">
        <f t="shared" si="898"/>
        <v/>
      </c>
      <c r="CD611" s="459" t="str">
        <f t="shared" si="899"/>
        <v/>
      </c>
      <c r="CE611" s="328"/>
      <c r="CF611" s="197" t="str">
        <f>IF(AND($I611="x",AND(MAX(CB611:CD611)=CB611,CB611&lt;&gt;"")),Data!$BI$2,"")</f>
        <v/>
      </c>
      <c r="CG611" s="197" t="str">
        <f>IF(AND($J611="x",AND(MAX(CB611:CD611)=CC611,CC611&lt;&gt;"")),Data!$BJ$2,"")</f>
        <v/>
      </c>
      <c r="CH611" s="197" t="str">
        <f>IF(AND($K611="x",AND(MAX(CB611:CD611)=CD611,CD611&lt;&gt;"")),Data!$BK$2,"")</f>
        <v/>
      </c>
      <c r="CI611" s="197"/>
      <c r="CJ611" s="197"/>
      <c r="CK611" s="451"/>
      <c r="CL611" s="452"/>
      <c r="CM611" s="450" t="str">
        <f t="shared" si="900"/>
        <v/>
      </c>
      <c r="CN611" s="328"/>
      <c r="CO611" s="197" t="str">
        <f>IF(AND($I611="x",AND(MAX(CK611:CM611)=CK611,CK611&lt;&gt;"")),Data!$BI$2,"")</f>
        <v/>
      </c>
      <c r="CP611" s="197" t="str">
        <f>IF(AND($J611="x",AND(MAX(CK611:CM611)=CL611,CL611&lt;&gt;"")),Data!$BJ$2,"")</f>
        <v/>
      </c>
      <c r="CQ611" s="197" t="str">
        <f>IF(AND($K611="x",AND(MAX(CK611:CM611)=CM611,CM611&lt;&gt;"")),Data!$BK$2,"")</f>
        <v/>
      </c>
      <c r="CR611" s="197"/>
      <c r="CS611" s="197"/>
      <c r="CT611" s="328"/>
      <c r="CU611" s="259"/>
      <c r="CV611" s="209"/>
      <c r="CW611" s="227"/>
    </row>
    <row r="612" spans="1:101" x14ac:dyDescent="0.2">
      <c r="A612" s="227"/>
      <c r="B612" s="227"/>
      <c r="C612" s="168"/>
      <c r="D612" s="232"/>
      <c r="E612" s="135" t="s">
        <v>387</v>
      </c>
      <c r="F612" s="425"/>
      <c r="G612" s="430"/>
      <c r="H612" s="431"/>
      <c r="I612" s="346" t="str">
        <f t="shared" si="887"/>
        <v/>
      </c>
      <c r="J612" s="347" t="str">
        <f t="shared" si="888"/>
        <v/>
      </c>
      <c r="K612" s="348" t="str">
        <f t="shared" si="889"/>
        <v/>
      </c>
      <c r="L612" s="258"/>
      <c r="M612" s="332"/>
      <c r="N612" s="336"/>
      <c r="O612" s="200"/>
      <c r="P612" s="200"/>
      <c r="Q612" s="439"/>
      <c r="R612" s="440"/>
      <c r="S612" s="441" t="str">
        <f t="shared" si="890"/>
        <v/>
      </c>
      <c r="T612" s="328"/>
      <c r="U612" s="197" t="str">
        <f>IF(AND($I612="x",AND(MAX(Q612:S612)=Q612,Q612&gt;=0)),Data!$BI$2,"")</f>
        <v/>
      </c>
      <c r="V612" s="197" t="str">
        <f>IF(AND($J612="x",AND(MAX(Q612:S612)=R612,R612&gt;=0)),Data!$BJ$2,"")</f>
        <v/>
      </c>
      <c r="W612" s="197" t="str">
        <f>IF(AND($K612="x",AND(MAX(Q612:S612)=S612,S612&gt;=0)),Data!$BK$2,"")</f>
        <v/>
      </c>
      <c r="X612" s="197"/>
      <c r="Y612" s="328"/>
      <c r="Z612" s="453"/>
      <c r="AA612" s="454"/>
      <c r="AB612" s="441" t="str">
        <f t="shared" si="891"/>
        <v/>
      </c>
      <c r="AC612" s="328"/>
      <c r="AD612" s="197" t="str">
        <f>IF(AND($I612="x",AND(MAX(Z612:AB612)=Z612,Z612&lt;&gt;"")),Data!$BI$2,"")</f>
        <v/>
      </c>
      <c r="AE612" s="197" t="str">
        <f>IF(AND($J612="x",AND(MAX(Z612:AB612)=AA612,AA612&lt;&gt;"")),Data!$BJ$2,"")</f>
        <v/>
      </c>
      <c r="AF612" s="197" t="str">
        <f>IF(AND($K612="x",AND(MAX(Z612:AB612)=AB612,AB612&lt;&gt;"")),Data!$BK$2,"")</f>
        <v/>
      </c>
      <c r="AG612" s="197"/>
      <c r="AH612" s="328"/>
      <c r="AI612" s="453"/>
      <c r="AJ612" s="454"/>
      <c r="AK612" s="441" t="str">
        <f t="shared" si="892"/>
        <v/>
      </c>
      <c r="AL612" s="328"/>
      <c r="AM612" s="197" t="str">
        <f>IF(AND($I612="x",AND(MAX(AI612:AK612)=AI612,AI612&lt;&gt;"")),Data!$BI$2,"")</f>
        <v/>
      </c>
      <c r="AN612" s="197" t="str">
        <f>IF(AND($J612="x",AND(MAX(AI612:AK612)=AJ612,AJ612&lt;&gt;"")),Data!$BJ$2,"")</f>
        <v/>
      </c>
      <c r="AO612" s="197" t="str">
        <f>IF(AND($K612="x",AND(MAX(AI612:AK612)=AK612,AK612&lt;&gt;"")),Data!$BK$2,"")</f>
        <v/>
      </c>
      <c r="AP612" s="197"/>
      <c r="AQ612" s="328"/>
      <c r="AR612" s="453"/>
      <c r="AS612" s="454"/>
      <c r="AT612" s="441" t="str">
        <f t="shared" si="893"/>
        <v/>
      </c>
      <c r="AU612" s="328"/>
      <c r="AV612" s="197" t="str">
        <f>IF(AND($I612="x",AND(MAX(AR612:AT612)=AR612,AR612&lt;&gt;"")),Data!$BI$2,"")</f>
        <v/>
      </c>
      <c r="AW612" s="197" t="str">
        <f>IF(AND($J612="x",AND(MAX(AR612:AT612)=AS612,AS612&lt;&gt;"")),Data!$BJ$2,"")</f>
        <v/>
      </c>
      <c r="AX612" s="197" t="str">
        <f>IF(AND($K612="x",AND(MAX(AR612:AT612)=AT612,AT612&lt;&gt;"")),Data!$BK$2,"")</f>
        <v/>
      </c>
      <c r="AY612" s="197"/>
      <c r="AZ612" s="328"/>
      <c r="BA612" s="453"/>
      <c r="BB612" s="454"/>
      <c r="BC612" s="441" t="str">
        <f t="shared" si="894"/>
        <v/>
      </c>
      <c r="BD612" s="328"/>
      <c r="BE612" s="197" t="str">
        <f>IF(AND($I612="x",AND(MAX(BA612:BC612)=BA612,BA612&lt;&gt;"")),Data!$BI$2,"")</f>
        <v/>
      </c>
      <c r="BF612" s="197" t="str">
        <f>IF(AND($J612="x",AND(MAX(BA612:BC612)=BB612,BB612&lt;&gt;"")),Data!$BJ$2,"")</f>
        <v/>
      </c>
      <c r="BG612" s="197" t="str">
        <f>IF(AND($K612="x",AND(MAX(BA612:BC612)=BC612,BC612&lt;&gt;"")),Data!$BK$2,"")</f>
        <v/>
      </c>
      <c r="BH612" s="197"/>
      <c r="BI612" s="328"/>
      <c r="BJ612" s="453"/>
      <c r="BK612" s="454"/>
      <c r="BL612" s="441" t="str">
        <f t="shared" si="895"/>
        <v/>
      </c>
      <c r="BM612" s="328"/>
      <c r="BN612" s="197" t="str">
        <f>IF(AND($I612="x",AND(MAX(BJ612:BL612)=BJ612,BJ612&lt;&gt;"")),Data!$BI$2,"")</f>
        <v/>
      </c>
      <c r="BO612" s="197" t="str">
        <f>IF(AND($J612="x",AND(MAX(BJ612:BL612)=BK612,BK612&lt;&gt;"")),Data!$BJ$2,"")</f>
        <v/>
      </c>
      <c r="BP612" s="197" t="str">
        <f>IF(AND($K612="x",AND(MAX(BJ612:BL612)=BL612,BL612&lt;&gt;"")),Data!$BK$2,"")</f>
        <v/>
      </c>
      <c r="BQ612" s="197"/>
      <c r="BR612" s="328"/>
      <c r="BS612" s="453"/>
      <c r="BT612" s="454"/>
      <c r="BU612" s="441" t="str">
        <f t="shared" si="896"/>
        <v/>
      </c>
      <c r="BV612" s="328"/>
      <c r="BW612" s="197" t="str">
        <f>IF(AND($I612="x",AND(MAX(BS612:BU612)=BS612,BS612&lt;&gt;"")),Data!$BI$2,"")</f>
        <v/>
      </c>
      <c r="BX612" s="197" t="str">
        <f>IF(AND($J612="x",AND(MAX(BS612:BU612)=BT612,BT612&lt;&gt;"")),Data!$BJ$2,"")</f>
        <v/>
      </c>
      <c r="BY612" s="197" t="str">
        <f>IF(AND($K612="x",AND(MAX(BS612:BU612)=BU612,BU612&lt;&gt;"")),Data!$BK$2,"")</f>
        <v/>
      </c>
      <c r="BZ612" s="197"/>
      <c r="CA612" s="328"/>
      <c r="CB612" s="460" t="str">
        <f t="shared" si="897"/>
        <v/>
      </c>
      <c r="CC612" s="461" t="str">
        <f t="shared" si="898"/>
        <v/>
      </c>
      <c r="CD612" s="462" t="str">
        <f t="shared" si="899"/>
        <v/>
      </c>
      <c r="CE612" s="328"/>
      <c r="CF612" s="197" t="str">
        <f>IF(AND($I612="x",AND(MAX(CB612:CD612)=CB612,CB612&lt;&gt;"")),Data!$BI$2,"")</f>
        <v/>
      </c>
      <c r="CG612" s="197" t="str">
        <f>IF(AND($J612="x",AND(MAX(CB612:CD612)=CC612,CC612&lt;&gt;"")),Data!$BJ$2,"")</f>
        <v/>
      </c>
      <c r="CH612" s="197" t="str">
        <f>IF(AND($K612="x",AND(MAX(CB612:CD612)=CD612,CD612&lt;&gt;"")),Data!$BK$2,"")</f>
        <v/>
      </c>
      <c r="CI612" s="197"/>
      <c r="CJ612" s="197"/>
      <c r="CK612" s="453"/>
      <c r="CL612" s="454"/>
      <c r="CM612" s="441" t="str">
        <f t="shared" si="900"/>
        <v/>
      </c>
      <c r="CN612" s="328"/>
      <c r="CO612" s="197" t="str">
        <f>IF(AND($I612="x",AND(MAX(CK612:CM612)=CK612,CK612&lt;&gt;"")),Data!$BI$2,"")</f>
        <v/>
      </c>
      <c r="CP612" s="197" t="str">
        <f>IF(AND($J612="x",AND(MAX(CK612:CM612)=CL612,CL612&lt;&gt;"")),Data!$BJ$2,"")</f>
        <v/>
      </c>
      <c r="CQ612" s="197" t="str">
        <f>IF(AND($K612="x",AND(MAX(CK612:CM612)=CM612,CM612&lt;&gt;"")),Data!$BK$2,"")</f>
        <v/>
      </c>
      <c r="CR612" s="197"/>
      <c r="CS612" s="197"/>
      <c r="CT612" s="328"/>
      <c r="CU612" s="259"/>
      <c r="CV612" s="209"/>
      <c r="CW612" s="227"/>
    </row>
    <row r="613" spans="1:101" x14ac:dyDescent="0.2">
      <c r="A613" s="227"/>
      <c r="B613" s="227"/>
      <c r="C613" s="168"/>
      <c r="D613" s="232"/>
      <c r="E613" s="136" t="s">
        <v>388</v>
      </c>
      <c r="F613" s="426"/>
      <c r="G613" s="432"/>
      <c r="H613" s="433"/>
      <c r="I613" s="349" t="str">
        <f t="shared" si="887"/>
        <v/>
      </c>
      <c r="J613" s="350" t="str">
        <f t="shared" si="888"/>
        <v/>
      </c>
      <c r="K613" s="351" t="str">
        <f t="shared" si="889"/>
        <v/>
      </c>
      <c r="L613" s="258"/>
      <c r="M613" s="332"/>
      <c r="N613" s="336"/>
      <c r="O613" s="200"/>
      <c r="P613" s="200"/>
      <c r="Q613" s="445"/>
      <c r="R613" s="446"/>
      <c r="S613" s="447" t="str">
        <f t="shared" si="890"/>
        <v/>
      </c>
      <c r="T613" s="328"/>
      <c r="U613" s="197" t="str">
        <f>IF(AND($I613="x",AND(MAX(Q613:S613)=Q613,Q613&gt;=0)),Data!$BI$2,"")</f>
        <v/>
      </c>
      <c r="V613" s="197" t="str">
        <f>IF(AND($J613="x",AND(MAX(Q613:S613)=R613,R613&gt;=0)),Data!$BJ$2,"")</f>
        <v/>
      </c>
      <c r="W613" s="197" t="str">
        <f>IF(AND($K613="x",AND(MAX(Q613:S613)=S613,S613&gt;=0)),Data!$BK$2,"")</f>
        <v/>
      </c>
      <c r="X613" s="197"/>
      <c r="Y613" s="328"/>
      <c r="Z613" s="455"/>
      <c r="AA613" s="456"/>
      <c r="AB613" s="447" t="str">
        <f t="shared" si="891"/>
        <v/>
      </c>
      <c r="AC613" s="328"/>
      <c r="AD613" s="197" t="str">
        <f>IF(AND($I613="x",AND(MAX(Z613:AB613)=Z613,Z613&lt;&gt;"")),Data!$BI$2,"")</f>
        <v/>
      </c>
      <c r="AE613" s="197" t="str">
        <f>IF(AND($J613="x",AND(MAX(Z613:AB613)=AA613,AA613&lt;&gt;"")),Data!$BJ$2,"")</f>
        <v/>
      </c>
      <c r="AF613" s="197" t="str">
        <f>IF(AND($K613="x",AND(MAX(Z613:AB613)=AB613,AB613&lt;&gt;"")),Data!$BK$2,"")</f>
        <v/>
      </c>
      <c r="AG613" s="197"/>
      <c r="AH613" s="328"/>
      <c r="AI613" s="455"/>
      <c r="AJ613" s="456"/>
      <c r="AK613" s="447" t="str">
        <f t="shared" si="892"/>
        <v/>
      </c>
      <c r="AL613" s="328"/>
      <c r="AM613" s="197" t="str">
        <f>IF(AND($I613="x",AND(MAX(AI613:AK613)=AI613,AI613&lt;&gt;"")),Data!$BI$2,"")</f>
        <v/>
      </c>
      <c r="AN613" s="197" t="str">
        <f>IF(AND($J613="x",AND(MAX(AI613:AK613)=AJ613,AJ613&lt;&gt;"")),Data!$BJ$2,"")</f>
        <v/>
      </c>
      <c r="AO613" s="197" t="str">
        <f>IF(AND($K613="x",AND(MAX(AI613:AK613)=AK613,AK613&lt;&gt;"")),Data!$BK$2,"")</f>
        <v/>
      </c>
      <c r="AP613" s="197"/>
      <c r="AQ613" s="328"/>
      <c r="AR613" s="455"/>
      <c r="AS613" s="456"/>
      <c r="AT613" s="447" t="str">
        <f t="shared" si="893"/>
        <v/>
      </c>
      <c r="AU613" s="328"/>
      <c r="AV613" s="197" t="str">
        <f>IF(AND($I613="x",AND(MAX(AR613:AT613)=AR613,AR613&lt;&gt;"")),Data!$BI$2,"")</f>
        <v/>
      </c>
      <c r="AW613" s="197" t="str">
        <f>IF(AND($J613="x",AND(MAX(AR613:AT613)=AS613,AS613&lt;&gt;"")),Data!$BJ$2,"")</f>
        <v/>
      </c>
      <c r="AX613" s="197" t="str">
        <f>IF(AND($K613="x",AND(MAX(AR613:AT613)=AT613,AT613&lt;&gt;"")),Data!$BK$2,"")</f>
        <v/>
      </c>
      <c r="AY613" s="197"/>
      <c r="AZ613" s="328"/>
      <c r="BA613" s="455"/>
      <c r="BB613" s="456"/>
      <c r="BC613" s="447" t="str">
        <f t="shared" si="894"/>
        <v/>
      </c>
      <c r="BD613" s="328"/>
      <c r="BE613" s="197" t="str">
        <f>IF(AND($I613="x",AND(MAX(BA613:BC613)=BA613,BA613&lt;&gt;"")),Data!$BI$2,"")</f>
        <v/>
      </c>
      <c r="BF613" s="197" t="str">
        <f>IF(AND($J613="x",AND(MAX(BA613:BC613)=BB613,BB613&lt;&gt;"")),Data!$BJ$2,"")</f>
        <v/>
      </c>
      <c r="BG613" s="197" t="str">
        <f>IF(AND($K613="x",AND(MAX(BA613:BC613)=BC613,BC613&lt;&gt;"")),Data!$BK$2,"")</f>
        <v/>
      </c>
      <c r="BH613" s="197"/>
      <c r="BI613" s="328"/>
      <c r="BJ613" s="455"/>
      <c r="BK613" s="456"/>
      <c r="BL613" s="447" t="str">
        <f t="shared" si="895"/>
        <v/>
      </c>
      <c r="BM613" s="328"/>
      <c r="BN613" s="197" t="str">
        <f>IF(AND($I613="x",AND(MAX(BJ613:BL613)=BJ613,BJ613&lt;&gt;"")),Data!$BI$2,"")</f>
        <v/>
      </c>
      <c r="BO613" s="197" t="str">
        <f>IF(AND($J613="x",AND(MAX(BJ613:BL613)=BK613,BK613&lt;&gt;"")),Data!$BJ$2,"")</f>
        <v/>
      </c>
      <c r="BP613" s="197" t="str">
        <f>IF(AND($K613="x",AND(MAX(BJ613:BL613)=BL613,BL613&lt;&gt;"")),Data!$BK$2,"")</f>
        <v/>
      </c>
      <c r="BQ613" s="197"/>
      <c r="BR613" s="328"/>
      <c r="BS613" s="455"/>
      <c r="BT613" s="456"/>
      <c r="BU613" s="447" t="str">
        <f t="shared" si="896"/>
        <v/>
      </c>
      <c r="BV613" s="328"/>
      <c r="BW613" s="197" t="str">
        <f>IF(AND($I613="x",AND(MAX(BS613:BU613)=BS613,BS613&lt;&gt;"")),Data!$BI$2,"")</f>
        <v/>
      </c>
      <c r="BX613" s="197" t="str">
        <f>IF(AND($J613="x",AND(MAX(BS613:BU613)=BT613,BT613&lt;&gt;"")),Data!$BJ$2,"")</f>
        <v/>
      </c>
      <c r="BY613" s="197" t="str">
        <f>IF(AND($K613="x",AND(MAX(BS613:BU613)=BU613,BU613&lt;&gt;"")),Data!$BK$2,"")</f>
        <v/>
      </c>
      <c r="BZ613" s="197"/>
      <c r="CA613" s="328"/>
      <c r="CB613" s="463" t="str">
        <f t="shared" si="897"/>
        <v/>
      </c>
      <c r="CC613" s="464" t="str">
        <f t="shared" si="898"/>
        <v/>
      </c>
      <c r="CD613" s="465" t="str">
        <f t="shared" si="899"/>
        <v/>
      </c>
      <c r="CE613" s="328"/>
      <c r="CF613" s="197" t="str">
        <f>IF(AND($I613="x",AND(MAX(CB613:CD613)=CB613,CB613&lt;&gt;"")),Data!$BI$2,"")</f>
        <v/>
      </c>
      <c r="CG613" s="197" t="str">
        <f>IF(AND($J613="x",AND(MAX(CB613:CD613)=CC613,CC613&lt;&gt;"")),Data!$BJ$2,"")</f>
        <v/>
      </c>
      <c r="CH613" s="197" t="str">
        <f>IF(AND($K613="x",AND(MAX(CB613:CD613)=CD613,CD613&lt;&gt;"")),Data!$BK$2,"")</f>
        <v/>
      </c>
      <c r="CI613" s="197"/>
      <c r="CJ613" s="197"/>
      <c r="CK613" s="455"/>
      <c r="CL613" s="456"/>
      <c r="CM613" s="447" t="str">
        <f t="shared" si="900"/>
        <v/>
      </c>
      <c r="CN613" s="328"/>
      <c r="CO613" s="197" t="str">
        <f>IF(AND($I613="x",AND(MAX(CK613:CM613)=CK613,CK613&lt;&gt;"")),Data!$BI$2,"")</f>
        <v/>
      </c>
      <c r="CP613" s="197" t="str">
        <f>IF(AND($J613="x",AND(MAX(CK613:CM613)=CL613,CL613&lt;&gt;"")),Data!$BJ$2,"")</f>
        <v/>
      </c>
      <c r="CQ613" s="197" t="str">
        <f>IF(AND($K613="x",AND(MAX(CK613:CM613)=CM613,CM613&lt;&gt;"")),Data!$BK$2,"")</f>
        <v/>
      </c>
      <c r="CR613" s="197"/>
      <c r="CS613" s="197"/>
      <c r="CT613" s="328"/>
      <c r="CU613" s="259"/>
      <c r="CV613" s="209"/>
      <c r="CW613" s="227"/>
    </row>
    <row r="614" spans="1:101" x14ac:dyDescent="0.2">
      <c r="A614" s="227"/>
      <c r="B614" s="227"/>
      <c r="C614" s="168"/>
      <c r="D614" s="233"/>
      <c r="E614" s="199"/>
      <c r="F614" s="352" t="str">
        <f>IF(SUM(F602:F613)=0,"",SUM(F602:F613))</f>
        <v/>
      </c>
      <c r="G614" s="327" t="s">
        <v>51</v>
      </c>
      <c r="H614" s="353" t="str">
        <f>IF(SUM(H602:H613)=0,"",SUM(H602:H613))</f>
        <v/>
      </c>
      <c r="I614" s="354" t="str">
        <f>IF(COUNTIF(I602:I613,"=x")=0,"",COUNTIF(I602:I613,"=x"))</f>
        <v/>
      </c>
      <c r="J614" s="355" t="str">
        <f>IF(COUNTIF(J602:J613,"=x")=0,"",COUNTIF(J602:J613,"=x"))</f>
        <v/>
      </c>
      <c r="K614" s="356" t="str">
        <f>IF(COUNTIF(K602:K613,"=x")=0,"",COUNTIF(K602:K613,"=x"))</f>
        <v/>
      </c>
      <c r="L614" s="258"/>
      <c r="M614" s="332"/>
      <c r="N614" s="336"/>
      <c r="O614" s="200"/>
      <c r="P614" s="326"/>
      <c r="Q614" s="422">
        <f>SUM(U602:U613)</f>
        <v>0</v>
      </c>
      <c r="R614" s="422">
        <f t="shared" ref="R614:S614" si="901">SUM(V602:V613)</f>
        <v>0</v>
      </c>
      <c r="S614" s="422">
        <f t="shared" si="901"/>
        <v>0</v>
      </c>
      <c r="T614" s="325"/>
      <c r="U614" s="197">
        <f>SUM(U602:U613)</f>
        <v>0</v>
      </c>
      <c r="V614" s="197">
        <f t="shared" ref="V614:W614" si="902">SUM(V602:V613)</f>
        <v>0</v>
      </c>
      <c r="W614" s="197">
        <f t="shared" si="902"/>
        <v>0</v>
      </c>
      <c r="X614" s="197"/>
      <c r="Y614" s="324"/>
      <c r="Z614" s="422">
        <f>SUM(AD602:AD613)</f>
        <v>0</v>
      </c>
      <c r="AA614" s="422">
        <f t="shared" ref="AA614:AB614" si="903">SUM(AE602:AE613)</f>
        <v>0</v>
      </c>
      <c r="AB614" s="422">
        <f t="shared" si="903"/>
        <v>0</v>
      </c>
      <c r="AC614" s="325"/>
      <c r="AD614" s="197">
        <f>SUM(AD602:AD613)</f>
        <v>0</v>
      </c>
      <c r="AE614" s="197">
        <f t="shared" ref="AE614:AF614" si="904">SUM(AE602:AE613)</f>
        <v>0</v>
      </c>
      <c r="AF614" s="197">
        <f t="shared" si="904"/>
        <v>0</v>
      </c>
      <c r="AG614" s="197"/>
      <c r="AH614" s="324"/>
      <c r="AI614" s="422">
        <f>SUM(AM602:AM613)</f>
        <v>0</v>
      </c>
      <c r="AJ614" s="422">
        <f t="shared" ref="AJ614:AK614" si="905">SUM(AN602:AN613)</f>
        <v>0</v>
      </c>
      <c r="AK614" s="422">
        <f t="shared" si="905"/>
        <v>0</v>
      </c>
      <c r="AL614" s="325"/>
      <c r="AM614" s="197">
        <f>SUM(AM602:AM613)</f>
        <v>0</v>
      </c>
      <c r="AN614" s="197">
        <f t="shared" ref="AN614:AO614" si="906">SUM(AN602:AN613)</f>
        <v>0</v>
      </c>
      <c r="AO614" s="197">
        <f t="shared" si="906"/>
        <v>0</v>
      </c>
      <c r="AP614" s="197"/>
      <c r="AQ614" s="324"/>
      <c r="AR614" s="422">
        <f>SUM(AV602:AV613)</f>
        <v>0</v>
      </c>
      <c r="AS614" s="422">
        <f t="shared" ref="AS614:AT614" si="907">SUM(AW602:AW613)</f>
        <v>0</v>
      </c>
      <c r="AT614" s="422">
        <f t="shared" si="907"/>
        <v>0</v>
      </c>
      <c r="AU614" s="325"/>
      <c r="AV614" s="197">
        <f>SUM(AV602:AV613)</f>
        <v>0</v>
      </c>
      <c r="AW614" s="197">
        <f t="shared" ref="AW614:AX614" si="908">SUM(AW602:AW613)</f>
        <v>0</v>
      </c>
      <c r="AX614" s="197">
        <f t="shared" si="908"/>
        <v>0</v>
      </c>
      <c r="AY614" s="197"/>
      <c r="AZ614" s="324"/>
      <c r="BA614" s="422">
        <f>SUM(BE602:BE613)</f>
        <v>0</v>
      </c>
      <c r="BB614" s="422">
        <f t="shared" ref="BB614:BC614" si="909">SUM(BF602:BF613)</f>
        <v>0</v>
      </c>
      <c r="BC614" s="422">
        <f t="shared" si="909"/>
        <v>0</v>
      </c>
      <c r="BD614" s="325"/>
      <c r="BE614" s="197">
        <f>SUM(BE602:BE613)</f>
        <v>0</v>
      </c>
      <c r="BF614" s="197">
        <f t="shared" ref="BF614:BG614" si="910">SUM(BF602:BF613)</f>
        <v>0</v>
      </c>
      <c r="BG614" s="197">
        <f t="shared" si="910"/>
        <v>0</v>
      </c>
      <c r="BH614" s="197"/>
      <c r="BI614" s="324"/>
      <c r="BJ614" s="422">
        <f>SUM(BN602:BN613)</f>
        <v>0</v>
      </c>
      <c r="BK614" s="422">
        <f t="shared" ref="BK614" si="911">SUM(BO602:BO613)</f>
        <v>0</v>
      </c>
      <c r="BL614" s="422">
        <f t="shared" ref="BL614" si="912">SUM(BP602:BP613)</f>
        <v>0</v>
      </c>
      <c r="BM614" s="325"/>
      <c r="BN614" s="197">
        <f>SUM(BN602:BN613)</f>
        <v>0</v>
      </c>
      <c r="BO614" s="197">
        <f t="shared" ref="BO614:BP614" si="913">SUM(BO602:BO613)</f>
        <v>0</v>
      </c>
      <c r="BP614" s="197">
        <f t="shared" si="913"/>
        <v>0</v>
      </c>
      <c r="BQ614" s="197"/>
      <c r="BR614" s="324"/>
      <c r="BS614" s="422">
        <f>SUM(BW602:BW613)</f>
        <v>0</v>
      </c>
      <c r="BT614" s="422">
        <f t="shared" ref="BT614:BU614" si="914">SUM(BX602:BX613)</f>
        <v>0</v>
      </c>
      <c r="BU614" s="422">
        <f t="shared" si="914"/>
        <v>0</v>
      </c>
      <c r="BV614" s="325"/>
      <c r="BW614" s="197">
        <f>SUM(BW602:BW613)</f>
        <v>0</v>
      </c>
      <c r="BX614" s="197">
        <f t="shared" ref="BX614:BY614" si="915">SUM(BX602:BX613)</f>
        <v>0</v>
      </c>
      <c r="BY614" s="197">
        <f t="shared" si="915"/>
        <v>0</v>
      </c>
      <c r="BZ614" s="197"/>
      <c r="CA614" s="326"/>
      <c r="CB614" s="422">
        <f>SUM(CF602:CF613)</f>
        <v>0</v>
      </c>
      <c r="CC614" s="422">
        <f t="shared" ref="CC614:CD614" si="916">SUM(CG602:CG613)</f>
        <v>0</v>
      </c>
      <c r="CD614" s="422">
        <f t="shared" si="916"/>
        <v>0</v>
      </c>
      <c r="CE614" s="325"/>
      <c r="CF614" s="197">
        <f>SUM(CF602:CF613)</f>
        <v>0</v>
      </c>
      <c r="CG614" s="197">
        <f t="shared" ref="CG614:CH614" si="917">SUM(CG602:CG613)</f>
        <v>0</v>
      </c>
      <c r="CH614" s="197">
        <f t="shared" si="917"/>
        <v>0</v>
      </c>
      <c r="CI614" s="197"/>
      <c r="CJ614" s="197"/>
      <c r="CK614" s="422">
        <f>SUM(CO602:CO613)</f>
        <v>0</v>
      </c>
      <c r="CL614" s="422">
        <f t="shared" ref="CL614:CM614" si="918">SUM(CP602:CP613)</f>
        <v>0</v>
      </c>
      <c r="CM614" s="422">
        <f t="shared" si="918"/>
        <v>0</v>
      </c>
      <c r="CN614" s="325"/>
      <c r="CO614" s="197">
        <f>SUM(CO602:CO613)</f>
        <v>0</v>
      </c>
      <c r="CP614" s="197">
        <f t="shared" ref="CP614:CQ614" si="919">SUM(CP602:CP613)</f>
        <v>0</v>
      </c>
      <c r="CQ614" s="197">
        <f t="shared" si="919"/>
        <v>0</v>
      </c>
      <c r="CR614" s="197"/>
      <c r="CS614" s="197"/>
      <c r="CT614" s="197"/>
      <c r="CU614" s="259"/>
      <c r="CV614" s="209"/>
      <c r="CW614" s="228"/>
    </row>
    <row r="615" spans="1:101" x14ac:dyDescent="0.2">
      <c r="A615" s="227"/>
      <c r="B615" s="227"/>
      <c r="C615" s="168"/>
      <c r="D615" s="249"/>
      <c r="E615" s="242"/>
      <c r="F615" s="243"/>
      <c r="G615" s="242"/>
      <c r="H615" s="242"/>
      <c r="I615" s="242"/>
      <c r="J615" s="242"/>
      <c r="K615" s="242"/>
      <c r="L615" s="252"/>
      <c r="M615" s="260"/>
      <c r="N615" s="337"/>
      <c r="O615" s="333"/>
      <c r="P615" s="244"/>
      <c r="Q615" s="245"/>
      <c r="R615" s="245"/>
      <c r="S615" s="245"/>
      <c r="T615" s="246"/>
      <c r="U615" s="247"/>
      <c r="V615" s="247"/>
      <c r="W615" s="247"/>
      <c r="X615" s="247"/>
      <c r="Y615" s="244"/>
      <c r="Z615" s="245"/>
      <c r="AA615" s="245"/>
      <c r="AB615" s="245"/>
      <c r="AC615" s="246"/>
      <c r="AD615" s="247"/>
      <c r="AE615" s="247"/>
      <c r="AF615" s="247"/>
      <c r="AG615" s="247"/>
      <c r="AH615" s="244"/>
      <c r="AI615" s="245"/>
      <c r="AJ615" s="245"/>
      <c r="AK615" s="245"/>
      <c r="AL615" s="246"/>
      <c r="AM615" s="247"/>
      <c r="AN615" s="247"/>
      <c r="AO615" s="247"/>
      <c r="AP615" s="247"/>
      <c r="AQ615" s="244"/>
      <c r="AR615" s="245"/>
      <c r="AS615" s="245"/>
      <c r="AT615" s="245"/>
      <c r="AU615" s="246"/>
      <c r="AV615" s="247"/>
      <c r="AW615" s="247"/>
      <c r="AX615" s="247"/>
      <c r="AY615" s="247"/>
      <c r="AZ615" s="244"/>
      <c r="BA615" s="245"/>
      <c r="BB615" s="245"/>
      <c r="BC615" s="245"/>
      <c r="BD615" s="246"/>
      <c r="BE615" s="247"/>
      <c r="BF615" s="247"/>
      <c r="BG615" s="247"/>
      <c r="BH615" s="247"/>
      <c r="BI615" s="244"/>
      <c r="BJ615" s="244"/>
      <c r="BK615" s="244"/>
      <c r="BL615" s="244"/>
      <c r="BM615" s="244"/>
      <c r="BN615" s="247"/>
      <c r="BO615" s="247"/>
      <c r="BP615" s="247"/>
      <c r="BQ615" s="247"/>
      <c r="BR615" s="244"/>
      <c r="BS615" s="244"/>
      <c r="BT615" s="244"/>
      <c r="BU615" s="244"/>
      <c r="BV615" s="244"/>
      <c r="BW615" s="247"/>
      <c r="BX615" s="247"/>
      <c r="BY615" s="247"/>
      <c r="BZ615" s="247"/>
      <c r="CA615" s="244"/>
      <c r="CB615" s="244"/>
      <c r="CC615" s="244"/>
      <c r="CD615" s="244"/>
      <c r="CE615" s="244"/>
      <c r="CF615" s="247"/>
      <c r="CG615" s="247"/>
      <c r="CH615" s="247"/>
      <c r="CI615" s="247"/>
      <c r="CJ615" s="248"/>
      <c r="CK615" s="248"/>
      <c r="CL615" s="248"/>
      <c r="CM615" s="248"/>
      <c r="CN615" s="248"/>
      <c r="CO615" s="247"/>
      <c r="CP615" s="247"/>
      <c r="CQ615" s="247"/>
      <c r="CR615" s="247"/>
      <c r="CS615" s="248"/>
      <c r="CT615" s="242"/>
      <c r="CU615" s="253"/>
      <c r="CV615" s="209"/>
      <c r="CW615" s="228"/>
    </row>
    <row r="616" spans="1:101" x14ac:dyDescent="0.2">
      <c r="A616" s="219"/>
      <c r="B616" s="219"/>
      <c r="C616" s="175"/>
      <c r="D616" s="176"/>
      <c r="E616" s="210"/>
      <c r="F616" s="211"/>
      <c r="G616" s="210"/>
      <c r="H616" s="210"/>
      <c r="I616" s="210"/>
      <c r="J616" s="210"/>
      <c r="K616" s="210"/>
      <c r="L616" s="212"/>
      <c r="M616" s="213"/>
      <c r="N616" s="213"/>
      <c r="O616" s="213"/>
      <c r="P616" s="213"/>
      <c r="Q616" s="210"/>
      <c r="R616" s="210"/>
      <c r="S616" s="210"/>
      <c r="T616" s="214"/>
      <c r="U616" s="215"/>
      <c r="V616" s="215"/>
      <c r="W616" s="215"/>
      <c r="X616" s="215"/>
      <c r="Y616" s="213"/>
      <c r="Z616" s="210"/>
      <c r="AA616" s="210"/>
      <c r="AB616" s="210"/>
      <c r="AC616" s="214"/>
      <c r="AD616" s="215"/>
      <c r="AE616" s="215"/>
      <c r="AF616" s="215"/>
      <c r="AG616" s="215"/>
      <c r="AH616" s="213"/>
      <c r="AI616" s="210"/>
      <c r="AJ616" s="210"/>
      <c r="AK616" s="210"/>
      <c r="AL616" s="214"/>
      <c r="AM616" s="215"/>
      <c r="AN616" s="215"/>
      <c r="AO616" s="215"/>
      <c r="AP616" s="215"/>
      <c r="AQ616" s="213"/>
      <c r="AR616" s="210"/>
      <c r="AS616" s="210"/>
      <c r="AT616" s="210"/>
      <c r="AU616" s="214"/>
      <c r="AV616" s="215"/>
      <c r="AW616" s="215"/>
      <c r="AX616" s="215"/>
      <c r="AY616" s="215"/>
      <c r="AZ616" s="213"/>
      <c r="BA616" s="210"/>
      <c r="BB616" s="210"/>
      <c r="BC616" s="210"/>
      <c r="BD616" s="214"/>
      <c r="BE616" s="215"/>
      <c r="BF616" s="215"/>
      <c r="BG616" s="215"/>
      <c r="BH616" s="215"/>
      <c r="BI616" s="213"/>
      <c r="BJ616" s="210"/>
      <c r="BK616" s="210"/>
      <c r="BL616" s="210"/>
      <c r="BM616" s="214"/>
      <c r="BN616" s="215"/>
      <c r="BO616" s="215"/>
      <c r="BP616" s="215"/>
      <c r="BQ616" s="215"/>
      <c r="BR616" s="177"/>
      <c r="BS616" s="210"/>
      <c r="BT616" s="210"/>
      <c r="BU616" s="210"/>
      <c r="BV616" s="213"/>
      <c r="BW616" s="215"/>
      <c r="BX616" s="215"/>
      <c r="BY616" s="215"/>
      <c r="BZ616" s="215"/>
      <c r="CA616" s="210"/>
      <c r="CB616" s="216"/>
      <c r="CC616" s="216"/>
      <c r="CD616" s="216"/>
      <c r="CE616" s="216"/>
      <c r="CF616" s="215"/>
      <c r="CG616" s="215"/>
      <c r="CH616" s="215"/>
      <c r="CI616" s="215"/>
      <c r="CJ616" s="210"/>
      <c r="CK616" s="210"/>
      <c r="CL616" s="210"/>
      <c r="CM616" s="210"/>
      <c r="CN616" s="210"/>
      <c r="CO616" s="215"/>
      <c r="CP616" s="215"/>
      <c r="CQ616" s="215"/>
      <c r="CR616" s="215"/>
      <c r="CS616" s="210"/>
      <c r="CT616" s="210"/>
      <c r="CU616" s="210"/>
      <c r="CV616" s="217"/>
      <c r="CW616" s="218"/>
    </row>
    <row r="617" spans="1:101" ht="14.25" thickTop="1" thickBot="1" x14ac:dyDescent="0.25">
      <c r="A617" s="218"/>
      <c r="B617" s="218"/>
      <c r="C617" s="218"/>
      <c r="D617" s="218"/>
      <c r="E617" s="218"/>
      <c r="F617" s="218"/>
      <c r="G617" s="218"/>
      <c r="H617" s="218"/>
      <c r="I617" s="218"/>
      <c r="J617" s="218"/>
      <c r="K617" s="218"/>
      <c r="L617" s="218"/>
      <c r="M617" s="218"/>
      <c r="N617" s="218"/>
      <c r="O617" s="218"/>
      <c r="P617" s="218"/>
      <c r="Q617" s="218"/>
      <c r="R617" s="218"/>
      <c r="S617" s="218"/>
      <c r="T617" s="218"/>
      <c r="U617" s="218"/>
      <c r="V617" s="218"/>
      <c r="W617" s="218"/>
      <c r="X617" s="218"/>
      <c r="Y617" s="218"/>
      <c r="Z617" s="218"/>
      <c r="AA617" s="218"/>
      <c r="AB617" s="218"/>
      <c r="AC617" s="218"/>
      <c r="AD617" s="218"/>
      <c r="AE617" s="218"/>
      <c r="AF617" s="218"/>
      <c r="AG617" s="218"/>
      <c r="AH617" s="218"/>
      <c r="AI617" s="218"/>
      <c r="AJ617" s="218"/>
      <c r="AK617" s="218"/>
      <c r="AL617" s="218"/>
      <c r="AM617" s="218"/>
      <c r="AN617" s="218"/>
      <c r="AO617" s="218"/>
      <c r="AP617" s="218"/>
      <c r="AQ617" s="218"/>
      <c r="AR617" s="218"/>
      <c r="AS617" s="218"/>
      <c r="AT617" s="218"/>
      <c r="AU617" s="218"/>
      <c r="AV617" s="218"/>
      <c r="AW617" s="218"/>
      <c r="AX617" s="218"/>
      <c r="AY617" s="218"/>
      <c r="AZ617" s="218"/>
      <c r="BA617" s="218"/>
      <c r="BB617" s="218"/>
      <c r="BC617" s="218"/>
      <c r="BD617" s="218"/>
      <c r="BE617" s="218"/>
      <c r="BF617" s="218"/>
      <c r="BG617" s="218"/>
      <c r="BH617" s="218"/>
      <c r="BI617" s="218"/>
      <c r="BJ617" s="218"/>
      <c r="BK617" s="218"/>
      <c r="BL617" s="218"/>
      <c r="BM617" s="218"/>
      <c r="BN617" s="218"/>
      <c r="BO617" s="218"/>
      <c r="BP617" s="218"/>
      <c r="BQ617" s="218"/>
      <c r="BR617" s="218"/>
      <c r="BS617" s="218"/>
      <c r="BT617" s="218"/>
      <c r="BU617" s="218"/>
      <c r="BV617" s="218"/>
      <c r="BW617" s="218"/>
      <c r="BX617" s="218"/>
      <c r="BY617" s="218"/>
      <c r="BZ617" s="218"/>
      <c r="CA617" s="218"/>
      <c r="CB617" s="392"/>
      <c r="CC617" s="392"/>
      <c r="CD617" s="392"/>
      <c r="CE617" s="392"/>
      <c r="CF617" s="218"/>
      <c r="CG617" s="218"/>
      <c r="CH617" s="218"/>
      <c r="CI617" s="218"/>
      <c r="CJ617" s="218"/>
      <c r="CK617" s="218"/>
      <c r="CL617" s="218"/>
      <c r="CM617" s="218"/>
      <c r="CN617" s="218"/>
      <c r="CO617" s="218"/>
      <c r="CP617" s="218"/>
      <c r="CQ617" s="218"/>
      <c r="CR617" s="218"/>
      <c r="CS617" s="218"/>
      <c r="CT617" s="218"/>
      <c r="CU617" s="218"/>
      <c r="CV617" s="218"/>
      <c r="CW617" s="218"/>
    </row>
    <row r="618" spans="1:101" ht="21" thickTop="1" x14ac:dyDescent="0.3">
      <c r="A618" s="219"/>
      <c r="B618" s="219"/>
      <c r="C618" s="157"/>
      <c r="D618" s="158"/>
      <c r="E618" s="731" t="s">
        <v>44</v>
      </c>
      <c r="F618" s="229"/>
      <c r="G618" s="229"/>
      <c r="H618" s="229"/>
      <c r="I618" s="877" t="e" vm="1">
        <v>#VALUE!</v>
      </c>
      <c r="J618" s="877"/>
      <c r="K618" s="877"/>
      <c r="L618" s="877"/>
      <c r="M618" s="159"/>
      <c r="N618" s="159"/>
      <c r="O618" s="159"/>
      <c r="P618" s="160"/>
      <c r="Q618" s="159"/>
      <c r="R618" s="159"/>
      <c r="S618" s="159"/>
      <c r="T618" s="161"/>
      <c r="U618" s="162"/>
      <c r="V618" s="162"/>
      <c r="W618" s="162"/>
      <c r="X618" s="162"/>
      <c r="Y618" s="160"/>
      <c r="Z618" s="159"/>
      <c r="AA618" s="159"/>
      <c r="AB618" s="159"/>
      <c r="AC618" s="161"/>
      <c r="AD618" s="162"/>
      <c r="AE618" s="162"/>
      <c r="AF618" s="162"/>
      <c r="AG618" s="162"/>
      <c r="AH618" s="160"/>
      <c r="AI618" s="159"/>
      <c r="AJ618" s="201"/>
      <c r="AK618" s="201"/>
      <c r="AL618" s="164"/>
      <c r="AM618" s="162"/>
      <c r="AN618" s="162"/>
      <c r="AO618" s="162"/>
      <c r="AP618" s="162"/>
      <c r="AQ618" s="202"/>
      <c r="AR618" s="203"/>
      <c r="AS618" s="165"/>
      <c r="AT618" s="166"/>
      <c r="AU618" s="164"/>
      <c r="AV618" s="162"/>
      <c r="AW618" s="162"/>
      <c r="AX618" s="162"/>
      <c r="AY618" s="162"/>
      <c r="AZ618" s="202"/>
      <c r="BA618" s="203"/>
      <c r="BB618" s="166"/>
      <c r="BC618" s="201"/>
      <c r="BD618" s="204"/>
      <c r="BE618" s="162"/>
      <c r="BF618" s="162"/>
      <c r="BG618" s="162"/>
      <c r="BH618" s="162"/>
      <c r="BI618" s="205"/>
      <c r="BJ618" s="201"/>
      <c r="BK618" s="201"/>
      <c r="BL618" s="201"/>
      <c r="BM618" s="204"/>
      <c r="BN618" s="162"/>
      <c r="BO618" s="162"/>
      <c r="BP618" s="162"/>
      <c r="BQ618" s="162"/>
      <c r="BR618" s="167"/>
      <c r="BS618" s="201"/>
      <c r="BT618" s="201"/>
      <c r="BU618" s="201"/>
      <c r="BV618" s="205"/>
      <c r="BW618" s="162"/>
      <c r="BX618" s="162"/>
      <c r="BY618" s="162"/>
      <c r="BZ618" s="162"/>
      <c r="CA618" s="201"/>
      <c r="CB618" s="393"/>
      <c r="CC618" s="393"/>
      <c r="CD618" s="393"/>
      <c r="CE618" s="393"/>
      <c r="CF618" s="162"/>
      <c r="CG618" s="162"/>
      <c r="CH618" s="162"/>
      <c r="CI618" s="162"/>
      <c r="CJ618" s="163"/>
      <c r="CK618" s="163"/>
      <c r="CL618" s="163"/>
      <c r="CM618" s="163"/>
      <c r="CN618" s="163"/>
      <c r="CO618" s="162"/>
      <c r="CP618" s="162"/>
      <c r="CQ618" s="162"/>
      <c r="CR618" s="162"/>
      <c r="CS618" s="163"/>
      <c r="CT618" s="358"/>
      <c r="CU618" s="201"/>
      <c r="CV618" s="206"/>
      <c r="CW618" s="218"/>
    </row>
    <row r="619" spans="1:101" ht="15.75" thickBot="1" x14ac:dyDescent="0.25">
      <c r="A619" s="219"/>
      <c r="B619" s="219"/>
      <c r="C619" s="168"/>
      <c r="D619" s="785"/>
      <c r="E619" s="869" t="s">
        <v>45</v>
      </c>
      <c r="F619" s="363"/>
      <c r="G619" s="363"/>
      <c r="H619" s="363"/>
      <c r="I619" s="878"/>
      <c r="J619" s="878"/>
      <c r="K619" s="878"/>
      <c r="L619" s="878"/>
      <c r="M619" s="363"/>
      <c r="N619" s="363"/>
      <c r="O619" s="363"/>
      <c r="P619" s="363"/>
      <c r="Q619" s="363"/>
      <c r="R619" s="363"/>
      <c r="S619" s="363"/>
      <c r="T619" s="363"/>
      <c r="U619" s="363"/>
      <c r="V619" s="363"/>
      <c r="W619" s="363"/>
      <c r="X619" s="363"/>
      <c r="Y619" s="363"/>
      <c r="Z619" s="363"/>
      <c r="AA619" s="363"/>
      <c r="AB619" s="363"/>
      <c r="AC619" s="363"/>
      <c r="AD619" s="363"/>
      <c r="AE619" s="363"/>
      <c r="AF619" s="363"/>
      <c r="AG619" s="363"/>
      <c r="AH619" s="363"/>
      <c r="AI619" s="363"/>
      <c r="AJ619" s="363"/>
      <c r="AK619" s="363"/>
      <c r="AL619" s="363"/>
      <c r="AM619" s="363"/>
      <c r="AN619" s="363"/>
      <c r="AO619" s="363"/>
      <c r="AP619" s="363"/>
      <c r="AQ619" s="363"/>
      <c r="AR619" s="363"/>
      <c r="AS619" s="363"/>
      <c r="AT619" s="363"/>
      <c r="AU619" s="363"/>
      <c r="AV619" s="363"/>
      <c r="AW619" s="363"/>
      <c r="AX619" s="363"/>
      <c r="AY619" s="363"/>
      <c r="AZ619" s="363"/>
      <c r="BA619" s="363"/>
      <c r="BB619" s="363"/>
      <c r="BC619" s="363"/>
      <c r="BD619" s="363"/>
      <c r="BE619" s="363"/>
      <c r="BF619" s="363"/>
      <c r="BG619" s="363"/>
      <c r="BH619" s="363"/>
      <c r="BI619" s="363"/>
      <c r="BJ619" s="363"/>
      <c r="BK619" s="363"/>
      <c r="BL619" s="363"/>
      <c r="BM619" s="363"/>
      <c r="BN619" s="363"/>
      <c r="BO619" s="363"/>
      <c r="BP619" s="363"/>
      <c r="BQ619" s="363"/>
      <c r="BR619" s="363"/>
      <c r="BS619" s="363"/>
      <c r="BT619" s="363"/>
      <c r="BU619" s="363"/>
      <c r="BV619" s="363"/>
      <c r="BW619" s="363"/>
      <c r="BX619" s="363"/>
      <c r="BY619" s="363"/>
      <c r="BZ619" s="363"/>
      <c r="CA619" s="363"/>
      <c r="CB619" s="394"/>
      <c r="CC619" s="394"/>
      <c r="CD619" s="394"/>
      <c r="CE619" s="394"/>
      <c r="CF619" s="363"/>
      <c r="CG619" s="363"/>
      <c r="CH619" s="363"/>
      <c r="CI619" s="363"/>
      <c r="CJ619" s="363"/>
      <c r="CK619" s="363"/>
      <c r="CL619" s="363"/>
      <c r="CM619" s="363"/>
      <c r="CN619" s="323"/>
      <c r="CO619" s="363"/>
      <c r="CP619" s="363"/>
      <c r="CQ619" s="363"/>
      <c r="CR619" s="363"/>
      <c r="CS619" s="323"/>
      <c r="CT619" s="155"/>
      <c r="CU619" s="269"/>
      <c r="CV619" s="209"/>
      <c r="CW619" s="218"/>
    </row>
    <row r="620" spans="1:101" ht="18.75" thickTop="1" x14ac:dyDescent="0.2">
      <c r="A620" s="219"/>
      <c r="B620" s="219"/>
      <c r="C620" s="174"/>
      <c r="D620" s="778"/>
      <c r="E620" s="777"/>
      <c r="F620" s="235"/>
      <c r="G620" s="234"/>
      <c r="H620" s="234"/>
      <c r="I620" s="875">
        <f>WEEKNUM(E621)</f>
        <v>9</v>
      </c>
      <c r="J620" s="875"/>
      <c r="K620" s="875"/>
      <c r="L620" s="250"/>
      <c r="M620" s="261"/>
      <c r="N620" s="205"/>
      <c r="O620" s="236"/>
      <c r="P620" s="236"/>
      <c r="Q620" s="675" t="str">
        <f>IF($F624="","",SUM(Q636:S636)-S622)</f>
        <v/>
      </c>
      <c r="R620" s="675"/>
      <c r="S620" s="675"/>
      <c r="T620" s="237"/>
      <c r="U620" s="238"/>
      <c r="V620" s="238"/>
      <c r="W620" s="238"/>
      <c r="X620" s="238"/>
      <c r="Y620" s="236"/>
      <c r="Z620" s="675" t="str">
        <f>IF($F624="","",SUM(Z636:AB636)-AB622)</f>
        <v/>
      </c>
      <c r="AA620" s="675"/>
      <c r="AB620" s="675"/>
      <c r="AC620" s="237"/>
      <c r="AD620" s="238"/>
      <c r="AE620" s="238"/>
      <c r="AF620" s="238"/>
      <c r="AG620" s="238"/>
      <c r="AH620" s="236"/>
      <c r="AI620" s="675" t="str">
        <f>IF($F624="","",SUM(AI636:AK636)-AK622)</f>
        <v/>
      </c>
      <c r="AJ620" s="675"/>
      <c r="AK620" s="675"/>
      <c r="AL620" s="237"/>
      <c r="AM620" s="238"/>
      <c r="AN620" s="238"/>
      <c r="AO620" s="238"/>
      <c r="AP620" s="238"/>
      <c r="AQ620" s="236"/>
      <c r="AR620" s="675" t="str">
        <f>IF($F624="","",SUM(AR636:AT636)-AT622)</f>
        <v/>
      </c>
      <c r="AS620" s="675"/>
      <c r="AT620" s="675"/>
      <c r="AU620" s="239"/>
      <c r="AV620" s="238"/>
      <c r="AW620" s="238"/>
      <c r="AX620" s="238"/>
      <c r="AY620" s="238"/>
      <c r="AZ620" s="240"/>
      <c r="BA620" s="675" t="str">
        <f>IF($F624="","",SUM(BA636:BC636)-BC622)</f>
        <v/>
      </c>
      <c r="BB620" s="675"/>
      <c r="BC620" s="675"/>
      <c r="BD620" s="239"/>
      <c r="BE620" s="238"/>
      <c r="BF620" s="238"/>
      <c r="BG620" s="238"/>
      <c r="BH620" s="238"/>
      <c r="BI620" s="240"/>
      <c r="BJ620" s="675" t="str">
        <f>IF($F624="","",SUM(BJ636:BL636)-BL622)</f>
        <v/>
      </c>
      <c r="BK620" s="675"/>
      <c r="BL620" s="675"/>
      <c r="BM620" s="239"/>
      <c r="BN620" s="238"/>
      <c r="BO620" s="238"/>
      <c r="BP620" s="238"/>
      <c r="BQ620" s="238"/>
      <c r="BR620" s="241"/>
      <c r="BS620" s="675" t="str">
        <f>IF($F624="","",SUM(BS636:BU636)-BU622)</f>
        <v/>
      </c>
      <c r="BT620" s="675"/>
      <c r="BU620" s="675"/>
      <c r="BV620" s="240"/>
      <c r="BW620" s="238"/>
      <c r="BX620" s="238"/>
      <c r="BY620" s="238"/>
      <c r="BZ620" s="238"/>
      <c r="CA620" s="241"/>
      <c r="CB620" s="675" t="str">
        <f>IF($F624="","",SUM(CB636:CD636)-CD622)</f>
        <v/>
      </c>
      <c r="CC620" s="675"/>
      <c r="CD620" s="675"/>
      <c r="CE620" s="240"/>
      <c r="CF620" s="238"/>
      <c r="CG620" s="238"/>
      <c r="CH620" s="238"/>
      <c r="CI620" s="238"/>
      <c r="CJ620" s="234"/>
      <c r="CK620" s="675" t="str">
        <f>IF($F624="","",SUM(CK636:CM636))</f>
        <v/>
      </c>
      <c r="CL620" s="675"/>
      <c r="CM620" s="675"/>
      <c r="CN620" s="240"/>
      <c r="CO620" s="238"/>
      <c r="CP620" s="238"/>
      <c r="CQ620" s="238"/>
      <c r="CR620" s="238"/>
      <c r="CS620" s="234"/>
      <c r="CT620" s="234"/>
      <c r="CU620" s="251"/>
      <c r="CV620" s="209"/>
      <c r="CW620" s="218"/>
    </row>
    <row r="621" spans="1:101" x14ac:dyDescent="0.2">
      <c r="A621" s="219"/>
      <c r="B621" s="219"/>
      <c r="C621" s="174"/>
      <c r="D621" s="779"/>
      <c r="E621" s="543">
        <f>E599+7</f>
        <v>46445</v>
      </c>
      <c r="F621" s="178"/>
      <c r="G621" s="179"/>
      <c r="H621" s="179"/>
      <c r="I621" s="876"/>
      <c r="J621" s="876"/>
      <c r="K621" s="876"/>
      <c r="L621" s="254"/>
      <c r="M621" s="329"/>
      <c r="N621" s="208"/>
      <c r="O621" s="180"/>
      <c r="P621" s="180"/>
      <c r="Q621" s="584" t="str">
        <f>IF(Q620="","",Q620/Data!$X$1)</f>
        <v/>
      </c>
      <c r="R621" s="584"/>
      <c r="S621" s="585" t="str">
        <f>IF(SUM(X624:X635)=0,"",SUM(X624:X635))</f>
        <v/>
      </c>
      <c r="T621" s="181"/>
      <c r="U621" s="182"/>
      <c r="V621" s="182"/>
      <c r="W621" s="182"/>
      <c r="X621" s="182"/>
      <c r="Y621" s="180"/>
      <c r="Z621" s="584" t="str">
        <f>IF(Z620="","",Z620/Data!$X$1)</f>
        <v/>
      </c>
      <c r="AA621" s="584"/>
      <c r="AB621" s="585" t="str">
        <f>IF(SUM(AG624:AG635)=0,"",SUM(AG624:AG635))</f>
        <v/>
      </c>
      <c r="AC621" s="181"/>
      <c r="AD621" s="182"/>
      <c r="AE621" s="182"/>
      <c r="AF621" s="182"/>
      <c r="AG621" s="182"/>
      <c r="AH621" s="180"/>
      <c r="AI621" s="584" t="str">
        <f>IF(AI620="","",AI620/Data!$X$1)</f>
        <v/>
      </c>
      <c r="AJ621" s="584"/>
      <c r="AK621" s="585" t="str">
        <f>IF(SUM(AP624:AP635)=0,"",SUM(AP624:AP635))</f>
        <v/>
      </c>
      <c r="AL621" s="181"/>
      <c r="AM621" s="182"/>
      <c r="AN621" s="182"/>
      <c r="AO621" s="182"/>
      <c r="AP621" s="182"/>
      <c r="AQ621" s="180"/>
      <c r="AR621" s="584" t="str">
        <f>IF(AR620="","",AR620/Data!$X$1)</f>
        <v/>
      </c>
      <c r="AS621" s="584"/>
      <c r="AT621" s="585" t="str">
        <f>IF(SUM(AY624:AY635)=0,"",SUM(AY624:AY635))</f>
        <v/>
      </c>
      <c r="AU621" s="183"/>
      <c r="AV621" s="182"/>
      <c r="AW621" s="182"/>
      <c r="AX621" s="182"/>
      <c r="AY621" s="182"/>
      <c r="AZ621" s="184"/>
      <c r="BA621" s="584" t="str">
        <f>IF(BA620="","",BA620/Data!$X$1)</f>
        <v/>
      </c>
      <c r="BB621" s="584"/>
      <c r="BC621" s="585" t="str">
        <f>IF(SUM(BH624:BH635)=0,"",SUM(BH624:BH635))</f>
        <v/>
      </c>
      <c r="BD621" s="183"/>
      <c r="BE621" s="182"/>
      <c r="BF621" s="182"/>
      <c r="BG621" s="182"/>
      <c r="BH621" s="182"/>
      <c r="BI621" s="184"/>
      <c r="BJ621" s="584" t="str">
        <f>IF(BJ620="","",BJ620/Data!$X$1)</f>
        <v/>
      </c>
      <c r="BK621" s="584"/>
      <c r="BL621" s="585" t="str">
        <f>IF(SUM(BQ624:BQ635)=0,"",SUM(BQ624:BQ635))</f>
        <v/>
      </c>
      <c r="BM621" s="183"/>
      <c r="BN621" s="182"/>
      <c r="BO621" s="182"/>
      <c r="BP621" s="182"/>
      <c r="BQ621" s="182"/>
      <c r="BR621" s="185"/>
      <c r="BS621" s="584" t="str">
        <f>IF(BS620="","",BS620/Data!$X$1)</f>
        <v/>
      </c>
      <c r="BT621" s="584"/>
      <c r="BU621" s="585" t="str">
        <f>IF(SUM(BZ624:BZ635)=0,"",SUM(BZ624:BZ635))</f>
        <v/>
      </c>
      <c r="BV621" s="184"/>
      <c r="BW621" s="182"/>
      <c r="BX621" s="182"/>
      <c r="BY621" s="182"/>
      <c r="BZ621" s="182"/>
      <c r="CA621" s="185"/>
      <c r="CB621" s="584" t="str">
        <f>IF(CB620="","",CB620/Data!$X$1)</f>
        <v/>
      </c>
      <c r="CC621" s="584"/>
      <c r="CD621" s="585" t="str">
        <f>IF(SUM(CI624:CI635)=0,"",SUM(CI624:CI635))</f>
        <v/>
      </c>
      <c r="CE621" s="184"/>
      <c r="CF621" s="182"/>
      <c r="CG621" s="182"/>
      <c r="CH621" s="182"/>
      <c r="CI621" s="182"/>
      <c r="CJ621" s="182"/>
      <c r="CK621" s="584" t="str">
        <f>IF(CK620="","",CK620/Data!$X$1)</f>
        <v/>
      </c>
      <c r="CL621" s="584"/>
      <c r="CM621" s="585" t="str">
        <f>IF(SUM(CR624:CR635)=0,"",SUM(CR624:CR635))</f>
        <v/>
      </c>
      <c r="CN621" s="184"/>
      <c r="CO621" s="182"/>
      <c r="CP621" s="182"/>
      <c r="CQ621" s="182"/>
      <c r="CR621" s="182"/>
      <c r="CS621" s="182"/>
      <c r="CT621" s="182"/>
      <c r="CU621" s="255"/>
      <c r="CV621" s="209"/>
      <c r="CW621" s="218"/>
    </row>
    <row r="622" spans="1:101" ht="13.5" thickBot="1" x14ac:dyDescent="0.25">
      <c r="A622" s="219"/>
      <c r="B622" s="219"/>
      <c r="C622" s="174"/>
      <c r="D622" s="230"/>
      <c r="E622" s="359"/>
      <c r="F622" s="186"/>
      <c r="G622" s="187"/>
      <c r="H622" s="187"/>
      <c r="I622" s="673"/>
      <c r="J622" s="674"/>
      <c r="K622" s="674"/>
      <c r="L622" s="256"/>
      <c r="M622" s="330"/>
      <c r="N622" s="334"/>
      <c r="O622" s="187"/>
      <c r="P622" s="187"/>
      <c r="Q622" s="342" t="str">
        <f>Data!$E$11</f>
        <v>AHH</v>
      </c>
      <c r="R622" s="343" t="str">
        <f>IF($F635="","",RANK(Q620,$Q620:$CL620))</f>
        <v/>
      </c>
      <c r="S622" s="466"/>
      <c r="T622" s="181"/>
      <c r="U622" s="182"/>
      <c r="V622" s="182"/>
      <c r="W622" s="182"/>
      <c r="X622" s="197">
        <f>COUNTIF(U624:W635,"&gt;0")</f>
        <v>0</v>
      </c>
      <c r="Y622" s="180"/>
      <c r="Z622" s="342" t="str">
        <f>Data!$E$12</f>
        <v>RB</v>
      </c>
      <c r="AA622" s="343" t="str">
        <f>IF($F635="","",RANK(Z620,$Q620:$CL620))</f>
        <v/>
      </c>
      <c r="AB622" s="466"/>
      <c r="AC622" s="181"/>
      <c r="AD622" s="182"/>
      <c r="AE622" s="182"/>
      <c r="AF622" s="182"/>
      <c r="AG622" s="197">
        <f>COUNTIF(AD624:AF635,"&gt;0")</f>
        <v>0</v>
      </c>
      <c r="AH622" s="180"/>
      <c r="AI622" s="342" t="str">
        <f>Data!$E$13</f>
        <v>EB</v>
      </c>
      <c r="AJ622" s="343" t="str">
        <f>IF($F635="","",RANK(AI620,$Q620:$CL620))</f>
        <v/>
      </c>
      <c r="AK622" s="466"/>
      <c r="AL622" s="181"/>
      <c r="AM622" s="182"/>
      <c r="AN622" s="182"/>
      <c r="AO622" s="182"/>
      <c r="AP622" s="197">
        <f>COUNTIF(AM624:AO635,"&gt;0")</f>
        <v>0</v>
      </c>
      <c r="AQ622" s="180"/>
      <c r="AR622" s="305" t="str">
        <f>Data!$E$14</f>
        <v>KAF</v>
      </c>
      <c r="AS622" s="343" t="str">
        <f>IF($F635="","",RANK(AR620,$Q620:$CL620))</f>
        <v/>
      </c>
      <c r="AT622" s="466"/>
      <c r="AU622" s="181"/>
      <c r="AV622" s="182"/>
      <c r="AW622" s="182"/>
      <c r="AX622" s="182"/>
      <c r="AY622" s="197">
        <f>COUNTIF(AV624:AX635,"&gt;0")</f>
        <v>0</v>
      </c>
      <c r="AZ622" s="180"/>
      <c r="BA622" s="305" t="str">
        <f>Data!$E$15</f>
        <v>ØG</v>
      </c>
      <c r="BB622" s="343" t="str">
        <f>IF($F635="","",RANK(BA620,$Q620:$CL620))</f>
        <v/>
      </c>
      <c r="BC622" s="466"/>
      <c r="BD622" s="181"/>
      <c r="BE622" s="182"/>
      <c r="BF622" s="182"/>
      <c r="BG622" s="182"/>
      <c r="BH622" s="197">
        <f>COUNTIF(BE624:BG635,"&gt;0")</f>
        <v>0</v>
      </c>
      <c r="BI622" s="180"/>
      <c r="BJ622" s="305" t="str">
        <f>Data!$E$16</f>
        <v>JH</v>
      </c>
      <c r="BK622" s="343" t="str">
        <f>IF($F635="","",RANK(BJ620,$Q620:$CL620))</f>
        <v/>
      </c>
      <c r="BL622" s="466"/>
      <c r="BM622" s="181"/>
      <c r="BN622" s="182"/>
      <c r="BO622" s="182"/>
      <c r="BP622" s="182"/>
      <c r="BQ622" s="197">
        <f>COUNTIF(BN624:BP635,"&gt;0")</f>
        <v>0</v>
      </c>
      <c r="BR622" s="188"/>
      <c r="BS622" s="305" t="str">
        <f>Data!$E$17</f>
        <v>TOH</v>
      </c>
      <c r="BT622" s="343" t="str">
        <f>IF($F635="","",RANK(BS620,$Q620:$CL620))</f>
        <v/>
      </c>
      <c r="BU622" s="466"/>
      <c r="BV622" s="180"/>
      <c r="BW622" s="182"/>
      <c r="BX622" s="182"/>
      <c r="BY622" s="182"/>
      <c r="BZ622" s="197">
        <f>COUNTIF(BW624:BY635,"&gt;0")</f>
        <v>0</v>
      </c>
      <c r="CA622" s="188"/>
      <c r="CB622" s="305" t="s">
        <v>26</v>
      </c>
      <c r="CC622" s="343" t="str">
        <f>IF($F635="","",RANK(CB620,$Q620:$CM620))</f>
        <v/>
      </c>
      <c r="CD622" s="467"/>
      <c r="CE622" s="180"/>
      <c r="CF622" s="182"/>
      <c r="CG622" s="182"/>
      <c r="CH622" s="182"/>
      <c r="CI622" s="197">
        <f>COUNTIF(CF624:CH635,"&gt;0")</f>
        <v>0</v>
      </c>
      <c r="CJ622" s="182"/>
      <c r="CK622" s="305" t="s">
        <v>27</v>
      </c>
      <c r="CL622" s="343" t="str">
        <f>IF($F635="","",RANK(CK620,$Q620:$CM620))</f>
        <v/>
      </c>
      <c r="CM622" s="669"/>
      <c r="CN622" s="180"/>
      <c r="CO622" s="182"/>
      <c r="CP622" s="182"/>
      <c r="CQ622" s="182"/>
      <c r="CR622" s="197">
        <f>COUNTIF(CO624:CQ635,"&gt;0")</f>
        <v>0</v>
      </c>
      <c r="CS622" s="182"/>
      <c r="CT622" s="182"/>
      <c r="CU622" s="255"/>
      <c r="CV622" s="209"/>
      <c r="CW622" s="218"/>
    </row>
    <row r="623" spans="1:101" ht="13.5" thickBot="1" x14ac:dyDescent="0.25">
      <c r="A623" s="227"/>
      <c r="B623" s="227"/>
      <c r="C623" s="168"/>
      <c r="D623" s="231"/>
      <c r="E623" s="189"/>
      <c r="F623" s="190"/>
      <c r="G623" s="191"/>
      <c r="H623" s="191"/>
      <c r="I623" s="192" t="s">
        <v>47</v>
      </c>
      <c r="J623" s="193" t="s">
        <v>48</v>
      </c>
      <c r="K623" s="194" t="s">
        <v>49</v>
      </c>
      <c r="L623" s="257"/>
      <c r="M623" s="331"/>
      <c r="N623" s="335"/>
      <c r="O623" s="195"/>
      <c r="P623" s="195"/>
      <c r="Q623" s="192" t="s">
        <v>47</v>
      </c>
      <c r="R623" s="193" t="s">
        <v>48</v>
      </c>
      <c r="S623" s="194" t="s">
        <v>49</v>
      </c>
      <c r="T623" s="196"/>
      <c r="U623" s="197"/>
      <c r="V623" s="197"/>
      <c r="W623" s="197"/>
      <c r="X623" s="197"/>
      <c r="Y623" s="195"/>
      <c r="Z623" s="192" t="s">
        <v>47</v>
      </c>
      <c r="AA623" s="193" t="s">
        <v>48</v>
      </c>
      <c r="AB623" s="194" t="s">
        <v>49</v>
      </c>
      <c r="AC623" s="196"/>
      <c r="AD623" s="197"/>
      <c r="AE623" s="197"/>
      <c r="AF623" s="197"/>
      <c r="AG623" s="197"/>
      <c r="AH623" s="195"/>
      <c r="AI623" s="192" t="s">
        <v>47</v>
      </c>
      <c r="AJ623" s="193" t="s">
        <v>48</v>
      </c>
      <c r="AK623" s="194" t="s">
        <v>49</v>
      </c>
      <c r="AL623" s="196"/>
      <c r="AM623" s="197"/>
      <c r="AN623" s="197"/>
      <c r="AO623" s="197"/>
      <c r="AP623" s="197"/>
      <c r="AQ623" s="195"/>
      <c r="AR623" s="192" t="s">
        <v>47</v>
      </c>
      <c r="AS623" s="193" t="s">
        <v>48</v>
      </c>
      <c r="AT623" s="194" t="s">
        <v>49</v>
      </c>
      <c r="AU623" s="196"/>
      <c r="AV623" s="197"/>
      <c r="AW623" s="197"/>
      <c r="AX623" s="197"/>
      <c r="AY623" s="197"/>
      <c r="AZ623" s="195"/>
      <c r="BA623" s="192" t="s">
        <v>47</v>
      </c>
      <c r="BB623" s="193" t="s">
        <v>48</v>
      </c>
      <c r="BC623" s="194" t="s">
        <v>49</v>
      </c>
      <c r="BD623" s="196"/>
      <c r="BE623" s="197"/>
      <c r="BF623" s="197"/>
      <c r="BG623" s="197"/>
      <c r="BH623" s="197"/>
      <c r="BI623" s="195"/>
      <c r="BJ623" s="192" t="s">
        <v>47</v>
      </c>
      <c r="BK623" s="193" t="s">
        <v>48</v>
      </c>
      <c r="BL623" s="194" t="s">
        <v>49</v>
      </c>
      <c r="BM623" s="196"/>
      <c r="BN623" s="197"/>
      <c r="BO623" s="197"/>
      <c r="BP623" s="197"/>
      <c r="BQ623" s="197"/>
      <c r="BR623" s="195"/>
      <c r="BS623" s="192" t="s">
        <v>47</v>
      </c>
      <c r="BT623" s="193" t="s">
        <v>48</v>
      </c>
      <c r="BU623" s="194" t="s">
        <v>49</v>
      </c>
      <c r="BV623" s="196"/>
      <c r="BW623" s="197"/>
      <c r="BX623" s="197"/>
      <c r="BY623" s="197"/>
      <c r="BZ623" s="197"/>
      <c r="CA623" s="195"/>
      <c r="CB623" s="192" t="s">
        <v>47</v>
      </c>
      <c r="CC623" s="193" t="s">
        <v>48</v>
      </c>
      <c r="CD623" s="194" t="s">
        <v>49</v>
      </c>
      <c r="CE623" s="196"/>
      <c r="CF623" s="197"/>
      <c r="CG623" s="197"/>
      <c r="CH623" s="197"/>
      <c r="CI623" s="197"/>
      <c r="CJ623" s="197"/>
      <c r="CK623" s="192" t="s">
        <v>47</v>
      </c>
      <c r="CL623" s="193" t="s">
        <v>48</v>
      </c>
      <c r="CM623" s="194" t="s">
        <v>49</v>
      </c>
      <c r="CN623" s="196"/>
      <c r="CO623" s="197"/>
      <c r="CP623" s="197"/>
      <c r="CQ623" s="197"/>
      <c r="CR623" s="197"/>
      <c r="CS623" s="197"/>
      <c r="CT623" s="198"/>
      <c r="CU623" s="255"/>
      <c r="CV623" s="209"/>
      <c r="CW623" s="228"/>
    </row>
    <row r="624" spans="1:101" x14ac:dyDescent="0.2">
      <c r="A624" s="227"/>
      <c r="B624" s="227"/>
      <c r="C624" s="168"/>
      <c r="D624" s="232"/>
      <c r="E624" s="134" t="s">
        <v>389</v>
      </c>
      <c r="F624" s="424"/>
      <c r="G624" s="428"/>
      <c r="H624" s="429"/>
      <c r="I624" s="138" t="str">
        <f t="shared" ref="I624:I635" si="920">IF($F624&gt;$H624,"x","")</f>
        <v/>
      </c>
      <c r="J624" s="344" t="str">
        <f t="shared" ref="J624:J635" si="921">IF(F624&lt;&gt;"",IF(H624&lt;&gt;"",IF(F624=H624,"x",""),""),"")</f>
        <v/>
      </c>
      <c r="K624" s="345" t="str">
        <f t="shared" ref="K624:K635" si="922">IF($F624&lt;$H624,"x","")</f>
        <v/>
      </c>
      <c r="L624" s="258"/>
      <c r="M624" s="332"/>
      <c r="N624" s="336"/>
      <c r="O624" s="200"/>
      <c r="P624" s="200"/>
      <c r="Q624" s="436"/>
      <c r="R624" s="437"/>
      <c r="S624" s="438" t="str">
        <f t="shared" ref="S624:S635" si="923">IF(Q624="","",100-SUM(Q624:R624))</f>
        <v/>
      </c>
      <c r="T624" s="328"/>
      <c r="U624" s="197" t="str">
        <f>IF(AND($I624="x",AND(MAX(Q624:S624)=Q624,Q624&gt;=0)),Data!$BI$2,"")</f>
        <v/>
      </c>
      <c r="V624" s="197" t="str">
        <f>IF(AND($J624="x",AND(MAX(Q624:S624)=R624,R624&gt;=0)),Data!$BJ$2,"")</f>
        <v/>
      </c>
      <c r="W624" s="197" t="str">
        <f>IF(AND($K624="x",AND(MAX(Q624:S624)=S624,S624&gt;=0)),Data!$BK$2,"")</f>
        <v/>
      </c>
      <c r="X624" s="197"/>
      <c r="Y624" s="328"/>
      <c r="Z624" s="451"/>
      <c r="AA624" s="452"/>
      <c r="AB624" s="438" t="str">
        <f t="shared" ref="AB624:AB635" si="924">IF(Z624="","",100-SUM(Z624:AA624))</f>
        <v/>
      </c>
      <c r="AC624" s="328"/>
      <c r="AD624" s="197" t="str">
        <f>IF(AND($I624="x",AND(MAX(Z624:AB624)=Z624,Z624&lt;&gt;"")),Data!$BI$2,"")</f>
        <v/>
      </c>
      <c r="AE624" s="197" t="str">
        <f>IF(AND($J624="x",AND(MAX(Z624:AB624)=AA624,AA624&lt;&gt;"")),Data!$BJ$2,"")</f>
        <v/>
      </c>
      <c r="AF624" s="197" t="str">
        <f>IF(AND($K624="x",AND(MAX(Z624:AB624)=AB624,AB624&lt;&gt;"")),Data!$BK$2,"")</f>
        <v/>
      </c>
      <c r="AG624" s="197"/>
      <c r="AH624" s="328"/>
      <c r="AI624" s="451"/>
      <c r="AJ624" s="452"/>
      <c r="AK624" s="438" t="str">
        <f t="shared" ref="AK624:AK635" si="925">IF(AI624="","",100-SUM(AI624:AJ624))</f>
        <v/>
      </c>
      <c r="AL624" s="328"/>
      <c r="AM624" s="197" t="str">
        <f>IF(AND($I624="x",AND(MAX(AI624:AK624)=AI624,AI624&lt;&gt;"")),Data!$BI$2,"")</f>
        <v/>
      </c>
      <c r="AN624" s="197" t="str">
        <f>IF(AND($J624="x",AND(MAX(AI624:AK624)=AJ624,AJ624&lt;&gt;"")),Data!$BJ$2,"")</f>
        <v/>
      </c>
      <c r="AO624" s="197" t="str">
        <f>IF(AND($K624="x",AND(MAX(AI624:AK624)=AK624,AK624&lt;&gt;"")),Data!$BK$2,"")</f>
        <v/>
      </c>
      <c r="AP624" s="197"/>
      <c r="AQ624" s="328"/>
      <c r="AR624" s="451"/>
      <c r="AS624" s="452"/>
      <c r="AT624" s="438" t="str">
        <f t="shared" ref="AT624:AT635" si="926">IF(AR624="","",100-SUM(AR624:AS624))</f>
        <v/>
      </c>
      <c r="AU624" s="328"/>
      <c r="AV624" s="197" t="str">
        <f>IF(AND($I624="x",AND(MAX(AR624:AT624)=AR624,AR624&lt;&gt;"")),Data!$BI$2,"")</f>
        <v/>
      </c>
      <c r="AW624" s="197" t="str">
        <f>IF(AND($J624="x",AND(MAX(AR624:AT624)=AS624,AS624&lt;&gt;"")),Data!$BJ$2,"")</f>
        <v/>
      </c>
      <c r="AX624" s="197" t="str">
        <f>IF(AND($K624="x",AND(MAX(AR624:AT624)=AT624,AT624&lt;&gt;"")),Data!$BK$2,"")</f>
        <v/>
      </c>
      <c r="AY624" s="197"/>
      <c r="AZ624" s="328"/>
      <c r="BA624" s="451"/>
      <c r="BB624" s="452"/>
      <c r="BC624" s="438" t="str">
        <f t="shared" ref="BC624:BC635" si="927">IF(BA624="","",100-SUM(BA624:BB624))</f>
        <v/>
      </c>
      <c r="BD624" s="328"/>
      <c r="BE624" s="197" t="str">
        <f>IF(AND($I624="x",AND(MAX(BA624:BC624)=BA624,BA624&lt;&gt;"")),Data!$BI$2,"")</f>
        <v/>
      </c>
      <c r="BF624" s="197" t="str">
        <f>IF(AND($J624="x",AND(MAX(BA624:BC624)=BB624,BB624&lt;&gt;"")),Data!$BJ$2,"")</f>
        <v/>
      </c>
      <c r="BG624" s="197" t="str">
        <f>IF(AND($K624="x",AND(MAX(BA624:BC624)=BC624,BC624&lt;&gt;"")),Data!$BK$2,"")</f>
        <v/>
      </c>
      <c r="BH624" s="197"/>
      <c r="BI624" s="328"/>
      <c r="BJ624" s="451"/>
      <c r="BK624" s="452"/>
      <c r="BL624" s="438" t="str">
        <f t="shared" ref="BL624:BL635" si="928">IF(BJ624="","",100-SUM(BJ624:BK624))</f>
        <v/>
      </c>
      <c r="BM624" s="328"/>
      <c r="BN624" s="197" t="str">
        <f>IF(AND($I624="x",AND(MAX(BJ624:BL624)=BJ624,BJ624&lt;&gt;"")),Data!$BI$2,"")</f>
        <v/>
      </c>
      <c r="BO624" s="197" t="str">
        <f>IF(AND($J624="x",AND(MAX(BJ624:BL624)=BK624,BK624&lt;&gt;"")),Data!$BJ$2,"")</f>
        <v/>
      </c>
      <c r="BP624" s="197" t="str">
        <f>IF(AND($K624="x",AND(MAX(BJ624:BL624)=BL624,BL624&lt;&gt;"")),Data!$BK$2,"")</f>
        <v/>
      </c>
      <c r="BQ624" s="197"/>
      <c r="BR624" s="328"/>
      <c r="BS624" s="451"/>
      <c r="BT624" s="452"/>
      <c r="BU624" s="438" t="str">
        <f t="shared" ref="BU624:BU635" si="929">IF(BS624="","",100-SUM(BS624:BT624))</f>
        <v/>
      </c>
      <c r="BV624" s="328"/>
      <c r="BW624" s="197" t="str">
        <f>IF(AND($I624="x",AND(MAX(BS624:BU624)=BS624,BS624&lt;&gt;"")),Data!$BI$2,"")</f>
        <v/>
      </c>
      <c r="BX624" s="197" t="str">
        <f>IF(AND($J624="x",AND(MAX(BS624:BU624)=BT624,BT624&lt;&gt;"")),Data!$BJ$2,"")</f>
        <v/>
      </c>
      <c r="BY624" s="197" t="str">
        <f>IF(AND($K624="x",AND(MAX(BS624:BU624)=BU624,BU624&lt;&gt;"")),Data!$BK$2,"")</f>
        <v/>
      </c>
      <c r="BZ624" s="197"/>
      <c r="CA624" s="328"/>
      <c r="CB624" s="457"/>
      <c r="CC624" s="458"/>
      <c r="CD624" s="459" t="str">
        <f t="shared" ref="CD624:CD635" si="930">IF(CB624="","",100-SUM(CB624:CC624))</f>
        <v/>
      </c>
      <c r="CE624" s="328"/>
      <c r="CF624" s="197" t="str">
        <f>IF(AND($I624="x",AND(MAX(CB624:CD624)=CB624,CB624&lt;&gt;"")),Data!$BI$2,"")</f>
        <v/>
      </c>
      <c r="CG624" s="197" t="str">
        <f>IF(AND($J624="x",AND(MAX(CB624:CD624)=CC624,CC624&lt;&gt;"")),Data!$BJ$2,"")</f>
        <v/>
      </c>
      <c r="CH624" s="197" t="str">
        <f>IF(AND($K624="x",AND(MAX(CB624:CD624)=CD624,CD624&lt;&gt;"")),Data!$BK$2,"")</f>
        <v/>
      </c>
      <c r="CI624" s="197"/>
      <c r="CJ624" s="197"/>
      <c r="CK624" s="451"/>
      <c r="CL624" s="452"/>
      <c r="CM624" s="438" t="str">
        <f t="shared" ref="CM624:CM635" si="931">IF(CK624="","",100-SUM(CK624:CL624))</f>
        <v/>
      </c>
      <c r="CN624" s="328"/>
      <c r="CO624" s="197" t="str">
        <f>IF(AND($I624="x",AND(MAX(CK624:CM624)=CK624,CK624&lt;&gt;"")),Data!$BI$2,"")</f>
        <v/>
      </c>
      <c r="CP624" s="197" t="str">
        <f>IF(AND($J624="x",AND(MAX(CK624:CM624)=CL624,CL624&lt;&gt;"")),Data!$BJ$2,"")</f>
        <v/>
      </c>
      <c r="CQ624" s="197" t="str">
        <f>IF(AND($K624="x",AND(MAX(CK624:CM624)=CM624,CM624&lt;&gt;"")),Data!$BK$2,"")</f>
        <v/>
      </c>
      <c r="CR624" s="197"/>
      <c r="CS624" s="197"/>
      <c r="CT624" s="328"/>
      <c r="CU624" s="255"/>
      <c r="CV624" s="209"/>
      <c r="CW624" s="227"/>
    </row>
    <row r="625" spans="1:101" x14ac:dyDescent="0.2">
      <c r="A625" s="227"/>
      <c r="B625" s="227"/>
      <c r="C625" s="168"/>
      <c r="D625" s="232"/>
      <c r="E625" s="135" t="s">
        <v>390</v>
      </c>
      <c r="F625" s="425"/>
      <c r="G625" s="430"/>
      <c r="H625" s="431"/>
      <c r="I625" s="346" t="str">
        <f t="shared" si="920"/>
        <v/>
      </c>
      <c r="J625" s="347" t="str">
        <f t="shared" si="921"/>
        <v/>
      </c>
      <c r="K625" s="348" t="str">
        <f t="shared" si="922"/>
        <v/>
      </c>
      <c r="L625" s="258"/>
      <c r="M625" s="332"/>
      <c r="N625" s="336"/>
      <c r="O625" s="200"/>
      <c r="P625" s="200"/>
      <c r="Q625" s="439"/>
      <c r="R625" s="440"/>
      <c r="S625" s="441" t="str">
        <f t="shared" si="923"/>
        <v/>
      </c>
      <c r="T625" s="328"/>
      <c r="U625" s="197" t="str">
        <f>IF(AND($I625="x",AND(MAX(Q625:S625)=Q625,Q625&gt;=0)),Data!$BI$2,"")</f>
        <v/>
      </c>
      <c r="V625" s="197" t="str">
        <f>IF(AND($J625="x",AND(MAX(Q625:S625)=R625,R625&gt;=0)),Data!$BJ$2,"")</f>
        <v/>
      </c>
      <c r="W625" s="197" t="str">
        <f>IF(AND($K625="x",AND(MAX(Q625:S625)=S625,S625&gt;=0)),Data!$BK$2,"")</f>
        <v/>
      </c>
      <c r="X625" s="197"/>
      <c r="Y625" s="328"/>
      <c r="Z625" s="453"/>
      <c r="AA625" s="454"/>
      <c r="AB625" s="441" t="str">
        <f t="shared" si="924"/>
        <v/>
      </c>
      <c r="AC625" s="328"/>
      <c r="AD625" s="197" t="str">
        <f>IF(AND($I625="x",AND(MAX(Z625:AB625)=Z625,Z625&lt;&gt;"")),Data!$BI$2,"")</f>
        <v/>
      </c>
      <c r="AE625" s="197" t="str">
        <f>IF(AND($J625="x",AND(MAX(Z625:AB625)=AA625,AA625&lt;&gt;"")),Data!$BJ$2,"")</f>
        <v/>
      </c>
      <c r="AF625" s="197" t="str">
        <f>IF(AND($K625="x",AND(MAX(Z625:AB625)=AB625,AB625&lt;&gt;"")),Data!$BK$2,"")</f>
        <v/>
      </c>
      <c r="AG625" s="197"/>
      <c r="AH625" s="328"/>
      <c r="AI625" s="453"/>
      <c r="AJ625" s="454"/>
      <c r="AK625" s="441" t="str">
        <f t="shared" si="925"/>
        <v/>
      </c>
      <c r="AL625" s="328"/>
      <c r="AM625" s="197" t="str">
        <f>IF(AND($I625="x",AND(MAX(AI625:AK625)=AI625,AI625&lt;&gt;"")),Data!$BI$2,"")</f>
        <v/>
      </c>
      <c r="AN625" s="197" t="str">
        <f>IF(AND($J625="x",AND(MAX(AI625:AK625)=AJ625,AJ625&lt;&gt;"")),Data!$BJ$2,"")</f>
        <v/>
      </c>
      <c r="AO625" s="197" t="str">
        <f>IF(AND($K625="x",AND(MAX(AI625:AK625)=AK625,AK625&lt;&gt;"")),Data!$BK$2,"")</f>
        <v/>
      </c>
      <c r="AP625" s="197"/>
      <c r="AQ625" s="328"/>
      <c r="AR625" s="453"/>
      <c r="AS625" s="454"/>
      <c r="AT625" s="441" t="str">
        <f t="shared" si="926"/>
        <v/>
      </c>
      <c r="AU625" s="328"/>
      <c r="AV625" s="197" t="str">
        <f>IF(AND($I625="x",AND(MAX(AR625:AT625)=AR625,AR625&lt;&gt;"")),Data!$BI$2,"")</f>
        <v/>
      </c>
      <c r="AW625" s="197" t="str">
        <f>IF(AND($J625="x",AND(MAX(AR625:AT625)=AS625,AS625&lt;&gt;"")),Data!$BJ$2,"")</f>
        <v/>
      </c>
      <c r="AX625" s="197" t="str">
        <f>IF(AND($K625="x",AND(MAX(AR625:AT625)=AT625,AT625&lt;&gt;"")),Data!$BK$2,"")</f>
        <v/>
      </c>
      <c r="AY625" s="197"/>
      <c r="AZ625" s="328"/>
      <c r="BA625" s="453"/>
      <c r="BB625" s="454"/>
      <c r="BC625" s="441" t="str">
        <f t="shared" si="927"/>
        <v/>
      </c>
      <c r="BD625" s="328"/>
      <c r="BE625" s="197" t="str">
        <f>IF(AND($I625="x",AND(MAX(BA625:BC625)=BA625,BA625&lt;&gt;"")),Data!$BI$2,"")</f>
        <v/>
      </c>
      <c r="BF625" s="197" t="str">
        <f>IF(AND($J625="x",AND(MAX(BA625:BC625)=BB625,BB625&lt;&gt;"")),Data!$BJ$2,"")</f>
        <v/>
      </c>
      <c r="BG625" s="197" t="str">
        <f>IF(AND($K625="x",AND(MAX(BA625:BC625)=BC625,BC625&lt;&gt;"")),Data!$BK$2,"")</f>
        <v/>
      </c>
      <c r="BH625" s="197"/>
      <c r="BI625" s="328"/>
      <c r="BJ625" s="453"/>
      <c r="BK625" s="454"/>
      <c r="BL625" s="441" t="str">
        <f t="shared" si="928"/>
        <v/>
      </c>
      <c r="BM625" s="328"/>
      <c r="BN625" s="197" t="str">
        <f>IF(AND($I625="x",AND(MAX(BJ625:BL625)=BJ625,BJ625&lt;&gt;"")),Data!$BI$2,"")</f>
        <v/>
      </c>
      <c r="BO625" s="197" t="str">
        <f>IF(AND($J625="x",AND(MAX(BJ625:BL625)=BK625,BK625&lt;&gt;"")),Data!$BJ$2,"")</f>
        <v/>
      </c>
      <c r="BP625" s="197" t="str">
        <f>IF(AND($K625="x",AND(MAX(BJ625:BL625)=BL625,BL625&lt;&gt;"")),Data!$BK$2,"")</f>
        <v/>
      </c>
      <c r="BQ625" s="197"/>
      <c r="BR625" s="328"/>
      <c r="BS625" s="453"/>
      <c r="BT625" s="454"/>
      <c r="BU625" s="441" t="str">
        <f t="shared" si="929"/>
        <v/>
      </c>
      <c r="BV625" s="328"/>
      <c r="BW625" s="197" t="str">
        <f>IF(AND($I625="x",AND(MAX(BS625:BU625)=BS625,BS625&lt;&gt;"")),Data!$BI$2,"")</f>
        <v/>
      </c>
      <c r="BX625" s="197" t="str">
        <f>IF(AND($J625="x",AND(MAX(BS625:BU625)=BT625,BT625&lt;&gt;"")),Data!$BJ$2,"")</f>
        <v/>
      </c>
      <c r="BY625" s="197" t="str">
        <f>IF(AND($K625="x",AND(MAX(BS625:BU625)=BU625,BU625&lt;&gt;"")),Data!$BK$2,"")</f>
        <v/>
      </c>
      <c r="BZ625" s="197"/>
      <c r="CA625" s="328"/>
      <c r="CB625" s="460" t="str">
        <f t="shared" ref="CB625:CB635" si="932">IFERROR(ROUNDUP((SUM(Q625,Z625,AI625,AR625,BA625,BJ625,BS625)/SUM($Q625:$S625,$Z625:$AB625,$AI625:$AK625,$AR625:$AT625,$BA625:$BC625,$BJ625:$BL625,$BS625:$BU625))*100,-1),"")</f>
        <v/>
      </c>
      <c r="CC625" s="461" t="str">
        <f t="shared" ref="CC625:CC635" si="933">IFERROR(ROUNDDOWN((SUM(R625,AA625,AJ625,AS625,BB625,BK625,BT625)/SUM($Q625:$S625,$Z625:$AB625,$AI625:$AK625,$AR625:$AT625,$BA625:$BC625,$BJ625:$BL625,$BS625:$BU625))*100,-1),"")</f>
        <v/>
      </c>
      <c r="CD625" s="462" t="str">
        <f t="shared" si="930"/>
        <v/>
      </c>
      <c r="CE625" s="328"/>
      <c r="CF625" s="197" t="str">
        <f>IF(AND($I625="x",AND(MAX(CB625:CD625)=CB625,CB625&lt;&gt;"")),Data!$BI$2,"")</f>
        <v/>
      </c>
      <c r="CG625" s="197" t="str">
        <f>IF(AND($J625="x",AND(MAX(CB625:CD625)=CC625,CC625&lt;&gt;"")),Data!$BJ$2,"")</f>
        <v/>
      </c>
      <c r="CH625" s="197" t="str">
        <f>IF(AND($K625="x",AND(MAX(CB625:CD625)=CD625,CD625&lt;&gt;"")),Data!$BK$2,"")</f>
        <v/>
      </c>
      <c r="CI625" s="197"/>
      <c r="CJ625" s="197"/>
      <c r="CK625" s="453"/>
      <c r="CL625" s="454"/>
      <c r="CM625" s="441" t="str">
        <f t="shared" si="931"/>
        <v/>
      </c>
      <c r="CN625" s="328"/>
      <c r="CO625" s="197" t="str">
        <f>IF(AND($I625="x",AND(MAX(CK625:CM625)=CK625,CK625&lt;&gt;"")),Data!$BI$2,"")</f>
        <v/>
      </c>
      <c r="CP625" s="197" t="str">
        <f>IF(AND($J625="x",AND(MAX(CK625:CM625)=CL625,CL625&lt;&gt;"")),Data!$BJ$2,"")</f>
        <v/>
      </c>
      <c r="CQ625" s="197" t="str">
        <f>IF(AND($K625="x",AND(MAX(CK625:CM625)=CM625,CM625&lt;&gt;"")),Data!$BK$2,"")</f>
        <v/>
      </c>
      <c r="CR625" s="197"/>
      <c r="CS625" s="197"/>
      <c r="CT625" s="328"/>
      <c r="CU625" s="255"/>
      <c r="CV625" s="209"/>
      <c r="CW625" s="227"/>
    </row>
    <row r="626" spans="1:101" x14ac:dyDescent="0.2">
      <c r="A626" s="227"/>
      <c r="B626" s="227"/>
      <c r="C626" s="168"/>
      <c r="D626" s="232"/>
      <c r="E626" s="136" t="s">
        <v>391</v>
      </c>
      <c r="F626" s="426"/>
      <c r="G626" s="432"/>
      <c r="H626" s="433"/>
      <c r="I626" s="349" t="str">
        <f t="shared" si="920"/>
        <v/>
      </c>
      <c r="J626" s="350" t="str">
        <f t="shared" si="921"/>
        <v/>
      </c>
      <c r="K626" s="351" t="str">
        <f t="shared" si="922"/>
        <v/>
      </c>
      <c r="L626" s="258"/>
      <c r="M626" s="332"/>
      <c r="N626" s="336"/>
      <c r="O626" s="200"/>
      <c r="P626" s="200"/>
      <c r="Q626" s="442"/>
      <c r="R626" s="443"/>
      <c r="S626" s="444" t="str">
        <f t="shared" si="923"/>
        <v/>
      </c>
      <c r="T626" s="328"/>
      <c r="U626" s="197" t="str">
        <f>IF(AND($I626="x",AND(MAX(Q626:S626)=Q626,Q626&gt;=0)),Data!$BI$2,"")</f>
        <v/>
      </c>
      <c r="V626" s="197" t="str">
        <f>IF(AND($J626="x",AND(MAX(Q626:S626)=R626,R626&gt;=0)),Data!$BJ$2,"")</f>
        <v/>
      </c>
      <c r="W626" s="197" t="str">
        <f>IF(AND($K626="x",AND(MAX(Q626:S626)=S626,S626&gt;=0)),Data!$BK$2,"")</f>
        <v/>
      </c>
      <c r="X626" s="197"/>
      <c r="Y626" s="328"/>
      <c r="Z626" s="455"/>
      <c r="AA626" s="456"/>
      <c r="AB626" s="444" t="str">
        <f t="shared" si="924"/>
        <v/>
      </c>
      <c r="AC626" s="328"/>
      <c r="AD626" s="197" t="str">
        <f>IF(AND($I626="x",AND(MAX(Z626:AB626)=Z626,Z626&lt;&gt;"")),Data!$BI$2,"")</f>
        <v/>
      </c>
      <c r="AE626" s="197" t="str">
        <f>IF(AND($J626="x",AND(MAX(Z626:AB626)=AA626,AA626&lt;&gt;"")),Data!$BJ$2,"")</f>
        <v/>
      </c>
      <c r="AF626" s="197" t="str">
        <f>IF(AND($K626="x",AND(MAX(Z626:AB626)=AB626,AB626&lt;&gt;"")),Data!$BK$2,"")</f>
        <v/>
      </c>
      <c r="AG626" s="197"/>
      <c r="AH626" s="328"/>
      <c r="AI626" s="455"/>
      <c r="AJ626" s="456"/>
      <c r="AK626" s="444" t="str">
        <f t="shared" si="925"/>
        <v/>
      </c>
      <c r="AL626" s="328"/>
      <c r="AM626" s="197" t="str">
        <f>IF(AND($I626="x",AND(MAX(AI626:AK626)=AI626,AI626&lt;&gt;"")),Data!$BI$2,"")</f>
        <v/>
      </c>
      <c r="AN626" s="197" t="str">
        <f>IF(AND($J626="x",AND(MAX(AI626:AK626)=AJ626,AJ626&lt;&gt;"")),Data!$BJ$2,"")</f>
        <v/>
      </c>
      <c r="AO626" s="197" t="str">
        <f>IF(AND($K626="x",AND(MAX(AI626:AK626)=AK626,AK626&lt;&gt;"")),Data!$BK$2,"")</f>
        <v/>
      </c>
      <c r="AP626" s="197"/>
      <c r="AQ626" s="328"/>
      <c r="AR626" s="455"/>
      <c r="AS626" s="456"/>
      <c r="AT626" s="444" t="str">
        <f t="shared" si="926"/>
        <v/>
      </c>
      <c r="AU626" s="328"/>
      <c r="AV626" s="197" t="str">
        <f>IF(AND($I626="x",AND(MAX(AR626:AT626)=AR626,AR626&lt;&gt;"")),Data!$BI$2,"")</f>
        <v/>
      </c>
      <c r="AW626" s="197" t="str">
        <f>IF(AND($J626="x",AND(MAX(AR626:AT626)=AS626,AS626&lt;&gt;"")),Data!$BJ$2,"")</f>
        <v/>
      </c>
      <c r="AX626" s="197" t="str">
        <f>IF(AND($K626="x",AND(MAX(AR626:AT626)=AT626,AT626&lt;&gt;"")),Data!$BK$2,"")</f>
        <v/>
      </c>
      <c r="AY626" s="197"/>
      <c r="AZ626" s="328"/>
      <c r="BA626" s="455"/>
      <c r="BB626" s="456"/>
      <c r="BC626" s="444" t="str">
        <f t="shared" si="927"/>
        <v/>
      </c>
      <c r="BD626" s="328"/>
      <c r="BE626" s="197" t="str">
        <f>IF(AND($I626="x",AND(MAX(BA626:BC626)=BA626,BA626&lt;&gt;"")),Data!$BI$2,"")</f>
        <v/>
      </c>
      <c r="BF626" s="197" t="str">
        <f>IF(AND($J626="x",AND(MAX(BA626:BC626)=BB626,BB626&lt;&gt;"")),Data!$BJ$2,"")</f>
        <v/>
      </c>
      <c r="BG626" s="197" t="str">
        <f>IF(AND($K626="x",AND(MAX(BA626:BC626)=BC626,BC626&lt;&gt;"")),Data!$BK$2,"")</f>
        <v/>
      </c>
      <c r="BH626" s="197"/>
      <c r="BI626" s="328"/>
      <c r="BJ626" s="455"/>
      <c r="BK626" s="456"/>
      <c r="BL626" s="444"/>
      <c r="BM626" s="328"/>
      <c r="BN626" s="197" t="str">
        <f>IF(AND($I626="x",AND(MAX(BJ626:BL626)=BJ626,BJ626&lt;&gt;"")),Data!$BI$2,"")</f>
        <v/>
      </c>
      <c r="BO626" s="197" t="str">
        <f>IF(AND($J626="x",AND(MAX(BJ626:BL626)=BK626,BK626&lt;&gt;"")),Data!$BJ$2,"")</f>
        <v/>
      </c>
      <c r="BP626" s="197" t="str">
        <f>IF(AND($K626="x",AND(MAX(BJ626:BL626)=BL626,BL626&lt;&gt;"")),Data!$BK$2,"")</f>
        <v/>
      </c>
      <c r="BQ626" s="197"/>
      <c r="BR626" s="328"/>
      <c r="BS626" s="455"/>
      <c r="BT626" s="456"/>
      <c r="BU626" s="444" t="str">
        <f t="shared" si="929"/>
        <v/>
      </c>
      <c r="BV626" s="328"/>
      <c r="BW626" s="197" t="str">
        <f>IF(AND($I626="x",AND(MAX(BS626:BU626)=BS626,BS626&lt;&gt;"")),Data!$BI$2,"")</f>
        <v/>
      </c>
      <c r="BX626" s="197" t="str">
        <f>IF(AND($J626="x",AND(MAX(BS626:BU626)=BT626,BT626&lt;&gt;"")),Data!$BJ$2,"")</f>
        <v/>
      </c>
      <c r="BY626" s="197" t="str">
        <f>IF(AND($K626="x",AND(MAX(BS626:BU626)=BU626,BU626&lt;&gt;"")),Data!$BK$2,"")</f>
        <v/>
      </c>
      <c r="BZ626" s="197"/>
      <c r="CA626" s="328"/>
      <c r="CB626" s="463" t="str">
        <f t="shared" si="932"/>
        <v/>
      </c>
      <c r="CC626" s="464"/>
      <c r="CD626" s="465" t="str">
        <f t="shared" si="930"/>
        <v/>
      </c>
      <c r="CE626" s="328"/>
      <c r="CF626" s="197" t="str">
        <f>IF(AND($I626="x",AND(MAX(CB626:CD626)=CB626,CB626&lt;&gt;"")),Data!$BI$2,"")</f>
        <v/>
      </c>
      <c r="CG626" s="197" t="str">
        <f>IF(AND($J626="x",AND(MAX(CB626:CD626)=CC626,CC626&lt;&gt;"")),Data!$BJ$2,"")</f>
        <v/>
      </c>
      <c r="CH626" s="197" t="str">
        <f>IF(AND($K626="x",AND(MAX(CB626:CD626)=CD626,CD626&lt;&gt;"")),Data!$BK$2,"")</f>
        <v/>
      </c>
      <c r="CI626" s="197"/>
      <c r="CJ626" s="197"/>
      <c r="CK626" s="455"/>
      <c r="CL626" s="456"/>
      <c r="CM626" s="444" t="str">
        <f t="shared" si="931"/>
        <v/>
      </c>
      <c r="CN626" s="328"/>
      <c r="CO626" s="197" t="str">
        <f>IF(AND($I626="x",AND(MAX(CK626:CM626)=CK626,CK626&lt;&gt;"")),Data!$BI$2,"")</f>
        <v/>
      </c>
      <c r="CP626" s="197" t="str">
        <f>IF(AND($J626="x",AND(MAX(CK626:CM626)=CL626,CL626&lt;&gt;"")),Data!$BJ$2,"")</f>
        <v/>
      </c>
      <c r="CQ626" s="197" t="str">
        <f>IF(AND($K626="x",AND(MAX(CK626:CM626)=CM626,CM626&lt;&gt;"")),Data!$BK$2,"")</f>
        <v/>
      </c>
      <c r="CR626" s="197"/>
      <c r="CS626" s="197"/>
      <c r="CT626" s="328"/>
      <c r="CU626" s="255"/>
      <c r="CV626" s="209"/>
      <c r="CW626" s="227"/>
    </row>
    <row r="627" spans="1:101" x14ac:dyDescent="0.2">
      <c r="A627" s="227"/>
      <c r="B627" s="227"/>
      <c r="C627" s="168"/>
      <c r="D627" s="232"/>
      <c r="E627" s="134" t="s">
        <v>392</v>
      </c>
      <c r="F627" s="424"/>
      <c r="G627" s="428"/>
      <c r="H627" s="429"/>
      <c r="I627" s="138" t="str">
        <f t="shared" si="920"/>
        <v/>
      </c>
      <c r="J627" s="344" t="str">
        <f t="shared" si="921"/>
        <v/>
      </c>
      <c r="K627" s="345" t="str">
        <f t="shared" si="922"/>
        <v/>
      </c>
      <c r="L627" s="258"/>
      <c r="M627" s="332"/>
      <c r="N627" s="336"/>
      <c r="O627" s="200"/>
      <c r="P627" s="200"/>
      <c r="Q627" s="436"/>
      <c r="R627" s="437"/>
      <c r="S627" s="438" t="str">
        <f t="shared" si="923"/>
        <v/>
      </c>
      <c r="T627" s="328"/>
      <c r="U627" s="197" t="str">
        <f>IF(AND($I627="x",AND(MAX(Q627:S627)=Q627,Q627&gt;=0)),Data!$BI$2,"")</f>
        <v/>
      </c>
      <c r="V627" s="197" t="str">
        <f>IF(AND($J627="x",AND(MAX(Q627:S627)=R627,R627&gt;=0)),Data!$BJ$2,"")</f>
        <v/>
      </c>
      <c r="W627" s="197" t="str">
        <f>IF(AND($K627="x",AND(MAX(Q627:S627)=S627,S627&gt;=0)),Data!$BK$2,"")</f>
        <v/>
      </c>
      <c r="X627" s="197"/>
      <c r="Y627" s="328"/>
      <c r="Z627" s="451"/>
      <c r="AA627" s="452"/>
      <c r="AB627" s="438" t="str">
        <f t="shared" si="924"/>
        <v/>
      </c>
      <c r="AC627" s="328"/>
      <c r="AD627" s="197" t="str">
        <f>IF(AND($I627="x",AND(MAX(Z627:AB627)=Z627,Z627&lt;&gt;"")),Data!$BI$2,"")</f>
        <v/>
      </c>
      <c r="AE627" s="197" t="str">
        <f>IF(AND($J627="x",AND(MAX(Z627:AB627)=AA627,AA627&lt;&gt;"")),Data!$BJ$2,"")</f>
        <v/>
      </c>
      <c r="AF627" s="197" t="str">
        <f>IF(AND($K627="x",AND(MAX(Z627:AB627)=AB627,AB627&lt;&gt;"")),Data!$BK$2,"")</f>
        <v/>
      </c>
      <c r="AG627" s="197"/>
      <c r="AH627" s="328"/>
      <c r="AI627" s="451"/>
      <c r="AJ627" s="452"/>
      <c r="AK627" s="438" t="str">
        <f t="shared" si="925"/>
        <v/>
      </c>
      <c r="AL627" s="328"/>
      <c r="AM627" s="197" t="str">
        <f>IF(AND($I627="x",AND(MAX(AI627:AK627)=AI627,AI627&lt;&gt;"")),Data!$BI$2,"")</f>
        <v/>
      </c>
      <c r="AN627" s="197" t="str">
        <f>IF(AND($J627="x",AND(MAX(AI627:AK627)=AJ627,AJ627&lt;&gt;"")),Data!$BJ$2,"")</f>
        <v/>
      </c>
      <c r="AO627" s="197" t="str">
        <f>IF(AND($K627="x",AND(MAX(AI627:AK627)=AK627,AK627&lt;&gt;"")),Data!$BK$2,"")</f>
        <v/>
      </c>
      <c r="AP627" s="197"/>
      <c r="AQ627" s="328"/>
      <c r="AR627" s="451"/>
      <c r="AS627" s="452"/>
      <c r="AT627" s="438" t="str">
        <f t="shared" si="926"/>
        <v/>
      </c>
      <c r="AU627" s="328"/>
      <c r="AV627" s="197" t="str">
        <f>IF(AND($I627="x",AND(MAX(AR627:AT627)=AR627,AR627&lt;&gt;"")),Data!$BI$2,"")</f>
        <v/>
      </c>
      <c r="AW627" s="197" t="str">
        <f>IF(AND($J627="x",AND(MAX(AR627:AT627)=AS627,AS627&lt;&gt;"")),Data!$BJ$2,"")</f>
        <v/>
      </c>
      <c r="AX627" s="197" t="str">
        <f>IF(AND($K627="x",AND(MAX(AR627:AT627)=AT627,AT627&lt;&gt;"")),Data!$BK$2,"")</f>
        <v/>
      </c>
      <c r="AY627" s="197"/>
      <c r="AZ627" s="328"/>
      <c r="BA627" s="451"/>
      <c r="BB627" s="452"/>
      <c r="BC627" s="438" t="str">
        <f t="shared" si="927"/>
        <v/>
      </c>
      <c r="BD627" s="328"/>
      <c r="BE627" s="197" t="str">
        <f>IF(AND($I627="x",AND(MAX(BA627:BC627)=BA627,BA627&lt;&gt;"")),Data!$BI$2,"")</f>
        <v/>
      </c>
      <c r="BF627" s="197" t="str">
        <f>IF(AND($J627="x",AND(MAX(BA627:BC627)=BB627,BB627&lt;&gt;"")),Data!$BJ$2,"")</f>
        <v/>
      </c>
      <c r="BG627" s="197" t="str">
        <f>IF(AND($K627="x",AND(MAX(BA627:BC627)=BC627,BC627&lt;&gt;"")),Data!$BK$2,"")</f>
        <v/>
      </c>
      <c r="BH627" s="197"/>
      <c r="BI627" s="328"/>
      <c r="BJ627" s="451"/>
      <c r="BK627" s="452"/>
      <c r="BL627" s="438" t="str">
        <f t="shared" si="928"/>
        <v/>
      </c>
      <c r="BM627" s="328"/>
      <c r="BN627" s="197" t="str">
        <f>IF(AND($I627="x",AND(MAX(BJ627:BL627)=BJ627,BJ627&lt;&gt;"")),Data!$BI$2,"")</f>
        <v/>
      </c>
      <c r="BO627" s="197" t="str">
        <f>IF(AND($J627="x",AND(MAX(BJ627:BL627)=BK627,BK627&lt;&gt;"")),Data!$BJ$2,"")</f>
        <v/>
      </c>
      <c r="BP627" s="197" t="str">
        <f>IF(AND($K627="x",AND(MAX(BJ627:BL627)=BL627,BL627&lt;&gt;"")),Data!$BK$2,"")</f>
        <v/>
      </c>
      <c r="BQ627" s="197"/>
      <c r="BR627" s="328"/>
      <c r="BS627" s="451"/>
      <c r="BT627" s="452"/>
      <c r="BU627" s="438" t="str">
        <f t="shared" si="929"/>
        <v/>
      </c>
      <c r="BV627" s="328"/>
      <c r="BW627" s="197" t="str">
        <f>IF(AND($I627="x",AND(MAX(BS627:BU627)=BS627,BS627&lt;&gt;"")),Data!$BI$2,"")</f>
        <v/>
      </c>
      <c r="BX627" s="197" t="str">
        <f>IF(AND($J627="x",AND(MAX(BS627:BU627)=BT627,BT627&lt;&gt;"")),Data!$BJ$2,"")</f>
        <v/>
      </c>
      <c r="BY627" s="197" t="str">
        <f>IF(AND($K627="x",AND(MAX(BS627:BU627)=BU627,BU627&lt;&gt;"")),Data!$BK$2,"")</f>
        <v/>
      </c>
      <c r="BZ627" s="197"/>
      <c r="CA627" s="328"/>
      <c r="CB627" s="457" t="str">
        <f t="shared" si="932"/>
        <v/>
      </c>
      <c r="CC627" s="458" t="str">
        <f t="shared" si="933"/>
        <v/>
      </c>
      <c r="CD627" s="459" t="str">
        <f t="shared" si="930"/>
        <v/>
      </c>
      <c r="CE627" s="328"/>
      <c r="CF627" s="197" t="str">
        <f>IF(AND($I627="x",AND(MAX(CB627:CD627)=CB627,CB627&lt;&gt;"")),Data!$BI$2,"")</f>
        <v/>
      </c>
      <c r="CG627" s="197" t="str">
        <f>IF(AND($J627="x",AND(MAX(CB627:CD627)=CC627,CC627&lt;&gt;"")),Data!$BJ$2,"")</f>
        <v/>
      </c>
      <c r="CH627" s="197" t="str">
        <f>IF(AND($K627="x",AND(MAX(CB627:CD627)=CD627,CD627&lt;&gt;"")),Data!$BK$2,"")</f>
        <v/>
      </c>
      <c r="CI627" s="197"/>
      <c r="CJ627" s="197"/>
      <c r="CK627" s="451"/>
      <c r="CL627" s="452"/>
      <c r="CM627" s="438" t="str">
        <f t="shared" si="931"/>
        <v/>
      </c>
      <c r="CN627" s="328"/>
      <c r="CO627" s="197" t="str">
        <f>IF(AND($I627="x",AND(MAX(CK627:CM627)=CK627,CK627&lt;&gt;"")),Data!$BI$2,"")</f>
        <v/>
      </c>
      <c r="CP627" s="197" t="str">
        <f>IF(AND($J627="x",AND(MAX(CK627:CM627)=CL627,CL627&lt;&gt;"")),Data!$BJ$2,"")</f>
        <v/>
      </c>
      <c r="CQ627" s="197" t="str">
        <f>IF(AND($K627="x",AND(MAX(CK627:CM627)=CM627,CM627&lt;&gt;"")),Data!$BK$2,"")</f>
        <v/>
      </c>
      <c r="CR627" s="197"/>
      <c r="CS627" s="197"/>
      <c r="CT627" s="328"/>
      <c r="CU627" s="255"/>
      <c r="CV627" s="209"/>
      <c r="CW627" s="227"/>
    </row>
    <row r="628" spans="1:101" x14ac:dyDescent="0.2">
      <c r="A628" s="227"/>
      <c r="B628" s="227"/>
      <c r="C628" s="168"/>
      <c r="D628" s="232"/>
      <c r="E628" s="135" t="s">
        <v>393</v>
      </c>
      <c r="F628" s="425"/>
      <c r="G628" s="430"/>
      <c r="H628" s="431"/>
      <c r="I628" s="346" t="str">
        <f t="shared" si="920"/>
        <v/>
      </c>
      <c r="J628" s="347" t="str">
        <f t="shared" si="921"/>
        <v/>
      </c>
      <c r="K628" s="348" t="str">
        <f t="shared" si="922"/>
        <v/>
      </c>
      <c r="L628" s="258"/>
      <c r="M628" s="332"/>
      <c r="N628" s="336"/>
      <c r="O628" s="200"/>
      <c r="P628" s="200"/>
      <c r="Q628" s="439"/>
      <c r="R628" s="440"/>
      <c r="S628" s="441" t="str">
        <f t="shared" si="923"/>
        <v/>
      </c>
      <c r="T628" s="328"/>
      <c r="U628" s="197" t="str">
        <f>IF(AND($I628="x",AND(MAX(Q628:S628)=Q628,Q628&gt;=0)),Data!$BI$2,"")</f>
        <v/>
      </c>
      <c r="V628" s="197" t="str">
        <f>IF(AND($J628="x",AND(MAX(Q628:S628)=R628,R628&gt;=0)),Data!$BJ$2,"")</f>
        <v/>
      </c>
      <c r="W628" s="197" t="str">
        <f>IF(AND($K628="x",AND(MAX(Q628:S628)=S628,S628&gt;=0)),Data!$BK$2,"")</f>
        <v/>
      </c>
      <c r="X628" s="197"/>
      <c r="Y628" s="328"/>
      <c r="Z628" s="453"/>
      <c r="AA628" s="454"/>
      <c r="AB628" s="441" t="str">
        <f t="shared" si="924"/>
        <v/>
      </c>
      <c r="AC628" s="328"/>
      <c r="AD628" s="197" t="str">
        <f>IF(AND($I628="x",AND(MAX(Z628:AB628)=Z628,Z628&lt;&gt;"")),Data!$BI$2,"")</f>
        <v/>
      </c>
      <c r="AE628" s="197" t="str">
        <f>IF(AND($J628="x",AND(MAX(Z628:AB628)=AA628,AA628&lt;&gt;"")),Data!$BJ$2,"")</f>
        <v/>
      </c>
      <c r="AF628" s="197" t="str">
        <f>IF(AND($K628="x",AND(MAX(Z628:AB628)=AB628,AB628&lt;&gt;"")),Data!$BK$2,"")</f>
        <v/>
      </c>
      <c r="AG628" s="197"/>
      <c r="AH628" s="328"/>
      <c r="AI628" s="453"/>
      <c r="AJ628" s="454"/>
      <c r="AK628" s="441" t="str">
        <f t="shared" si="925"/>
        <v/>
      </c>
      <c r="AL628" s="328"/>
      <c r="AM628" s="197" t="str">
        <f>IF(AND($I628="x",AND(MAX(AI628:AK628)=AI628,AI628&lt;&gt;"")),Data!$BI$2,"")</f>
        <v/>
      </c>
      <c r="AN628" s="197" t="str">
        <f>IF(AND($J628="x",AND(MAX(AI628:AK628)=AJ628,AJ628&lt;&gt;"")),Data!$BJ$2,"")</f>
        <v/>
      </c>
      <c r="AO628" s="197" t="str">
        <f>IF(AND($K628="x",AND(MAX(AI628:AK628)=AK628,AK628&lt;&gt;"")),Data!$BK$2,"")</f>
        <v/>
      </c>
      <c r="AP628" s="197"/>
      <c r="AQ628" s="328"/>
      <c r="AR628" s="453"/>
      <c r="AS628" s="454"/>
      <c r="AT628" s="441" t="str">
        <f t="shared" si="926"/>
        <v/>
      </c>
      <c r="AU628" s="328"/>
      <c r="AV628" s="197" t="str">
        <f>IF(AND($I628="x",AND(MAX(AR628:AT628)=AR628,AR628&lt;&gt;"")),Data!$BI$2,"")</f>
        <v/>
      </c>
      <c r="AW628" s="197" t="str">
        <f>IF(AND($J628="x",AND(MAX(AR628:AT628)=AS628,AS628&lt;&gt;"")),Data!$BJ$2,"")</f>
        <v/>
      </c>
      <c r="AX628" s="197" t="str">
        <f>IF(AND($K628="x",AND(MAX(AR628:AT628)=AT628,AT628&lt;&gt;"")),Data!$BK$2,"")</f>
        <v/>
      </c>
      <c r="AY628" s="197"/>
      <c r="AZ628" s="328"/>
      <c r="BA628" s="453"/>
      <c r="BB628" s="454"/>
      <c r="BC628" s="441" t="str">
        <f t="shared" si="927"/>
        <v/>
      </c>
      <c r="BD628" s="328"/>
      <c r="BE628" s="197" t="str">
        <f>IF(AND($I628="x",AND(MAX(BA628:BC628)=BA628,BA628&lt;&gt;"")),Data!$BI$2,"")</f>
        <v/>
      </c>
      <c r="BF628" s="197" t="str">
        <f>IF(AND($J628="x",AND(MAX(BA628:BC628)=BB628,BB628&lt;&gt;"")),Data!$BJ$2,"")</f>
        <v/>
      </c>
      <c r="BG628" s="197" t="str">
        <f>IF(AND($K628="x",AND(MAX(BA628:BC628)=BC628,BC628&lt;&gt;"")),Data!$BK$2,"")</f>
        <v/>
      </c>
      <c r="BH628" s="197"/>
      <c r="BI628" s="328"/>
      <c r="BJ628" s="453"/>
      <c r="BK628" s="454"/>
      <c r="BL628" s="441" t="str">
        <f t="shared" si="928"/>
        <v/>
      </c>
      <c r="BM628" s="328"/>
      <c r="BN628" s="197" t="str">
        <f>IF(AND($I628="x",AND(MAX(BJ628:BL628)=BJ628,BJ628&lt;&gt;"")),Data!$BI$2,"")</f>
        <v/>
      </c>
      <c r="BO628" s="197" t="str">
        <f>IF(AND($J628="x",AND(MAX(BJ628:BL628)=BK628,BK628&lt;&gt;"")),Data!$BJ$2,"")</f>
        <v/>
      </c>
      <c r="BP628" s="197" t="str">
        <f>IF(AND($K628="x",AND(MAX(BJ628:BL628)=BL628,BL628&lt;&gt;"")),Data!$BK$2,"")</f>
        <v/>
      </c>
      <c r="BQ628" s="197"/>
      <c r="BR628" s="328"/>
      <c r="BS628" s="453"/>
      <c r="BT628" s="454"/>
      <c r="BU628" s="441" t="str">
        <f t="shared" si="929"/>
        <v/>
      </c>
      <c r="BV628" s="328"/>
      <c r="BW628" s="197" t="str">
        <f>IF(AND($I628="x",AND(MAX(BS628:BU628)=BS628,BS628&lt;&gt;"")),Data!$BI$2,"")</f>
        <v/>
      </c>
      <c r="BX628" s="197" t="str">
        <f>IF(AND($J628="x",AND(MAX(BS628:BU628)=BT628,BT628&lt;&gt;"")),Data!$BJ$2,"")</f>
        <v/>
      </c>
      <c r="BY628" s="197" t="str">
        <f>IF(AND($K628="x",AND(MAX(BS628:BU628)=BU628,BU628&lt;&gt;"")),Data!$BK$2,"")</f>
        <v/>
      </c>
      <c r="BZ628" s="197"/>
      <c r="CA628" s="328"/>
      <c r="CB628" s="460" t="str">
        <f t="shared" si="932"/>
        <v/>
      </c>
      <c r="CC628" s="461" t="str">
        <f t="shared" si="933"/>
        <v/>
      </c>
      <c r="CD628" s="462" t="str">
        <f t="shared" si="930"/>
        <v/>
      </c>
      <c r="CE628" s="328"/>
      <c r="CF628" s="197" t="str">
        <f>IF(AND($I628="x",AND(MAX(CB628:CD628)=CB628,CB628&lt;&gt;"")),Data!$BI$2,"")</f>
        <v/>
      </c>
      <c r="CG628" s="197" t="str">
        <f>IF(AND($J628="x",AND(MAX(CB628:CD628)=CC628,CC628&lt;&gt;"")),Data!$BJ$2,"")</f>
        <v/>
      </c>
      <c r="CH628" s="197" t="str">
        <f>IF(AND($K628="x",AND(MAX(CB628:CD628)=CD628,CD628&lt;&gt;"")),Data!$BK$2,"")</f>
        <v/>
      </c>
      <c r="CI628" s="197"/>
      <c r="CJ628" s="197"/>
      <c r="CK628" s="453"/>
      <c r="CL628" s="454"/>
      <c r="CM628" s="441" t="str">
        <f t="shared" si="931"/>
        <v/>
      </c>
      <c r="CN628" s="328"/>
      <c r="CO628" s="197" t="str">
        <f>IF(AND($I628="x",AND(MAX(CK628:CM628)=CK628,CK628&lt;&gt;"")),Data!$BI$2,"")</f>
        <v/>
      </c>
      <c r="CP628" s="197" t="str">
        <f>IF(AND($J628="x",AND(MAX(CK628:CM628)=CL628,CL628&lt;&gt;"")),Data!$BJ$2,"")</f>
        <v/>
      </c>
      <c r="CQ628" s="197" t="str">
        <f>IF(AND($K628="x",AND(MAX(CK628:CM628)=CM628,CM628&lt;&gt;"")),Data!$BK$2,"")</f>
        <v/>
      </c>
      <c r="CR628" s="197"/>
      <c r="CS628" s="197"/>
      <c r="CT628" s="328"/>
      <c r="CU628" s="255"/>
      <c r="CV628" s="209"/>
      <c r="CW628" s="227"/>
    </row>
    <row r="629" spans="1:101" x14ac:dyDescent="0.2">
      <c r="A629" s="227"/>
      <c r="B629" s="227"/>
      <c r="C629" s="168"/>
      <c r="D629" s="232"/>
      <c r="E629" s="136" t="s">
        <v>243</v>
      </c>
      <c r="F629" s="426"/>
      <c r="G629" s="432"/>
      <c r="H629" s="433"/>
      <c r="I629" s="349" t="str">
        <f t="shared" si="920"/>
        <v/>
      </c>
      <c r="J629" s="350" t="str">
        <f t="shared" si="921"/>
        <v/>
      </c>
      <c r="K629" s="351" t="str">
        <f t="shared" si="922"/>
        <v/>
      </c>
      <c r="L629" s="258"/>
      <c r="M629" s="332"/>
      <c r="N629" s="336"/>
      <c r="O629" s="200"/>
      <c r="P629" s="200"/>
      <c r="Q629" s="445"/>
      <c r="R629" s="446"/>
      <c r="S629" s="447" t="str">
        <f t="shared" si="923"/>
        <v/>
      </c>
      <c r="T629" s="328"/>
      <c r="U629" s="197" t="str">
        <f>IF(AND($I629="x",AND(MAX(Q629:S629)=Q629,Q629&gt;=0)),Data!$BI$2,"")</f>
        <v/>
      </c>
      <c r="V629" s="197" t="str">
        <f>IF(AND($J629="x",AND(MAX(Q629:S629)=R629,R629&gt;=0)),Data!$BJ$2,"")</f>
        <v/>
      </c>
      <c r="W629" s="197" t="str">
        <f>IF(AND($K629="x",AND(MAX(Q629:S629)=S629,S629&gt;=0)),Data!$BK$2,"")</f>
        <v/>
      </c>
      <c r="X629" s="197"/>
      <c r="Y629" s="328"/>
      <c r="Z629" s="455"/>
      <c r="AA629" s="456"/>
      <c r="AB629" s="447" t="str">
        <f t="shared" si="924"/>
        <v/>
      </c>
      <c r="AC629" s="328"/>
      <c r="AD629" s="197" t="str">
        <f>IF(AND($I629="x",AND(MAX(Z629:AB629)=Z629,Z629&lt;&gt;"")),Data!$BI$2,"")</f>
        <v/>
      </c>
      <c r="AE629" s="197" t="str">
        <f>IF(AND($J629="x",AND(MAX(Z629:AB629)=AA629,AA629&lt;&gt;"")),Data!$BJ$2,"")</f>
        <v/>
      </c>
      <c r="AF629" s="197" t="str">
        <f>IF(AND($K629="x",AND(MAX(Z629:AB629)=AB629,AB629&lt;&gt;"")),Data!$BK$2,"")</f>
        <v/>
      </c>
      <c r="AG629" s="197"/>
      <c r="AH629" s="328"/>
      <c r="AI629" s="455"/>
      <c r="AJ629" s="456"/>
      <c r="AK629" s="447" t="str">
        <f t="shared" si="925"/>
        <v/>
      </c>
      <c r="AL629" s="328"/>
      <c r="AM629" s="197" t="str">
        <f>IF(AND($I629="x",AND(MAX(AI629:AK629)=AI629,AI629&lt;&gt;"")),Data!$BI$2,"")</f>
        <v/>
      </c>
      <c r="AN629" s="197" t="str">
        <f>IF(AND($J629="x",AND(MAX(AI629:AK629)=AJ629,AJ629&lt;&gt;"")),Data!$BJ$2,"")</f>
        <v/>
      </c>
      <c r="AO629" s="197" t="str">
        <f>IF(AND($K629="x",AND(MAX(AI629:AK629)=AK629,AK629&lt;&gt;"")),Data!$BK$2,"")</f>
        <v/>
      </c>
      <c r="AP629" s="197"/>
      <c r="AQ629" s="328"/>
      <c r="AR629" s="455"/>
      <c r="AS629" s="456"/>
      <c r="AT629" s="447" t="str">
        <f t="shared" si="926"/>
        <v/>
      </c>
      <c r="AU629" s="328"/>
      <c r="AV629" s="197" t="str">
        <f>IF(AND($I629="x",AND(MAX(AR629:AT629)=AR629,AR629&lt;&gt;"")),Data!$BI$2,"")</f>
        <v/>
      </c>
      <c r="AW629" s="197" t="str">
        <f>IF(AND($J629="x",AND(MAX(AR629:AT629)=AS629,AS629&lt;&gt;"")),Data!$BJ$2,"")</f>
        <v/>
      </c>
      <c r="AX629" s="197" t="str">
        <f>IF(AND($K629="x",AND(MAX(AR629:AT629)=AT629,AT629&lt;&gt;"")),Data!$BK$2,"")</f>
        <v/>
      </c>
      <c r="AY629" s="197"/>
      <c r="AZ629" s="328"/>
      <c r="BA629" s="455"/>
      <c r="BB629" s="456"/>
      <c r="BC629" s="447" t="str">
        <f t="shared" si="927"/>
        <v/>
      </c>
      <c r="BD629" s="328"/>
      <c r="BE629" s="197" t="str">
        <f>IF(AND($I629="x",AND(MAX(BA629:BC629)=BA629,BA629&lt;&gt;"")),Data!$BI$2,"")</f>
        <v/>
      </c>
      <c r="BF629" s="197" t="str">
        <f>IF(AND($J629="x",AND(MAX(BA629:BC629)=BB629,BB629&lt;&gt;"")),Data!$BJ$2,"")</f>
        <v/>
      </c>
      <c r="BG629" s="197" t="str">
        <f>IF(AND($K629="x",AND(MAX(BA629:BC629)=BC629,BC629&lt;&gt;"")),Data!$BK$2,"")</f>
        <v/>
      </c>
      <c r="BH629" s="197"/>
      <c r="BI629" s="328"/>
      <c r="BJ629" s="455"/>
      <c r="BK629" s="456"/>
      <c r="BL629" s="447" t="str">
        <f t="shared" si="928"/>
        <v/>
      </c>
      <c r="BM629" s="328"/>
      <c r="BN629" s="197" t="str">
        <f>IF(AND($I629="x",AND(MAX(BJ629:BL629)=BJ629,BJ629&lt;&gt;"")),Data!$BI$2,"")</f>
        <v/>
      </c>
      <c r="BO629" s="197" t="str">
        <f>IF(AND($J629="x",AND(MAX(BJ629:BL629)=BK629,BK629&lt;&gt;"")),Data!$BJ$2,"")</f>
        <v/>
      </c>
      <c r="BP629" s="197" t="str">
        <f>IF(AND($K629="x",AND(MAX(BJ629:BL629)=BL629,BL629&lt;&gt;"")),Data!$BK$2,"")</f>
        <v/>
      </c>
      <c r="BQ629" s="197"/>
      <c r="BR629" s="328"/>
      <c r="BS629" s="455"/>
      <c r="BT629" s="456"/>
      <c r="BU629" s="447" t="str">
        <f t="shared" si="929"/>
        <v/>
      </c>
      <c r="BV629" s="328"/>
      <c r="BW629" s="197" t="str">
        <f>IF(AND($I629="x",AND(MAX(BS629:BU629)=BS629,BS629&lt;&gt;"")),Data!$BI$2,"")</f>
        <v/>
      </c>
      <c r="BX629" s="197" t="str">
        <f>IF(AND($J629="x",AND(MAX(BS629:BU629)=BT629,BT629&lt;&gt;"")),Data!$BJ$2,"")</f>
        <v/>
      </c>
      <c r="BY629" s="197" t="str">
        <f>IF(AND($K629="x",AND(MAX(BS629:BU629)=BU629,BU629&lt;&gt;"")),Data!$BK$2,"")</f>
        <v/>
      </c>
      <c r="BZ629" s="197"/>
      <c r="CA629" s="328"/>
      <c r="CB629" s="463" t="str">
        <f t="shared" si="932"/>
        <v/>
      </c>
      <c r="CC629" s="464" t="str">
        <f t="shared" si="933"/>
        <v/>
      </c>
      <c r="CD629" s="465" t="str">
        <f t="shared" si="930"/>
        <v/>
      </c>
      <c r="CE629" s="328"/>
      <c r="CF629" s="197" t="str">
        <f>IF(AND($I629="x",AND(MAX(CB629:CD629)=CB629,CB629&lt;&gt;"")),Data!$BI$2,"")</f>
        <v/>
      </c>
      <c r="CG629" s="197" t="str">
        <f>IF(AND($J629="x",AND(MAX(CB629:CD629)=CC629,CC629&lt;&gt;"")),Data!$BJ$2,"")</f>
        <v/>
      </c>
      <c r="CH629" s="197" t="str">
        <f>IF(AND($K629="x",AND(MAX(CB629:CD629)=CD629,CD629&lt;&gt;"")),Data!$BK$2,"")</f>
        <v/>
      </c>
      <c r="CI629" s="197"/>
      <c r="CJ629" s="197"/>
      <c r="CK629" s="455"/>
      <c r="CL629" s="456"/>
      <c r="CM629" s="447" t="str">
        <f t="shared" si="931"/>
        <v/>
      </c>
      <c r="CN629" s="328"/>
      <c r="CO629" s="197" t="str">
        <f>IF(AND($I629="x",AND(MAX(CK629:CM629)=CK629,CK629&lt;&gt;"")),Data!$BI$2,"")</f>
        <v/>
      </c>
      <c r="CP629" s="197" t="str">
        <f>IF(AND($J629="x",AND(MAX(CK629:CM629)=CL629,CL629&lt;&gt;"")),Data!$BJ$2,"")</f>
        <v/>
      </c>
      <c r="CQ629" s="197" t="str">
        <f>IF(AND($K629="x",AND(MAX(CK629:CM629)=CM629,CM629&lt;&gt;"")),Data!$BK$2,"")</f>
        <v/>
      </c>
      <c r="CR629" s="197"/>
      <c r="CS629" s="197"/>
      <c r="CT629" s="328"/>
      <c r="CU629" s="255"/>
      <c r="CV629" s="209"/>
      <c r="CW629" s="227"/>
    </row>
    <row r="630" spans="1:101" x14ac:dyDescent="0.2">
      <c r="A630" s="227"/>
      <c r="B630" s="227"/>
      <c r="C630" s="168"/>
      <c r="D630" s="232"/>
      <c r="E630" s="134" t="s">
        <v>394</v>
      </c>
      <c r="F630" s="424"/>
      <c r="G630" s="428"/>
      <c r="H630" s="429"/>
      <c r="I630" s="138" t="str">
        <f t="shared" si="920"/>
        <v/>
      </c>
      <c r="J630" s="344" t="str">
        <f t="shared" si="921"/>
        <v/>
      </c>
      <c r="K630" s="345" t="str">
        <f t="shared" si="922"/>
        <v/>
      </c>
      <c r="L630" s="258"/>
      <c r="M630" s="332"/>
      <c r="N630" s="336"/>
      <c r="O630" s="200"/>
      <c r="P630" s="200"/>
      <c r="Q630" s="436"/>
      <c r="R630" s="437"/>
      <c r="S630" s="438" t="str">
        <f t="shared" si="923"/>
        <v/>
      </c>
      <c r="T630" s="328"/>
      <c r="U630" s="197" t="str">
        <f>IF(AND($I630="x",AND(MAX(Q630:S630)=Q630,Q630&gt;=0)),Data!$BI$2,"")</f>
        <v/>
      </c>
      <c r="V630" s="197" t="str">
        <f>IF(AND($J630="x",AND(MAX(Q630:S630)=R630,R630&gt;=0)),Data!$BJ$2,"")</f>
        <v/>
      </c>
      <c r="W630" s="197" t="str">
        <f>IF(AND($K630="x",AND(MAX(Q630:S630)=S630,S630&gt;=0)),Data!$BK$2,"")</f>
        <v/>
      </c>
      <c r="X630" s="197"/>
      <c r="Y630" s="328"/>
      <c r="Z630" s="451"/>
      <c r="AA630" s="452"/>
      <c r="AB630" s="438" t="str">
        <f t="shared" si="924"/>
        <v/>
      </c>
      <c r="AC630" s="328"/>
      <c r="AD630" s="197" t="str">
        <f>IF(AND($I630="x",AND(MAX(Z630:AB630)=Z630,Z630&lt;&gt;"")),Data!$BI$2,"")</f>
        <v/>
      </c>
      <c r="AE630" s="197" t="str">
        <f>IF(AND($J630="x",AND(MAX(Z630:AB630)=AA630,AA630&lt;&gt;"")),Data!$BJ$2,"")</f>
        <v/>
      </c>
      <c r="AF630" s="197" t="str">
        <f>IF(AND($K630="x",AND(MAX(Z630:AB630)=AB630,AB630&lt;&gt;"")),Data!$BK$2,"")</f>
        <v/>
      </c>
      <c r="AG630" s="197"/>
      <c r="AH630" s="328"/>
      <c r="AI630" s="451"/>
      <c r="AJ630" s="452"/>
      <c r="AK630" s="438" t="str">
        <f t="shared" si="925"/>
        <v/>
      </c>
      <c r="AL630" s="328"/>
      <c r="AM630" s="197" t="str">
        <f>IF(AND($I630="x",AND(MAX(AI630:AK630)=AI630,AI630&lt;&gt;"")),Data!$BI$2,"")</f>
        <v/>
      </c>
      <c r="AN630" s="197" t="str">
        <f>IF(AND($J630="x",AND(MAX(AI630:AK630)=AJ630,AJ630&lt;&gt;"")),Data!$BJ$2,"")</f>
        <v/>
      </c>
      <c r="AO630" s="197" t="str">
        <f>IF(AND($K630="x",AND(MAX(AI630:AK630)=AK630,AK630&lt;&gt;"")),Data!$BK$2,"")</f>
        <v/>
      </c>
      <c r="AP630" s="197"/>
      <c r="AQ630" s="328"/>
      <c r="AR630" s="451"/>
      <c r="AS630" s="452"/>
      <c r="AT630" s="438" t="str">
        <f t="shared" si="926"/>
        <v/>
      </c>
      <c r="AU630" s="328"/>
      <c r="AV630" s="197" t="str">
        <f>IF(AND($I630="x",AND(MAX(AR630:AT630)=AR630,AR630&lt;&gt;"")),Data!$BI$2,"")</f>
        <v/>
      </c>
      <c r="AW630" s="197" t="str">
        <f>IF(AND($J630="x",AND(MAX(AR630:AT630)=AS630,AS630&lt;&gt;"")),Data!$BJ$2,"")</f>
        <v/>
      </c>
      <c r="AX630" s="197" t="str">
        <f>IF(AND($K630="x",AND(MAX(AR630:AT630)=AT630,AT630&lt;&gt;"")),Data!$BK$2,"")</f>
        <v/>
      </c>
      <c r="AY630" s="197"/>
      <c r="AZ630" s="328"/>
      <c r="BA630" s="451"/>
      <c r="BB630" s="452"/>
      <c r="BC630" s="438" t="str">
        <f t="shared" si="927"/>
        <v/>
      </c>
      <c r="BD630" s="328"/>
      <c r="BE630" s="197" t="str">
        <f>IF(AND($I630="x",AND(MAX(BA630:BC630)=BA630,BA630&lt;&gt;"")),Data!$BI$2,"")</f>
        <v/>
      </c>
      <c r="BF630" s="197" t="str">
        <f>IF(AND($J630="x",AND(MAX(BA630:BC630)=BB630,BB630&lt;&gt;"")),Data!$BJ$2,"")</f>
        <v/>
      </c>
      <c r="BG630" s="197" t="str">
        <f>IF(AND($K630="x",AND(MAX(BA630:BC630)=BC630,BC630&lt;&gt;"")),Data!$BK$2,"")</f>
        <v/>
      </c>
      <c r="BH630" s="197"/>
      <c r="BI630" s="328"/>
      <c r="BJ630" s="451"/>
      <c r="BK630" s="452"/>
      <c r="BL630" s="438" t="str">
        <f t="shared" si="928"/>
        <v/>
      </c>
      <c r="BM630" s="328"/>
      <c r="BN630" s="197" t="str">
        <f>IF(AND($I630="x",AND(MAX(BJ630:BL630)=BJ630,BJ630&lt;&gt;"")),Data!$BI$2,"")</f>
        <v/>
      </c>
      <c r="BO630" s="197" t="str">
        <f>IF(AND($J630="x",AND(MAX(BJ630:BL630)=BK630,BK630&lt;&gt;"")),Data!$BJ$2,"")</f>
        <v/>
      </c>
      <c r="BP630" s="197" t="str">
        <f>IF(AND($K630="x",AND(MAX(BJ630:BL630)=BL630,BL630&lt;&gt;"")),Data!$BK$2,"")</f>
        <v/>
      </c>
      <c r="BQ630" s="197"/>
      <c r="BR630" s="328"/>
      <c r="BS630" s="451"/>
      <c r="BT630" s="452"/>
      <c r="BU630" s="438" t="str">
        <f t="shared" si="929"/>
        <v/>
      </c>
      <c r="BV630" s="328"/>
      <c r="BW630" s="197" t="str">
        <f>IF(AND($I630="x",AND(MAX(BS630:BU630)=BS630,BS630&lt;&gt;"")),Data!$BI$2,"")</f>
        <v/>
      </c>
      <c r="BX630" s="197" t="str">
        <f>IF(AND($J630="x",AND(MAX(BS630:BU630)=BT630,BT630&lt;&gt;"")),Data!$BJ$2,"")</f>
        <v/>
      </c>
      <c r="BY630" s="197" t="str">
        <f>IF(AND($K630="x",AND(MAX(BS630:BU630)=BU630,BU630&lt;&gt;"")),Data!$BK$2,"")</f>
        <v/>
      </c>
      <c r="BZ630" s="197"/>
      <c r="CA630" s="328"/>
      <c r="CB630" s="457" t="str">
        <f t="shared" si="932"/>
        <v/>
      </c>
      <c r="CC630" s="458" t="str">
        <f t="shared" si="933"/>
        <v/>
      </c>
      <c r="CD630" s="459" t="str">
        <f t="shared" si="930"/>
        <v/>
      </c>
      <c r="CE630" s="328"/>
      <c r="CF630" s="197" t="str">
        <f>IF(AND($I630="x",AND(MAX(CB630:CD630)=CB630,CB630&lt;&gt;"")),Data!$BI$2,"")</f>
        <v/>
      </c>
      <c r="CG630" s="197" t="str">
        <f>IF(AND($J630="x",AND(MAX(CB630:CD630)=CC630,CC630&lt;&gt;"")),Data!$BJ$2,"")</f>
        <v/>
      </c>
      <c r="CH630" s="197" t="str">
        <f>IF(AND($K630="x",AND(MAX(CB630:CD630)=CD630,CD630&lt;&gt;"")),Data!$BK$2,"")</f>
        <v/>
      </c>
      <c r="CI630" s="197"/>
      <c r="CJ630" s="197"/>
      <c r="CK630" s="451"/>
      <c r="CL630" s="452"/>
      <c r="CM630" s="438" t="str">
        <f t="shared" si="931"/>
        <v/>
      </c>
      <c r="CN630" s="328"/>
      <c r="CO630" s="197" t="str">
        <f>IF(AND($I630="x",AND(MAX(CK630:CM630)=CK630,CK630&lt;&gt;"")),Data!$BI$2,"")</f>
        <v/>
      </c>
      <c r="CP630" s="197" t="str">
        <f>IF(AND($J630="x",AND(MAX(CK630:CM630)=CL630,CL630&lt;&gt;"")),Data!$BJ$2,"")</f>
        <v/>
      </c>
      <c r="CQ630" s="197" t="str">
        <f>IF(AND($K630="x",AND(MAX(CK630:CM630)=CM630,CM630&lt;&gt;"")),Data!$BK$2,"")</f>
        <v/>
      </c>
      <c r="CR630" s="197"/>
      <c r="CS630" s="197"/>
      <c r="CT630" s="328"/>
      <c r="CU630" s="259"/>
      <c r="CV630" s="209"/>
      <c r="CW630" s="227"/>
    </row>
    <row r="631" spans="1:101" x14ac:dyDescent="0.2">
      <c r="A631" s="227"/>
      <c r="B631" s="227"/>
      <c r="C631" s="168"/>
      <c r="D631" s="232"/>
      <c r="E631" s="135" t="s">
        <v>395</v>
      </c>
      <c r="F631" s="425"/>
      <c r="G631" s="430"/>
      <c r="H631" s="431"/>
      <c r="I631" s="346" t="str">
        <f t="shared" si="920"/>
        <v/>
      </c>
      <c r="J631" s="347" t="str">
        <f t="shared" si="921"/>
        <v/>
      </c>
      <c r="K631" s="348" t="str">
        <f t="shared" si="922"/>
        <v/>
      </c>
      <c r="L631" s="258"/>
      <c r="M631" s="332"/>
      <c r="N631" s="336"/>
      <c r="O631" s="200"/>
      <c r="P631" s="200"/>
      <c r="Q631" s="439"/>
      <c r="R631" s="440"/>
      <c r="S631" s="441" t="str">
        <f t="shared" si="923"/>
        <v/>
      </c>
      <c r="T631" s="328"/>
      <c r="U631" s="197" t="str">
        <f>IF(AND($I631="x",AND(MAX(Q631:S631)=Q631,Q631&gt;=0)),Data!$BI$2,"")</f>
        <v/>
      </c>
      <c r="V631" s="197" t="str">
        <f>IF(AND($J631="x",AND(MAX(Q631:S631)=R631,R631&gt;=0)),Data!$BJ$2,"")</f>
        <v/>
      </c>
      <c r="W631" s="197" t="str">
        <f>IF(AND($K631="x",AND(MAX(Q631:S631)=S631,S631&gt;=0)),Data!$BK$2,"")</f>
        <v/>
      </c>
      <c r="X631" s="197"/>
      <c r="Y631" s="328"/>
      <c r="Z631" s="453"/>
      <c r="AA631" s="454"/>
      <c r="AB631" s="441" t="str">
        <f t="shared" si="924"/>
        <v/>
      </c>
      <c r="AC631" s="328"/>
      <c r="AD631" s="197" t="str">
        <f>IF(AND($I631="x",AND(MAX(Z631:AB631)=Z631,Z631&lt;&gt;"")),Data!$BI$2,"")</f>
        <v/>
      </c>
      <c r="AE631" s="197" t="str">
        <f>IF(AND($J631="x",AND(MAX(Z631:AB631)=AA631,AA631&lt;&gt;"")),Data!$BJ$2,"")</f>
        <v/>
      </c>
      <c r="AF631" s="197" t="str">
        <f>IF(AND($K631="x",AND(MAX(Z631:AB631)=AB631,AB631&lt;&gt;"")),Data!$BK$2,"")</f>
        <v/>
      </c>
      <c r="AG631" s="197"/>
      <c r="AH631" s="328"/>
      <c r="AI631" s="453"/>
      <c r="AJ631" s="454"/>
      <c r="AK631" s="441" t="str">
        <f t="shared" si="925"/>
        <v/>
      </c>
      <c r="AL631" s="328"/>
      <c r="AM631" s="197" t="str">
        <f>IF(AND($I631="x",AND(MAX(AI631:AK631)=AI631,AI631&lt;&gt;"")),Data!$BI$2,"")</f>
        <v/>
      </c>
      <c r="AN631" s="197" t="str">
        <f>IF(AND($J631="x",AND(MAX(AI631:AK631)=AJ631,AJ631&lt;&gt;"")),Data!$BJ$2,"")</f>
        <v/>
      </c>
      <c r="AO631" s="197" t="str">
        <f>IF(AND($K631="x",AND(MAX(AI631:AK631)=AK631,AK631&lt;&gt;"")),Data!$BK$2,"")</f>
        <v/>
      </c>
      <c r="AP631" s="197"/>
      <c r="AQ631" s="328"/>
      <c r="AR631" s="453"/>
      <c r="AS631" s="454"/>
      <c r="AT631" s="441" t="str">
        <f t="shared" si="926"/>
        <v/>
      </c>
      <c r="AU631" s="328"/>
      <c r="AV631" s="197" t="str">
        <f>IF(AND($I631="x",AND(MAX(AR631:AT631)=AR631,AR631&lt;&gt;"")),Data!$BI$2,"")</f>
        <v/>
      </c>
      <c r="AW631" s="197" t="str">
        <f>IF(AND($J631="x",AND(MAX(AR631:AT631)=AS631,AS631&lt;&gt;"")),Data!$BJ$2,"")</f>
        <v/>
      </c>
      <c r="AX631" s="197" t="str">
        <f>IF(AND($K631="x",AND(MAX(AR631:AT631)=AT631,AT631&lt;&gt;"")),Data!$BK$2,"")</f>
        <v/>
      </c>
      <c r="AY631" s="197"/>
      <c r="AZ631" s="328"/>
      <c r="BA631" s="453"/>
      <c r="BB631" s="454"/>
      <c r="BC631" s="441" t="str">
        <f t="shared" si="927"/>
        <v/>
      </c>
      <c r="BD631" s="328"/>
      <c r="BE631" s="197" t="str">
        <f>IF(AND($I631="x",AND(MAX(BA631:BC631)=BA631,BA631&lt;&gt;"")),Data!$BI$2,"")</f>
        <v/>
      </c>
      <c r="BF631" s="197" t="str">
        <f>IF(AND($J631="x",AND(MAX(BA631:BC631)=BB631,BB631&lt;&gt;"")),Data!$BJ$2,"")</f>
        <v/>
      </c>
      <c r="BG631" s="197" t="str">
        <f>IF(AND($K631="x",AND(MAX(BA631:BC631)=BC631,BC631&lt;&gt;"")),Data!$BK$2,"")</f>
        <v/>
      </c>
      <c r="BH631" s="197"/>
      <c r="BI631" s="328"/>
      <c r="BJ631" s="453"/>
      <c r="BK631" s="454"/>
      <c r="BL631" s="441" t="str">
        <f t="shared" si="928"/>
        <v/>
      </c>
      <c r="BM631" s="328"/>
      <c r="BN631" s="197" t="str">
        <f>IF(AND($I631="x",AND(MAX(BJ631:BL631)=BJ631,BJ631&lt;&gt;"")),Data!$BI$2,"")</f>
        <v/>
      </c>
      <c r="BO631" s="197" t="str">
        <f>IF(AND($J631="x",AND(MAX(BJ631:BL631)=BK631,BK631&lt;&gt;"")),Data!$BJ$2,"")</f>
        <v/>
      </c>
      <c r="BP631" s="197" t="str">
        <f>IF(AND($K631="x",AND(MAX(BJ631:BL631)=BL631,BL631&lt;&gt;"")),Data!$BK$2,"")</f>
        <v/>
      </c>
      <c r="BQ631" s="197"/>
      <c r="BR631" s="328"/>
      <c r="BS631" s="453"/>
      <c r="BT631" s="454"/>
      <c r="BU631" s="441" t="str">
        <f t="shared" si="929"/>
        <v/>
      </c>
      <c r="BV631" s="328"/>
      <c r="BW631" s="197" t="str">
        <f>IF(AND($I631="x",AND(MAX(BS631:BU631)=BS631,BS631&lt;&gt;"")),Data!$BI$2,"")</f>
        <v/>
      </c>
      <c r="BX631" s="197" t="str">
        <f>IF(AND($J631="x",AND(MAX(BS631:BU631)=BT631,BT631&lt;&gt;"")),Data!$BJ$2,"")</f>
        <v/>
      </c>
      <c r="BY631" s="197" t="str">
        <f>IF(AND($K631="x",AND(MAX(BS631:BU631)=BU631,BU631&lt;&gt;"")),Data!$BK$2,"")</f>
        <v/>
      </c>
      <c r="BZ631" s="197"/>
      <c r="CA631" s="328"/>
      <c r="CB631" s="460" t="str">
        <f t="shared" si="932"/>
        <v/>
      </c>
      <c r="CC631" s="461" t="str">
        <f t="shared" si="933"/>
        <v/>
      </c>
      <c r="CD631" s="462" t="str">
        <f t="shared" si="930"/>
        <v/>
      </c>
      <c r="CE631" s="328"/>
      <c r="CF631" s="197" t="str">
        <f>IF(AND($I631="x",AND(MAX(CB631:CD631)=CB631,CB631&lt;&gt;"")),Data!$BI$2,"")</f>
        <v/>
      </c>
      <c r="CG631" s="197" t="str">
        <f>IF(AND($J631="x",AND(MAX(CB631:CD631)=CC631,CC631&lt;&gt;"")),Data!$BJ$2,"")</f>
        <v/>
      </c>
      <c r="CH631" s="197" t="str">
        <f>IF(AND($K631="x",AND(MAX(CB631:CD631)=CD631,CD631&lt;&gt;"")),Data!$BK$2,"")</f>
        <v/>
      </c>
      <c r="CI631" s="197"/>
      <c r="CJ631" s="197"/>
      <c r="CK631" s="453"/>
      <c r="CL631" s="454"/>
      <c r="CM631" s="441" t="str">
        <f t="shared" si="931"/>
        <v/>
      </c>
      <c r="CN631" s="328"/>
      <c r="CO631" s="197" t="str">
        <f>IF(AND($I631="x",AND(MAX(CK631:CM631)=CK631,CK631&lt;&gt;"")),Data!$BI$2,"")</f>
        <v/>
      </c>
      <c r="CP631" s="197" t="str">
        <f>IF(AND($J631="x",AND(MAX(CK631:CM631)=CL631,CL631&lt;&gt;"")),Data!$BJ$2,"")</f>
        <v/>
      </c>
      <c r="CQ631" s="197" t="str">
        <f>IF(AND($K631="x",AND(MAX(CK631:CM631)=CM631,CM631&lt;&gt;"")),Data!$BK$2,"")</f>
        <v/>
      </c>
      <c r="CR631" s="197"/>
      <c r="CS631" s="197"/>
      <c r="CT631" s="328"/>
      <c r="CU631" s="259"/>
      <c r="CV631" s="209"/>
      <c r="CW631" s="227"/>
    </row>
    <row r="632" spans="1:101" x14ac:dyDescent="0.2">
      <c r="A632" s="227"/>
      <c r="B632" s="227"/>
      <c r="C632" s="168"/>
      <c r="D632" s="232"/>
      <c r="E632" s="136" t="s">
        <v>396</v>
      </c>
      <c r="F632" s="426"/>
      <c r="G632" s="432"/>
      <c r="H632" s="433"/>
      <c r="I632" s="349" t="str">
        <f t="shared" si="920"/>
        <v/>
      </c>
      <c r="J632" s="350" t="str">
        <f t="shared" si="921"/>
        <v/>
      </c>
      <c r="K632" s="351" t="str">
        <f t="shared" si="922"/>
        <v/>
      </c>
      <c r="L632" s="258"/>
      <c r="M632" s="332"/>
      <c r="N632" s="336"/>
      <c r="O632" s="200"/>
      <c r="P632" s="200"/>
      <c r="Q632" s="445"/>
      <c r="R632" s="446"/>
      <c r="S632" s="447" t="str">
        <f t="shared" si="923"/>
        <v/>
      </c>
      <c r="T632" s="328"/>
      <c r="U632" s="197" t="str">
        <f>IF(AND($I632="x",AND(MAX(Q632:S632)=Q632,Q632&gt;=0)),Data!$BI$2,"")</f>
        <v/>
      </c>
      <c r="V632" s="197" t="str">
        <f>IF(AND($J632="x",AND(MAX(Q632:S632)=R632,R632&gt;=0)),Data!$BJ$2,"")</f>
        <v/>
      </c>
      <c r="W632" s="197" t="str">
        <f>IF(AND($K632="x",AND(MAX(Q632:S632)=S632,S632&gt;=0)),Data!$BK$2,"")</f>
        <v/>
      </c>
      <c r="X632" s="197"/>
      <c r="Y632" s="328"/>
      <c r="Z632" s="455"/>
      <c r="AA632" s="456"/>
      <c r="AB632" s="447" t="str">
        <f t="shared" si="924"/>
        <v/>
      </c>
      <c r="AC632" s="328"/>
      <c r="AD632" s="197" t="str">
        <f>IF(AND($I632="x",AND(MAX(Z632:AB632)=Z632,Z632&lt;&gt;"")),Data!$BI$2,"")</f>
        <v/>
      </c>
      <c r="AE632" s="197" t="str">
        <f>IF(AND($J632="x",AND(MAX(Z632:AB632)=AA632,AA632&lt;&gt;"")),Data!$BJ$2,"")</f>
        <v/>
      </c>
      <c r="AF632" s="197" t="str">
        <f>IF(AND($K632="x",AND(MAX(Z632:AB632)=AB632,AB632&lt;&gt;"")),Data!$BK$2,"")</f>
        <v/>
      </c>
      <c r="AG632" s="197"/>
      <c r="AH632" s="328"/>
      <c r="AI632" s="455"/>
      <c r="AJ632" s="456"/>
      <c r="AK632" s="447" t="str">
        <f t="shared" si="925"/>
        <v/>
      </c>
      <c r="AL632" s="328"/>
      <c r="AM632" s="197" t="str">
        <f>IF(AND($I632="x",AND(MAX(AI632:AK632)=AI632,AI632&lt;&gt;"")),Data!$BI$2,"")</f>
        <v/>
      </c>
      <c r="AN632" s="197" t="str">
        <f>IF(AND($J632="x",AND(MAX(AI632:AK632)=AJ632,AJ632&lt;&gt;"")),Data!$BJ$2,"")</f>
        <v/>
      </c>
      <c r="AO632" s="197" t="str">
        <f>IF(AND($K632="x",AND(MAX(AI632:AK632)=AK632,AK632&lt;&gt;"")),Data!$BK$2,"")</f>
        <v/>
      </c>
      <c r="AP632" s="197"/>
      <c r="AQ632" s="328"/>
      <c r="AR632" s="455"/>
      <c r="AS632" s="456"/>
      <c r="AT632" s="447" t="str">
        <f t="shared" si="926"/>
        <v/>
      </c>
      <c r="AU632" s="328"/>
      <c r="AV632" s="197" t="str">
        <f>IF(AND($I632="x",AND(MAX(AR632:AT632)=AR632,AR632&lt;&gt;"")),Data!$BI$2,"")</f>
        <v/>
      </c>
      <c r="AW632" s="197" t="str">
        <f>IF(AND($J632="x",AND(MAX(AR632:AT632)=AS632,AS632&lt;&gt;"")),Data!$BJ$2,"")</f>
        <v/>
      </c>
      <c r="AX632" s="197" t="str">
        <f>IF(AND($K632="x",AND(MAX(AR632:AT632)=AT632,AT632&lt;&gt;"")),Data!$BK$2,"")</f>
        <v/>
      </c>
      <c r="AY632" s="197"/>
      <c r="AZ632" s="328"/>
      <c r="BA632" s="455"/>
      <c r="BB632" s="456"/>
      <c r="BC632" s="447" t="str">
        <f t="shared" si="927"/>
        <v/>
      </c>
      <c r="BD632" s="328"/>
      <c r="BE632" s="197" t="str">
        <f>IF(AND($I632="x",AND(MAX(BA632:BC632)=BA632,BA632&lt;&gt;"")),Data!$BI$2,"")</f>
        <v/>
      </c>
      <c r="BF632" s="197" t="str">
        <f>IF(AND($J632="x",AND(MAX(BA632:BC632)=BB632,BB632&lt;&gt;"")),Data!$BJ$2,"")</f>
        <v/>
      </c>
      <c r="BG632" s="197" t="str">
        <f>IF(AND($K632="x",AND(MAX(BA632:BC632)=BC632,BC632&lt;&gt;"")),Data!$BK$2,"")</f>
        <v/>
      </c>
      <c r="BH632" s="197"/>
      <c r="BI632" s="328"/>
      <c r="BJ632" s="455"/>
      <c r="BK632" s="456"/>
      <c r="BL632" s="447" t="str">
        <f t="shared" si="928"/>
        <v/>
      </c>
      <c r="BM632" s="328"/>
      <c r="BN632" s="197" t="str">
        <f>IF(AND($I632="x",AND(MAX(BJ632:BL632)=BJ632,BJ632&lt;&gt;"")),Data!$BI$2,"")</f>
        <v/>
      </c>
      <c r="BO632" s="197" t="str">
        <f>IF(AND($J632="x",AND(MAX(BJ632:BL632)=BK632,BK632&lt;&gt;"")),Data!$BJ$2,"")</f>
        <v/>
      </c>
      <c r="BP632" s="197" t="str">
        <f>IF(AND($K632="x",AND(MAX(BJ632:BL632)=BL632,BL632&lt;&gt;"")),Data!$BK$2,"")</f>
        <v/>
      </c>
      <c r="BQ632" s="197"/>
      <c r="BR632" s="328"/>
      <c r="BS632" s="455"/>
      <c r="BT632" s="456"/>
      <c r="BU632" s="447" t="str">
        <f t="shared" si="929"/>
        <v/>
      </c>
      <c r="BV632" s="328"/>
      <c r="BW632" s="197" t="str">
        <f>IF(AND($I632="x",AND(MAX(BS632:BU632)=BS632,BS632&lt;&gt;"")),Data!$BI$2,"")</f>
        <v/>
      </c>
      <c r="BX632" s="197" t="str">
        <f>IF(AND($J632="x",AND(MAX(BS632:BU632)=BT632,BT632&lt;&gt;"")),Data!$BJ$2,"")</f>
        <v/>
      </c>
      <c r="BY632" s="197" t="str">
        <f>IF(AND($K632="x",AND(MAX(BS632:BU632)=BU632,BU632&lt;&gt;"")),Data!$BK$2,"")</f>
        <v/>
      </c>
      <c r="BZ632" s="197"/>
      <c r="CA632" s="328"/>
      <c r="CB632" s="463" t="str">
        <f t="shared" si="932"/>
        <v/>
      </c>
      <c r="CC632" s="464" t="str">
        <f t="shared" si="933"/>
        <v/>
      </c>
      <c r="CD632" s="465" t="str">
        <f t="shared" si="930"/>
        <v/>
      </c>
      <c r="CE632" s="328"/>
      <c r="CF632" s="197" t="str">
        <f>IF(AND($I632="x",AND(MAX(CB632:CD632)=CB632,CB632&lt;&gt;"")),Data!$BI$2,"")</f>
        <v/>
      </c>
      <c r="CG632" s="197" t="str">
        <f>IF(AND($J632="x",AND(MAX(CB632:CD632)=CC632,CC632&lt;&gt;"")),Data!$BJ$2,"")</f>
        <v/>
      </c>
      <c r="CH632" s="197" t="str">
        <f>IF(AND($K632="x",AND(MAX(CB632:CD632)=CD632,CD632&lt;&gt;"")),Data!$BK$2,"")</f>
        <v/>
      </c>
      <c r="CI632" s="197"/>
      <c r="CJ632" s="197"/>
      <c r="CK632" s="455"/>
      <c r="CL632" s="456"/>
      <c r="CM632" s="447" t="str">
        <f t="shared" si="931"/>
        <v/>
      </c>
      <c r="CN632" s="328"/>
      <c r="CO632" s="197" t="str">
        <f>IF(AND($I632="x",AND(MAX(CK632:CM632)=CK632,CK632&lt;&gt;"")),Data!$BI$2,"")</f>
        <v/>
      </c>
      <c r="CP632" s="197" t="str">
        <f>IF(AND($J632="x",AND(MAX(CK632:CM632)=CL632,CL632&lt;&gt;"")),Data!$BJ$2,"")</f>
        <v/>
      </c>
      <c r="CQ632" s="197" t="str">
        <f>IF(AND($K632="x",AND(MAX(CK632:CM632)=CM632,CM632&lt;&gt;"")),Data!$BK$2,"")</f>
        <v/>
      </c>
      <c r="CR632" s="197"/>
      <c r="CS632" s="197"/>
      <c r="CT632" s="328"/>
      <c r="CU632" s="259"/>
      <c r="CV632" s="209"/>
      <c r="CW632" s="227"/>
    </row>
    <row r="633" spans="1:101" x14ac:dyDescent="0.2">
      <c r="A633" s="227"/>
      <c r="B633" s="227"/>
      <c r="C633" s="168"/>
      <c r="D633" s="232"/>
      <c r="E633" s="137" t="s">
        <v>397</v>
      </c>
      <c r="F633" s="427"/>
      <c r="G633" s="434"/>
      <c r="H633" s="435"/>
      <c r="I633" s="138" t="str">
        <f t="shared" si="920"/>
        <v/>
      </c>
      <c r="J633" s="344" t="str">
        <f t="shared" si="921"/>
        <v/>
      </c>
      <c r="K633" s="345" t="str">
        <f t="shared" si="922"/>
        <v/>
      </c>
      <c r="L633" s="258"/>
      <c r="M633" s="332"/>
      <c r="N633" s="336"/>
      <c r="O633" s="200"/>
      <c r="P633" s="200"/>
      <c r="Q633" s="448"/>
      <c r="R633" s="449"/>
      <c r="S633" s="450" t="str">
        <f t="shared" si="923"/>
        <v/>
      </c>
      <c r="T633" s="328"/>
      <c r="U633" s="197" t="str">
        <f>IF(AND($I633="x",AND(MAX(Q633:S633)=Q633,Q633&gt;=0)),Data!$BI$2,"")</f>
        <v/>
      </c>
      <c r="V633" s="197" t="str">
        <f>IF(AND($J633="x",AND(MAX(Q633:S633)=R633,R633&gt;=0)),Data!$BJ$2,"")</f>
        <v/>
      </c>
      <c r="W633" s="197" t="str">
        <f>IF(AND($K633="x",AND(MAX(Q633:S633)=S633,S633&gt;=0)),Data!$BK$2,"")</f>
        <v/>
      </c>
      <c r="X633" s="197"/>
      <c r="Y633" s="328"/>
      <c r="Z633" s="451"/>
      <c r="AA633" s="452"/>
      <c r="AB633" s="450" t="str">
        <f t="shared" si="924"/>
        <v/>
      </c>
      <c r="AC633" s="328"/>
      <c r="AD633" s="197" t="str">
        <f>IF(AND($I633="x",AND(MAX(Z633:AB633)=Z633,Z633&lt;&gt;"")),Data!$BI$2,"")</f>
        <v/>
      </c>
      <c r="AE633" s="197" t="str">
        <f>IF(AND($J633="x",AND(MAX(Z633:AB633)=AA633,AA633&lt;&gt;"")),Data!$BJ$2,"")</f>
        <v/>
      </c>
      <c r="AF633" s="197" t="str">
        <f>IF(AND($K633="x",AND(MAX(Z633:AB633)=AB633,AB633&lt;&gt;"")),Data!$BK$2,"")</f>
        <v/>
      </c>
      <c r="AG633" s="197"/>
      <c r="AH633" s="328"/>
      <c r="AI633" s="451"/>
      <c r="AJ633" s="452"/>
      <c r="AK633" s="450" t="str">
        <f t="shared" si="925"/>
        <v/>
      </c>
      <c r="AL633" s="328"/>
      <c r="AM633" s="197" t="str">
        <f>IF(AND($I633="x",AND(MAX(AI633:AK633)=AI633,AI633&lt;&gt;"")),Data!$BI$2,"")</f>
        <v/>
      </c>
      <c r="AN633" s="197" t="str">
        <f>IF(AND($J633="x",AND(MAX(AI633:AK633)=AJ633,AJ633&lt;&gt;"")),Data!$BJ$2,"")</f>
        <v/>
      </c>
      <c r="AO633" s="197" t="str">
        <f>IF(AND($K633="x",AND(MAX(AI633:AK633)=AK633,AK633&lt;&gt;"")),Data!$BK$2,"")</f>
        <v/>
      </c>
      <c r="AP633" s="197"/>
      <c r="AQ633" s="328"/>
      <c r="AR633" s="451"/>
      <c r="AS633" s="452"/>
      <c r="AT633" s="450" t="str">
        <f t="shared" si="926"/>
        <v/>
      </c>
      <c r="AU633" s="328"/>
      <c r="AV633" s="197" t="str">
        <f>IF(AND($I633="x",AND(MAX(AR633:AT633)=AR633,AR633&lt;&gt;"")),Data!$BI$2,"")</f>
        <v/>
      </c>
      <c r="AW633" s="197" t="str">
        <f>IF(AND($J633="x",AND(MAX(AR633:AT633)=AS633,AS633&lt;&gt;"")),Data!$BJ$2,"")</f>
        <v/>
      </c>
      <c r="AX633" s="197" t="str">
        <f>IF(AND($K633="x",AND(MAX(AR633:AT633)=AT633,AT633&lt;&gt;"")),Data!$BK$2,"")</f>
        <v/>
      </c>
      <c r="AY633" s="197"/>
      <c r="AZ633" s="328"/>
      <c r="BA633" s="451"/>
      <c r="BB633" s="452"/>
      <c r="BC633" s="450" t="str">
        <f t="shared" si="927"/>
        <v/>
      </c>
      <c r="BD633" s="328"/>
      <c r="BE633" s="197" t="str">
        <f>IF(AND($I633="x",AND(MAX(BA633:BC633)=BA633,BA633&lt;&gt;"")),Data!$BI$2,"")</f>
        <v/>
      </c>
      <c r="BF633" s="197" t="str">
        <f>IF(AND($J633="x",AND(MAX(BA633:BC633)=BB633,BB633&lt;&gt;"")),Data!$BJ$2,"")</f>
        <v/>
      </c>
      <c r="BG633" s="197" t="str">
        <f>IF(AND($K633="x",AND(MAX(BA633:BC633)=BC633,BC633&lt;&gt;"")),Data!$BK$2,"")</f>
        <v/>
      </c>
      <c r="BH633" s="197"/>
      <c r="BI633" s="328"/>
      <c r="BJ633" s="451"/>
      <c r="BK633" s="452"/>
      <c r="BL633" s="450" t="str">
        <f t="shared" si="928"/>
        <v/>
      </c>
      <c r="BM633" s="328"/>
      <c r="BN633" s="197" t="str">
        <f>IF(AND($I633="x",AND(MAX(BJ633:BL633)=BJ633,BJ633&lt;&gt;"")),Data!$BI$2,"")</f>
        <v/>
      </c>
      <c r="BO633" s="197" t="str">
        <f>IF(AND($J633="x",AND(MAX(BJ633:BL633)=BK633,BK633&lt;&gt;"")),Data!$BJ$2,"")</f>
        <v/>
      </c>
      <c r="BP633" s="197" t="str">
        <f>IF(AND($K633="x",AND(MAX(BJ633:BL633)=BL633,BL633&lt;&gt;"")),Data!$BK$2,"")</f>
        <v/>
      </c>
      <c r="BQ633" s="197"/>
      <c r="BR633" s="328"/>
      <c r="BS633" s="451"/>
      <c r="BT633" s="452"/>
      <c r="BU633" s="450" t="str">
        <f t="shared" si="929"/>
        <v/>
      </c>
      <c r="BV633" s="328"/>
      <c r="BW633" s="197" t="str">
        <f>IF(AND($I633="x",AND(MAX(BS633:BU633)=BS633,BS633&lt;&gt;"")),Data!$BI$2,"")</f>
        <v/>
      </c>
      <c r="BX633" s="197" t="str">
        <f>IF(AND($J633="x",AND(MAX(BS633:BU633)=BT633,BT633&lt;&gt;"")),Data!$BJ$2,"")</f>
        <v/>
      </c>
      <c r="BY633" s="197" t="str">
        <f>IF(AND($K633="x",AND(MAX(BS633:BU633)=BU633,BU633&lt;&gt;"")),Data!$BK$2,"")</f>
        <v/>
      </c>
      <c r="BZ633" s="197"/>
      <c r="CA633" s="328"/>
      <c r="CB633" s="457" t="str">
        <f t="shared" si="932"/>
        <v/>
      </c>
      <c r="CC633" s="458"/>
      <c r="CD633" s="459" t="str">
        <f t="shared" si="930"/>
        <v/>
      </c>
      <c r="CE633" s="328"/>
      <c r="CF633" s="197" t="str">
        <f>IF(AND($I633="x",AND(MAX(CB633:CD633)=CB633,CB633&lt;&gt;"")),Data!$BI$2,"")</f>
        <v/>
      </c>
      <c r="CG633" s="197" t="str">
        <f>IF(AND($J633="x",AND(MAX(CB633:CD633)=CC633,CC633&lt;&gt;"")),Data!$BJ$2,"")</f>
        <v/>
      </c>
      <c r="CH633" s="197" t="str">
        <f>IF(AND($K633="x",AND(MAX(CB633:CD633)=CD633,CD633&lt;&gt;"")),Data!$BK$2,"")</f>
        <v/>
      </c>
      <c r="CI633" s="197"/>
      <c r="CJ633" s="197"/>
      <c r="CK633" s="451"/>
      <c r="CL633" s="452"/>
      <c r="CM633" s="450" t="str">
        <f t="shared" si="931"/>
        <v/>
      </c>
      <c r="CN633" s="328"/>
      <c r="CO633" s="197" t="str">
        <f>IF(AND($I633="x",AND(MAX(CK633:CM633)=CK633,CK633&lt;&gt;"")),Data!$BI$2,"")</f>
        <v/>
      </c>
      <c r="CP633" s="197" t="str">
        <f>IF(AND($J633="x",AND(MAX(CK633:CM633)=CL633,CL633&lt;&gt;"")),Data!$BJ$2,"")</f>
        <v/>
      </c>
      <c r="CQ633" s="197" t="str">
        <f>IF(AND($K633="x",AND(MAX(CK633:CM633)=CM633,CM633&lt;&gt;"")),Data!$BK$2,"")</f>
        <v/>
      </c>
      <c r="CR633" s="197"/>
      <c r="CS633" s="197"/>
      <c r="CT633" s="328"/>
      <c r="CU633" s="259"/>
      <c r="CV633" s="209"/>
      <c r="CW633" s="227"/>
    </row>
    <row r="634" spans="1:101" x14ac:dyDescent="0.2">
      <c r="A634" s="227"/>
      <c r="B634" s="227"/>
      <c r="C634" s="168"/>
      <c r="D634" s="232"/>
      <c r="E634" s="135" t="s">
        <v>398</v>
      </c>
      <c r="F634" s="425"/>
      <c r="G634" s="430"/>
      <c r="H634" s="431"/>
      <c r="I634" s="346" t="str">
        <f t="shared" si="920"/>
        <v/>
      </c>
      <c r="J634" s="347" t="str">
        <f t="shared" si="921"/>
        <v/>
      </c>
      <c r="K634" s="348" t="str">
        <f t="shared" si="922"/>
        <v/>
      </c>
      <c r="L634" s="258"/>
      <c r="M634" s="332"/>
      <c r="N634" s="336"/>
      <c r="O634" s="200"/>
      <c r="P634" s="200"/>
      <c r="Q634" s="439"/>
      <c r="R634" s="440"/>
      <c r="S634" s="441" t="str">
        <f t="shared" si="923"/>
        <v/>
      </c>
      <c r="T634" s="328"/>
      <c r="U634" s="197" t="str">
        <f>IF(AND($I634="x",AND(MAX(Q634:S634)=Q634,Q634&gt;=0)),Data!$BI$2,"")</f>
        <v/>
      </c>
      <c r="V634" s="197" t="str">
        <f>IF(AND($J634="x",AND(MAX(Q634:S634)=R634,R634&gt;=0)),Data!$BJ$2,"")</f>
        <v/>
      </c>
      <c r="W634" s="197" t="str">
        <f>IF(AND($K634="x",AND(MAX(Q634:S634)=S634,S634&gt;=0)),Data!$BK$2,"")</f>
        <v/>
      </c>
      <c r="X634" s="197"/>
      <c r="Y634" s="328"/>
      <c r="Z634" s="453"/>
      <c r="AA634" s="454"/>
      <c r="AB634" s="441" t="str">
        <f t="shared" si="924"/>
        <v/>
      </c>
      <c r="AC634" s="328"/>
      <c r="AD634" s="197" t="str">
        <f>IF(AND($I634="x",AND(MAX(Z634:AB634)=Z634,Z634&lt;&gt;"")),Data!$BI$2,"")</f>
        <v/>
      </c>
      <c r="AE634" s="197" t="str">
        <f>IF(AND($J634="x",AND(MAX(Z634:AB634)=AA634,AA634&lt;&gt;"")),Data!$BJ$2,"")</f>
        <v/>
      </c>
      <c r="AF634" s="197" t="str">
        <f>IF(AND($K634="x",AND(MAX(Z634:AB634)=AB634,AB634&lt;&gt;"")),Data!$BK$2,"")</f>
        <v/>
      </c>
      <c r="AG634" s="197"/>
      <c r="AH634" s="328"/>
      <c r="AI634" s="453"/>
      <c r="AJ634" s="454"/>
      <c r="AK634" s="441" t="str">
        <f t="shared" si="925"/>
        <v/>
      </c>
      <c r="AL634" s="328"/>
      <c r="AM634" s="197" t="str">
        <f>IF(AND($I634="x",AND(MAX(AI634:AK634)=AI634,AI634&lt;&gt;"")),Data!$BI$2,"")</f>
        <v/>
      </c>
      <c r="AN634" s="197" t="str">
        <f>IF(AND($J634="x",AND(MAX(AI634:AK634)=AJ634,AJ634&lt;&gt;"")),Data!$BJ$2,"")</f>
        <v/>
      </c>
      <c r="AO634" s="197" t="str">
        <f>IF(AND($K634="x",AND(MAX(AI634:AK634)=AK634,AK634&lt;&gt;"")),Data!$BK$2,"")</f>
        <v/>
      </c>
      <c r="AP634" s="197"/>
      <c r="AQ634" s="328"/>
      <c r="AR634" s="453"/>
      <c r="AS634" s="454"/>
      <c r="AT634" s="441" t="str">
        <f t="shared" si="926"/>
        <v/>
      </c>
      <c r="AU634" s="328"/>
      <c r="AV634" s="197" t="str">
        <f>IF(AND($I634="x",AND(MAX(AR634:AT634)=AR634,AR634&lt;&gt;"")),Data!$BI$2,"")</f>
        <v/>
      </c>
      <c r="AW634" s="197" t="str">
        <f>IF(AND($J634="x",AND(MAX(AR634:AT634)=AS634,AS634&lt;&gt;"")),Data!$BJ$2,"")</f>
        <v/>
      </c>
      <c r="AX634" s="197" t="str">
        <f>IF(AND($K634="x",AND(MAX(AR634:AT634)=AT634,AT634&lt;&gt;"")),Data!$BK$2,"")</f>
        <v/>
      </c>
      <c r="AY634" s="197"/>
      <c r="AZ634" s="328"/>
      <c r="BA634" s="453"/>
      <c r="BB634" s="454"/>
      <c r="BC634" s="441" t="str">
        <f t="shared" si="927"/>
        <v/>
      </c>
      <c r="BD634" s="328"/>
      <c r="BE634" s="197" t="str">
        <f>IF(AND($I634="x",AND(MAX(BA634:BC634)=BA634,BA634&lt;&gt;"")),Data!$BI$2,"")</f>
        <v/>
      </c>
      <c r="BF634" s="197" t="str">
        <f>IF(AND($J634="x",AND(MAX(BA634:BC634)=BB634,BB634&lt;&gt;"")),Data!$BJ$2,"")</f>
        <v/>
      </c>
      <c r="BG634" s="197" t="str">
        <f>IF(AND($K634="x",AND(MAX(BA634:BC634)=BC634,BC634&lt;&gt;"")),Data!$BK$2,"")</f>
        <v/>
      </c>
      <c r="BH634" s="197"/>
      <c r="BI634" s="328"/>
      <c r="BJ634" s="453"/>
      <c r="BK634" s="454"/>
      <c r="BL634" s="441" t="str">
        <f t="shared" si="928"/>
        <v/>
      </c>
      <c r="BM634" s="328"/>
      <c r="BN634" s="197" t="str">
        <f>IF(AND($I634="x",AND(MAX(BJ634:BL634)=BJ634,BJ634&lt;&gt;"")),Data!$BI$2,"")</f>
        <v/>
      </c>
      <c r="BO634" s="197" t="str">
        <f>IF(AND($J634="x",AND(MAX(BJ634:BL634)=BK634,BK634&lt;&gt;"")),Data!$BJ$2,"")</f>
        <v/>
      </c>
      <c r="BP634" s="197" t="str">
        <f>IF(AND($K634="x",AND(MAX(BJ634:BL634)=BL634,BL634&lt;&gt;"")),Data!$BK$2,"")</f>
        <v/>
      </c>
      <c r="BQ634" s="197"/>
      <c r="BR634" s="328"/>
      <c r="BS634" s="453"/>
      <c r="BT634" s="454"/>
      <c r="BU634" s="441" t="str">
        <f t="shared" si="929"/>
        <v/>
      </c>
      <c r="BV634" s="328"/>
      <c r="BW634" s="197" t="str">
        <f>IF(AND($I634="x",AND(MAX(BS634:BU634)=BS634,BS634&lt;&gt;"")),Data!$BI$2,"")</f>
        <v/>
      </c>
      <c r="BX634" s="197" t="str">
        <f>IF(AND($J634="x",AND(MAX(BS634:BU634)=BT634,BT634&lt;&gt;"")),Data!$BJ$2,"")</f>
        <v/>
      </c>
      <c r="BY634" s="197" t="str">
        <f>IF(AND($K634="x",AND(MAX(BS634:BU634)=BU634,BU634&lt;&gt;"")),Data!$BK$2,"")</f>
        <v/>
      </c>
      <c r="BZ634" s="197"/>
      <c r="CA634" s="328"/>
      <c r="CB634" s="460" t="str">
        <f t="shared" si="932"/>
        <v/>
      </c>
      <c r="CC634" s="461" t="str">
        <f t="shared" si="933"/>
        <v/>
      </c>
      <c r="CD634" s="462" t="str">
        <f t="shared" si="930"/>
        <v/>
      </c>
      <c r="CE634" s="328"/>
      <c r="CF634" s="197" t="str">
        <f>IF(AND($I634="x",AND(MAX(CB634:CD634)=CB634,CB634&lt;&gt;"")),Data!$BI$2,"")</f>
        <v/>
      </c>
      <c r="CG634" s="197" t="str">
        <f>IF(AND($J634="x",AND(MAX(CB634:CD634)=CC634,CC634&lt;&gt;"")),Data!$BJ$2,"")</f>
        <v/>
      </c>
      <c r="CH634" s="197" t="str">
        <f>IF(AND($K634="x",AND(MAX(CB634:CD634)=CD634,CD634&lt;&gt;"")),Data!$BK$2,"")</f>
        <v/>
      </c>
      <c r="CI634" s="197"/>
      <c r="CJ634" s="197"/>
      <c r="CK634" s="453"/>
      <c r="CL634" s="454"/>
      <c r="CM634" s="441" t="str">
        <f t="shared" si="931"/>
        <v/>
      </c>
      <c r="CN634" s="328"/>
      <c r="CO634" s="197" t="str">
        <f>IF(AND($I634="x",AND(MAX(CK634:CM634)=CK634,CK634&lt;&gt;"")),Data!$BI$2,"")</f>
        <v/>
      </c>
      <c r="CP634" s="197" t="str">
        <f>IF(AND($J634="x",AND(MAX(CK634:CM634)=CL634,CL634&lt;&gt;"")),Data!$BJ$2,"")</f>
        <v/>
      </c>
      <c r="CQ634" s="197" t="str">
        <f>IF(AND($K634="x",AND(MAX(CK634:CM634)=CM634,CM634&lt;&gt;"")),Data!$BK$2,"")</f>
        <v/>
      </c>
      <c r="CR634" s="197"/>
      <c r="CS634" s="197"/>
      <c r="CT634" s="328"/>
      <c r="CU634" s="259"/>
      <c r="CV634" s="209"/>
      <c r="CW634" s="227"/>
    </row>
    <row r="635" spans="1:101" x14ac:dyDescent="0.2">
      <c r="A635" s="227"/>
      <c r="B635" s="227"/>
      <c r="C635" s="168"/>
      <c r="D635" s="232"/>
      <c r="E635" s="136" t="s">
        <v>399</v>
      </c>
      <c r="F635" s="426"/>
      <c r="G635" s="432"/>
      <c r="H635" s="433"/>
      <c r="I635" s="349" t="str">
        <f t="shared" si="920"/>
        <v/>
      </c>
      <c r="J635" s="350" t="str">
        <f t="shared" si="921"/>
        <v/>
      </c>
      <c r="K635" s="351" t="str">
        <f t="shared" si="922"/>
        <v/>
      </c>
      <c r="L635" s="258"/>
      <c r="M635" s="332"/>
      <c r="N635" s="336"/>
      <c r="O635" s="200"/>
      <c r="P635" s="200"/>
      <c r="Q635" s="445"/>
      <c r="R635" s="446"/>
      <c r="S635" s="447" t="str">
        <f t="shared" si="923"/>
        <v/>
      </c>
      <c r="T635" s="328"/>
      <c r="U635" s="197" t="str">
        <f>IF(AND($I635="x",AND(MAX(Q635:S635)=Q635,Q635&gt;=0)),Data!$BI$2,"")</f>
        <v/>
      </c>
      <c r="V635" s="197" t="str">
        <f>IF(AND($J635="x",AND(MAX(Q635:S635)=R635,R635&gt;=0)),Data!$BJ$2,"")</f>
        <v/>
      </c>
      <c r="W635" s="197" t="str">
        <f>IF(AND($K635="x",AND(MAX(Q635:S635)=S635,S635&gt;=0)),Data!$BK$2,"")</f>
        <v/>
      </c>
      <c r="X635" s="197"/>
      <c r="Y635" s="328"/>
      <c r="Z635" s="455"/>
      <c r="AA635" s="456"/>
      <c r="AB635" s="447" t="str">
        <f t="shared" si="924"/>
        <v/>
      </c>
      <c r="AC635" s="328"/>
      <c r="AD635" s="197" t="str">
        <f>IF(AND($I635="x",AND(MAX(Z635:AB635)=Z635,Z635&lt;&gt;"")),Data!$BI$2,"")</f>
        <v/>
      </c>
      <c r="AE635" s="197" t="str">
        <f>IF(AND($J635="x",AND(MAX(Z635:AB635)=AA635,AA635&lt;&gt;"")),Data!$BJ$2,"")</f>
        <v/>
      </c>
      <c r="AF635" s="197" t="str">
        <f>IF(AND($K635="x",AND(MAX(Z635:AB635)=AB635,AB635&lt;&gt;"")),Data!$BK$2,"")</f>
        <v/>
      </c>
      <c r="AG635" s="197"/>
      <c r="AH635" s="328"/>
      <c r="AI635" s="455"/>
      <c r="AJ635" s="456"/>
      <c r="AK635" s="447" t="str">
        <f t="shared" si="925"/>
        <v/>
      </c>
      <c r="AL635" s="328"/>
      <c r="AM635" s="197" t="str">
        <f>IF(AND($I635="x",AND(MAX(AI635:AK635)=AI635,AI635&lt;&gt;"")),Data!$BI$2,"")</f>
        <v/>
      </c>
      <c r="AN635" s="197" t="str">
        <f>IF(AND($J635="x",AND(MAX(AI635:AK635)=AJ635,AJ635&lt;&gt;"")),Data!$BJ$2,"")</f>
        <v/>
      </c>
      <c r="AO635" s="197" t="str">
        <f>IF(AND($K635="x",AND(MAX(AI635:AK635)=AK635,AK635&lt;&gt;"")),Data!$BK$2,"")</f>
        <v/>
      </c>
      <c r="AP635" s="197"/>
      <c r="AQ635" s="328"/>
      <c r="AR635" s="455"/>
      <c r="AS635" s="456"/>
      <c r="AT635" s="447" t="str">
        <f t="shared" si="926"/>
        <v/>
      </c>
      <c r="AU635" s="328"/>
      <c r="AV635" s="197" t="str">
        <f>IF(AND($I635="x",AND(MAX(AR635:AT635)=AR635,AR635&lt;&gt;"")),Data!$BI$2,"")</f>
        <v/>
      </c>
      <c r="AW635" s="197" t="str">
        <f>IF(AND($J635="x",AND(MAX(AR635:AT635)=AS635,AS635&lt;&gt;"")),Data!$BJ$2,"")</f>
        <v/>
      </c>
      <c r="AX635" s="197" t="str">
        <f>IF(AND($K635="x",AND(MAX(AR635:AT635)=AT635,AT635&lt;&gt;"")),Data!$BK$2,"")</f>
        <v/>
      </c>
      <c r="AY635" s="197"/>
      <c r="AZ635" s="328"/>
      <c r="BA635" s="455"/>
      <c r="BB635" s="456"/>
      <c r="BC635" s="447" t="str">
        <f t="shared" si="927"/>
        <v/>
      </c>
      <c r="BD635" s="328"/>
      <c r="BE635" s="197" t="str">
        <f>IF(AND($I635="x",AND(MAX(BA635:BC635)=BA635,BA635&lt;&gt;"")),Data!$BI$2,"")</f>
        <v/>
      </c>
      <c r="BF635" s="197" t="str">
        <f>IF(AND($J635="x",AND(MAX(BA635:BC635)=BB635,BB635&lt;&gt;"")),Data!$BJ$2,"")</f>
        <v/>
      </c>
      <c r="BG635" s="197" t="str">
        <f>IF(AND($K635="x",AND(MAX(BA635:BC635)=BC635,BC635&lt;&gt;"")),Data!$BK$2,"")</f>
        <v/>
      </c>
      <c r="BH635" s="197"/>
      <c r="BI635" s="328"/>
      <c r="BJ635" s="455"/>
      <c r="BK635" s="456"/>
      <c r="BL635" s="447" t="str">
        <f t="shared" si="928"/>
        <v/>
      </c>
      <c r="BM635" s="328"/>
      <c r="BN635" s="197" t="str">
        <f>IF(AND($I635="x",AND(MAX(BJ635:BL635)=BJ635,BJ635&lt;&gt;"")),Data!$BI$2,"")</f>
        <v/>
      </c>
      <c r="BO635" s="197" t="str">
        <f>IF(AND($J635="x",AND(MAX(BJ635:BL635)=BK635,BK635&lt;&gt;"")),Data!$BJ$2,"")</f>
        <v/>
      </c>
      <c r="BP635" s="197" t="str">
        <f>IF(AND($K635="x",AND(MAX(BJ635:BL635)=BL635,BL635&lt;&gt;"")),Data!$BK$2,"")</f>
        <v/>
      </c>
      <c r="BQ635" s="197"/>
      <c r="BR635" s="328"/>
      <c r="BS635" s="455"/>
      <c r="BT635" s="456"/>
      <c r="BU635" s="447" t="str">
        <f t="shared" si="929"/>
        <v/>
      </c>
      <c r="BV635" s="328"/>
      <c r="BW635" s="197" t="str">
        <f>IF(AND($I635="x",AND(MAX(BS635:BU635)=BS635,BS635&lt;&gt;"")),Data!$BI$2,"")</f>
        <v/>
      </c>
      <c r="BX635" s="197" t="str">
        <f>IF(AND($J635="x",AND(MAX(BS635:BU635)=BT635,BT635&lt;&gt;"")),Data!$BJ$2,"")</f>
        <v/>
      </c>
      <c r="BY635" s="197" t="str">
        <f>IF(AND($K635="x",AND(MAX(BS635:BU635)=BU635,BU635&lt;&gt;"")),Data!$BK$2,"")</f>
        <v/>
      </c>
      <c r="BZ635" s="197"/>
      <c r="CA635" s="328"/>
      <c r="CB635" s="463" t="str">
        <f t="shared" si="932"/>
        <v/>
      </c>
      <c r="CC635" s="464" t="str">
        <f t="shared" si="933"/>
        <v/>
      </c>
      <c r="CD635" s="465" t="str">
        <f t="shared" si="930"/>
        <v/>
      </c>
      <c r="CE635" s="328"/>
      <c r="CF635" s="197" t="str">
        <f>IF(AND($I635="x",AND(MAX(CB635:CD635)=CB635,CB635&lt;&gt;"")),Data!$BI$2,"")</f>
        <v/>
      </c>
      <c r="CG635" s="197" t="str">
        <f>IF(AND($J635="x",AND(MAX(CB635:CD635)=CC635,CC635&lt;&gt;"")),Data!$BJ$2,"")</f>
        <v/>
      </c>
      <c r="CH635" s="197" t="str">
        <f>IF(AND($K635="x",AND(MAX(CB635:CD635)=CD635,CD635&lt;&gt;"")),Data!$BK$2,"")</f>
        <v/>
      </c>
      <c r="CI635" s="197"/>
      <c r="CJ635" s="197"/>
      <c r="CK635" s="455"/>
      <c r="CL635" s="456"/>
      <c r="CM635" s="447" t="str">
        <f t="shared" si="931"/>
        <v/>
      </c>
      <c r="CN635" s="328"/>
      <c r="CO635" s="197" t="str">
        <f>IF(AND($I635="x",AND(MAX(CK635:CM635)=CK635,CK635&lt;&gt;"")),Data!$BI$2,"")</f>
        <v/>
      </c>
      <c r="CP635" s="197" t="str">
        <f>IF(AND($J635="x",AND(MAX(CK635:CM635)=CL635,CL635&lt;&gt;"")),Data!$BJ$2,"")</f>
        <v/>
      </c>
      <c r="CQ635" s="197" t="str">
        <f>IF(AND($K635="x",AND(MAX(CK635:CM635)=CM635,CM635&lt;&gt;"")),Data!$BK$2,"")</f>
        <v/>
      </c>
      <c r="CR635" s="197"/>
      <c r="CS635" s="197"/>
      <c r="CT635" s="328"/>
      <c r="CU635" s="259"/>
      <c r="CV635" s="209"/>
      <c r="CW635" s="227"/>
    </row>
    <row r="636" spans="1:101" x14ac:dyDescent="0.2">
      <c r="A636" s="227"/>
      <c r="B636" s="227"/>
      <c r="C636" s="168"/>
      <c r="D636" s="233"/>
      <c r="E636" s="199"/>
      <c r="F636" s="352" t="str">
        <f>IF(SUM(F624:F635)=0,"",SUM(F624:F635))</f>
        <v/>
      </c>
      <c r="G636" s="327" t="s">
        <v>51</v>
      </c>
      <c r="H636" s="353" t="str">
        <f>IF(SUM(H624:H635)=0,"",SUM(H624:H635))</f>
        <v/>
      </c>
      <c r="I636" s="354" t="str">
        <f>IF(COUNTIF(I624:I635,"=x")=0,"",COUNTIF(I624:I635,"=x"))</f>
        <v/>
      </c>
      <c r="J636" s="355" t="str">
        <f>IF(COUNTIF(J624:J635,"=x")=0,"",COUNTIF(J624:J635,"=x"))</f>
        <v/>
      </c>
      <c r="K636" s="356" t="str">
        <f>IF(COUNTIF(K624:K635,"=x")=0,"",COUNTIF(K624:K635,"=x"))</f>
        <v/>
      </c>
      <c r="L636" s="258"/>
      <c r="M636" s="332"/>
      <c r="N636" s="336"/>
      <c r="O636" s="200"/>
      <c r="P636" s="326"/>
      <c r="Q636" s="422">
        <f>SUM(U624:U635)</f>
        <v>0</v>
      </c>
      <c r="R636" s="422">
        <f t="shared" ref="R636:S636" si="934">SUM(V624:V635)</f>
        <v>0</v>
      </c>
      <c r="S636" s="422">
        <f t="shared" si="934"/>
        <v>0</v>
      </c>
      <c r="T636" s="325"/>
      <c r="U636" s="197">
        <f>SUM(U624:U635)</f>
        <v>0</v>
      </c>
      <c r="V636" s="197">
        <f t="shared" ref="V636:W636" si="935">SUM(V624:V635)</f>
        <v>0</v>
      </c>
      <c r="W636" s="197">
        <f t="shared" si="935"/>
        <v>0</v>
      </c>
      <c r="X636" s="197"/>
      <c r="Y636" s="324"/>
      <c r="Z636" s="422">
        <f>SUM(AD624:AD635)</f>
        <v>0</v>
      </c>
      <c r="AA636" s="422">
        <f t="shared" ref="AA636:AB636" si="936">SUM(AE624:AE635)</f>
        <v>0</v>
      </c>
      <c r="AB636" s="422">
        <f t="shared" si="936"/>
        <v>0</v>
      </c>
      <c r="AC636" s="325"/>
      <c r="AD636" s="197">
        <f>SUM(AD624:AD635)</f>
        <v>0</v>
      </c>
      <c r="AE636" s="197">
        <f t="shared" ref="AE636:AF636" si="937">SUM(AE624:AE635)</f>
        <v>0</v>
      </c>
      <c r="AF636" s="197">
        <f t="shared" si="937"/>
        <v>0</v>
      </c>
      <c r="AG636" s="197"/>
      <c r="AH636" s="324"/>
      <c r="AI636" s="422">
        <f>SUM(AM624:AM635)</f>
        <v>0</v>
      </c>
      <c r="AJ636" s="422">
        <f t="shared" ref="AJ636:AK636" si="938">SUM(AN624:AN635)</f>
        <v>0</v>
      </c>
      <c r="AK636" s="422">
        <f t="shared" si="938"/>
        <v>0</v>
      </c>
      <c r="AL636" s="325"/>
      <c r="AM636" s="197">
        <f>SUM(AM624:AM635)</f>
        <v>0</v>
      </c>
      <c r="AN636" s="197">
        <f t="shared" ref="AN636:AO636" si="939">SUM(AN624:AN635)</f>
        <v>0</v>
      </c>
      <c r="AO636" s="197">
        <f t="shared" si="939"/>
        <v>0</v>
      </c>
      <c r="AP636" s="197"/>
      <c r="AQ636" s="324"/>
      <c r="AR636" s="422">
        <f>SUM(AV624:AV635)</f>
        <v>0</v>
      </c>
      <c r="AS636" s="422">
        <f t="shared" ref="AS636:AT636" si="940">SUM(AW624:AW635)</f>
        <v>0</v>
      </c>
      <c r="AT636" s="422">
        <f t="shared" si="940"/>
        <v>0</v>
      </c>
      <c r="AU636" s="325"/>
      <c r="AV636" s="197">
        <f>SUM(AV624:AV635)</f>
        <v>0</v>
      </c>
      <c r="AW636" s="197">
        <f t="shared" ref="AW636:AX636" si="941">SUM(AW624:AW635)</f>
        <v>0</v>
      </c>
      <c r="AX636" s="197">
        <f t="shared" si="941"/>
        <v>0</v>
      </c>
      <c r="AY636" s="197"/>
      <c r="AZ636" s="324"/>
      <c r="BA636" s="422">
        <f>SUM(BE624:BE635)</f>
        <v>0</v>
      </c>
      <c r="BB636" s="422">
        <f t="shared" ref="BB636:BC636" si="942">SUM(BF624:BF635)</f>
        <v>0</v>
      </c>
      <c r="BC636" s="422">
        <f t="shared" si="942"/>
        <v>0</v>
      </c>
      <c r="BD636" s="325"/>
      <c r="BE636" s="197">
        <f>SUM(BE624:BE635)</f>
        <v>0</v>
      </c>
      <c r="BF636" s="197">
        <f t="shared" ref="BF636:BG636" si="943">SUM(BF624:BF635)</f>
        <v>0</v>
      </c>
      <c r="BG636" s="197">
        <f t="shared" si="943"/>
        <v>0</v>
      </c>
      <c r="BH636" s="197"/>
      <c r="BI636" s="324"/>
      <c r="BJ636" s="422">
        <f>SUM(BN624:BN635)</f>
        <v>0</v>
      </c>
      <c r="BK636" s="422">
        <f t="shared" ref="BK636" si="944">SUM(BO624:BO635)</f>
        <v>0</v>
      </c>
      <c r="BL636" s="422">
        <f t="shared" ref="BL636" si="945">SUM(BP624:BP635)</f>
        <v>0</v>
      </c>
      <c r="BM636" s="325"/>
      <c r="BN636" s="197">
        <f>SUM(BN624:BN635)</f>
        <v>0</v>
      </c>
      <c r="BO636" s="197">
        <f t="shared" ref="BO636:BP636" si="946">SUM(BO624:BO635)</f>
        <v>0</v>
      </c>
      <c r="BP636" s="197">
        <f t="shared" si="946"/>
        <v>0</v>
      </c>
      <c r="BQ636" s="197"/>
      <c r="BR636" s="324"/>
      <c r="BS636" s="422">
        <f>SUM(BW624:BW635)</f>
        <v>0</v>
      </c>
      <c r="BT636" s="422">
        <f t="shared" ref="BT636:BU636" si="947">SUM(BX624:BX635)</f>
        <v>0</v>
      </c>
      <c r="BU636" s="422">
        <f t="shared" si="947"/>
        <v>0</v>
      </c>
      <c r="BV636" s="325"/>
      <c r="BW636" s="197">
        <f>SUM(BW624:BW635)</f>
        <v>0</v>
      </c>
      <c r="BX636" s="197">
        <f t="shared" ref="BX636:BY636" si="948">SUM(BX624:BX635)</f>
        <v>0</v>
      </c>
      <c r="BY636" s="197">
        <f t="shared" si="948"/>
        <v>0</v>
      </c>
      <c r="BZ636" s="197"/>
      <c r="CA636" s="326"/>
      <c r="CB636" s="422">
        <f>SUM(CF624:CF635)</f>
        <v>0</v>
      </c>
      <c r="CC636" s="422">
        <f t="shared" ref="CC636:CD636" si="949">SUM(CG624:CG635)</f>
        <v>0</v>
      </c>
      <c r="CD636" s="422">
        <f t="shared" si="949"/>
        <v>0</v>
      </c>
      <c r="CE636" s="325"/>
      <c r="CF636" s="197">
        <f>SUM(CF624:CF635)</f>
        <v>0</v>
      </c>
      <c r="CG636" s="197">
        <f t="shared" ref="CG636:CH636" si="950">SUM(CG624:CG635)</f>
        <v>0</v>
      </c>
      <c r="CH636" s="197">
        <f t="shared" si="950"/>
        <v>0</v>
      </c>
      <c r="CI636" s="197"/>
      <c r="CJ636" s="197"/>
      <c r="CK636" s="422">
        <f>SUM(CO624:CO635)</f>
        <v>0</v>
      </c>
      <c r="CL636" s="422">
        <f t="shared" ref="CL636:CM636" si="951">SUM(CP624:CP635)</f>
        <v>0</v>
      </c>
      <c r="CM636" s="422">
        <f t="shared" si="951"/>
        <v>0</v>
      </c>
      <c r="CN636" s="325"/>
      <c r="CO636" s="197">
        <f>SUM(CO624:CO635)</f>
        <v>0</v>
      </c>
      <c r="CP636" s="197">
        <f t="shared" ref="CP636:CQ636" si="952">SUM(CP624:CP635)</f>
        <v>0</v>
      </c>
      <c r="CQ636" s="197">
        <f t="shared" si="952"/>
        <v>0</v>
      </c>
      <c r="CR636" s="197"/>
      <c r="CS636" s="197"/>
      <c r="CT636" s="197"/>
      <c r="CU636" s="259"/>
      <c r="CV636" s="209"/>
      <c r="CW636" s="228"/>
    </row>
    <row r="637" spans="1:101" x14ac:dyDescent="0.2">
      <c r="A637" s="227"/>
      <c r="B637" s="227"/>
      <c r="C637" s="168"/>
      <c r="D637" s="249"/>
      <c r="E637" s="242"/>
      <c r="F637" s="243"/>
      <c r="G637" s="242"/>
      <c r="H637" s="242"/>
      <c r="I637" s="242"/>
      <c r="J637" s="242"/>
      <c r="K637" s="242"/>
      <c r="L637" s="252"/>
      <c r="M637" s="260"/>
      <c r="N637" s="337"/>
      <c r="O637" s="333"/>
      <c r="P637" s="244"/>
      <c r="Q637" s="245"/>
      <c r="R637" s="245"/>
      <c r="S637" s="245"/>
      <c r="T637" s="246"/>
      <c r="U637" s="247"/>
      <c r="V637" s="247"/>
      <c r="W637" s="247"/>
      <c r="X637" s="247"/>
      <c r="Y637" s="244"/>
      <c r="Z637" s="245"/>
      <c r="AA637" s="245"/>
      <c r="AB637" s="245"/>
      <c r="AC637" s="246"/>
      <c r="AD637" s="247"/>
      <c r="AE637" s="247"/>
      <c r="AF637" s="247"/>
      <c r="AG637" s="247"/>
      <c r="AH637" s="244"/>
      <c r="AI637" s="245"/>
      <c r="AJ637" s="245"/>
      <c r="AK637" s="245"/>
      <c r="AL637" s="246"/>
      <c r="AM637" s="247"/>
      <c r="AN637" s="247"/>
      <c r="AO637" s="247"/>
      <c r="AP637" s="247"/>
      <c r="AQ637" s="244"/>
      <c r="AR637" s="245"/>
      <c r="AS637" s="245"/>
      <c r="AT637" s="245"/>
      <c r="AU637" s="246"/>
      <c r="AV637" s="247"/>
      <c r="AW637" s="247"/>
      <c r="AX637" s="247"/>
      <c r="AY637" s="247"/>
      <c r="AZ637" s="244"/>
      <c r="BA637" s="245"/>
      <c r="BB637" s="245"/>
      <c r="BC637" s="245"/>
      <c r="BD637" s="246"/>
      <c r="BE637" s="247"/>
      <c r="BF637" s="247"/>
      <c r="BG637" s="247"/>
      <c r="BH637" s="247"/>
      <c r="BI637" s="244"/>
      <c r="BJ637" s="244"/>
      <c r="BK637" s="244"/>
      <c r="BL637" s="244"/>
      <c r="BM637" s="244"/>
      <c r="BN637" s="247"/>
      <c r="BO637" s="247"/>
      <c r="BP637" s="247"/>
      <c r="BQ637" s="247"/>
      <c r="BR637" s="244"/>
      <c r="BS637" s="244"/>
      <c r="BT637" s="244"/>
      <c r="BU637" s="244"/>
      <c r="BV637" s="244"/>
      <c r="BW637" s="247"/>
      <c r="BX637" s="247"/>
      <c r="BY637" s="247"/>
      <c r="BZ637" s="247"/>
      <c r="CA637" s="244"/>
      <c r="CB637" s="244"/>
      <c r="CC637" s="244"/>
      <c r="CD637" s="244"/>
      <c r="CE637" s="244"/>
      <c r="CF637" s="247"/>
      <c r="CG637" s="247"/>
      <c r="CH637" s="247"/>
      <c r="CI637" s="247"/>
      <c r="CJ637" s="248"/>
      <c r="CK637" s="248"/>
      <c r="CL637" s="248"/>
      <c r="CM637" s="248"/>
      <c r="CN637" s="248"/>
      <c r="CO637" s="247"/>
      <c r="CP637" s="247"/>
      <c r="CQ637" s="247"/>
      <c r="CR637" s="247"/>
      <c r="CS637" s="248"/>
      <c r="CT637" s="242"/>
      <c r="CU637" s="253"/>
      <c r="CV637" s="209"/>
      <c r="CW637" s="228"/>
    </row>
    <row r="638" spans="1:101" x14ac:dyDescent="0.2">
      <c r="A638" s="219"/>
      <c r="B638" s="219"/>
      <c r="C638" s="175"/>
      <c r="D638" s="176"/>
      <c r="E638" s="210"/>
      <c r="F638" s="211"/>
      <c r="G638" s="210"/>
      <c r="H638" s="210"/>
      <c r="I638" s="210"/>
      <c r="J638" s="210"/>
      <c r="K638" s="210"/>
      <c r="L638" s="212"/>
      <c r="M638" s="213"/>
      <c r="N638" s="213"/>
      <c r="O638" s="213"/>
      <c r="P638" s="213"/>
      <c r="Q638" s="210"/>
      <c r="R638" s="210"/>
      <c r="S638" s="210"/>
      <c r="T638" s="214"/>
      <c r="U638" s="215"/>
      <c r="V638" s="215"/>
      <c r="W638" s="215"/>
      <c r="X638" s="215"/>
      <c r="Y638" s="213"/>
      <c r="Z638" s="210"/>
      <c r="AA638" s="210"/>
      <c r="AB638" s="210"/>
      <c r="AC638" s="214"/>
      <c r="AD638" s="215"/>
      <c r="AE638" s="215"/>
      <c r="AF638" s="215"/>
      <c r="AG638" s="215"/>
      <c r="AH638" s="213"/>
      <c r="AI638" s="210"/>
      <c r="AJ638" s="210"/>
      <c r="AK638" s="210"/>
      <c r="AL638" s="214"/>
      <c r="AM638" s="215"/>
      <c r="AN638" s="215"/>
      <c r="AO638" s="215"/>
      <c r="AP638" s="215"/>
      <c r="AQ638" s="213"/>
      <c r="AR638" s="210"/>
      <c r="AS638" s="210"/>
      <c r="AT638" s="210"/>
      <c r="AU638" s="214"/>
      <c r="AV638" s="215"/>
      <c r="AW638" s="215"/>
      <c r="AX638" s="215"/>
      <c r="AY638" s="215"/>
      <c r="AZ638" s="213"/>
      <c r="BA638" s="210"/>
      <c r="BB638" s="210"/>
      <c r="BC638" s="210"/>
      <c r="BD638" s="214"/>
      <c r="BE638" s="215"/>
      <c r="BF638" s="215"/>
      <c r="BG638" s="215"/>
      <c r="BH638" s="215"/>
      <c r="BI638" s="213"/>
      <c r="BJ638" s="210"/>
      <c r="BK638" s="210"/>
      <c r="BL638" s="210"/>
      <c r="BM638" s="214"/>
      <c r="BN638" s="215"/>
      <c r="BO638" s="215"/>
      <c r="BP638" s="215"/>
      <c r="BQ638" s="215"/>
      <c r="BR638" s="177"/>
      <c r="BS638" s="210"/>
      <c r="BT638" s="210"/>
      <c r="BU638" s="210"/>
      <c r="BV638" s="213"/>
      <c r="BW638" s="215"/>
      <c r="BX638" s="215"/>
      <c r="BY638" s="215"/>
      <c r="BZ638" s="215"/>
      <c r="CA638" s="210"/>
      <c r="CB638" s="216"/>
      <c r="CC638" s="216"/>
      <c r="CD638" s="216"/>
      <c r="CE638" s="216"/>
      <c r="CF638" s="215"/>
      <c r="CG638" s="215"/>
      <c r="CH638" s="215"/>
      <c r="CI638" s="215"/>
      <c r="CJ638" s="210"/>
      <c r="CK638" s="210"/>
      <c r="CL638" s="210"/>
      <c r="CM638" s="210"/>
      <c r="CN638" s="210"/>
      <c r="CO638" s="215"/>
      <c r="CP638" s="215"/>
      <c r="CQ638" s="215"/>
      <c r="CR638" s="215"/>
      <c r="CS638" s="210"/>
      <c r="CT638" s="210"/>
      <c r="CU638" s="210"/>
      <c r="CV638" s="217"/>
      <c r="CW638" s="218"/>
    </row>
    <row r="639" spans="1:101" ht="14.25" thickTop="1" thickBot="1" x14ac:dyDescent="0.25">
      <c r="A639" s="218"/>
      <c r="B639" s="218"/>
      <c r="C639" s="218"/>
      <c r="D639" s="218"/>
      <c r="E639" s="218"/>
      <c r="F639" s="218"/>
      <c r="G639" s="218"/>
      <c r="H639" s="218"/>
      <c r="I639" s="218"/>
      <c r="J639" s="218"/>
      <c r="K639" s="218"/>
      <c r="L639" s="218"/>
      <c r="M639" s="218"/>
      <c r="N639" s="218"/>
      <c r="O639" s="218"/>
      <c r="P639" s="218"/>
      <c r="Q639" s="218"/>
      <c r="R639" s="218"/>
      <c r="S639" s="218"/>
      <c r="T639" s="218"/>
      <c r="U639" s="218"/>
      <c r="V639" s="218"/>
      <c r="W639" s="218"/>
      <c r="X639" s="218"/>
      <c r="Y639" s="218"/>
      <c r="Z639" s="218"/>
      <c r="AA639" s="218"/>
      <c r="AB639" s="218"/>
      <c r="AC639" s="218"/>
      <c r="AD639" s="218"/>
      <c r="AE639" s="218"/>
      <c r="AF639" s="218"/>
      <c r="AG639" s="218"/>
      <c r="AH639" s="218"/>
      <c r="AI639" s="218"/>
      <c r="AJ639" s="218"/>
      <c r="AK639" s="218"/>
      <c r="AL639" s="218"/>
      <c r="AM639" s="218"/>
      <c r="AN639" s="218"/>
      <c r="AO639" s="218"/>
      <c r="AP639" s="218"/>
      <c r="AQ639" s="218"/>
      <c r="AR639" s="218"/>
      <c r="AS639" s="218"/>
      <c r="AT639" s="218"/>
      <c r="AU639" s="218"/>
      <c r="AV639" s="218"/>
      <c r="AW639" s="218"/>
      <c r="AX639" s="218"/>
      <c r="AY639" s="218"/>
      <c r="AZ639" s="218"/>
      <c r="BA639" s="218"/>
      <c r="BB639" s="218"/>
      <c r="BC639" s="218"/>
      <c r="BD639" s="218"/>
      <c r="BE639" s="218"/>
      <c r="BF639" s="218"/>
      <c r="BG639" s="218"/>
      <c r="BH639" s="218"/>
      <c r="BI639" s="218"/>
      <c r="BJ639" s="218"/>
      <c r="BK639" s="218"/>
      <c r="BL639" s="218"/>
      <c r="BM639" s="218"/>
      <c r="BN639" s="218"/>
      <c r="BO639" s="218"/>
      <c r="BP639" s="218"/>
      <c r="BQ639" s="218"/>
      <c r="BR639" s="218"/>
      <c r="BS639" s="218"/>
      <c r="BT639" s="218"/>
      <c r="BU639" s="218"/>
      <c r="BV639" s="218"/>
      <c r="BW639" s="218"/>
      <c r="BX639" s="218"/>
      <c r="BY639" s="218"/>
      <c r="BZ639" s="218"/>
      <c r="CA639" s="218"/>
      <c r="CB639" s="392"/>
      <c r="CC639" s="392"/>
      <c r="CD639" s="392"/>
      <c r="CE639" s="392"/>
      <c r="CF639" s="218"/>
      <c r="CG639" s="218"/>
      <c r="CH639" s="218"/>
      <c r="CI639" s="218"/>
      <c r="CJ639" s="218"/>
      <c r="CK639" s="218"/>
      <c r="CL639" s="218"/>
      <c r="CM639" s="218"/>
      <c r="CN639" s="218"/>
      <c r="CO639" s="218"/>
      <c r="CP639" s="218"/>
      <c r="CQ639" s="218"/>
      <c r="CR639" s="218"/>
      <c r="CS639" s="218"/>
      <c r="CT639" s="218"/>
      <c r="CU639" s="218"/>
      <c r="CV639" s="218"/>
      <c r="CW639" s="218"/>
    </row>
    <row r="640" spans="1:101" ht="21" thickTop="1" x14ac:dyDescent="0.3">
      <c r="A640" s="219"/>
      <c r="B640" s="219"/>
      <c r="C640" s="157"/>
      <c r="D640" s="158"/>
      <c r="E640" s="731" t="s">
        <v>44</v>
      </c>
      <c r="F640" s="229"/>
      <c r="G640" s="229"/>
      <c r="H640" s="229"/>
      <c r="I640" s="877" t="e" vm="1">
        <v>#VALUE!</v>
      </c>
      <c r="J640" s="877"/>
      <c r="K640" s="877"/>
      <c r="L640" s="877"/>
      <c r="M640" s="159"/>
      <c r="N640" s="159"/>
      <c r="O640" s="159"/>
      <c r="P640" s="160"/>
      <c r="Q640" s="159"/>
      <c r="R640" s="159"/>
      <c r="S640" s="159"/>
      <c r="T640" s="161"/>
      <c r="U640" s="162"/>
      <c r="V640" s="162"/>
      <c r="W640" s="162"/>
      <c r="X640" s="162"/>
      <c r="Y640" s="160"/>
      <c r="Z640" s="159"/>
      <c r="AA640" s="159"/>
      <c r="AB640" s="159"/>
      <c r="AC640" s="161"/>
      <c r="AD640" s="162"/>
      <c r="AE640" s="162"/>
      <c r="AF640" s="162"/>
      <c r="AG640" s="162"/>
      <c r="AH640" s="160"/>
      <c r="AI640" s="159"/>
      <c r="AJ640" s="201"/>
      <c r="AK640" s="201"/>
      <c r="AL640" s="164"/>
      <c r="AM640" s="162"/>
      <c r="AN640" s="162"/>
      <c r="AO640" s="162"/>
      <c r="AP640" s="162"/>
      <c r="AQ640" s="202"/>
      <c r="AR640" s="203"/>
      <c r="AS640" s="165"/>
      <c r="AT640" s="166"/>
      <c r="AU640" s="164"/>
      <c r="AV640" s="162"/>
      <c r="AW640" s="162"/>
      <c r="AX640" s="162"/>
      <c r="AY640" s="162"/>
      <c r="AZ640" s="202"/>
      <c r="BA640" s="203"/>
      <c r="BB640" s="166"/>
      <c r="BC640" s="201"/>
      <c r="BD640" s="204"/>
      <c r="BE640" s="162"/>
      <c r="BF640" s="162"/>
      <c r="BG640" s="162"/>
      <c r="BH640" s="162"/>
      <c r="BI640" s="205"/>
      <c r="BJ640" s="201"/>
      <c r="BK640" s="201"/>
      <c r="BL640" s="201"/>
      <c r="BM640" s="204"/>
      <c r="BN640" s="162"/>
      <c r="BO640" s="162"/>
      <c r="BP640" s="162"/>
      <c r="BQ640" s="162"/>
      <c r="BR640" s="167"/>
      <c r="BS640" s="201"/>
      <c r="BT640" s="201"/>
      <c r="BU640" s="201"/>
      <c r="BV640" s="205"/>
      <c r="BW640" s="162"/>
      <c r="BX640" s="162"/>
      <c r="BY640" s="162"/>
      <c r="BZ640" s="162"/>
      <c r="CA640" s="201"/>
      <c r="CB640" s="393"/>
      <c r="CC640" s="393"/>
      <c r="CD640" s="393"/>
      <c r="CE640" s="393"/>
      <c r="CF640" s="162"/>
      <c r="CG640" s="162"/>
      <c r="CH640" s="162"/>
      <c r="CI640" s="162"/>
      <c r="CJ640" s="163"/>
      <c r="CK640" s="163"/>
      <c r="CL640" s="163"/>
      <c r="CM640" s="163"/>
      <c r="CN640" s="163"/>
      <c r="CO640" s="162"/>
      <c r="CP640" s="162"/>
      <c r="CQ640" s="162"/>
      <c r="CR640" s="162"/>
      <c r="CS640" s="163"/>
      <c r="CT640" s="358"/>
      <c r="CU640" s="201"/>
      <c r="CV640" s="206"/>
      <c r="CW640" s="218"/>
    </row>
    <row r="641" spans="1:101" ht="15.75" thickBot="1" x14ac:dyDescent="0.25">
      <c r="A641" s="219"/>
      <c r="B641" s="219"/>
      <c r="C641" s="168"/>
      <c r="D641" s="785"/>
      <c r="E641" s="869" t="s">
        <v>45</v>
      </c>
      <c r="F641" s="363"/>
      <c r="G641" s="363"/>
      <c r="H641" s="363"/>
      <c r="I641" s="878"/>
      <c r="J641" s="878"/>
      <c r="K641" s="878"/>
      <c r="L641" s="878"/>
      <c r="M641" s="363"/>
      <c r="N641" s="363"/>
      <c r="O641" s="363"/>
      <c r="P641" s="363"/>
      <c r="Q641" s="363"/>
      <c r="R641" s="363"/>
      <c r="S641" s="363"/>
      <c r="T641" s="363"/>
      <c r="U641" s="363"/>
      <c r="V641" s="363"/>
      <c r="W641" s="363"/>
      <c r="X641" s="363"/>
      <c r="Y641" s="363"/>
      <c r="Z641" s="363"/>
      <c r="AA641" s="363"/>
      <c r="AB641" s="363"/>
      <c r="AC641" s="363"/>
      <c r="AD641" s="363"/>
      <c r="AE641" s="363"/>
      <c r="AF641" s="363"/>
      <c r="AG641" s="363"/>
      <c r="AH641" s="363"/>
      <c r="AI641" s="363"/>
      <c r="AJ641" s="363"/>
      <c r="AK641" s="363"/>
      <c r="AL641" s="363"/>
      <c r="AM641" s="363"/>
      <c r="AN641" s="363"/>
      <c r="AO641" s="363"/>
      <c r="AP641" s="363"/>
      <c r="AQ641" s="363"/>
      <c r="AR641" s="363"/>
      <c r="AS641" s="363"/>
      <c r="AT641" s="363"/>
      <c r="AU641" s="363"/>
      <c r="AV641" s="363"/>
      <c r="AW641" s="363"/>
      <c r="AX641" s="363"/>
      <c r="AY641" s="363"/>
      <c r="AZ641" s="363"/>
      <c r="BA641" s="363"/>
      <c r="BB641" s="363"/>
      <c r="BC641" s="363"/>
      <c r="BD641" s="363"/>
      <c r="BE641" s="363"/>
      <c r="BF641" s="363"/>
      <c r="BG641" s="363"/>
      <c r="BH641" s="363"/>
      <c r="BI641" s="363"/>
      <c r="BJ641" s="363"/>
      <c r="BK641" s="363"/>
      <c r="BL641" s="363"/>
      <c r="BM641" s="363"/>
      <c r="BN641" s="363"/>
      <c r="BO641" s="363"/>
      <c r="BP641" s="363"/>
      <c r="BQ641" s="363"/>
      <c r="BR641" s="363"/>
      <c r="BS641" s="363"/>
      <c r="BT641" s="363"/>
      <c r="BU641" s="363"/>
      <c r="BV641" s="363"/>
      <c r="BW641" s="363"/>
      <c r="BX641" s="363"/>
      <c r="BY641" s="363"/>
      <c r="BZ641" s="363"/>
      <c r="CA641" s="363"/>
      <c r="CB641" s="394"/>
      <c r="CC641" s="394"/>
      <c r="CD641" s="394"/>
      <c r="CE641" s="394"/>
      <c r="CF641" s="363"/>
      <c r="CG641" s="363"/>
      <c r="CH641" s="363"/>
      <c r="CI641" s="363"/>
      <c r="CJ641" s="363"/>
      <c r="CK641" s="363"/>
      <c r="CL641" s="363"/>
      <c r="CM641" s="363"/>
      <c r="CN641" s="323"/>
      <c r="CO641" s="363"/>
      <c r="CP641" s="363"/>
      <c r="CQ641" s="363"/>
      <c r="CR641" s="363"/>
      <c r="CS641" s="323"/>
      <c r="CT641" s="155"/>
      <c r="CU641" s="269"/>
      <c r="CV641" s="209"/>
      <c r="CW641" s="218"/>
    </row>
    <row r="642" spans="1:101" ht="18.75" thickTop="1" x14ac:dyDescent="0.2">
      <c r="A642" s="219"/>
      <c r="B642" s="219"/>
      <c r="C642" s="174"/>
      <c r="D642" s="778"/>
      <c r="E642" s="777"/>
      <c r="F642" s="235"/>
      <c r="G642" s="234"/>
      <c r="H642" s="234"/>
      <c r="I642" s="875">
        <f>WEEKNUM(E643)</f>
        <v>10</v>
      </c>
      <c r="J642" s="875"/>
      <c r="K642" s="875"/>
      <c r="L642" s="250"/>
      <c r="M642" s="261"/>
      <c r="N642" s="205"/>
      <c r="O642" s="236"/>
      <c r="P642" s="236"/>
      <c r="Q642" s="675" t="str">
        <f>IF($F646="","",SUM(Q658:S658)-S644)</f>
        <v/>
      </c>
      <c r="R642" s="675"/>
      <c r="S642" s="675"/>
      <c r="T642" s="237"/>
      <c r="U642" s="238"/>
      <c r="V642" s="238"/>
      <c r="W642" s="238"/>
      <c r="X642" s="238"/>
      <c r="Y642" s="236"/>
      <c r="Z642" s="675" t="str">
        <f>IF($F646="","",SUM(Z658:AB658)-AB644)</f>
        <v/>
      </c>
      <c r="AA642" s="675"/>
      <c r="AB642" s="675"/>
      <c r="AC642" s="237"/>
      <c r="AD642" s="238"/>
      <c r="AE642" s="238"/>
      <c r="AF642" s="238"/>
      <c r="AG642" s="238"/>
      <c r="AH642" s="236"/>
      <c r="AI642" s="675" t="str">
        <f>IF($F646="","",SUM(AI658:AK658)-AK644)</f>
        <v/>
      </c>
      <c r="AJ642" s="675"/>
      <c r="AK642" s="675"/>
      <c r="AL642" s="237"/>
      <c r="AM642" s="238"/>
      <c r="AN642" s="238"/>
      <c r="AO642" s="238"/>
      <c r="AP642" s="238"/>
      <c r="AQ642" s="236"/>
      <c r="AR642" s="675" t="str">
        <f>IF($F646="","",SUM(AR658:AT658)-AT644)</f>
        <v/>
      </c>
      <c r="AS642" s="675"/>
      <c r="AT642" s="675"/>
      <c r="AU642" s="239"/>
      <c r="AV642" s="238"/>
      <c r="AW642" s="238"/>
      <c r="AX642" s="238"/>
      <c r="AY642" s="238"/>
      <c r="AZ642" s="240"/>
      <c r="BA642" s="675" t="str">
        <f>IF($F646="","",SUM(BA658:BC658)-BC644)</f>
        <v/>
      </c>
      <c r="BB642" s="675"/>
      <c r="BC642" s="675"/>
      <c r="BD642" s="239"/>
      <c r="BE642" s="238"/>
      <c r="BF642" s="238"/>
      <c r="BG642" s="238"/>
      <c r="BH642" s="238"/>
      <c r="BI642" s="240"/>
      <c r="BJ642" s="675" t="str">
        <f>IF($F646="","",SUM(BJ658:BL658)-BL644)</f>
        <v/>
      </c>
      <c r="BK642" s="675"/>
      <c r="BL642" s="675"/>
      <c r="BM642" s="239"/>
      <c r="BN642" s="238"/>
      <c r="BO642" s="238"/>
      <c r="BP642" s="238"/>
      <c r="BQ642" s="238"/>
      <c r="BR642" s="241"/>
      <c r="BS642" s="675" t="str">
        <f>IF($F646="","",SUM(BS658:BU658)-BU644)</f>
        <v/>
      </c>
      <c r="BT642" s="675"/>
      <c r="BU642" s="675"/>
      <c r="BV642" s="240"/>
      <c r="BW642" s="238"/>
      <c r="BX642" s="238"/>
      <c r="BY642" s="238"/>
      <c r="BZ642" s="238"/>
      <c r="CA642" s="241"/>
      <c r="CB642" s="675" t="str">
        <f>IF($F646="","",SUM(CB658:CD658)-CD644)</f>
        <v/>
      </c>
      <c r="CC642" s="675"/>
      <c r="CD642" s="675"/>
      <c r="CE642" s="240"/>
      <c r="CF642" s="238"/>
      <c r="CG642" s="238"/>
      <c r="CH642" s="238"/>
      <c r="CI642" s="238"/>
      <c r="CJ642" s="234"/>
      <c r="CK642" s="675" t="str">
        <f>IF($F646="","",SUM(CK658:CM658))</f>
        <v/>
      </c>
      <c r="CL642" s="675"/>
      <c r="CM642" s="675"/>
      <c r="CN642" s="240"/>
      <c r="CO642" s="238"/>
      <c r="CP642" s="238"/>
      <c r="CQ642" s="238"/>
      <c r="CR642" s="238"/>
      <c r="CS642" s="234"/>
      <c r="CT642" s="234"/>
      <c r="CU642" s="251"/>
      <c r="CV642" s="209"/>
      <c r="CW642" s="218"/>
    </row>
    <row r="643" spans="1:101" x14ac:dyDescent="0.2">
      <c r="A643" s="219"/>
      <c r="B643" s="219"/>
      <c r="C643" s="174"/>
      <c r="D643" s="779"/>
      <c r="E643" s="543">
        <f>E621+7</f>
        <v>46452</v>
      </c>
      <c r="F643" s="178"/>
      <c r="G643" s="179"/>
      <c r="H643" s="179"/>
      <c r="I643" s="876"/>
      <c r="J643" s="876"/>
      <c r="K643" s="876"/>
      <c r="L643" s="254"/>
      <c r="M643" s="329"/>
      <c r="N643" s="208"/>
      <c r="O643" s="180"/>
      <c r="P643" s="180"/>
      <c r="Q643" s="584" t="str">
        <f>IF(Q642="","",Q642/Data!$X$1)</f>
        <v/>
      </c>
      <c r="R643" s="584"/>
      <c r="S643" s="585" t="str">
        <f>IF(SUM(X646:X657)=0,"",SUM(X646:X657))</f>
        <v/>
      </c>
      <c r="T643" s="181"/>
      <c r="U643" s="182"/>
      <c r="V643" s="182"/>
      <c r="W643" s="182"/>
      <c r="X643" s="182"/>
      <c r="Y643" s="180"/>
      <c r="Z643" s="584" t="str">
        <f>IF(Z642="","",Z642/Data!$X$1)</f>
        <v/>
      </c>
      <c r="AA643" s="584"/>
      <c r="AB643" s="585" t="str">
        <f>IF(SUM(AG646:AG657)=0,"",SUM(AG646:AG657))</f>
        <v/>
      </c>
      <c r="AC643" s="181"/>
      <c r="AD643" s="182"/>
      <c r="AE643" s="182"/>
      <c r="AF643" s="182"/>
      <c r="AG643" s="182"/>
      <c r="AH643" s="180"/>
      <c r="AI643" s="584" t="str">
        <f>IF(AI642="","",AI642/Data!$X$1)</f>
        <v/>
      </c>
      <c r="AJ643" s="584"/>
      <c r="AK643" s="585" t="str">
        <f>IF(SUM(AP646:AP657)=0,"",SUM(AP646:AP657))</f>
        <v/>
      </c>
      <c r="AL643" s="181"/>
      <c r="AM643" s="182"/>
      <c r="AN643" s="182"/>
      <c r="AO643" s="182"/>
      <c r="AP643" s="182"/>
      <c r="AQ643" s="180"/>
      <c r="AR643" s="584" t="str">
        <f>IF(AR642="","",AR642/Data!$X$1)</f>
        <v/>
      </c>
      <c r="AS643" s="584"/>
      <c r="AT643" s="585" t="str">
        <f>IF(SUM(AY646:AY657)=0,"",SUM(AY646:AY657))</f>
        <v/>
      </c>
      <c r="AU643" s="183"/>
      <c r="AV643" s="182"/>
      <c r="AW643" s="182"/>
      <c r="AX643" s="182"/>
      <c r="AY643" s="182"/>
      <c r="AZ643" s="184"/>
      <c r="BA643" s="584" t="str">
        <f>IF(BA642="","",BA642/Data!$X$1)</f>
        <v/>
      </c>
      <c r="BB643" s="584"/>
      <c r="BC643" s="585" t="str">
        <f>IF(SUM(BH646:BH657)=0,"",SUM(BH646:BH657))</f>
        <v/>
      </c>
      <c r="BD643" s="183"/>
      <c r="BE643" s="182"/>
      <c r="BF643" s="182"/>
      <c r="BG643" s="182"/>
      <c r="BH643" s="182"/>
      <c r="BI643" s="184"/>
      <c r="BJ643" s="584" t="str">
        <f>IF(BJ642="","",BJ642/Data!$X$1)</f>
        <v/>
      </c>
      <c r="BK643" s="584"/>
      <c r="BL643" s="585" t="str">
        <f>IF(SUM(BQ646:BQ657)=0,"",SUM(BQ646:BQ657))</f>
        <v/>
      </c>
      <c r="BM643" s="183"/>
      <c r="BN643" s="182"/>
      <c r="BO643" s="182"/>
      <c r="BP643" s="182"/>
      <c r="BQ643" s="182"/>
      <c r="BR643" s="185"/>
      <c r="BS643" s="584" t="str">
        <f>IF(BS642="","",BS642/Data!$X$1)</f>
        <v/>
      </c>
      <c r="BT643" s="584"/>
      <c r="BU643" s="585" t="str">
        <f>IF(SUM(BZ646:BZ657)=0,"",SUM(BZ646:BZ657))</f>
        <v/>
      </c>
      <c r="BV643" s="184"/>
      <c r="BW643" s="182"/>
      <c r="BX643" s="182"/>
      <c r="BY643" s="182"/>
      <c r="BZ643" s="182"/>
      <c r="CA643" s="185"/>
      <c r="CB643" s="584" t="str">
        <f>IF(CB642="","",CB642/Data!$X$1)</f>
        <v/>
      </c>
      <c r="CC643" s="584"/>
      <c r="CD643" s="585" t="str">
        <f>IF(SUM(CI646:CI657)=0,"",SUM(CI646:CI657))</f>
        <v/>
      </c>
      <c r="CE643" s="184"/>
      <c r="CF643" s="182"/>
      <c r="CG643" s="182"/>
      <c r="CH643" s="182"/>
      <c r="CI643" s="182"/>
      <c r="CJ643" s="182"/>
      <c r="CK643" s="584" t="str">
        <f>IF(CK642="","",CK642/Data!$X$1)</f>
        <v/>
      </c>
      <c r="CL643" s="584"/>
      <c r="CM643" s="585" t="str">
        <f>IF(SUM(CR646:CR657)=0,"",SUM(CR646:CR657))</f>
        <v/>
      </c>
      <c r="CN643" s="184"/>
      <c r="CO643" s="182"/>
      <c r="CP643" s="182"/>
      <c r="CQ643" s="182"/>
      <c r="CR643" s="182"/>
      <c r="CS643" s="182"/>
      <c r="CT643" s="182"/>
      <c r="CU643" s="255"/>
      <c r="CV643" s="209"/>
      <c r="CW643" s="218"/>
    </row>
    <row r="644" spans="1:101" ht="13.5" thickBot="1" x14ac:dyDescent="0.25">
      <c r="A644" s="219"/>
      <c r="B644" s="219"/>
      <c r="C644" s="174"/>
      <c r="D644" s="230"/>
      <c r="E644" s="359"/>
      <c r="F644" s="186"/>
      <c r="G644" s="187"/>
      <c r="H644" s="187"/>
      <c r="I644" s="673"/>
      <c r="J644" s="674"/>
      <c r="K644" s="674"/>
      <c r="L644" s="256"/>
      <c r="M644" s="330"/>
      <c r="N644" s="334"/>
      <c r="O644" s="187"/>
      <c r="P644" s="187"/>
      <c r="Q644" s="342" t="str">
        <f>Data!$E$11</f>
        <v>AHH</v>
      </c>
      <c r="R644" s="343" t="str">
        <f>IF($F657="","",RANK(Q642,$Q642:$CL642))</f>
        <v/>
      </c>
      <c r="S644" s="466"/>
      <c r="T644" s="181"/>
      <c r="U644" s="182"/>
      <c r="V644" s="182"/>
      <c r="W644" s="182"/>
      <c r="X644" s="197">
        <f>COUNTIF(U646:W657,"&gt;0")</f>
        <v>0</v>
      </c>
      <c r="Y644" s="180"/>
      <c r="Z644" s="342" t="str">
        <f>Data!$E$12</f>
        <v>RB</v>
      </c>
      <c r="AA644" s="343" t="str">
        <f>IF($F657="","",RANK(Z642,$Q642:$CL642))</f>
        <v/>
      </c>
      <c r="AB644" s="466"/>
      <c r="AC644" s="181"/>
      <c r="AD644" s="182"/>
      <c r="AE644" s="182"/>
      <c r="AF644" s="182"/>
      <c r="AG644" s="197">
        <f>COUNTIF(AD646:AF657,"&gt;0")</f>
        <v>0</v>
      </c>
      <c r="AH644" s="180"/>
      <c r="AI644" s="342" t="str">
        <f>Data!$E$13</f>
        <v>EB</v>
      </c>
      <c r="AJ644" s="343" t="str">
        <f>IF($F657="","",RANK(AI642,$Q642:$CL642))</f>
        <v/>
      </c>
      <c r="AK644" s="466"/>
      <c r="AL644" s="181"/>
      <c r="AM644" s="182"/>
      <c r="AN644" s="182"/>
      <c r="AO644" s="182"/>
      <c r="AP644" s="197">
        <f>COUNTIF(AM646:AO657,"&gt;0")</f>
        <v>0</v>
      </c>
      <c r="AQ644" s="180"/>
      <c r="AR644" s="305" t="str">
        <f>Data!$E$14</f>
        <v>KAF</v>
      </c>
      <c r="AS644" s="343" t="str">
        <f>IF($F657="","",RANK(AR642,$Q642:$CL642))</f>
        <v/>
      </c>
      <c r="AT644" s="466"/>
      <c r="AU644" s="181"/>
      <c r="AV644" s="182"/>
      <c r="AW644" s="182"/>
      <c r="AX644" s="182"/>
      <c r="AY644" s="197">
        <f>COUNTIF(AV646:AX657,"&gt;0")</f>
        <v>0</v>
      </c>
      <c r="AZ644" s="180"/>
      <c r="BA644" s="305" t="str">
        <f>Data!$E$15</f>
        <v>ØG</v>
      </c>
      <c r="BB644" s="343" t="str">
        <f>IF($F657="","",RANK(BA642,$Q642:$CL642))</f>
        <v/>
      </c>
      <c r="BC644" s="466"/>
      <c r="BD644" s="181"/>
      <c r="BE644" s="182"/>
      <c r="BF644" s="182"/>
      <c r="BG644" s="182"/>
      <c r="BH644" s="197">
        <f>COUNTIF(BE646:BG657,"&gt;0")</f>
        <v>0</v>
      </c>
      <c r="BI644" s="180"/>
      <c r="BJ644" s="305" t="str">
        <f>Data!$E$16</f>
        <v>JH</v>
      </c>
      <c r="BK644" s="343" t="str">
        <f>IF($F657="","",RANK(BJ642,$Q642:$CL642))</f>
        <v/>
      </c>
      <c r="BL644" s="466"/>
      <c r="BM644" s="181"/>
      <c r="BN644" s="182"/>
      <c r="BO644" s="182"/>
      <c r="BP644" s="182"/>
      <c r="BQ644" s="197">
        <f>COUNTIF(BN646:BP657,"&gt;0")</f>
        <v>0</v>
      </c>
      <c r="BR644" s="188"/>
      <c r="BS644" s="305" t="str">
        <f>Data!$E$17</f>
        <v>TOH</v>
      </c>
      <c r="BT644" s="343" t="str">
        <f>IF($F657="","",RANK(BS642,$Q642:$CL642))</f>
        <v/>
      </c>
      <c r="BU644" s="466"/>
      <c r="BV644" s="180"/>
      <c r="BW644" s="182"/>
      <c r="BX644" s="182"/>
      <c r="BY644" s="182"/>
      <c r="BZ644" s="197">
        <f>COUNTIF(BW646:BY657,"&gt;0")</f>
        <v>0</v>
      </c>
      <c r="CA644" s="188"/>
      <c r="CB644" s="305" t="s">
        <v>26</v>
      </c>
      <c r="CC644" s="343" t="str">
        <f>IF($F657="","",RANK(CB642,$Q642:$CM642))</f>
        <v/>
      </c>
      <c r="CD644" s="467"/>
      <c r="CE644" s="180"/>
      <c r="CF644" s="182"/>
      <c r="CG644" s="182"/>
      <c r="CH644" s="182"/>
      <c r="CI644" s="197">
        <f>COUNTIF(CF646:CH657,"&gt;0")</f>
        <v>0</v>
      </c>
      <c r="CJ644" s="182"/>
      <c r="CK644" s="305" t="s">
        <v>27</v>
      </c>
      <c r="CL644" s="343" t="str">
        <f>IF($F657="","",RANK(CK642,$Q642:$CM642))</f>
        <v/>
      </c>
      <c r="CM644" s="669"/>
      <c r="CN644" s="180"/>
      <c r="CO644" s="182"/>
      <c r="CP644" s="182"/>
      <c r="CQ644" s="182"/>
      <c r="CR644" s="197">
        <f>COUNTIF(CO646:CQ657,"&gt;0")</f>
        <v>0</v>
      </c>
      <c r="CS644" s="182"/>
      <c r="CT644" s="182"/>
      <c r="CU644" s="255"/>
      <c r="CV644" s="209"/>
      <c r="CW644" s="218"/>
    </row>
    <row r="645" spans="1:101" ht="13.5" thickBot="1" x14ac:dyDescent="0.25">
      <c r="A645" s="227"/>
      <c r="B645" s="227"/>
      <c r="C645" s="168"/>
      <c r="D645" s="231"/>
      <c r="E645" s="189"/>
      <c r="F645" s="190"/>
      <c r="G645" s="191"/>
      <c r="H645" s="191"/>
      <c r="I645" s="192" t="s">
        <v>47</v>
      </c>
      <c r="J645" s="193" t="s">
        <v>48</v>
      </c>
      <c r="K645" s="194" t="s">
        <v>49</v>
      </c>
      <c r="L645" s="257"/>
      <c r="M645" s="331"/>
      <c r="N645" s="335"/>
      <c r="O645" s="195"/>
      <c r="P645" s="195"/>
      <c r="Q645" s="192" t="s">
        <v>47</v>
      </c>
      <c r="R645" s="193" t="s">
        <v>48</v>
      </c>
      <c r="S645" s="194" t="s">
        <v>49</v>
      </c>
      <c r="T645" s="196"/>
      <c r="U645" s="197"/>
      <c r="V645" s="197"/>
      <c r="W645" s="197"/>
      <c r="X645" s="197"/>
      <c r="Y645" s="195"/>
      <c r="Z645" s="192" t="s">
        <v>47</v>
      </c>
      <c r="AA645" s="193" t="s">
        <v>48</v>
      </c>
      <c r="AB645" s="194" t="s">
        <v>49</v>
      </c>
      <c r="AC645" s="196"/>
      <c r="AD645" s="197"/>
      <c r="AE645" s="197"/>
      <c r="AF645" s="197"/>
      <c r="AG645" s="197"/>
      <c r="AH645" s="195"/>
      <c r="AI645" s="192" t="s">
        <v>47</v>
      </c>
      <c r="AJ645" s="193" t="s">
        <v>48</v>
      </c>
      <c r="AK645" s="194" t="s">
        <v>49</v>
      </c>
      <c r="AL645" s="196"/>
      <c r="AM645" s="197"/>
      <c r="AN645" s="197"/>
      <c r="AO645" s="197"/>
      <c r="AP645" s="197"/>
      <c r="AQ645" s="195"/>
      <c r="AR645" s="192" t="s">
        <v>47</v>
      </c>
      <c r="AS645" s="193" t="s">
        <v>48</v>
      </c>
      <c r="AT645" s="194" t="s">
        <v>49</v>
      </c>
      <c r="AU645" s="196"/>
      <c r="AV645" s="197"/>
      <c r="AW645" s="197"/>
      <c r="AX645" s="197"/>
      <c r="AY645" s="197"/>
      <c r="AZ645" s="195"/>
      <c r="BA645" s="192" t="s">
        <v>47</v>
      </c>
      <c r="BB645" s="193" t="s">
        <v>48</v>
      </c>
      <c r="BC645" s="194" t="s">
        <v>49</v>
      </c>
      <c r="BD645" s="196"/>
      <c r="BE645" s="197"/>
      <c r="BF645" s="197"/>
      <c r="BG645" s="197"/>
      <c r="BH645" s="197"/>
      <c r="BI645" s="195"/>
      <c r="BJ645" s="192" t="s">
        <v>47</v>
      </c>
      <c r="BK645" s="193" t="s">
        <v>48</v>
      </c>
      <c r="BL645" s="194" t="s">
        <v>49</v>
      </c>
      <c r="BM645" s="196"/>
      <c r="BN645" s="197"/>
      <c r="BO645" s="197"/>
      <c r="BP645" s="197"/>
      <c r="BQ645" s="197"/>
      <c r="BR645" s="195"/>
      <c r="BS645" s="192" t="s">
        <v>47</v>
      </c>
      <c r="BT645" s="193" t="s">
        <v>48</v>
      </c>
      <c r="BU645" s="194" t="s">
        <v>49</v>
      </c>
      <c r="BV645" s="196"/>
      <c r="BW645" s="197"/>
      <c r="BX645" s="197"/>
      <c r="BY645" s="197"/>
      <c r="BZ645" s="197"/>
      <c r="CA645" s="195"/>
      <c r="CB645" s="192" t="s">
        <v>47</v>
      </c>
      <c r="CC645" s="193" t="s">
        <v>48</v>
      </c>
      <c r="CD645" s="194" t="s">
        <v>49</v>
      </c>
      <c r="CE645" s="196"/>
      <c r="CF645" s="197"/>
      <c r="CG645" s="197"/>
      <c r="CH645" s="197"/>
      <c r="CI645" s="197"/>
      <c r="CJ645" s="197"/>
      <c r="CK645" s="192" t="s">
        <v>47</v>
      </c>
      <c r="CL645" s="193" t="s">
        <v>48</v>
      </c>
      <c r="CM645" s="194" t="s">
        <v>49</v>
      </c>
      <c r="CN645" s="196"/>
      <c r="CO645" s="197"/>
      <c r="CP645" s="197"/>
      <c r="CQ645" s="197"/>
      <c r="CR645" s="197"/>
      <c r="CS645" s="197"/>
      <c r="CT645" s="198"/>
      <c r="CU645" s="255"/>
      <c r="CV645" s="209"/>
      <c r="CW645" s="228"/>
    </row>
    <row r="646" spans="1:101" x14ac:dyDescent="0.2">
      <c r="A646" s="227"/>
      <c r="B646" s="227"/>
      <c r="C646" s="168"/>
      <c r="D646" s="232"/>
      <c r="E646" s="134" t="s">
        <v>400</v>
      </c>
      <c r="F646" s="424"/>
      <c r="G646" s="428"/>
      <c r="H646" s="429"/>
      <c r="I646" s="138" t="str">
        <f t="shared" ref="I646:I657" si="953">IF($F646&gt;$H646,"x","")</f>
        <v/>
      </c>
      <c r="J646" s="344" t="str">
        <f t="shared" ref="J646:J657" si="954">IF(F646&lt;&gt;"",IF(H646&lt;&gt;"",IF(F646=H646,"x",""),""),"")</f>
        <v/>
      </c>
      <c r="K646" s="345" t="str">
        <f t="shared" ref="K646:K657" si="955">IF($F646&lt;$H646,"x","")</f>
        <v/>
      </c>
      <c r="L646" s="765"/>
      <c r="M646" s="332"/>
      <c r="N646" s="336"/>
      <c r="O646" s="200"/>
      <c r="P646" s="200"/>
      <c r="Q646" s="436"/>
      <c r="R646" s="437"/>
      <c r="S646" s="438" t="str">
        <f t="shared" ref="S646:S657" si="956">IF(Q646="","",100-SUM(Q646:R646))</f>
        <v/>
      </c>
      <c r="T646" s="328"/>
      <c r="U646" s="197" t="str">
        <f>IF(AND($I646="x",AND(MAX(Q646:S646)=Q646,Q646&gt;=0)),Data!$BI$2,"")</f>
        <v/>
      </c>
      <c r="V646" s="197" t="str">
        <f>IF(AND($J646="x",AND(MAX(Q646:S646)=R646,R646&gt;=0)),Data!$BJ$2,"")</f>
        <v/>
      </c>
      <c r="W646" s="197" t="str">
        <f>IF(AND($K646="x",AND(MAX(Q646:S646)=S646,S646&gt;=0)),Data!$BK$2,"")</f>
        <v/>
      </c>
      <c r="X646" s="197"/>
      <c r="Y646" s="328"/>
      <c r="Z646" s="451"/>
      <c r="AA646" s="452"/>
      <c r="AB646" s="438" t="str">
        <f t="shared" ref="AB646:AB657" si="957">IF(Z646="","",100-SUM(Z646:AA646))</f>
        <v/>
      </c>
      <c r="AC646" s="328"/>
      <c r="AD646" s="197" t="str">
        <f>IF(AND($I646="x",AND(MAX(Z646:AB646)=Z646,Z646&lt;&gt;"")),Data!$BI$2,"")</f>
        <v/>
      </c>
      <c r="AE646" s="197" t="str">
        <f>IF(AND($J646="x",AND(MAX(Z646:AB646)=AA646,AA646&lt;&gt;"")),Data!$BJ$2,"")</f>
        <v/>
      </c>
      <c r="AF646" s="197" t="str">
        <f>IF(AND($K646="x",AND(MAX(Z646:AB646)=AB646,AB646&lt;&gt;"")),Data!$BK$2,"")</f>
        <v/>
      </c>
      <c r="AG646" s="197"/>
      <c r="AH646" s="328"/>
      <c r="AI646" s="451"/>
      <c r="AJ646" s="452"/>
      <c r="AK646" s="438" t="str">
        <f t="shared" ref="AK646:AK657" si="958">IF(AI646="","",100-SUM(AI646:AJ646))</f>
        <v/>
      </c>
      <c r="AL646" s="328"/>
      <c r="AM646" s="197" t="str">
        <f>IF(AND($I646="x",AND(MAX(AI646:AK646)=AI646,AI646&lt;&gt;"")),Data!$BI$2,"")</f>
        <v/>
      </c>
      <c r="AN646" s="197" t="str">
        <f>IF(AND($J646="x",AND(MAX(AI646:AK646)=AJ646,AJ646&lt;&gt;"")),Data!$BJ$2,"")</f>
        <v/>
      </c>
      <c r="AO646" s="197" t="str">
        <f>IF(AND($K646="x",AND(MAX(AI646:AK646)=AK646,AK646&lt;&gt;"")),Data!$BK$2,"")</f>
        <v/>
      </c>
      <c r="AP646" s="197"/>
      <c r="AQ646" s="328"/>
      <c r="AR646" s="451"/>
      <c r="AS646" s="452"/>
      <c r="AT646" s="438" t="str">
        <f t="shared" ref="AT646:AT657" si="959">IF(AR646="","",100-SUM(AR646:AS646))</f>
        <v/>
      </c>
      <c r="AU646" s="328"/>
      <c r="AV646" s="197" t="str">
        <f>IF(AND($I646="x",AND(MAX(AR646:AT646)=AR646,AR646&lt;&gt;"")),Data!$BI$2,"")</f>
        <v/>
      </c>
      <c r="AW646" s="197" t="str">
        <f>IF(AND($J646="x",AND(MAX(AR646:AT646)=AS646,AS646&lt;&gt;"")),Data!$BJ$2,"")</f>
        <v/>
      </c>
      <c r="AX646" s="197" t="str">
        <f>IF(AND($K646="x",AND(MAX(AR646:AT646)=AT646,AT646&lt;&gt;"")),Data!$BK$2,"")</f>
        <v/>
      </c>
      <c r="AY646" s="197"/>
      <c r="AZ646" s="328"/>
      <c r="BA646" s="451"/>
      <c r="BB646" s="452"/>
      <c r="BC646" s="438" t="str">
        <f t="shared" ref="BC646:BC657" si="960">IF(BA646="","",100-SUM(BA646:BB646))</f>
        <v/>
      </c>
      <c r="BD646" s="328"/>
      <c r="BE646" s="197" t="str">
        <f>IF(AND($I646="x",AND(MAX(BA646:BC646)=BA646,BA646&lt;&gt;"")),Data!$BI$2,"")</f>
        <v/>
      </c>
      <c r="BF646" s="197" t="str">
        <f>IF(AND($J646="x",AND(MAX(BA646:BC646)=BB646,BB646&lt;&gt;"")),Data!$BJ$2,"")</f>
        <v/>
      </c>
      <c r="BG646" s="197" t="str">
        <f>IF(AND($K646="x",AND(MAX(BA646:BC646)=BC646,BC646&lt;&gt;"")),Data!$BK$2,"")</f>
        <v/>
      </c>
      <c r="BH646" s="197"/>
      <c r="BI646" s="328"/>
      <c r="BJ646" s="451"/>
      <c r="BK646" s="452"/>
      <c r="BL646" s="438" t="str">
        <f t="shared" ref="BL646:BL657" si="961">IF(BJ646="","",100-SUM(BJ646:BK646))</f>
        <v/>
      </c>
      <c r="BM646" s="328"/>
      <c r="BN646" s="197" t="str">
        <f>IF(AND($I646="x",AND(MAX(BJ646:BL646)=BJ646,BJ646&lt;&gt;"")),Data!$BI$2,"")</f>
        <v/>
      </c>
      <c r="BO646" s="197" t="str">
        <f>IF(AND($J646="x",AND(MAX(BJ646:BL646)=BK646,BK646&lt;&gt;"")),Data!$BJ$2,"")</f>
        <v/>
      </c>
      <c r="BP646" s="197" t="str">
        <f>IF(AND($K646="x",AND(MAX(BJ646:BL646)=BL646,BL646&lt;&gt;"")),Data!$BK$2,"")</f>
        <v/>
      </c>
      <c r="BQ646" s="197"/>
      <c r="BR646" s="328"/>
      <c r="BS646" s="451"/>
      <c r="BT646" s="452"/>
      <c r="BU646" s="438" t="str">
        <f t="shared" ref="BU646:BU657" si="962">IF(BS646="","",100-SUM(BS646:BT646))</f>
        <v/>
      </c>
      <c r="BV646" s="328"/>
      <c r="BW646" s="197" t="str">
        <f>IF(AND($I646="x",AND(MAX(BS646:BU646)=BS646,BS646&lt;&gt;"")),Data!$BI$2,"")</f>
        <v/>
      </c>
      <c r="BX646" s="197" t="str">
        <f>IF(AND($J646="x",AND(MAX(BS646:BU646)=BT646,BT646&lt;&gt;"")),Data!$BJ$2,"")</f>
        <v/>
      </c>
      <c r="BY646" s="197" t="str">
        <f>IF(AND($K646="x",AND(MAX(BS646:BU646)=BU646,BU646&lt;&gt;"")),Data!$BK$2,"")</f>
        <v/>
      </c>
      <c r="BZ646" s="197"/>
      <c r="CA646" s="328"/>
      <c r="CB646" s="457" t="str">
        <f t="shared" ref="CB646:CB657" si="963">IFERROR(ROUNDUP((SUM(Q646,Z646,AI646,AR646,BA646,BJ646,BS646)/SUM($Q646:$S646,$Z646:$AB646,$AI646:$AK646,$AR646:$AT646,$BA646:$BC646,$BJ646:$BL646,$BS646:$BU646))*100,-1),"")</f>
        <v/>
      </c>
      <c r="CC646" s="458" t="str">
        <f t="shared" ref="CC646:CC657" si="964">IFERROR(ROUNDDOWN((SUM(R646,AA646,AJ646,AS646,BB646,BK646,BT646)/SUM($Q646:$S646,$Z646:$AB646,$AI646:$AK646,$AR646:$AT646,$BA646:$BC646,$BJ646:$BL646,$BS646:$BU646))*100,-1),"")</f>
        <v/>
      </c>
      <c r="CD646" s="459" t="str">
        <f t="shared" ref="CD646:CD657" si="965">IF(CB646="","",100-SUM(CB646:CC646))</f>
        <v/>
      </c>
      <c r="CE646" s="328"/>
      <c r="CF646" s="197" t="str">
        <f>IF(AND($I646="x",AND(MAX(CB646:CD646)=CB646,CB646&lt;&gt;"")),Data!$BI$2,"")</f>
        <v/>
      </c>
      <c r="CG646" s="197" t="str">
        <f>IF(AND($J646="x",AND(MAX(CB646:CD646)=CC646,CC646&lt;&gt;"")),Data!$BJ$2,"")</f>
        <v/>
      </c>
      <c r="CH646" s="197" t="str">
        <f>IF(AND($K646="x",AND(MAX(CB646:CD646)=CD646,CD646&lt;&gt;"")),Data!$BK$2,"")</f>
        <v/>
      </c>
      <c r="CI646" s="197"/>
      <c r="CJ646" s="197"/>
      <c r="CK646" s="451"/>
      <c r="CL646" s="452"/>
      <c r="CM646" s="438" t="str">
        <f t="shared" ref="CM646:CM657" si="966">IF(CK646="","",100-SUM(CK646:CL646))</f>
        <v/>
      </c>
      <c r="CN646" s="328"/>
      <c r="CO646" s="197" t="str">
        <f>IF(AND($I646="x",AND(MAX(CK646:CM646)=CK646,CK646&lt;&gt;"")),Data!$BI$2,"")</f>
        <v/>
      </c>
      <c r="CP646" s="197" t="str">
        <f>IF(AND($J646="x",AND(MAX(CK646:CM646)=CL646,CL646&lt;&gt;"")),Data!$BJ$2,"")</f>
        <v/>
      </c>
      <c r="CQ646" s="197" t="str">
        <f>IF(AND($K646="x",AND(MAX(CK646:CM646)=CM646,CM646&lt;&gt;"")),Data!$BK$2,"")</f>
        <v/>
      </c>
      <c r="CR646" s="197"/>
      <c r="CS646" s="197"/>
      <c r="CT646" s="328"/>
      <c r="CU646" s="255"/>
      <c r="CV646" s="209"/>
      <c r="CW646" s="227"/>
    </row>
    <row r="647" spans="1:101" x14ac:dyDescent="0.2">
      <c r="A647" s="227"/>
      <c r="B647" s="227"/>
      <c r="C647" s="168"/>
      <c r="D647" s="232"/>
      <c r="E647" s="135" t="s">
        <v>401</v>
      </c>
      <c r="F647" s="425"/>
      <c r="G647" s="430"/>
      <c r="H647" s="431"/>
      <c r="I647" s="346" t="str">
        <f t="shared" si="953"/>
        <v/>
      </c>
      <c r="J647" s="347" t="str">
        <f t="shared" si="954"/>
        <v/>
      </c>
      <c r="K647" s="348" t="str">
        <f t="shared" si="955"/>
        <v/>
      </c>
      <c r="L647" s="765"/>
      <c r="M647" s="332"/>
      <c r="N647" s="336"/>
      <c r="O647" s="200"/>
      <c r="P647" s="200"/>
      <c r="Q647" s="439"/>
      <c r="R647" s="440"/>
      <c r="S647" s="441" t="str">
        <f t="shared" si="956"/>
        <v/>
      </c>
      <c r="T647" s="328"/>
      <c r="U647" s="197" t="str">
        <f>IF(AND($I647="x",AND(MAX(Q647:S647)=Q647,Q647&gt;=0)),Data!$BI$2,"")</f>
        <v/>
      </c>
      <c r="V647" s="197" t="str">
        <f>IF(AND($J647="x",AND(MAX(Q647:S647)=R647,R647&gt;=0)),Data!$BJ$2,"")</f>
        <v/>
      </c>
      <c r="W647" s="197" t="str">
        <f>IF(AND($K647="x",AND(MAX(Q647:S647)=S647,S647&gt;=0)),Data!$BK$2,"")</f>
        <v/>
      </c>
      <c r="X647" s="197"/>
      <c r="Y647" s="328"/>
      <c r="Z647" s="453"/>
      <c r="AA647" s="454"/>
      <c r="AB647" s="441" t="str">
        <f t="shared" si="957"/>
        <v/>
      </c>
      <c r="AC647" s="328"/>
      <c r="AD647" s="197" t="str">
        <f>IF(AND($I647="x",AND(MAX(Z647:AB647)=Z647,Z647&lt;&gt;"")),Data!$BI$2,"")</f>
        <v/>
      </c>
      <c r="AE647" s="197" t="str">
        <f>IF(AND($J647="x",AND(MAX(Z647:AB647)=AA647,AA647&lt;&gt;"")),Data!$BJ$2,"")</f>
        <v/>
      </c>
      <c r="AF647" s="197" t="str">
        <f>IF(AND($K647="x",AND(MAX(Z647:AB647)=AB647,AB647&lt;&gt;"")),Data!$BK$2,"")</f>
        <v/>
      </c>
      <c r="AG647" s="197"/>
      <c r="AH647" s="328"/>
      <c r="AI647" s="453"/>
      <c r="AJ647" s="454"/>
      <c r="AK647" s="441" t="str">
        <f t="shared" si="958"/>
        <v/>
      </c>
      <c r="AL647" s="328"/>
      <c r="AM647" s="197" t="str">
        <f>IF(AND($I647="x",AND(MAX(AI647:AK647)=AI647,AI647&lt;&gt;"")),Data!$BI$2,"")</f>
        <v/>
      </c>
      <c r="AN647" s="197" t="str">
        <f>IF(AND($J647="x",AND(MAX(AI647:AK647)=AJ647,AJ647&lt;&gt;"")),Data!$BJ$2,"")</f>
        <v/>
      </c>
      <c r="AO647" s="197" t="str">
        <f>IF(AND($K647="x",AND(MAX(AI647:AK647)=AK647,AK647&lt;&gt;"")),Data!$BK$2,"")</f>
        <v/>
      </c>
      <c r="AP647" s="197"/>
      <c r="AQ647" s="328"/>
      <c r="AR647" s="453"/>
      <c r="AS647" s="454"/>
      <c r="AT647" s="441" t="str">
        <f t="shared" si="959"/>
        <v/>
      </c>
      <c r="AU647" s="328"/>
      <c r="AV647" s="197" t="str">
        <f>IF(AND($I647="x",AND(MAX(AR647:AT647)=AR647,AR647&lt;&gt;"")),Data!$BI$2,"")</f>
        <v/>
      </c>
      <c r="AW647" s="197" t="str">
        <f>IF(AND($J647="x",AND(MAX(AR647:AT647)=AS647,AS647&lt;&gt;"")),Data!$BJ$2,"")</f>
        <v/>
      </c>
      <c r="AX647" s="197" t="str">
        <f>IF(AND($K647="x",AND(MAX(AR647:AT647)=AT647,AT647&lt;&gt;"")),Data!$BK$2,"")</f>
        <v/>
      </c>
      <c r="AY647" s="197"/>
      <c r="AZ647" s="328"/>
      <c r="BA647" s="453"/>
      <c r="BB647" s="454"/>
      <c r="BC647" s="441" t="str">
        <f t="shared" si="960"/>
        <v/>
      </c>
      <c r="BD647" s="328"/>
      <c r="BE647" s="197" t="str">
        <f>IF(AND($I647="x",AND(MAX(BA647:BC647)=BA647,BA647&lt;&gt;"")),Data!$BI$2,"")</f>
        <v/>
      </c>
      <c r="BF647" s="197" t="str">
        <f>IF(AND($J647="x",AND(MAX(BA647:BC647)=BB647,BB647&lt;&gt;"")),Data!$BJ$2,"")</f>
        <v/>
      </c>
      <c r="BG647" s="197" t="str">
        <f>IF(AND($K647="x",AND(MAX(BA647:BC647)=BC647,BC647&lt;&gt;"")),Data!$BK$2,"")</f>
        <v/>
      </c>
      <c r="BH647" s="197"/>
      <c r="BI647" s="328"/>
      <c r="BJ647" s="453"/>
      <c r="BK647" s="454"/>
      <c r="BL647" s="441" t="str">
        <f t="shared" si="961"/>
        <v/>
      </c>
      <c r="BM647" s="328"/>
      <c r="BN647" s="197" t="str">
        <f>IF(AND($I647="x",AND(MAX(BJ647:BL647)=BJ647,BJ647&lt;&gt;"")),Data!$BI$2,"")</f>
        <v/>
      </c>
      <c r="BO647" s="197" t="str">
        <f>IF(AND($J647="x",AND(MAX(BJ647:BL647)=BK647,BK647&lt;&gt;"")),Data!$BJ$2,"")</f>
        <v/>
      </c>
      <c r="BP647" s="197" t="str">
        <f>IF(AND($K647="x",AND(MAX(BJ647:BL647)=BL647,BL647&lt;&gt;"")),Data!$BK$2,"")</f>
        <v/>
      </c>
      <c r="BQ647" s="197"/>
      <c r="BR647" s="328"/>
      <c r="BS647" s="453"/>
      <c r="BT647" s="454"/>
      <c r="BU647" s="441" t="str">
        <f t="shared" si="962"/>
        <v/>
      </c>
      <c r="BV647" s="328"/>
      <c r="BW647" s="197" t="str">
        <f>IF(AND($I647="x",AND(MAX(BS647:BU647)=BS647,BS647&lt;&gt;"")),Data!$BI$2,"")</f>
        <v/>
      </c>
      <c r="BX647" s="197" t="str">
        <f>IF(AND($J647="x",AND(MAX(BS647:BU647)=BT647,BT647&lt;&gt;"")),Data!$BJ$2,"")</f>
        <v/>
      </c>
      <c r="BY647" s="197" t="str">
        <f>IF(AND($K647="x",AND(MAX(BS647:BU647)=BU647,BU647&lt;&gt;"")),Data!$BK$2,"")</f>
        <v/>
      </c>
      <c r="BZ647" s="197"/>
      <c r="CA647" s="328"/>
      <c r="CB647" s="460" t="str">
        <f t="shared" si="963"/>
        <v/>
      </c>
      <c r="CC647" s="461" t="str">
        <f t="shared" si="964"/>
        <v/>
      </c>
      <c r="CD647" s="462" t="str">
        <f t="shared" si="965"/>
        <v/>
      </c>
      <c r="CE647" s="328"/>
      <c r="CF647" s="197" t="str">
        <f>IF(AND($I647="x",AND(MAX(CB647:CD647)=CB647,CB647&lt;&gt;"")),Data!$BI$2,"")</f>
        <v/>
      </c>
      <c r="CG647" s="197" t="str">
        <f>IF(AND($J647="x",AND(MAX(CB647:CD647)=CC647,CC647&lt;&gt;"")),Data!$BJ$2,"")</f>
        <v/>
      </c>
      <c r="CH647" s="197" t="str">
        <f>IF(AND($K647="x",AND(MAX(CB647:CD647)=CD647,CD647&lt;&gt;"")),Data!$BK$2,"")</f>
        <v/>
      </c>
      <c r="CI647" s="197"/>
      <c r="CJ647" s="197"/>
      <c r="CK647" s="453"/>
      <c r="CL647" s="454"/>
      <c r="CM647" s="441" t="str">
        <f t="shared" si="966"/>
        <v/>
      </c>
      <c r="CN647" s="328"/>
      <c r="CO647" s="197" t="str">
        <f>IF(AND($I647="x",AND(MAX(CK647:CM647)=CK647,CK647&lt;&gt;"")),Data!$BI$2,"")</f>
        <v/>
      </c>
      <c r="CP647" s="197" t="str">
        <f>IF(AND($J647="x",AND(MAX(CK647:CM647)=CL647,CL647&lt;&gt;"")),Data!$BJ$2,"")</f>
        <v/>
      </c>
      <c r="CQ647" s="197" t="str">
        <f>IF(AND($K647="x",AND(MAX(CK647:CM647)=CM647,CM647&lt;&gt;"")),Data!$BK$2,"")</f>
        <v/>
      </c>
      <c r="CR647" s="197"/>
      <c r="CS647" s="197"/>
      <c r="CT647" s="328"/>
      <c r="CU647" s="255"/>
      <c r="CV647" s="209"/>
      <c r="CW647" s="227"/>
    </row>
    <row r="648" spans="1:101" x14ac:dyDescent="0.2">
      <c r="A648" s="227"/>
      <c r="B648" s="227"/>
      <c r="C648" s="168"/>
      <c r="D648" s="232"/>
      <c r="E648" s="136" t="s">
        <v>402</v>
      </c>
      <c r="F648" s="426"/>
      <c r="G648" s="432"/>
      <c r="H648" s="433"/>
      <c r="I648" s="349" t="str">
        <f t="shared" si="953"/>
        <v/>
      </c>
      <c r="J648" s="350" t="str">
        <f t="shared" si="954"/>
        <v/>
      </c>
      <c r="K648" s="351" t="str">
        <f t="shared" si="955"/>
        <v/>
      </c>
      <c r="L648" s="765"/>
      <c r="M648" s="332"/>
      <c r="N648" s="336"/>
      <c r="O648" s="200"/>
      <c r="P648" s="200"/>
      <c r="Q648" s="442"/>
      <c r="R648" s="443"/>
      <c r="S648" s="444" t="str">
        <f t="shared" si="956"/>
        <v/>
      </c>
      <c r="T648" s="328"/>
      <c r="U648" s="197" t="str">
        <f>IF(AND($I648="x",AND(MAX(Q648:S648)=Q648,Q648&gt;=0)),Data!$BI$2,"")</f>
        <v/>
      </c>
      <c r="V648" s="197" t="str">
        <f>IF(AND($J648="x",AND(MAX(Q648:S648)=R648,R648&gt;=0)),Data!$BJ$2,"")</f>
        <v/>
      </c>
      <c r="W648" s="197" t="str">
        <f>IF(AND($K648="x",AND(MAX(Q648:S648)=S648,S648&gt;=0)),Data!$BK$2,"")</f>
        <v/>
      </c>
      <c r="X648" s="197"/>
      <c r="Y648" s="328"/>
      <c r="Z648" s="455"/>
      <c r="AA648" s="456"/>
      <c r="AB648" s="444" t="str">
        <f t="shared" si="957"/>
        <v/>
      </c>
      <c r="AC648" s="328"/>
      <c r="AD648" s="197" t="str">
        <f>IF(AND($I648="x",AND(MAX(Z648:AB648)=Z648,Z648&lt;&gt;"")),Data!$BI$2,"")</f>
        <v/>
      </c>
      <c r="AE648" s="197" t="str">
        <f>IF(AND($J648="x",AND(MAX(Z648:AB648)=AA648,AA648&lt;&gt;"")),Data!$BJ$2,"")</f>
        <v/>
      </c>
      <c r="AF648" s="197" t="str">
        <f>IF(AND($K648="x",AND(MAX(Z648:AB648)=AB648,AB648&lt;&gt;"")),Data!$BK$2,"")</f>
        <v/>
      </c>
      <c r="AG648" s="197"/>
      <c r="AH648" s="328"/>
      <c r="AI648" s="455"/>
      <c r="AJ648" s="456"/>
      <c r="AK648" s="444" t="str">
        <f t="shared" si="958"/>
        <v/>
      </c>
      <c r="AL648" s="328"/>
      <c r="AM648" s="197" t="str">
        <f>IF(AND($I648="x",AND(MAX(AI648:AK648)=AI648,AI648&lt;&gt;"")),Data!$BI$2,"")</f>
        <v/>
      </c>
      <c r="AN648" s="197" t="str">
        <f>IF(AND($J648="x",AND(MAX(AI648:AK648)=AJ648,AJ648&lt;&gt;"")),Data!$BJ$2,"")</f>
        <v/>
      </c>
      <c r="AO648" s="197" t="str">
        <f>IF(AND($K648="x",AND(MAX(AI648:AK648)=AK648,AK648&lt;&gt;"")),Data!$BK$2,"")</f>
        <v/>
      </c>
      <c r="AP648" s="197"/>
      <c r="AQ648" s="328"/>
      <c r="AR648" s="455"/>
      <c r="AS648" s="456"/>
      <c r="AT648" s="444" t="str">
        <f t="shared" si="959"/>
        <v/>
      </c>
      <c r="AU648" s="328"/>
      <c r="AV648" s="197" t="str">
        <f>IF(AND($I648="x",AND(MAX(AR648:AT648)=AR648,AR648&lt;&gt;"")),Data!$BI$2,"")</f>
        <v/>
      </c>
      <c r="AW648" s="197" t="str">
        <f>IF(AND($J648="x",AND(MAX(AR648:AT648)=AS648,AS648&lt;&gt;"")),Data!$BJ$2,"")</f>
        <v/>
      </c>
      <c r="AX648" s="197" t="str">
        <f>IF(AND($K648="x",AND(MAX(AR648:AT648)=AT648,AT648&lt;&gt;"")),Data!$BK$2,"")</f>
        <v/>
      </c>
      <c r="AY648" s="197"/>
      <c r="AZ648" s="328"/>
      <c r="BA648" s="455"/>
      <c r="BB648" s="456"/>
      <c r="BC648" s="444" t="str">
        <f t="shared" si="960"/>
        <v/>
      </c>
      <c r="BD648" s="328"/>
      <c r="BE648" s="197" t="str">
        <f>IF(AND($I648="x",AND(MAX(BA648:BC648)=BA648,BA648&lt;&gt;"")),Data!$BI$2,"")</f>
        <v/>
      </c>
      <c r="BF648" s="197" t="str">
        <f>IF(AND($J648="x",AND(MAX(BA648:BC648)=BB648,BB648&lt;&gt;"")),Data!$BJ$2,"")</f>
        <v/>
      </c>
      <c r="BG648" s="197" t="str">
        <f>IF(AND($K648="x",AND(MAX(BA648:BC648)=BC648,BC648&lt;&gt;"")),Data!$BK$2,"")</f>
        <v/>
      </c>
      <c r="BH648" s="197"/>
      <c r="BI648" s="328"/>
      <c r="BJ648" s="455"/>
      <c r="BK648" s="456"/>
      <c r="BL648" s="444" t="str">
        <f t="shared" si="961"/>
        <v/>
      </c>
      <c r="BM648" s="328"/>
      <c r="BN648" s="197" t="str">
        <f>IF(AND($I648="x",AND(MAX(BJ648:BL648)=BJ648,BJ648&lt;&gt;"")),Data!$BI$2,"")</f>
        <v/>
      </c>
      <c r="BO648" s="197" t="str">
        <f>IF(AND($J648="x",AND(MAX(BJ648:BL648)=BK648,BK648&lt;&gt;"")),Data!$BJ$2,"")</f>
        <v/>
      </c>
      <c r="BP648" s="197" t="str">
        <f>IF(AND($K648="x",AND(MAX(BJ648:BL648)=BL648,BL648&lt;&gt;"")),Data!$BK$2,"")</f>
        <v/>
      </c>
      <c r="BQ648" s="197"/>
      <c r="BR648" s="328"/>
      <c r="BS648" s="455"/>
      <c r="BT648" s="456"/>
      <c r="BU648" s="444" t="str">
        <f t="shared" si="962"/>
        <v/>
      </c>
      <c r="BV648" s="328"/>
      <c r="BW648" s="197" t="str">
        <f>IF(AND($I648="x",AND(MAX(BS648:BU648)=BS648,BS648&lt;&gt;"")),Data!$BI$2,"")</f>
        <v/>
      </c>
      <c r="BX648" s="197" t="str">
        <f>IF(AND($J648="x",AND(MAX(BS648:BU648)=BT648,BT648&lt;&gt;"")),Data!$BJ$2,"")</f>
        <v/>
      </c>
      <c r="BY648" s="197" t="str">
        <f>IF(AND($K648="x",AND(MAX(BS648:BU648)=BU648,BU648&lt;&gt;"")),Data!$BK$2,"")</f>
        <v/>
      </c>
      <c r="BZ648" s="197"/>
      <c r="CA648" s="328"/>
      <c r="CB648" s="463" t="str">
        <f t="shared" si="963"/>
        <v/>
      </c>
      <c r="CC648" s="464" t="str">
        <f t="shared" si="964"/>
        <v/>
      </c>
      <c r="CD648" s="465" t="str">
        <f t="shared" si="965"/>
        <v/>
      </c>
      <c r="CE648" s="328"/>
      <c r="CF648" s="197" t="str">
        <f>IF(AND($I648="x",AND(MAX(CB648:CD648)=CB648,CB648&lt;&gt;"")),Data!$BI$2,"")</f>
        <v/>
      </c>
      <c r="CG648" s="197" t="str">
        <f>IF(AND($J648="x",AND(MAX(CB648:CD648)=CC648,CC648&lt;&gt;"")),Data!$BJ$2,"")</f>
        <v/>
      </c>
      <c r="CH648" s="197" t="str">
        <f>IF(AND($K648="x",AND(MAX(CB648:CD648)=CD648,CD648&lt;&gt;"")),Data!$BK$2,"")</f>
        <v/>
      </c>
      <c r="CI648" s="197"/>
      <c r="CJ648" s="197"/>
      <c r="CK648" s="455"/>
      <c r="CL648" s="456"/>
      <c r="CM648" s="444" t="str">
        <f t="shared" si="966"/>
        <v/>
      </c>
      <c r="CN648" s="328"/>
      <c r="CO648" s="197" t="str">
        <f>IF(AND($I648="x",AND(MAX(CK648:CM648)=CK648,CK648&lt;&gt;"")),Data!$BI$2,"")</f>
        <v/>
      </c>
      <c r="CP648" s="197" t="str">
        <f>IF(AND($J648="x",AND(MAX(CK648:CM648)=CL648,CL648&lt;&gt;"")),Data!$BJ$2,"")</f>
        <v/>
      </c>
      <c r="CQ648" s="197" t="str">
        <f>IF(AND($K648="x",AND(MAX(CK648:CM648)=CM648,CM648&lt;&gt;"")),Data!$BK$2,"")</f>
        <v/>
      </c>
      <c r="CR648" s="197"/>
      <c r="CS648" s="197"/>
      <c r="CT648" s="328"/>
      <c r="CU648" s="255"/>
      <c r="CV648" s="209"/>
      <c r="CW648" s="227"/>
    </row>
    <row r="649" spans="1:101" x14ac:dyDescent="0.2">
      <c r="A649" s="227"/>
      <c r="B649" s="227"/>
      <c r="C649" s="168"/>
      <c r="D649" s="232"/>
      <c r="E649" s="134" t="s">
        <v>403</v>
      </c>
      <c r="F649" s="424"/>
      <c r="G649" s="428"/>
      <c r="H649" s="429"/>
      <c r="I649" s="138" t="str">
        <f t="shared" si="953"/>
        <v/>
      </c>
      <c r="J649" s="344" t="str">
        <f t="shared" si="954"/>
        <v/>
      </c>
      <c r="K649" s="345" t="str">
        <f t="shared" si="955"/>
        <v/>
      </c>
      <c r="L649" s="765"/>
      <c r="M649" s="332"/>
      <c r="N649" s="336"/>
      <c r="O649" s="200"/>
      <c r="P649" s="200"/>
      <c r="Q649" s="436"/>
      <c r="R649" s="437"/>
      <c r="S649" s="438" t="str">
        <f t="shared" si="956"/>
        <v/>
      </c>
      <c r="T649" s="328"/>
      <c r="U649" s="197" t="str">
        <f>IF(AND($I649="x",AND(MAX(Q649:S649)=Q649,Q649&gt;=0)),Data!$BI$2,"")</f>
        <v/>
      </c>
      <c r="V649" s="197" t="str">
        <f>IF(AND($J649="x",AND(MAX(Q649:S649)=R649,R649&gt;=0)),Data!$BJ$2,"")</f>
        <v/>
      </c>
      <c r="W649" s="197" t="str">
        <f>IF(AND($K649="x",AND(MAX(Q649:S649)=S649,S649&gt;=0)),Data!$BK$2,"")</f>
        <v/>
      </c>
      <c r="X649" s="197"/>
      <c r="Y649" s="328"/>
      <c r="Z649" s="451"/>
      <c r="AA649" s="452"/>
      <c r="AB649" s="438" t="str">
        <f t="shared" si="957"/>
        <v/>
      </c>
      <c r="AC649" s="328"/>
      <c r="AD649" s="197" t="str">
        <f>IF(AND($I649="x",AND(MAX(Z649:AB649)=Z649,Z649&lt;&gt;"")),Data!$BI$2,"")</f>
        <v/>
      </c>
      <c r="AE649" s="197" t="str">
        <f>IF(AND($J649="x",AND(MAX(Z649:AB649)=AA649,AA649&lt;&gt;"")),Data!$BJ$2,"")</f>
        <v/>
      </c>
      <c r="AF649" s="197" t="str">
        <f>IF(AND($K649="x",AND(MAX(Z649:AB649)=AB649,AB649&lt;&gt;"")),Data!$BK$2,"")</f>
        <v/>
      </c>
      <c r="AG649" s="197"/>
      <c r="AH649" s="328"/>
      <c r="AI649" s="451"/>
      <c r="AJ649" s="452"/>
      <c r="AK649" s="438" t="str">
        <f t="shared" si="958"/>
        <v/>
      </c>
      <c r="AL649" s="328"/>
      <c r="AM649" s="197" t="str">
        <f>IF(AND($I649="x",AND(MAX(AI649:AK649)=AI649,AI649&lt;&gt;"")),Data!$BI$2,"")</f>
        <v/>
      </c>
      <c r="AN649" s="197" t="str">
        <f>IF(AND($J649="x",AND(MAX(AI649:AK649)=AJ649,AJ649&lt;&gt;"")),Data!$BJ$2,"")</f>
        <v/>
      </c>
      <c r="AO649" s="197" t="str">
        <f>IF(AND($K649="x",AND(MAX(AI649:AK649)=AK649,AK649&lt;&gt;"")),Data!$BK$2,"")</f>
        <v/>
      </c>
      <c r="AP649" s="197"/>
      <c r="AQ649" s="328"/>
      <c r="AR649" s="451"/>
      <c r="AS649" s="452"/>
      <c r="AT649" s="438" t="str">
        <f t="shared" si="959"/>
        <v/>
      </c>
      <c r="AU649" s="328"/>
      <c r="AV649" s="197" t="str">
        <f>IF(AND($I649="x",AND(MAX(AR649:AT649)=AR649,AR649&lt;&gt;"")),Data!$BI$2,"")</f>
        <v/>
      </c>
      <c r="AW649" s="197" t="str">
        <f>IF(AND($J649="x",AND(MAX(AR649:AT649)=AS649,AS649&lt;&gt;"")),Data!$BJ$2,"")</f>
        <v/>
      </c>
      <c r="AX649" s="197" t="str">
        <f>IF(AND($K649="x",AND(MAX(AR649:AT649)=AT649,AT649&lt;&gt;"")),Data!$BK$2,"")</f>
        <v/>
      </c>
      <c r="AY649" s="197"/>
      <c r="AZ649" s="328"/>
      <c r="BA649" s="451"/>
      <c r="BB649" s="452"/>
      <c r="BC649" s="438" t="str">
        <f t="shared" si="960"/>
        <v/>
      </c>
      <c r="BD649" s="328"/>
      <c r="BE649" s="197" t="str">
        <f>IF(AND($I649="x",AND(MAX(BA649:BC649)=BA649,BA649&lt;&gt;"")),Data!$BI$2,"")</f>
        <v/>
      </c>
      <c r="BF649" s="197" t="str">
        <f>IF(AND($J649="x",AND(MAX(BA649:BC649)=BB649,BB649&lt;&gt;"")),Data!$BJ$2,"")</f>
        <v/>
      </c>
      <c r="BG649" s="197" t="str">
        <f>IF(AND($K649="x",AND(MAX(BA649:BC649)=BC649,BC649&lt;&gt;"")),Data!$BK$2,"")</f>
        <v/>
      </c>
      <c r="BH649" s="197"/>
      <c r="BI649" s="328"/>
      <c r="BJ649" s="451"/>
      <c r="BK649" s="452"/>
      <c r="BL649" s="438" t="str">
        <f t="shared" si="961"/>
        <v/>
      </c>
      <c r="BM649" s="328"/>
      <c r="BN649" s="197" t="str">
        <f>IF(AND($I649="x",AND(MAX(BJ649:BL649)=BJ649,BJ649&lt;&gt;"")),Data!$BI$2,"")</f>
        <v/>
      </c>
      <c r="BO649" s="197" t="str">
        <f>IF(AND($J649="x",AND(MAX(BJ649:BL649)=BK649,BK649&lt;&gt;"")),Data!$BJ$2,"")</f>
        <v/>
      </c>
      <c r="BP649" s="197" t="str">
        <f>IF(AND($K649="x",AND(MAX(BJ649:BL649)=BL649,BL649&lt;&gt;"")),Data!$BK$2,"")</f>
        <v/>
      </c>
      <c r="BQ649" s="197"/>
      <c r="BR649" s="328"/>
      <c r="BS649" s="451"/>
      <c r="BT649" s="452"/>
      <c r="BU649" s="438" t="str">
        <f t="shared" si="962"/>
        <v/>
      </c>
      <c r="BV649" s="328"/>
      <c r="BW649" s="197" t="str">
        <f>IF(AND($I649="x",AND(MAX(BS649:BU649)=BS649,BS649&lt;&gt;"")),Data!$BI$2,"")</f>
        <v/>
      </c>
      <c r="BX649" s="197" t="str">
        <f>IF(AND($J649="x",AND(MAX(BS649:BU649)=BT649,BT649&lt;&gt;"")),Data!$BJ$2,"")</f>
        <v/>
      </c>
      <c r="BY649" s="197" t="str">
        <f>IF(AND($K649="x",AND(MAX(BS649:BU649)=BU649,BU649&lt;&gt;"")),Data!$BK$2,"")</f>
        <v/>
      </c>
      <c r="BZ649" s="197"/>
      <c r="CA649" s="328"/>
      <c r="CB649" s="457" t="str">
        <f t="shared" si="963"/>
        <v/>
      </c>
      <c r="CC649" s="458" t="str">
        <f t="shared" si="964"/>
        <v/>
      </c>
      <c r="CD649" s="459" t="str">
        <f t="shared" si="965"/>
        <v/>
      </c>
      <c r="CE649" s="328"/>
      <c r="CF649" s="197" t="str">
        <f>IF(AND($I649="x",AND(MAX(CB649:CD649)=CB649,CB649&lt;&gt;"")),Data!$BI$2,"")</f>
        <v/>
      </c>
      <c r="CG649" s="197" t="str">
        <f>IF(AND($J649="x",AND(MAX(CB649:CD649)=CC649,CC649&lt;&gt;"")),Data!$BJ$2,"")</f>
        <v/>
      </c>
      <c r="CH649" s="197" t="str">
        <f>IF(AND($K649="x",AND(MAX(CB649:CD649)=CD649,CD649&lt;&gt;"")),Data!$BK$2,"")</f>
        <v/>
      </c>
      <c r="CI649" s="197"/>
      <c r="CJ649" s="197"/>
      <c r="CK649" s="451"/>
      <c r="CL649" s="452"/>
      <c r="CM649" s="438" t="str">
        <f t="shared" si="966"/>
        <v/>
      </c>
      <c r="CN649" s="328"/>
      <c r="CO649" s="197" t="str">
        <f>IF(AND($I649="x",AND(MAX(CK649:CM649)=CK649,CK649&lt;&gt;"")),Data!$BI$2,"")</f>
        <v/>
      </c>
      <c r="CP649" s="197" t="str">
        <f>IF(AND($J649="x",AND(MAX(CK649:CM649)=CL649,CL649&lt;&gt;"")),Data!$BJ$2,"")</f>
        <v/>
      </c>
      <c r="CQ649" s="197" t="str">
        <f>IF(AND($K649="x",AND(MAX(CK649:CM649)=CM649,CM649&lt;&gt;"")),Data!$BK$2,"")</f>
        <v/>
      </c>
      <c r="CR649" s="197"/>
      <c r="CS649" s="197"/>
      <c r="CT649" s="328"/>
      <c r="CU649" s="255"/>
      <c r="CV649" s="209"/>
      <c r="CW649" s="227"/>
    </row>
    <row r="650" spans="1:101" x14ac:dyDescent="0.2">
      <c r="A650" s="227"/>
      <c r="B650" s="227"/>
      <c r="C650" s="168"/>
      <c r="D650" s="232"/>
      <c r="E650" s="135" t="s">
        <v>404</v>
      </c>
      <c r="F650" s="425"/>
      <c r="G650" s="430"/>
      <c r="H650" s="431"/>
      <c r="I650" s="346" t="str">
        <f t="shared" si="953"/>
        <v/>
      </c>
      <c r="J650" s="347" t="str">
        <f t="shared" si="954"/>
        <v/>
      </c>
      <c r="K650" s="348" t="str">
        <f t="shared" si="955"/>
        <v/>
      </c>
      <c r="L650" s="765"/>
      <c r="M650" s="332"/>
      <c r="N650" s="336"/>
      <c r="O650" s="200"/>
      <c r="P650" s="200"/>
      <c r="Q650" s="439"/>
      <c r="R650" s="440"/>
      <c r="S650" s="441" t="str">
        <f t="shared" si="956"/>
        <v/>
      </c>
      <c r="T650" s="328"/>
      <c r="U650" s="197" t="str">
        <f>IF(AND($I650="x",AND(MAX(Q650:S650)=Q650,Q650&gt;=0)),Data!$BI$2,"")</f>
        <v/>
      </c>
      <c r="V650" s="197" t="str">
        <f>IF(AND($J650="x",AND(MAX(Q650:S650)=R650,R650&gt;=0)),Data!$BJ$2,"")</f>
        <v/>
      </c>
      <c r="W650" s="197" t="str">
        <f>IF(AND($K650="x",AND(MAX(Q650:S650)=S650,S650&gt;=0)),Data!$BK$2,"")</f>
        <v/>
      </c>
      <c r="X650" s="197"/>
      <c r="Y650" s="328"/>
      <c r="Z650" s="453"/>
      <c r="AA650" s="454"/>
      <c r="AB650" s="441" t="str">
        <f t="shared" si="957"/>
        <v/>
      </c>
      <c r="AC650" s="328"/>
      <c r="AD650" s="197" t="str">
        <f>IF(AND($I650="x",AND(MAX(Z650:AB650)=Z650,Z650&lt;&gt;"")),Data!$BI$2,"")</f>
        <v/>
      </c>
      <c r="AE650" s="197" t="str">
        <f>IF(AND($J650="x",AND(MAX(Z650:AB650)=AA650,AA650&lt;&gt;"")),Data!$BJ$2,"")</f>
        <v/>
      </c>
      <c r="AF650" s="197" t="str">
        <f>IF(AND($K650="x",AND(MAX(Z650:AB650)=AB650,AB650&lt;&gt;"")),Data!$BK$2,"")</f>
        <v/>
      </c>
      <c r="AG650" s="197"/>
      <c r="AH650" s="328"/>
      <c r="AI650" s="453"/>
      <c r="AJ650" s="454"/>
      <c r="AK650" s="441" t="str">
        <f t="shared" si="958"/>
        <v/>
      </c>
      <c r="AL650" s="328"/>
      <c r="AM650" s="197" t="str">
        <f>IF(AND($I650="x",AND(MAX(AI650:AK650)=AI650,AI650&lt;&gt;"")),Data!$BI$2,"")</f>
        <v/>
      </c>
      <c r="AN650" s="197" t="str">
        <f>IF(AND($J650="x",AND(MAX(AI650:AK650)=AJ650,AJ650&lt;&gt;"")),Data!$BJ$2,"")</f>
        <v/>
      </c>
      <c r="AO650" s="197" t="str">
        <f>IF(AND($K650="x",AND(MAX(AI650:AK650)=AK650,AK650&lt;&gt;"")),Data!$BK$2,"")</f>
        <v/>
      </c>
      <c r="AP650" s="197"/>
      <c r="AQ650" s="328"/>
      <c r="AR650" s="453"/>
      <c r="AS650" s="454"/>
      <c r="AT650" s="441" t="str">
        <f t="shared" si="959"/>
        <v/>
      </c>
      <c r="AU650" s="328"/>
      <c r="AV650" s="197" t="str">
        <f>IF(AND($I650="x",AND(MAX(AR650:AT650)=AR650,AR650&lt;&gt;"")),Data!$BI$2,"")</f>
        <v/>
      </c>
      <c r="AW650" s="197" t="str">
        <f>IF(AND($J650="x",AND(MAX(AR650:AT650)=AS650,AS650&lt;&gt;"")),Data!$BJ$2,"")</f>
        <v/>
      </c>
      <c r="AX650" s="197" t="str">
        <f>IF(AND($K650="x",AND(MAX(AR650:AT650)=AT650,AT650&lt;&gt;"")),Data!$BK$2,"")</f>
        <v/>
      </c>
      <c r="AY650" s="197"/>
      <c r="AZ650" s="328"/>
      <c r="BA650" s="453"/>
      <c r="BB650" s="454"/>
      <c r="BC650" s="441" t="str">
        <f t="shared" si="960"/>
        <v/>
      </c>
      <c r="BD650" s="328"/>
      <c r="BE650" s="197" t="str">
        <f>IF(AND($I650="x",AND(MAX(BA650:BC650)=BA650,BA650&lt;&gt;"")),Data!$BI$2,"")</f>
        <v/>
      </c>
      <c r="BF650" s="197" t="str">
        <f>IF(AND($J650="x",AND(MAX(BA650:BC650)=BB650,BB650&lt;&gt;"")),Data!$BJ$2,"")</f>
        <v/>
      </c>
      <c r="BG650" s="197" t="str">
        <f>IF(AND($K650="x",AND(MAX(BA650:BC650)=BC650,BC650&lt;&gt;"")),Data!$BK$2,"")</f>
        <v/>
      </c>
      <c r="BH650" s="197"/>
      <c r="BI650" s="328"/>
      <c r="BJ650" s="453"/>
      <c r="BK650" s="454"/>
      <c r="BL650" s="441" t="str">
        <f t="shared" si="961"/>
        <v/>
      </c>
      <c r="BM650" s="328"/>
      <c r="BN650" s="197" t="str">
        <f>IF(AND($I650="x",AND(MAX(BJ650:BL650)=BJ650,BJ650&lt;&gt;"")),Data!$BI$2,"")</f>
        <v/>
      </c>
      <c r="BO650" s="197" t="str">
        <f>IF(AND($J650="x",AND(MAX(BJ650:BL650)=BK650,BK650&lt;&gt;"")),Data!$BJ$2,"")</f>
        <v/>
      </c>
      <c r="BP650" s="197" t="str">
        <f>IF(AND($K650="x",AND(MAX(BJ650:BL650)=BL650,BL650&lt;&gt;"")),Data!$BK$2,"")</f>
        <v/>
      </c>
      <c r="BQ650" s="197"/>
      <c r="BR650" s="328"/>
      <c r="BS650" s="453"/>
      <c r="BT650" s="454"/>
      <c r="BU650" s="441" t="str">
        <f t="shared" si="962"/>
        <v/>
      </c>
      <c r="BV650" s="328"/>
      <c r="BW650" s="197" t="str">
        <f>IF(AND($I650="x",AND(MAX(BS650:BU650)=BS650,BS650&lt;&gt;"")),Data!$BI$2,"")</f>
        <v/>
      </c>
      <c r="BX650" s="197" t="str">
        <f>IF(AND($J650="x",AND(MAX(BS650:BU650)=BT650,BT650&lt;&gt;"")),Data!$BJ$2,"")</f>
        <v/>
      </c>
      <c r="BY650" s="197" t="str">
        <f>IF(AND($K650="x",AND(MAX(BS650:BU650)=BU650,BU650&lt;&gt;"")),Data!$BK$2,"")</f>
        <v/>
      </c>
      <c r="BZ650" s="197"/>
      <c r="CA650" s="328"/>
      <c r="CB650" s="460" t="str">
        <f t="shared" si="963"/>
        <v/>
      </c>
      <c r="CC650" s="461" t="str">
        <f t="shared" si="964"/>
        <v/>
      </c>
      <c r="CD650" s="462" t="str">
        <f t="shared" si="965"/>
        <v/>
      </c>
      <c r="CE650" s="328"/>
      <c r="CF650" s="197" t="str">
        <f>IF(AND($I650="x",AND(MAX(CB650:CD650)=CB650,CB650&lt;&gt;"")),Data!$BI$2,"")</f>
        <v/>
      </c>
      <c r="CG650" s="197" t="str">
        <f>IF(AND($J650="x",AND(MAX(CB650:CD650)=CC650,CC650&lt;&gt;"")),Data!$BJ$2,"")</f>
        <v/>
      </c>
      <c r="CH650" s="197" t="str">
        <f>IF(AND($K650="x",AND(MAX(CB650:CD650)=CD650,CD650&lt;&gt;"")),Data!$BK$2,"")</f>
        <v/>
      </c>
      <c r="CI650" s="197"/>
      <c r="CJ650" s="197"/>
      <c r="CK650" s="453"/>
      <c r="CL650" s="454"/>
      <c r="CM650" s="441" t="str">
        <f t="shared" si="966"/>
        <v/>
      </c>
      <c r="CN650" s="328"/>
      <c r="CO650" s="197" t="str">
        <f>IF(AND($I650="x",AND(MAX(CK650:CM650)=CK650,CK650&lt;&gt;"")),Data!$BI$2,"")</f>
        <v/>
      </c>
      <c r="CP650" s="197" t="str">
        <f>IF(AND($J650="x",AND(MAX(CK650:CM650)=CL650,CL650&lt;&gt;"")),Data!$BJ$2,"")</f>
        <v/>
      </c>
      <c r="CQ650" s="197" t="str">
        <f>IF(AND($K650="x",AND(MAX(CK650:CM650)=CM650,CM650&lt;&gt;"")),Data!$BK$2,"")</f>
        <v/>
      </c>
      <c r="CR650" s="197"/>
      <c r="CS650" s="197"/>
      <c r="CT650" s="328"/>
      <c r="CU650" s="255"/>
      <c r="CV650" s="209"/>
      <c r="CW650" s="227"/>
    </row>
    <row r="651" spans="1:101" x14ac:dyDescent="0.2">
      <c r="A651" s="227"/>
      <c r="B651" s="227"/>
      <c r="C651" s="168"/>
      <c r="D651" s="232"/>
      <c r="E651" s="136" t="s">
        <v>405</v>
      </c>
      <c r="F651" s="426"/>
      <c r="G651" s="432"/>
      <c r="H651" s="433"/>
      <c r="I651" s="349" t="str">
        <f t="shared" si="953"/>
        <v/>
      </c>
      <c r="J651" s="350" t="str">
        <f t="shared" si="954"/>
        <v/>
      </c>
      <c r="K651" s="351" t="str">
        <f t="shared" si="955"/>
        <v/>
      </c>
      <c r="L651" s="765"/>
      <c r="M651" s="332"/>
      <c r="N651" s="336"/>
      <c r="O651" s="200"/>
      <c r="P651" s="200"/>
      <c r="Q651" s="445"/>
      <c r="R651" s="446"/>
      <c r="S651" s="447" t="str">
        <f t="shared" si="956"/>
        <v/>
      </c>
      <c r="T651" s="328"/>
      <c r="U651" s="197" t="str">
        <f>IF(AND($I651="x",AND(MAX(Q651:S651)=Q651,Q651&gt;=0)),Data!$BI$2,"")</f>
        <v/>
      </c>
      <c r="V651" s="197" t="str">
        <f>IF(AND($J651="x",AND(MAX(Q651:S651)=R651,R651&gt;=0)),Data!$BJ$2,"")</f>
        <v/>
      </c>
      <c r="W651" s="197" t="str">
        <f>IF(AND($K651="x",AND(MAX(Q651:S651)=S651,S651&gt;=0)),Data!$BK$2,"")</f>
        <v/>
      </c>
      <c r="X651" s="197"/>
      <c r="Y651" s="328"/>
      <c r="Z651" s="455"/>
      <c r="AA651" s="456"/>
      <c r="AB651" s="447" t="str">
        <f t="shared" si="957"/>
        <v/>
      </c>
      <c r="AC651" s="328"/>
      <c r="AD651" s="197" t="str">
        <f>IF(AND($I651="x",AND(MAX(Z651:AB651)=Z651,Z651&lt;&gt;"")),Data!$BI$2,"")</f>
        <v/>
      </c>
      <c r="AE651" s="197" t="str">
        <f>IF(AND($J651="x",AND(MAX(Z651:AB651)=AA651,AA651&lt;&gt;"")),Data!$BJ$2,"")</f>
        <v/>
      </c>
      <c r="AF651" s="197" t="str">
        <f>IF(AND($K651="x",AND(MAX(Z651:AB651)=AB651,AB651&lt;&gt;"")),Data!$BK$2,"")</f>
        <v/>
      </c>
      <c r="AG651" s="197"/>
      <c r="AH651" s="328"/>
      <c r="AI651" s="455"/>
      <c r="AJ651" s="456"/>
      <c r="AK651" s="447" t="str">
        <f t="shared" si="958"/>
        <v/>
      </c>
      <c r="AL651" s="328"/>
      <c r="AM651" s="197" t="str">
        <f>IF(AND($I651="x",AND(MAX(AI651:AK651)=AI651,AI651&lt;&gt;"")),Data!$BI$2,"")</f>
        <v/>
      </c>
      <c r="AN651" s="197" t="str">
        <f>IF(AND($J651="x",AND(MAX(AI651:AK651)=AJ651,AJ651&lt;&gt;"")),Data!$BJ$2,"")</f>
        <v/>
      </c>
      <c r="AO651" s="197" t="str">
        <f>IF(AND($K651="x",AND(MAX(AI651:AK651)=AK651,AK651&lt;&gt;"")),Data!$BK$2,"")</f>
        <v/>
      </c>
      <c r="AP651" s="197"/>
      <c r="AQ651" s="328"/>
      <c r="AR651" s="455"/>
      <c r="AS651" s="456"/>
      <c r="AT651" s="447" t="str">
        <f t="shared" si="959"/>
        <v/>
      </c>
      <c r="AU651" s="328"/>
      <c r="AV651" s="197" t="str">
        <f>IF(AND($I651="x",AND(MAX(AR651:AT651)=AR651,AR651&lt;&gt;"")),Data!$BI$2,"")</f>
        <v/>
      </c>
      <c r="AW651" s="197" t="str">
        <f>IF(AND($J651="x",AND(MAX(AR651:AT651)=AS651,AS651&lt;&gt;"")),Data!$BJ$2,"")</f>
        <v/>
      </c>
      <c r="AX651" s="197" t="str">
        <f>IF(AND($K651="x",AND(MAX(AR651:AT651)=AT651,AT651&lt;&gt;"")),Data!$BK$2,"")</f>
        <v/>
      </c>
      <c r="AY651" s="197"/>
      <c r="AZ651" s="328"/>
      <c r="BA651" s="455"/>
      <c r="BB651" s="456"/>
      <c r="BC651" s="447" t="str">
        <f t="shared" si="960"/>
        <v/>
      </c>
      <c r="BD651" s="328"/>
      <c r="BE651" s="197" t="str">
        <f>IF(AND($I651="x",AND(MAX(BA651:BC651)=BA651,BA651&lt;&gt;"")),Data!$BI$2,"")</f>
        <v/>
      </c>
      <c r="BF651" s="197" t="str">
        <f>IF(AND($J651="x",AND(MAX(BA651:BC651)=BB651,BB651&lt;&gt;"")),Data!$BJ$2,"")</f>
        <v/>
      </c>
      <c r="BG651" s="197" t="str">
        <f>IF(AND($K651="x",AND(MAX(BA651:BC651)=BC651,BC651&lt;&gt;"")),Data!$BK$2,"")</f>
        <v/>
      </c>
      <c r="BH651" s="197"/>
      <c r="BI651" s="328"/>
      <c r="BJ651" s="455"/>
      <c r="BK651" s="456"/>
      <c r="BL651" s="447" t="str">
        <f t="shared" si="961"/>
        <v/>
      </c>
      <c r="BM651" s="328"/>
      <c r="BN651" s="197" t="str">
        <f>IF(AND($I651="x",AND(MAX(BJ651:BL651)=BJ651,BJ651&lt;&gt;"")),Data!$BI$2,"")</f>
        <v/>
      </c>
      <c r="BO651" s="197" t="str">
        <f>IF(AND($J651="x",AND(MAX(BJ651:BL651)=BK651,BK651&lt;&gt;"")),Data!$BJ$2,"")</f>
        <v/>
      </c>
      <c r="BP651" s="197" t="str">
        <f>IF(AND($K651="x",AND(MAX(BJ651:BL651)=BL651,BL651&lt;&gt;"")),Data!$BK$2,"")</f>
        <v/>
      </c>
      <c r="BQ651" s="197"/>
      <c r="BR651" s="328"/>
      <c r="BS651" s="455"/>
      <c r="BT651" s="456"/>
      <c r="BU651" s="447" t="str">
        <f t="shared" si="962"/>
        <v/>
      </c>
      <c r="BV651" s="328"/>
      <c r="BW651" s="197" t="str">
        <f>IF(AND($I651="x",AND(MAX(BS651:BU651)=BS651,BS651&lt;&gt;"")),Data!$BI$2,"")</f>
        <v/>
      </c>
      <c r="BX651" s="197" t="str">
        <f>IF(AND($J651="x",AND(MAX(BS651:BU651)=BT651,BT651&lt;&gt;"")),Data!$BJ$2,"")</f>
        <v/>
      </c>
      <c r="BY651" s="197" t="str">
        <f>IF(AND($K651="x",AND(MAX(BS651:BU651)=BU651,BU651&lt;&gt;"")),Data!$BK$2,"")</f>
        <v/>
      </c>
      <c r="BZ651" s="197"/>
      <c r="CA651" s="328"/>
      <c r="CB651" s="463" t="str">
        <f t="shared" si="963"/>
        <v/>
      </c>
      <c r="CC651" s="464" t="str">
        <f t="shared" si="964"/>
        <v/>
      </c>
      <c r="CD651" s="465" t="str">
        <f t="shared" si="965"/>
        <v/>
      </c>
      <c r="CE651" s="328"/>
      <c r="CF651" s="197" t="str">
        <f>IF(AND($I651="x",AND(MAX(CB651:CD651)=CB651,CB651&lt;&gt;"")),Data!$BI$2,"")</f>
        <v/>
      </c>
      <c r="CG651" s="197" t="str">
        <f>IF(AND($J651="x",AND(MAX(CB651:CD651)=CC651,CC651&lt;&gt;"")),Data!$BJ$2,"")</f>
        <v/>
      </c>
      <c r="CH651" s="197" t="str">
        <f>IF(AND($K651="x",AND(MAX(CB651:CD651)=CD651,CD651&lt;&gt;"")),Data!$BK$2,"")</f>
        <v/>
      </c>
      <c r="CI651" s="197"/>
      <c r="CJ651" s="197"/>
      <c r="CK651" s="455"/>
      <c r="CL651" s="456"/>
      <c r="CM651" s="447" t="str">
        <f t="shared" si="966"/>
        <v/>
      </c>
      <c r="CN651" s="328"/>
      <c r="CO651" s="197" t="str">
        <f>IF(AND($I651="x",AND(MAX(CK651:CM651)=CK651,CK651&lt;&gt;"")),Data!$BI$2,"")</f>
        <v/>
      </c>
      <c r="CP651" s="197" t="str">
        <f>IF(AND($J651="x",AND(MAX(CK651:CM651)=CL651,CL651&lt;&gt;"")),Data!$BJ$2,"")</f>
        <v/>
      </c>
      <c r="CQ651" s="197" t="str">
        <f>IF(AND($K651="x",AND(MAX(CK651:CM651)=CM651,CM651&lt;&gt;"")),Data!$BK$2,"")</f>
        <v/>
      </c>
      <c r="CR651" s="197"/>
      <c r="CS651" s="197"/>
      <c r="CT651" s="328"/>
      <c r="CU651" s="255"/>
      <c r="CV651" s="209"/>
      <c r="CW651" s="227"/>
    </row>
    <row r="652" spans="1:101" x14ac:dyDescent="0.2">
      <c r="A652" s="227"/>
      <c r="B652" s="227"/>
      <c r="C652" s="168"/>
      <c r="D652" s="232"/>
      <c r="E652" s="134" t="s">
        <v>406</v>
      </c>
      <c r="F652" s="424"/>
      <c r="G652" s="428"/>
      <c r="H652" s="429"/>
      <c r="I652" s="138" t="str">
        <f t="shared" si="953"/>
        <v/>
      </c>
      <c r="J652" s="344" t="str">
        <f t="shared" si="954"/>
        <v/>
      </c>
      <c r="K652" s="345" t="str">
        <f t="shared" si="955"/>
        <v/>
      </c>
      <c r="L652" s="765"/>
      <c r="M652" s="332"/>
      <c r="N652" s="336"/>
      <c r="O652" s="200"/>
      <c r="P652" s="200"/>
      <c r="Q652" s="436"/>
      <c r="R652" s="437"/>
      <c r="S652" s="438" t="str">
        <f t="shared" si="956"/>
        <v/>
      </c>
      <c r="T652" s="328"/>
      <c r="U652" s="197" t="str">
        <f>IF(AND($I652="x",AND(MAX(Q652:S652)=Q652,Q652&gt;=0)),Data!$BI$2,"")</f>
        <v/>
      </c>
      <c r="V652" s="197" t="str">
        <f>IF(AND($J652="x",AND(MAX(Q652:S652)=R652,R652&gt;=0)),Data!$BJ$2,"")</f>
        <v/>
      </c>
      <c r="W652" s="197" t="str">
        <f>IF(AND($K652="x",AND(MAX(Q652:S652)=S652,S652&gt;=0)),Data!$BK$2,"")</f>
        <v/>
      </c>
      <c r="X652" s="197"/>
      <c r="Y652" s="328"/>
      <c r="Z652" s="451"/>
      <c r="AA652" s="452"/>
      <c r="AB652" s="438" t="str">
        <f t="shared" si="957"/>
        <v/>
      </c>
      <c r="AC652" s="328"/>
      <c r="AD652" s="197" t="str">
        <f>IF(AND($I652="x",AND(MAX(Z652:AB652)=Z652,Z652&lt;&gt;"")),Data!$BI$2,"")</f>
        <v/>
      </c>
      <c r="AE652" s="197" t="str">
        <f>IF(AND($J652="x",AND(MAX(Z652:AB652)=AA652,AA652&lt;&gt;"")),Data!$BJ$2,"")</f>
        <v/>
      </c>
      <c r="AF652" s="197" t="str">
        <f>IF(AND($K652="x",AND(MAX(Z652:AB652)=AB652,AB652&lt;&gt;"")),Data!$BK$2,"")</f>
        <v/>
      </c>
      <c r="AG652" s="197"/>
      <c r="AH652" s="328"/>
      <c r="AI652" s="451"/>
      <c r="AJ652" s="452"/>
      <c r="AK652" s="438" t="str">
        <f t="shared" si="958"/>
        <v/>
      </c>
      <c r="AL652" s="328"/>
      <c r="AM652" s="197" t="str">
        <f>IF(AND($I652="x",AND(MAX(AI652:AK652)=AI652,AI652&lt;&gt;"")),Data!$BI$2,"")</f>
        <v/>
      </c>
      <c r="AN652" s="197" t="str">
        <f>IF(AND($J652="x",AND(MAX(AI652:AK652)=AJ652,AJ652&lt;&gt;"")),Data!$BJ$2,"")</f>
        <v/>
      </c>
      <c r="AO652" s="197" t="str">
        <f>IF(AND($K652="x",AND(MAX(AI652:AK652)=AK652,AK652&lt;&gt;"")),Data!$BK$2,"")</f>
        <v/>
      </c>
      <c r="AP652" s="197"/>
      <c r="AQ652" s="328"/>
      <c r="AR652" s="451"/>
      <c r="AS652" s="452"/>
      <c r="AT652" s="438" t="str">
        <f t="shared" si="959"/>
        <v/>
      </c>
      <c r="AU652" s="328"/>
      <c r="AV652" s="197" t="str">
        <f>IF(AND($I652="x",AND(MAX(AR652:AT652)=AR652,AR652&lt;&gt;"")),Data!$BI$2,"")</f>
        <v/>
      </c>
      <c r="AW652" s="197" t="str">
        <f>IF(AND($J652="x",AND(MAX(AR652:AT652)=AS652,AS652&lt;&gt;"")),Data!$BJ$2,"")</f>
        <v/>
      </c>
      <c r="AX652" s="197" t="str">
        <f>IF(AND($K652="x",AND(MAX(AR652:AT652)=AT652,AT652&lt;&gt;"")),Data!$BK$2,"")</f>
        <v/>
      </c>
      <c r="AY652" s="197"/>
      <c r="AZ652" s="328"/>
      <c r="BA652" s="451"/>
      <c r="BB652" s="452"/>
      <c r="BC652" s="438" t="str">
        <f t="shared" si="960"/>
        <v/>
      </c>
      <c r="BD652" s="328"/>
      <c r="BE652" s="197" t="str">
        <f>IF(AND($I652="x",AND(MAX(BA652:BC652)=BA652,BA652&lt;&gt;"")),Data!$BI$2,"")</f>
        <v/>
      </c>
      <c r="BF652" s="197" t="str">
        <f>IF(AND($J652="x",AND(MAX(BA652:BC652)=BB652,BB652&lt;&gt;"")),Data!$BJ$2,"")</f>
        <v/>
      </c>
      <c r="BG652" s="197" t="str">
        <f>IF(AND($K652="x",AND(MAX(BA652:BC652)=BC652,BC652&lt;&gt;"")),Data!$BK$2,"")</f>
        <v/>
      </c>
      <c r="BH652" s="197"/>
      <c r="BI652" s="328"/>
      <c r="BJ652" s="451"/>
      <c r="BK652" s="452"/>
      <c r="BL652" s="438" t="str">
        <f t="shared" si="961"/>
        <v/>
      </c>
      <c r="BM652" s="328"/>
      <c r="BN652" s="197" t="str">
        <f>IF(AND($I652="x",AND(MAX(BJ652:BL652)=BJ652,BJ652&lt;&gt;"")),Data!$BI$2,"")</f>
        <v/>
      </c>
      <c r="BO652" s="197" t="str">
        <f>IF(AND($J652="x",AND(MAX(BJ652:BL652)=BK652,BK652&lt;&gt;"")),Data!$BJ$2,"")</f>
        <v/>
      </c>
      <c r="BP652" s="197" t="str">
        <f>IF(AND($K652="x",AND(MAX(BJ652:BL652)=BL652,BL652&lt;&gt;"")),Data!$BK$2,"")</f>
        <v/>
      </c>
      <c r="BQ652" s="197"/>
      <c r="BR652" s="328"/>
      <c r="BS652" s="451"/>
      <c r="BT652" s="452"/>
      <c r="BU652" s="438" t="str">
        <f t="shared" si="962"/>
        <v/>
      </c>
      <c r="BV652" s="328"/>
      <c r="BW652" s="197" t="str">
        <f>IF(AND($I652="x",AND(MAX(BS652:BU652)=BS652,BS652&lt;&gt;"")),Data!$BI$2,"")</f>
        <v/>
      </c>
      <c r="BX652" s="197" t="str">
        <f>IF(AND($J652="x",AND(MAX(BS652:BU652)=BT652,BT652&lt;&gt;"")),Data!$BJ$2,"")</f>
        <v/>
      </c>
      <c r="BY652" s="197" t="str">
        <f>IF(AND($K652="x",AND(MAX(BS652:BU652)=BU652,BU652&lt;&gt;"")),Data!$BK$2,"")</f>
        <v/>
      </c>
      <c r="BZ652" s="197"/>
      <c r="CA652" s="328"/>
      <c r="CB652" s="457" t="str">
        <f t="shared" si="963"/>
        <v/>
      </c>
      <c r="CC652" s="458" t="str">
        <f t="shared" si="964"/>
        <v/>
      </c>
      <c r="CD652" s="459" t="str">
        <f t="shared" si="965"/>
        <v/>
      </c>
      <c r="CE652" s="328"/>
      <c r="CF652" s="197" t="str">
        <f>IF(AND($I652="x",AND(MAX(CB652:CD652)=CB652,CB652&lt;&gt;"")),Data!$BI$2,"")</f>
        <v/>
      </c>
      <c r="CG652" s="197" t="str">
        <f>IF(AND($J652="x",AND(MAX(CB652:CD652)=CC652,CC652&lt;&gt;"")),Data!$BJ$2,"")</f>
        <v/>
      </c>
      <c r="CH652" s="197" t="str">
        <f>IF(AND($K652="x",AND(MAX(CB652:CD652)=CD652,CD652&lt;&gt;"")),Data!$BK$2,"")</f>
        <v/>
      </c>
      <c r="CI652" s="197"/>
      <c r="CJ652" s="197"/>
      <c r="CK652" s="451"/>
      <c r="CL652" s="452"/>
      <c r="CM652" s="438" t="str">
        <f t="shared" si="966"/>
        <v/>
      </c>
      <c r="CN652" s="328"/>
      <c r="CO652" s="197" t="str">
        <f>IF(AND($I652="x",AND(MAX(CK652:CM652)=CK652,CK652&lt;&gt;"")),Data!$BI$2,"")</f>
        <v/>
      </c>
      <c r="CP652" s="197" t="str">
        <f>IF(AND($J652="x",AND(MAX(CK652:CM652)=CL652,CL652&lt;&gt;"")),Data!$BJ$2,"")</f>
        <v/>
      </c>
      <c r="CQ652" s="197" t="str">
        <f>IF(AND($K652="x",AND(MAX(CK652:CM652)=CM652,CM652&lt;&gt;"")),Data!$BK$2,"")</f>
        <v/>
      </c>
      <c r="CR652" s="197"/>
      <c r="CS652" s="197"/>
      <c r="CT652" s="328"/>
      <c r="CU652" s="259"/>
      <c r="CV652" s="209"/>
      <c r="CW652" s="227"/>
    </row>
    <row r="653" spans="1:101" x14ac:dyDescent="0.2">
      <c r="A653" s="227"/>
      <c r="B653" s="227"/>
      <c r="C653" s="168"/>
      <c r="D653" s="232"/>
      <c r="E653" s="135" t="s">
        <v>407</v>
      </c>
      <c r="F653" s="425"/>
      <c r="G653" s="430"/>
      <c r="H653" s="431"/>
      <c r="I653" s="346" t="str">
        <f t="shared" si="953"/>
        <v/>
      </c>
      <c r="J653" s="347" t="str">
        <f t="shared" si="954"/>
        <v/>
      </c>
      <c r="K653" s="348" t="str">
        <f t="shared" si="955"/>
        <v/>
      </c>
      <c r="L653" s="765"/>
      <c r="M653" s="332"/>
      <c r="N653" s="336"/>
      <c r="O653" s="200"/>
      <c r="P653" s="200"/>
      <c r="Q653" s="439"/>
      <c r="R653" s="440"/>
      <c r="S653" s="441" t="str">
        <f t="shared" si="956"/>
        <v/>
      </c>
      <c r="T653" s="328"/>
      <c r="U653" s="197" t="str">
        <f>IF(AND($I653="x",AND(MAX(Q653:S653)=Q653,Q653&gt;=0)),Data!$BI$2,"")</f>
        <v/>
      </c>
      <c r="V653" s="197" t="str">
        <f>IF(AND($J653="x",AND(MAX(Q653:S653)=R653,R653&gt;=0)),Data!$BJ$2,"")</f>
        <v/>
      </c>
      <c r="W653" s="197" t="str">
        <f>IF(AND($K653="x",AND(MAX(Q653:S653)=S653,S653&gt;=0)),Data!$BK$2,"")</f>
        <v/>
      </c>
      <c r="X653" s="197"/>
      <c r="Y653" s="328"/>
      <c r="Z653" s="453"/>
      <c r="AA653" s="454"/>
      <c r="AB653" s="441" t="str">
        <f t="shared" si="957"/>
        <v/>
      </c>
      <c r="AC653" s="328"/>
      <c r="AD653" s="197" t="str">
        <f>IF(AND($I653="x",AND(MAX(Z653:AB653)=Z653,Z653&lt;&gt;"")),Data!$BI$2,"")</f>
        <v/>
      </c>
      <c r="AE653" s="197" t="str">
        <f>IF(AND($J653="x",AND(MAX(Z653:AB653)=AA653,AA653&lt;&gt;"")),Data!$BJ$2,"")</f>
        <v/>
      </c>
      <c r="AF653" s="197" t="str">
        <f>IF(AND($K653="x",AND(MAX(Z653:AB653)=AB653,AB653&lt;&gt;"")),Data!$BK$2,"")</f>
        <v/>
      </c>
      <c r="AG653" s="197"/>
      <c r="AH653" s="328"/>
      <c r="AI653" s="453"/>
      <c r="AJ653" s="454"/>
      <c r="AK653" s="441" t="str">
        <f t="shared" si="958"/>
        <v/>
      </c>
      <c r="AL653" s="328"/>
      <c r="AM653" s="197" t="str">
        <f>IF(AND($I653="x",AND(MAX(AI653:AK653)=AI653,AI653&lt;&gt;"")),Data!$BI$2,"")</f>
        <v/>
      </c>
      <c r="AN653" s="197" t="str">
        <f>IF(AND($J653="x",AND(MAX(AI653:AK653)=AJ653,AJ653&lt;&gt;"")),Data!$BJ$2,"")</f>
        <v/>
      </c>
      <c r="AO653" s="197" t="str">
        <f>IF(AND($K653="x",AND(MAX(AI653:AK653)=AK653,AK653&lt;&gt;"")),Data!$BK$2,"")</f>
        <v/>
      </c>
      <c r="AP653" s="197"/>
      <c r="AQ653" s="328"/>
      <c r="AR653" s="453"/>
      <c r="AS653" s="454"/>
      <c r="AT653" s="441" t="str">
        <f t="shared" si="959"/>
        <v/>
      </c>
      <c r="AU653" s="328"/>
      <c r="AV653" s="197" t="str">
        <f>IF(AND($I653="x",AND(MAX(AR653:AT653)=AR653,AR653&lt;&gt;"")),Data!$BI$2,"")</f>
        <v/>
      </c>
      <c r="AW653" s="197" t="str">
        <f>IF(AND($J653="x",AND(MAX(AR653:AT653)=AS653,AS653&lt;&gt;"")),Data!$BJ$2,"")</f>
        <v/>
      </c>
      <c r="AX653" s="197" t="str">
        <f>IF(AND($K653="x",AND(MAX(AR653:AT653)=AT653,AT653&lt;&gt;"")),Data!$BK$2,"")</f>
        <v/>
      </c>
      <c r="AY653" s="197"/>
      <c r="AZ653" s="328"/>
      <c r="BA653" s="453"/>
      <c r="BB653" s="454"/>
      <c r="BC653" s="441" t="str">
        <f t="shared" si="960"/>
        <v/>
      </c>
      <c r="BD653" s="328"/>
      <c r="BE653" s="197" t="str">
        <f>IF(AND($I653="x",AND(MAX(BA653:BC653)=BA653,BA653&lt;&gt;"")),Data!$BI$2,"")</f>
        <v/>
      </c>
      <c r="BF653" s="197" t="str">
        <f>IF(AND($J653="x",AND(MAX(BA653:BC653)=BB653,BB653&lt;&gt;"")),Data!$BJ$2,"")</f>
        <v/>
      </c>
      <c r="BG653" s="197" t="str">
        <f>IF(AND($K653="x",AND(MAX(BA653:BC653)=BC653,BC653&lt;&gt;"")),Data!$BK$2,"")</f>
        <v/>
      </c>
      <c r="BH653" s="197"/>
      <c r="BI653" s="328"/>
      <c r="BJ653" s="453"/>
      <c r="BK653" s="454"/>
      <c r="BL653" s="441" t="str">
        <f t="shared" si="961"/>
        <v/>
      </c>
      <c r="BM653" s="328"/>
      <c r="BN653" s="197" t="str">
        <f>IF(AND($I653="x",AND(MAX(BJ653:BL653)=BJ653,BJ653&lt;&gt;"")),Data!$BI$2,"")</f>
        <v/>
      </c>
      <c r="BO653" s="197" t="str">
        <f>IF(AND($J653="x",AND(MAX(BJ653:BL653)=BK653,BK653&lt;&gt;"")),Data!$BJ$2,"")</f>
        <v/>
      </c>
      <c r="BP653" s="197" t="str">
        <f>IF(AND($K653="x",AND(MAX(BJ653:BL653)=BL653,BL653&lt;&gt;"")),Data!$BK$2,"")</f>
        <v/>
      </c>
      <c r="BQ653" s="197"/>
      <c r="BR653" s="328"/>
      <c r="BS653" s="453"/>
      <c r="BT653" s="454"/>
      <c r="BU653" s="441" t="str">
        <f t="shared" si="962"/>
        <v/>
      </c>
      <c r="BV653" s="328"/>
      <c r="BW653" s="197" t="str">
        <f>IF(AND($I653="x",AND(MAX(BS653:BU653)=BS653,BS653&lt;&gt;"")),Data!$BI$2,"")</f>
        <v/>
      </c>
      <c r="BX653" s="197" t="str">
        <f>IF(AND($J653="x",AND(MAX(BS653:BU653)=BT653,BT653&lt;&gt;"")),Data!$BJ$2,"")</f>
        <v/>
      </c>
      <c r="BY653" s="197" t="str">
        <f>IF(AND($K653="x",AND(MAX(BS653:BU653)=BU653,BU653&lt;&gt;"")),Data!$BK$2,"")</f>
        <v/>
      </c>
      <c r="BZ653" s="197"/>
      <c r="CA653" s="328"/>
      <c r="CB653" s="460" t="str">
        <f t="shared" si="963"/>
        <v/>
      </c>
      <c r="CC653" s="461" t="str">
        <f t="shared" si="964"/>
        <v/>
      </c>
      <c r="CD653" s="462" t="str">
        <f t="shared" si="965"/>
        <v/>
      </c>
      <c r="CE653" s="328"/>
      <c r="CF653" s="197" t="str">
        <f>IF(AND($I653="x",AND(MAX(CB653:CD653)=CB653,CB653&lt;&gt;"")),Data!$BI$2,"")</f>
        <v/>
      </c>
      <c r="CG653" s="197" t="str">
        <f>IF(AND($J653="x",AND(MAX(CB653:CD653)=CC653,CC653&lt;&gt;"")),Data!$BJ$2,"")</f>
        <v/>
      </c>
      <c r="CH653" s="197" t="str">
        <f>IF(AND($K653="x",AND(MAX(CB653:CD653)=CD653,CD653&lt;&gt;"")),Data!$BK$2,"")</f>
        <v/>
      </c>
      <c r="CI653" s="197"/>
      <c r="CJ653" s="197"/>
      <c r="CK653" s="453"/>
      <c r="CL653" s="454"/>
      <c r="CM653" s="441" t="str">
        <f t="shared" si="966"/>
        <v/>
      </c>
      <c r="CN653" s="328"/>
      <c r="CO653" s="197" t="str">
        <f>IF(AND($I653="x",AND(MAX(CK653:CM653)=CK653,CK653&lt;&gt;"")),Data!$BI$2,"")</f>
        <v/>
      </c>
      <c r="CP653" s="197" t="str">
        <f>IF(AND($J653="x",AND(MAX(CK653:CM653)=CL653,CL653&lt;&gt;"")),Data!$BJ$2,"")</f>
        <v/>
      </c>
      <c r="CQ653" s="197" t="str">
        <f>IF(AND($K653="x",AND(MAX(CK653:CM653)=CM653,CM653&lt;&gt;"")),Data!$BK$2,"")</f>
        <v/>
      </c>
      <c r="CR653" s="197"/>
      <c r="CS653" s="197"/>
      <c r="CT653" s="328"/>
      <c r="CU653" s="259"/>
      <c r="CV653" s="209"/>
      <c r="CW653" s="227"/>
    </row>
    <row r="654" spans="1:101" x14ac:dyDescent="0.2">
      <c r="A654" s="227"/>
      <c r="B654" s="227"/>
      <c r="C654" s="168"/>
      <c r="D654" s="232"/>
      <c r="E654" s="136" t="s">
        <v>408</v>
      </c>
      <c r="F654" s="426"/>
      <c r="G654" s="432"/>
      <c r="H654" s="433"/>
      <c r="I654" s="349" t="str">
        <f t="shared" si="953"/>
        <v/>
      </c>
      <c r="J654" s="350" t="str">
        <f t="shared" si="954"/>
        <v/>
      </c>
      <c r="K654" s="351" t="str">
        <f t="shared" si="955"/>
        <v/>
      </c>
      <c r="L654" s="765"/>
      <c r="M654" s="332"/>
      <c r="N654" s="336"/>
      <c r="O654" s="200"/>
      <c r="P654" s="200"/>
      <c r="Q654" s="445"/>
      <c r="R654" s="446"/>
      <c r="S654" s="447" t="str">
        <f t="shared" si="956"/>
        <v/>
      </c>
      <c r="T654" s="328"/>
      <c r="U654" s="197" t="str">
        <f>IF(AND($I654="x",AND(MAX(Q654:S654)=Q654,Q654&gt;=0)),Data!$BI$2,"")</f>
        <v/>
      </c>
      <c r="V654" s="197" t="str">
        <f>IF(AND($J654="x",AND(MAX(Q654:S654)=R654,R654&gt;=0)),Data!$BJ$2,"")</f>
        <v/>
      </c>
      <c r="W654" s="197" t="str">
        <f>IF(AND($K654="x",AND(MAX(Q654:S654)=S654,S654&gt;=0)),Data!$BK$2,"")</f>
        <v/>
      </c>
      <c r="X654" s="197"/>
      <c r="Y654" s="328"/>
      <c r="Z654" s="455"/>
      <c r="AA654" s="456"/>
      <c r="AB654" s="447" t="str">
        <f t="shared" si="957"/>
        <v/>
      </c>
      <c r="AC654" s="328"/>
      <c r="AD654" s="197" t="str">
        <f>IF(AND($I654="x",AND(MAX(Z654:AB654)=Z654,Z654&lt;&gt;"")),Data!$BI$2,"")</f>
        <v/>
      </c>
      <c r="AE654" s="197" t="str">
        <f>IF(AND($J654="x",AND(MAX(Z654:AB654)=AA654,AA654&lt;&gt;"")),Data!$BJ$2,"")</f>
        <v/>
      </c>
      <c r="AF654" s="197" t="str">
        <f>IF(AND($K654="x",AND(MAX(Z654:AB654)=AB654,AB654&lt;&gt;"")),Data!$BK$2,"")</f>
        <v/>
      </c>
      <c r="AG654" s="197"/>
      <c r="AH654" s="328"/>
      <c r="AI654" s="455"/>
      <c r="AJ654" s="456"/>
      <c r="AK654" s="447" t="str">
        <f t="shared" si="958"/>
        <v/>
      </c>
      <c r="AL654" s="328"/>
      <c r="AM654" s="197" t="str">
        <f>IF(AND($I654="x",AND(MAX(AI654:AK654)=AI654,AI654&lt;&gt;"")),Data!$BI$2,"")</f>
        <v/>
      </c>
      <c r="AN654" s="197" t="str">
        <f>IF(AND($J654="x",AND(MAX(AI654:AK654)=AJ654,AJ654&lt;&gt;"")),Data!$BJ$2,"")</f>
        <v/>
      </c>
      <c r="AO654" s="197" t="str">
        <f>IF(AND($K654="x",AND(MAX(AI654:AK654)=AK654,AK654&lt;&gt;"")),Data!$BK$2,"")</f>
        <v/>
      </c>
      <c r="AP654" s="197"/>
      <c r="AQ654" s="328"/>
      <c r="AR654" s="455"/>
      <c r="AS654" s="456"/>
      <c r="AT654" s="447" t="str">
        <f t="shared" si="959"/>
        <v/>
      </c>
      <c r="AU654" s="328"/>
      <c r="AV654" s="197" t="str">
        <f>IF(AND($I654="x",AND(MAX(AR654:AT654)=AR654,AR654&lt;&gt;"")),Data!$BI$2,"")</f>
        <v/>
      </c>
      <c r="AW654" s="197" t="str">
        <f>IF(AND($J654="x",AND(MAX(AR654:AT654)=AS654,AS654&lt;&gt;"")),Data!$BJ$2,"")</f>
        <v/>
      </c>
      <c r="AX654" s="197" t="str">
        <f>IF(AND($K654="x",AND(MAX(AR654:AT654)=AT654,AT654&lt;&gt;"")),Data!$BK$2,"")</f>
        <v/>
      </c>
      <c r="AY654" s="197"/>
      <c r="AZ654" s="328"/>
      <c r="BA654" s="455"/>
      <c r="BB654" s="456"/>
      <c r="BC654" s="447" t="str">
        <f t="shared" si="960"/>
        <v/>
      </c>
      <c r="BD654" s="328"/>
      <c r="BE654" s="197" t="str">
        <f>IF(AND($I654="x",AND(MAX(BA654:BC654)=BA654,BA654&lt;&gt;"")),Data!$BI$2,"")</f>
        <v/>
      </c>
      <c r="BF654" s="197" t="str">
        <f>IF(AND($J654="x",AND(MAX(BA654:BC654)=BB654,BB654&lt;&gt;"")),Data!$BJ$2,"")</f>
        <v/>
      </c>
      <c r="BG654" s="197" t="str">
        <f>IF(AND($K654="x",AND(MAX(BA654:BC654)=BC654,BC654&lt;&gt;"")),Data!$BK$2,"")</f>
        <v/>
      </c>
      <c r="BH654" s="197"/>
      <c r="BI654" s="328"/>
      <c r="BJ654" s="455"/>
      <c r="BK654" s="456"/>
      <c r="BL654" s="447" t="str">
        <f t="shared" si="961"/>
        <v/>
      </c>
      <c r="BM654" s="328"/>
      <c r="BN654" s="197" t="str">
        <f>IF(AND($I654="x",AND(MAX(BJ654:BL654)=BJ654,BJ654&lt;&gt;"")),Data!$BI$2,"")</f>
        <v/>
      </c>
      <c r="BO654" s="197" t="str">
        <f>IF(AND($J654="x",AND(MAX(BJ654:BL654)=BK654,BK654&lt;&gt;"")),Data!$BJ$2,"")</f>
        <v/>
      </c>
      <c r="BP654" s="197" t="str">
        <f>IF(AND($K654="x",AND(MAX(BJ654:BL654)=BL654,BL654&lt;&gt;"")),Data!$BK$2,"")</f>
        <v/>
      </c>
      <c r="BQ654" s="197"/>
      <c r="BR654" s="328"/>
      <c r="BS654" s="455"/>
      <c r="BT654" s="456"/>
      <c r="BU654" s="447" t="str">
        <f t="shared" si="962"/>
        <v/>
      </c>
      <c r="BV654" s="328"/>
      <c r="BW654" s="197" t="str">
        <f>IF(AND($I654="x",AND(MAX(BS654:BU654)=BS654,BS654&lt;&gt;"")),Data!$BI$2,"")</f>
        <v/>
      </c>
      <c r="BX654" s="197" t="str">
        <f>IF(AND($J654="x",AND(MAX(BS654:BU654)=BT654,BT654&lt;&gt;"")),Data!$BJ$2,"")</f>
        <v/>
      </c>
      <c r="BY654" s="197" t="str">
        <f>IF(AND($K654="x",AND(MAX(BS654:BU654)=BU654,BU654&lt;&gt;"")),Data!$BK$2,"")</f>
        <v/>
      </c>
      <c r="BZ654" s="197"/>
      <c r="CA654" s="328"/>
      <c r="CB654" s="463" t="str">
        <f t="shared" si="963"/>
        <v/>
      </c>
      <c r="CC654" s="464" t="str">
        <f>IFERROR(ROUNDDOWN((SUM(R654,AA654,AJ654,AS654,BB654,BK654,BT654)/SUM($Q654:$S654,$Z654:$AB654,$AI654:$AK654,$AR654:$AT654,$BA654:$BC654,$BJ654:$BL654,$BS654:$BU654))*100,-1),"")</f>
        <v/>
      </c>
      <c r="CD654" s="465" t="str">
        <f t="shared" si="965"/>
        <v/>
      </c>
      <c r="CE654" s="328"/>
      <c r="CF654" s="197" t="str">
        <f>IF(AND($I654="x",AND(MAX(CB654:CD654)=CB654,CB654&lt;&gt;"")),Data!$BI$2,"")</f>
        <v/>
      </c>
      <c r="CG654" s="197" t="str">
        <f>IF(AND($J654="x",AND(MAX(CB654:CD654)=CC654,CC654&lt;&gt;"")),Data!$BJ$2,"")</f>
        <v/>
      </c>
      <c r="CH654" s="197" t="str">
        <f>IF(AND($K654="x",AND(MAX(CB654:CD654)=CD654,CD654&lt;&gt;"")),Data!$BK$2,"")</f>
        <v/>
      </c>
      <c r="CI654" s="197"/>
      <c r="CJ654" s="197"/>
      <c r="CK654" s="455"/>
      <c r="CL654" s="456"/>
      <c r="CM654" s="447" t="str">
        <f t="shared" si="966"/>
        <v/>
      </c>
      <c r="CN654" s="328"/>
      <c r="CO654" s="197" t="str">
        <f>IF(AND($I654="x",AND(MAX(CK654:CM654)=CK654,CK654&lt;&gt;"")),Data!$BI$2,"")</f>
        <v/>
      </c>
      <c r="CP654" s="197" t="str">
        <f>IF(AND($J654="x",AND(MAX(CK654:CM654)=CL654,CL654&lt;&gt;"")),Data!$BJ$2,"")</f>
        <v/>
      </c>
      <c r="CQ654" s="197" t="str">
        <f>IF(AND($K654="x",AND(MAX(CK654:CM654)=CM654,CM654&lt;&gt;"")),Data!$BK$2,"")</f>
        <v/>
      </c>
      <c r="CR654" s="197"/>
      <c r="CS654" s="197"/>
      <c r="CT654" s="328"/>
      <c r="CU654" s="259"/>
      <c r="CV654" s="209"/>
      <c r="CW654" s="227"/>
    </row>
    <row r="655" spans="1:101" x14ac:dyDescent="0.2">
      <c r="A655" s="227"/>
      <c r="B655" s="227"/>
      <c r="C655" s="168"/>
      <c r="D655" s="232"/>
      <c r="E655" s="137" t="s">
        <v>409</v>
      </c>
      <c r="F655" s="427"/>
      <c r="G655" s="434"/>
      <c r="H655" s="435"/>
      <c r="I655" s="138" t="str">
        <f t="shared" si="953"/>
        <v/>
      </c>
      <c r="J655" s="344" t="str">
        <f t="shared" si="954"/>
        <v/>
      </c>
      <c r="K655" s="345" t="str">
        <f t="shared" si="955"/>
        <v/>
      </c>
      <c r="L655" s="765"/>
      <c r="M655" s="332"/>
      <c r="N655" s="336"/>
      <c r="O655" s="200"/>
      <c r="P655" s="200"/>
      <c r="Q655" s="448"/>
      <c r="R655" s="449"/>
      <c r="S655" s="450" t="str">
        <f t="shared" si="956"/>
        <v/>
      </c>
      <c r="T655" s="328"/>
      <c r="U655" s="197" t="str">
        <f>IF(AND($I655="x",AND(MAX(Q655:S655)=Q655,Q655&gt;=0)),Data!$BI$2,"")</f>
        <v/>
      </c>
      <c r="V655" s="197" t="str">
        <f>IF(AND($J655="x",AND(MAX(Q655:S655)=R655,R655&gt;=0)),Data!$BJ$2,"")</f>
        <v/>
      </c>
      <c r="W655" s="197" t="str">
        <f>IF(AND($K655="x",AND(MAX(Q655:S655)=S655,S655&gt;=0)),Data!$BK$2,"")</f>
        <v/>
      </c>
      <c r="X655" s="197"/>
      <c r="Y655" s="328"/>
      <c r="Z655" s="451"/>
      <c r="AA655" s="452"/>
      <c r="AB655" s="450" t="str">
        <f t="shared" si="957"/>
        <v/>
      </c>
      <c r="AC655" s="328"/>
      <c r="AD655" s="197" t="str">
        <f>IF(AND($I655="x",AND(MAX(Z655:AB655)=Z655,Z655&lt;&gt;"")),Data!$BI$2,"")</f>
        <v/>
      </c>
      <c r="AE655" s="197" t="str">
        <f>IF(AND($J655="x",AND(MAX(Z655:AB655)=AA655,AA655&lt;&gt;"")),Data!$BJ$2,"")</f>
        <v/>
      </c>
      <c r="AF655" s="197" t="str">
        <f>IF(AND($K655="x",AND(MAX(Z655:AB655)=AB655,AB655&lt;&gt;"")),Data!$BK$2,"")</f>
        <v/>
      </c>
      <c r="AG655" s="197"/>
      <c r="AH655" s="328"/>
      <c r="AI655" s="451"/>
      <c r="AJ655" s="452"/>
      <c r="AK655" s="450" t="str">
        <f t="shared" si="958"/>
        <v/>
      </c>
      <c r="AL655" s="328"/>
      <c r="AM655" s="197" t="str">
        <f>IF(AND($I655="x",AND(MAX(AI655:AK655)=AI655,AI655&lt;&gt;"")),Data!$BI$2,"")</f>
        <v/>
      </c>
      <c r="AN655" s="197" t="str">
        <f>IF(AND($J655="x",AND(MAX(AI655:AK655)=AJ655,AJ655&lt;&gt;"")),Data!$BJ$2,"")</f>
        <v/>
      </c>
      <c r="AO655" s="197" t="str">
        <f>IF(AND($K655="x",AND(MAX(AI655:AK655)=AK655,AK655&lt;&gt;"")),Data!$BK$2,"")</f>
        <v/>
      </c>
      <c r="AP655" s="197"/>
      <c r="AQ655" s="328"/>
      <c r="AR655" s="451"/>
      <c r="AS655" s="452"/>
      <c r="AT655" s="450" t="str">
        <f t="shared" si="959"/>
        <v/>
      </c>
      <c r="AU655" s="328"/>
      <c r="AV655" s="197" t="str">
        <f>IF(AND($I655="x",AND(MAX(AR655:AT655)=AR655,AR655&lt;&gt;"")),Data!$BI$2,"")</f>
        <v/>
      </c>
      <c r="AW655" s="197" t="str">
        <f>IF(AND($J655="x",AND(MAX(AR655:AT655)=AS655,AS655&lt;&gt;"")),Data!$BJ$2,"")</f>
        <v/>
      </c>
      <c r="AX655" s="197" t="str">
        <f>IF(AND($K655="x",AND(MAX(AR655:AT655)=AT655,AT655&lt;&gt;"")),Data!$BK$2,"")</f>
        <v/>
      </c>
      <c r="AY655" s="197"/>
      <c r="AZ655" s="328"/>
      <c r="BA655" s="451"/>
      <c r="BB655" s="452"/>
      <c r="BC655" s="450" t="str">
        <f t="shared" si="960"/>
        <v/>
      </c>
      <c r="BD655" s="328"/>
      <c r="BE655" s="197" t="str">
        <f>IF(AND($I655="x",AND(MAX(BA655:BC655)=BA655,BA655&lt;&gt;"")),Data!$BI$2,"")</f>
        <v/>
      </c>
      <c r="BF655" s="197" t="str">
        <f>IF(AND($J655="x",AND(MAX(BA655:BC655)=BB655,BB655&lt;&gt;"")),Data!$BJ$2,"")</f>
        <v/>
      </c>
      <c r="BG655" s="197" t="str">
        <f>IF(AND($K655="x",AND(MAX(BA655:BC655)=BC655,BC655&lt;&gt;"")),Data!$BK$2,"")</f>
        <v/>
      </c>
      <c r="BH655" s="197"/>
      <c r="BI655" s="328"/>
      <c r="BJ655" s="451"/>
      <c r="BK655" s="452"/>
      <c r="BL655" s="450" t="str">
        <f t="shared" si="961"/>
        <v/>
      </c>
      <c r="BM655" s="328"/>
      <c r="BN655" s="197" t="str">
        <f>IF(AND($I655="x",AND(MAX(BJ655:BL655)=BJ655,BJ655&lt;&gt;"")),Data!$BI$2,"")</f>
        <v/>
      </c>
      <c r="BO655" s="197" t="str">
        <f>IF(AND($J655="x",AND(MAX(BJ655:BL655)=BK655,BK655&lt;&gt;"")),Data!$BJ$2,"")</f>
        <v/>
      </c>
      <c r="BP655" s="197" t="str">
        <f>IF(AND($K655="x",AND(MAX(BJ655:BL655)=BL655,BL655&lt;&gt;"")),Data!$BK$2,"")</f>
        <v/>
      </c>
      <c r="BQ655" s="197"/>
      <c r="BR655" s="328"/>
      <c r="BS655" s="451"/>
      <c r="BT655" s="452"/>
      <c r="BU655" s="450" t="str">
        <f t="shared" si="962"/>
        <v/>
      </c>
      <c r="BV655" s="328"/>
      <c r="BW655" s="197" t="str">
        <f>IF(AND($I655="x",AND(MAX(BS655:BU655)=BS655,BS655&lt;&gt;"")),Data!$BI$2,"")</f>
        <v/>
      </c>
      <c r="BX655" s="197" t="str">
        <f>IF(AND($J655="x",AND(MAX(BS655:BU655)=BT655,BT655&lt;&gt;"")),Data!$BJ$2,"")</f>
        <v/>
      </c>
      <c r="BY655" s="197" t="str">
        <f>IF(AND($K655="x",AND(MAX(BS655:BU655)=BU655,BU655&lt;&gt;"")),Data!$BK$2,"")</f>
        <v/>
      </c>
      <c r="BZ655" s="197"/>
      <c r="CA655" s="328"/>
      <c r="CB655" s="457" t="str">
        <f t="shared" si="963"/>
        <v/>
      </c>
      <c r="CC655" s="458" t="str">
        <f>IFERROR(ROUNDDOWN((SUM(R655,AA655,AJ655,AS655,BB655,BK655,BT655)/SUM($Q655:$S655,$Z655:$AB655,$AI655:$AK655,$AR655:$AT655,$BA655:$BC655,$BJ655:$BL655,$BS655:$BU655))*100,-1),"")</f>
        <v/>
      </c>
      <c r="CD655" s="459" t="str">
        <f t="shared" si="965"/>
        <v/>
      </c>
      <c r="CE655" s="328"/>
      <c r="CF655" s="197" t="str">
        <f>IF(AND($I655="x",AND(MAX(CB655:CD655)=CB655,CB655&lt;&gt;"")),Data!$BI$2,"")</f>
        <v/>
      </c>
      <c r="CG655" s="197" t="str">
        <f>IF(AND($J655="x",AND(MAX(CB655:CD655)=CC655,CC655&lt;&gt;"")),Data!$BJ$2,"")</f>
        <v/>
      </c>
      <c r="CH655" s="197" t="str">
        <f>IF(AND($K655="x",AND(MAX(CB655:CD655)=CD655,CD655&lt;&gt;"")),Data!$BK$2,"")</f>
        <v/>
      </c>
      <c r="CI655" s="197"/>
      <c r="CJ655" s="197"/>
      <c r="CK655" s="451"/>
      <c r="CL655" s="452"/>
      <c r="CM655" s="450" t="str">
        <f t="shared" si="966"/>
        <v/>
      </c>
      <c r="CN655" s="328"/>
      <c r="CO655" s="197" t="str">
        <f>IF(AND($I655="x",AND(MAX(CK655:CM655)=CK655,CK655&lt;&gt;"")),Data!$BI$2,"")</f>
        <v/>
      </c>
      <c r="CP655" s="197" t="str">
        <f>IF(AND($J655="x",AND(MAX(CK655:CM655)=CL655,CL655&lt;&gt;"")),Data!$BJ$2,"")</f>
        <v/>
      </c>
      <c r="CQ655" s="197" t="str">
        <f>IF(AND($K655="x",AND(MAX(CK655:CM655)=CM655,CM655&lt;&gt;"")),Data!$BK$2,"")</f>
        <v/>
      </c>
      <c r="CR655" s="197"/>
      <c r="CS655" s="197"/>
      <c r="CT655" s="328"/>
      <c r="CU655" s="259"/>
      <c r="CV655" s="209"/>
      <c r="CW655" s="227"/>
    </row>
    <row r="656" spans="1:101" x14ac:dyDescent="0.2">
      <c r="A656" s="227"/>
      <c r="B656" s="227"/>
      <c r="C656" s="168"/>
      <c r="D656" s="232"/>
      <c r="E656" s="135" t="s">
        <v>410</v>
      </c>
      <c r="F656" s="425"/>
      <c r="G656" s="430"/>
      <c r="H656" s="431"/>
      <c r="I656" s="346" t="str">
        <f t="shared" si="953"/>
        <v/>
      </c>
      <c r="J656" s="347" t="str">
        <f t="shared" si="954"/>
        <v/>
      </c>
      <c r="K656" s="348" t="str">
        <f t="shared" si="955"/>
        <v/>
      </c>
      <c r="L656" s="765"/>
      <c r="M656" s="332"/>
      <c r="N656" s="336"/>
      <c r="O656" s="200"/>
      <c r="P656" s="200"/>
      <c r="Q656" s="439"/>
      <c r="R656" s="440"/>
      <c r="S656" s="441" t="str">
        <f t="shared" si="956"/>
        <v/>
      </c>
      <c r="T656" s="328"/>
      <c r="U656" s="197" t="str">
        <f>IF(AND($I656="x",AND(MAX(Q656:S656)=Q656,Q656&gt;=0)),Data!$BI$2,"")</f>
        <v/>
      </c>
      <c r="V656" s="197" t="str">
        <f>IF(AND($J656="x",AND(MAX(Q656:S656)=R656,R656&gt;=0)),Data!$BJ$2,"")</f>
        <v/>
      </c>
      <c r="W656" s="197" t="str">
        <f>IF(AND($K656="x",AND(MAX(Q656:S656)=S656,S656&gt;=0)),Data!$BK$2,"")</f>
        <v/>
      </c>
      <c r="X656" s="197"/>
      <c r="Y656" s="328"/>
      <c r="Z656" s="453"/>
      <c r="AA656" s="454"/>
      <c r="AB656" s="441" t="str">
        <f t="shared" si="957"/>
        <v/>
      </c>
      <c r="AC656" s="328"/>
      <c r="AD656" s="197" t="str">
        <f>IF(AND($I656="x",AND(MAX(Z656:AB656)=Z656,Z656&lt;&gt;"")),Data!$BI$2,"")</f>
        <v/>
      </c>
      <c r="AE656" s="197" t="str">
        <f>IF(AND($J656="x",AND(MAX(Z656:AB656)=AA656,AA656&lt;&gt;"")),Data!$BJ$2,"")</f>
        <v/>
      </c>
      <c r="AF656" s="197" t="str">
        <f>IF(AND($K656="x",AND(MAX(Z656:AB656)=AB656,AB656&lt;&gt;"")),Data!$BK$2,"")</f>
        <v/>
      </c>
      <c r="AG656" s="197"/>
      <c r="AH656" s="328"/>
      <c r="AI656" s="453"/>
      <c r="AJ656" s="454"/>
      <c r="AK656" s="441" t="str">
        <f t="shared" si="958"/>
        <v/>
      </c>
      <c r="AL656" s="328"/>
      <c r="AM656" s="197" t="str">
        <f>IF(AND($I656="x",AND(MAX(AI656:AK656)=AI656,AI656&lt;&gt;"")),Data!$BI$2,"")</f>
        <v/>
      </c>
      <c r="AN656" s="197" t="str">
        <f>IF(AND($J656="x",AND(MAX(AI656:AK656)=AJ656,AJ656&lt;&gt;"")),Data!$BJ$2,"")</f>
        <v/>
      </c>
      <c r="AO656" s="197" t="str">
        <f>IF(AND($K656="x",AND(MAX(AI656:AK656)=AK656,AK656&lt;&gt;"")),Data!$BK$2,"")</f>
        <v/>
      </c>
      <c r="AP656" s="197"/>
      <c r="AQ656" s="328"/>
      <c r="AR656" s="453"/>
      <c r="AS656" s="454"/>
      <c r="AT656" s="441" t="str">
        <f t="shared" si="959"/>
        <v/>
      </c>
      <c r="AU656" s="328"/>
      <c r="AV656" s="197" t="str">
        <f>IF(AND($I656="x",AND(MAX(AR656:AT656)=AR656,AR656&lt;&gt;"")),Data!$BI$2,"")</f>
        <v/>
      </c>
      <c r="AW656" s="197" t="str">
        <f>IF(AND($J656="x",AND(MAX(AR656:AT656)=AS656,AS656&lt;&gt;"")),Data!$BJ$2,"")</f>
        <v/>
      </c>
      <c r="AX656" s="197" t="str">
        <f>IF(AND($K656="x",AND(MAX(AR656:AT656)=AT656,AT656&lt;&gt;"")),Data!$BK$2,"")</f>
        <v/>
      </c>
      <c r="AY656" s="197"/>
      <c r="AZ656" s="328"/>
      <c r="BA656" s="453"/>
      <c r="BB656" s="454"/>
      <c r="BC656" s="441" t="str">
        <f>IF(BA656="","",100-SUM(BA656:BB656))</f>
        <v/>
      </c>
      <c r="BD656" s="328"/>
      <c r="BE656" s="197" t="str">
        <f>IF(AND($I656="x",AND(MAX(BA656:BC656)=BA656,BA656&lt;&gt;"")),Data!$BI$2,"")</f>
        <v/>
      </c>
      <c r="BF656" s="197" t="str">
        <f>IF(AND($J656="x",AND(MAX(BA656:BC656)=BB656,BB656&lt;&gt;"")),Data!$BJ$2,"")</f>
        <v/>
      </c>
      <c r="BG656" s="197" t="str">
        <f>IF(AND($K656="x",AND(MAX(BA656:BC656)=BC656,BC656&lt;&gt;"")),Data!$BK$2,"")</f>
        <v/>
      </c>
      <c r="BH656" s="197"/>
      <c r="BI656" s="328"/>
      <c r="BJ656" s="453"/>
      <c r="BK656" s="454"/>
      <c r="BL656" s="441" t="str">
        <f t="shared" si="961"/>
        <v/>
      </c>
      <c r="BM656" s="328"/>
      <c r="BN656" s="197" t="str">
        <f>IF(AND($I656="x",AND(MAX(BJ656:BL656)=BJ656,BJ656&lt;&gt;"")),Data!$BI$2,"")</f>
        <v/>
      </c>
      <c r="BO656" s="197" t="str">
        <f>IF(AND($J656="x",AND(MAX(BJ656:BL656)=BK656,BK656&lt;&gt;"")),Data!$BJ$2,"")</f>
        <v/>
      </c>
      <c r="BP656" s="197" t="str">
        <f>IF(AND($K656="x",AND(MAX(BJ656:BL656)=BL656,BL656&lt;&gt;"")),Data!$BK$2,"")</f>
        <v/>
      </c>
      <c r="BQ656" s="197"/>
      <c r="BR656" s="328"/>
      <c r="BS656" s="453"/>
      <c r="BT656" s="454"/>
      <c r="BU656" s="441" t="str">
        <f t="shared" si="962"/>
        <v/>
      </c>
      <c r="BV656" s="328"/>
      <c r="BW656" s="197" t="str">
        <f>IF(AND($I656="x",AND(MAX(BS656:BU656)=BS656,BS656&lt;&gt;"")),Data!$BI$2,"")</f>
        <v/>
      </c>
      <c r="BX656" s="197" t="str">
        <f>IF(AND($J656="x",AND(MAX(BS656:BU656)=BT656,BT656&lt;&gt;"")),Data!$BJ$2,"")</f>
        <v/>
      </c>
      <c r="BY656" s="197" t="str">
        <f>IF(AND($K656="x",AND(MAX(BS656:BU656)=BU656,BU656&lt;&gt;"")),Data!$BK$2,"")</f>
        <v/>
      </c>
      <c r="BZ656" s="197"/>
      <c r="CA656" s="328"/>
      <c r="CB656" s="460" t="str">
        <f t="shared" si="963"/>
        <v/>
      </c>
      <c r="CC656" s="461" t="str">
        <f>IFERROR(ROUNDDOWN((SUM(R656,AA656,AJ656,AS656,BB656,BK656,BT656)/SUM($Q656:$S656,$Z656:$AB656,$AI656:$AK656,$AR656:$AT656,$BA656:$BC656,$BJ656:$BL656,$BS656:$BU656))*100,-1),"")</f>
        <v/>
      </c>
      <c r="CD656" s="462" t="str">
        <f t="shared" si="965"/>
        <v/>
      </c>
      <c r="CE656" s="328"/>
      <c r="CF656" s="197" t="str">
        <f>IF(AND($I656="x",AND(MAX(CB656:CD656)=CB656,CB656&lt;&gt;"")),Data!$BI$2,"")</f>
        <v/>
      </c>
      <c r="CG656" s="197" t="str">
        <f>IF(AND($J656="x",AND(MAX(CB656:CD656)=CC656,CC656&lt;&gt;"")),Data!$BJ$2,"")</f>
        <v/>
      </c>
      <c r="CH656" s="197" t="str">
        <f>IF(AND($K656="x",AND(MAX(CB656:CD656)=CD656,CD656&lt;&gt;"")),Data!$BK$2,"")</f>
        <v/>
      </c>
      <c r="CI656" s="197"/>
      <c r="CJ656" s="197"/>
      <c r="CK656" s="453"/>
      <c r="CL656" s="454"/>
      <c r="CM656" s="441" t="str">
        <f t="shared" si="966"/>
        <v/>
      </c>
      <c r="CN656" s="328"/>
      <c r="CO656" s="197" t="str">
        <f>IF(AND($I656="x",AND(MAX(CK656:CM656)=CK656,CK656&lt;&gt;"")),Data!$BI$2,"")</f>
        <v/>
      </c>
      <c r="CP656" s="197" t="str">
        <f>IF(AND($J656="x",AND(MAX(CK656:CM656)=CL656,CL656&lt;&gt;"")),Data!$BJ$2,"")</f>
        <v/>
      </c>
      <c r="CQ656" s="197" t="str">
        <f>IF(AND($K656="x",AND(MAX(CK656:CM656)=CM656,CM656&lt;&gt;"")),Data!$BK$2,"")</f>
        <v/>
      </c>
      <c r="CR656" s="197"/>
      <c r="CS656" s="197"/>
      <c r="CT656" s="328"/>
      <c r="CU656" s="259"/>
      <c r="CV656" s="209"/>
      <c r="CW656" s="227"/>
    </row>
    <row r="657" spans="1:101" x14ac:dyDescent="0.2">
      <c r="A657" s="227"/>
      <c r="B657" s="227"/>
      <c r="C657" s="168"/>
      <c r="D657" s="232"/>
      <c r="E657" s="136" t="s">
        <v>411</v>
      </c>
      <c r="F657" s="426"/>
      <c r="G657" s="432"/>
      <c r="H657" s="433"/>
      <c r="I657" s="349" t="str">
        <f t="shared" si="953"/>
        <v/>
      </c>
      <c r="J657" s="350" t="str">
        <f t="shared" si="954"/>
        <v/>
      </c>
      <c r="K657" s="351" t="str">
        <f t="shared" si="955"/>
        <v/>
      </c>
      <c r="L657" s="765"/>
      <c r="M657" s="332"/>
      <c r="N657" s="336"/>
      <c r="O657" s="200"/>
      <c r="P657" s="200"/>
      <c r="Q657" s="445"/>
      <c r="R657" s="446"/>
      <c r="S657" s="447" t="str">
        <f t="shared" si="956"/>
        <v/>
      </c>
      <c r="T657" s="328"/>
      <c r="U657" s="197" t="str">
        <f>IF(AND($I657="x",AND(MAX(Q657:S657)=Q657,Q657&gt;=0)),Data!$BI$2,"")</f>
        <v/>
      </c>
      <c r="V657" s="197" t="str">
        <f>IF(AND($J657="x",AND(MAX(Q657:S657)=R657,R657&gt;=0)),Data!$BJ$2,"")</f>
        <v/>
      </c>
      <c r="W657" s="197" t="str">
        <f>IF(AND($K657="x",AND(MAX(Q657:S657)=S657,S657&gt;=0)),Data!$BK$2,"")</f>
        <v/>
      </c>
      <c r="X657" s="197"/>
      <c r="Y657" s="328"/>
      <c r="Z657" s="455"/>
      <c r="AA657" s="456"/>
      <c r="AB657" s="447" t="str">
        <f t="shared" si="957"/>
        <v/>
      </c>
      <c r="AC657" s="328"/>
      <c r="AD657" s="197" t="str">
        <f>IF(AND($I657="x",AND(MAX(Z657:AB657)=Z657,Z657&lt;&gt;"")),Data!$BI$2,"")</f>
        <v/>
      </c>
      <c r="AE657" s="197" t="str">
        <f>IF(AND($J657="x",AND(MAX(Z657:AB657)=AA657,AA657&lt;&gt;"")),Data!$BJ$2,"")</f>
        <v/>
      </c>
      <c r="AF657" s="197" t="str">
        <f>IF(AND($K657="x",AND(MAX(Z657:AB657)=AB657,AB657&lt;&gt;"")),Data!$BK$2,"")</f>
        <v/>
      </c>
      <c r="AG657" s="197"/>
      <c r="AH657" s="328"/>
      <c r="AI657" s="455"/>
      <c r="AJ657" s="456"/>
      <c r="AK657" s="447" t="str">
        <f t="shared" si="958"/>
        <v/>
      </c>
      <c r="AL657" s="328"/>
      <c r="AM657" s="197" t="str">
        <f>IF(AND($I657="x",AND(MAX(AI657:AK657)=AI657,AI657&lt;&gt;"")),Data!$BI$2,"")</f>
        <v/>
      </c>
      <c r="AN657" s="197" t="str">
        <f>IF(AND($J657="x",AND(MAX(AI657:AK657)=AJ657,AJ657&lt;&gt;"")),Data!$BJ$2,"")</f>
        <v/>
      </c>
      <c r="AO657" s="197" t="str">
        <f>IF(AND($K657="x",AND(MAX(AI657:AK657)=AK657,AK657&lt;&gt;"")),Data!$BK$2,"")</f>
        <v/>
      </c>
      <c r="AP657" s="197"/>
      <c r="AQ657" s="328"/>
      <c r="AR657" s="455"/>
      <c r="AS657" s="456"/>
      <c r="AT657" s="447" t="str">
        <f t="shared" si="959"/>
        <v/>
      </c>
      <c r="AU657" s="328"/>
      <c r="AV657" s="197" t="str">
        <f>IF(AND($I657="x",AND(MAX(AR657:AT657)=AR657,AR657&lt;&gt;"")),Data!$BI$2,"")</f>
        <v/>
      </c>
      <c r="AW657" s="197" t="str">
        <f>IF(AND($J657="x",AND(MAX(AR657:AT657)=AS657,AS657&lt;&gt;"")),Data!$BJ$2,"")</f>
        <v/>
      </c>
      <c r="AX657" s="197" t="str">
        <f>IF(AND($K657="x",AND(MAX(AR657:AT657)=AT657,AT657&lt;&gt;"")),Data!$BK$2,"")</f>
        <v/>
      </c>
      <c r="AY657" s="197"/>
      <c r="AZ657" s="328"/>
      <c r="BA657" s="455"/>
      <c r="BB657" s="456"/>
      <c r="BC657" s="447" t="str">
        <f t="shared" si="960"/>
        <v/>
      </c>
      <c r="BD657" s="328"/>
      <c r="BE657" s="197" t="str">
        <f>IF(AND($I657="x",AND(MAX(BA657:BC657)=BA657,BA657&lt;&gt;"")),Data!$BI$2,"")</f>
        <v/>
      </c>
      <c r="BF657" s="197" t="str">
        <f>IF(AND($J657="x",AND(MAX(BA657:BC657)=BB657,BB657&lt;&gt;"")),Data!$BJ$2,"")</f>
        <v/>
      </c>
      <c r="BG657" s="197" t="str">
        <f>IF(AND($K657="x",AND(MAX(BA657:BC657)=BC657,BC657&lt;&gt;"")),Data!$BK$2,"")</f>
        <v/>
      </c>
      <c r="BH657" s="197"/>
      <c r="BI657" s="328"/>
      <c r="BJ657" s="455"/>
      <c r="BK657" s="456"/>
      <c r="BL657" s="447" t="str">
        <f t="shared" si="961"/>
        <v/>
      </c>
      <c r="BM657" s="328"/>
      <c r="BN657" s="197" t="str">
        <f>IF(AND($I657="x",AND(MAX(BJ657:BL657)=BJ657,BJ657&lt;&gt;"")),Data!$BI$2,"")</f>
        <v/>
      </c>
      <c r="BO657" s="197" t="str">
        <f>IF(AND($J657="x",AND(MAX(BJ657:BL657)=BK657,BK657&lt;&gt;"")),Data!$BJ$2,"")</f>
        <v/>
      </c>
      <c r="BP657" s="197" t="str">
        <f>IF(AND($K657="x",AND(MAX(BJ657:BL657)=BL657,BL657&lt;&gt;"")),Data!$BK$2,"")</f>
        <v/>
      </c>
      <c r="BQ657" s="197"/>
      <c r="BR657" s="328"/>
      <c r="BS657" s="455"/>
      <c r="BT657" s="456"/>
      <c r="BU657" s="447" t="str">
        <f t="shared" si="962"/>
        <v/>
      </c>
      <c r="BV657" s="328"/>
      <c r="BW657" s="197" t="str">
        <f>IF(AND($I657="x",AND(MAX(BS657:BU657)=BS657,BS657&lt;&gt;"")),Data!$BI$2,"")</f>
        <v/>
      </c>
      <c r="BX657" s="197" t="str">
        <f>IF(AND($J657="x",AND(MAX(BS657:BU657)=BT657,BT657&lt;&gt;"")),Data!$BJ$2,"")</f>
        <v/>
      </c>
      <c r="BY657" s="197" t="str">
        <f>IF(AND($K657="x",AND(MAX(BS657:BU657)=BU657,BU657&lt;&gt;"")),Data!$BK$2,"")</f>
        <v/>
      </c>
      <c r="BZ657" s="197"/>
      <c r="CA657" s="328"/>
      <c r="CB657" s="463" t="str">
        <f t="shared" si="963"/>
        <v/>
      </c>
      <c r="CC657" s="464" t="str">
        <f t="shared" si="964"/>
        <v/>
      </c>
      <c r="CD657" s="465" t="str">
        <f t="shared" si="965"/>
        <v/>
      </c>
      <c r="CE657" s="328"/>
      <c r="CF657" s="197" t="str">
        <f>IF(AND($I657="x",AND(MAX(CB657:CD657)=CB657,CB657&lt;&gt;"")),Data!$BI$2,"")</f>
        <v/>
      </c>
      <c r="CG657" s="197" t="str">
        <f>IF(AND($J657="x",AND(MAX(CB657:CD657)=CC657,CC657&lt;&gt;"")),Data!$BJ$2,"")</f>
        <v/>
      </c>
      <c r="CH657" s="197" t="str">
        <f>IF(AND($K657="x",AND(MAX(CB657:CD657)=CD657,CD657&lt;&gt;"")),Data!$BK$2,"")</f>
        <v/>
      </c>
      <c r="CI657" s="197"/>
      <c r="CJ657" s="197"/>
      <c r="CK657" s="455"/>
      <c r="CL657" s="456"/>
      <c r="CM657" s="447" t="str">
        <f t="shared" si="966"/>
        <v/>
      </c>
      <c r="CN657" s="328"/>
      <c r="CO657" s="197" t="str">
        <f>IF(AND($I657="x",AND(MAX(CK657:CM657)=CK657,CK657&lt;&gt;"")),Data!$BI$2,"")</f>
        <v/>
      </c>
      <c r="CP657" s="197" t="str">
        <f>IF(AND($J657="x",AND(MAX(CK657:CM657)=CL657,CL657&lt;&gt;"")),Data!$BJ$2,"")</f>
        <v/>
      </c>
      <c r="CQ657" s="197" t="str">
        <f>IF(AND($K657="x",AND(MAX(CK657:CM657)=CM657,CM657&lt;&gt;"")),Data!$BK$2,"")</f>
        <v/>
      </c>
      <c r="CR657" s="197"/>
      <c r="CS657" s="197"/>
      <c r="CT657" s="328"/>
      <c r="CU657" s="259"/>
      <c r="CV657" s="209"/>
      <c r="CW657" s="227"/>
    </row>
    <row r="658" spans="1:101" x14ac:dyDescent="0.2">
      <c r="A658" s="227"/>
      <c r="B658" s="227"/>
      <c r="C658" s="168"/>
      <c r="D658" s="233"/>
      <c r="E658" s="199"/>
      <c r="F658" s="352" t="str">
        <f>IF(SUM(F646:F657)=0,"",SUM(F646:F657))</f>
        <v/>
      </c>
      <c r="G658" s="327" t="s">
        <v>51</v>
      </c>
      <c r="H658" s="353" t="str">
        <f>IF(SUM(H646:H657)=0,"",SUM(H646:H657))</f>
        <v/>
      </c>
      <c r="I658" s="354" t="str">
        <f>IF(COUNTIF(I646:I657,"=x")=0,"",COUNTIF(I646:I657,"=x"))</f>
        <v/>
      </c>
      <c r="J658" s="355" t="str">
        <f>IF(COUNTIF(J646:J657,"=x")=0,"",COUNTIF(J646:J657,"=x"))</f>
        <v/>
      </c>
      <c r="K658" s="356" t="str">
        <f>IF(COUNTIF(K646:K657,"=x")=0,"",COUNTIF(K646:K657,"=x"))</f>
        <v/>
      </c>
      <c r="L658" s="258"/>
      <c r="M658" s="332"/>
      <c r="N658" s="336"/>
      <c r="O658" s="200"/>
      <c r="P658" s="326"/>
      <c r="Q658" s="422">
        <f>SUM(U646:U657)</f>
        <v>0</v>
      </c>
      <c r="R658" s="422">
        <f t="shared" ref="R658:S658" si="967">SUM(V646:V657)</f>
        <v>0</v>
      </c>
      <c r="S658" s="422">
        <f t="shared" si="967"/>
        <v>0</v>
      </c>
      <c r="T658" s="325"/>
      <c r="U658" s="197">
        <f>SUM(U646:U657)</f>
        <v>0</v>
      </c>
      <c r="V658" s="197">
        <f t="shared" ref="V658:W658" si="968">SUM(V646:V657)</f>
        <v>0</v>
      </c>
      <c r="W658" s="197">
        <f t="shared" si="968"/>
        <v>0</v>
      </c>
      <c r="X658" s="197"/>
      <c r="Y658" s="324"/>
      <c r="Z658" s="422">
        <f>SUM(AD646:AD657)</f>
        <v>0</v>
      </c>
      <c r="AA658" s="422">
        <f t="shared" ref="AA658:AB658" si="969">SUM(AE646:AE657)</f>
        <v>0</v>
      </c>
      <c r="AB658" s="422">
        <f t="shared" si="969"/>
        <v>0</v>
      </c>
      <c r="AC658" s="325"/>
      <c r="AD658" s="197">
        <f>SUM(AD646:AD657)</f>
        <v>0</v>
      </c>
      <c r="AE658" s="197">
        <f t="shared" ref="AE658:AF658" si="970">SUM(AE646:AE657)</f>
        <v>0</v>
      </c>
      <c r="AF658" s="197">
        <f t="shared" si="970"/>
        <v>0</v>
      </c>
      <c r="AG658" s="197"/>
      <c r="AH658" s="324"/>
      <c r="AI658" s="422">
        <f>SUM(AM646:AM657)</f>
        <v>0</v>
      </c>
      <c r="AJ658" s="422">
        <f t="shared" ref="AJ658:AK658" si="971">SUM(AN646:AN657)</f>
        <v>0</v>
      </c>
      <c r="AK658" s="422">
        <f t="shared" si="971"/>
        <v>0</v>
      </c>
      <c r="AL658" s="325"/>
      <c r="AM658" s="197">
        <f>SUM(AM646:AM657)</f>
        <v>0</v>
      </c>
      <c r="AN658" s="197">
        <f t="shared" ref="AN658:AO658" si="972">SUM(AN646:AN657)</f>
        <v>0</v>
      </c>
      <c r="AO658" s="197">
        <f t="shared" si="972"/>
        <v>0</v>
      </c>
      <c r="AP658" s="197"/>
      <c r="AQ658" s="324"/>
      <c r="AR658" s="422">
        <f>SUM(AV646:AV657)</f>
        <v>0</v>
      </c>
      <c r="AS658" s="422">
        <f t="shared" ref="AS658:AT658" si="973">SUM(AW646:AW657)</f>
        <v>0</v>
      </c>
      <c r="AT658" s="422">
        <f t="shared" si="973"/>
        <v>0</v>
      </c>
      <c r="AU658" s="325"/>
      <c r="AV658" s="197">
        <f>SUM(AV646:AV657)</f>
        <v>0</v>
      </c>
      <c r="AW658" s="197">
        <f t="shared" ref="AW658:AX658" si="974">SUM(AW646:AW657)</f>
        <v>0</v>
      </c>
      <c r="AX658" s="197">
        <f t="shared" si="974"/>
        <v>0</v>
      </c>
      <c r="AY658" s="197"/>
      <c r="AZ658" s="324"/>
      <c r="BA658" s="422">
        <f>SUM(BE646:BE657)</f>
        <v>0</v>
      </c>
      <c r="BB658" s="422">
        <f t="shared" ref="BB658:BC658" si="975">SUM(BF646:BF657)</f>
        <v>0</v>
      </c>
      <c r="BC658" s="422">
        <f t="shared" si="975"/>
        <v>0</v>
      </c>
      <c r="BD658" s="325"/>
      <c r="BE658" s="197">
        <f>SUM(BE646:BE657)</f>
        <v>0</v>
      </c>
      <c r="BF658" s="197">
        <f t="shared" ref="BF658:BG658" si="976">SUM(BF646:BF657)</f>
        <v>0</v>
      </c>
      <c r="BG658" s="197">
        <f t="shared" si="976"/>
        <v>0</v>
      </c>
      <c r="BH658" s="197"/>
      <c r="BI658" s="324"/>
      <c r="BJ658" s="422">
        <f>SUM(BN646:BN657)</f>
        <v>0</v>
      </c>
      <c r="BK658" s="422">
        <f t="shared" ref="BK658" si="977">SUM(BO646:BO657)</f>
        <v>0</v>
      </c>
      <c r="BL658" s="422">
        <f t="shared" ref="BL658" si="978">SUM(BP646:BP657)</f>
        <v>0</v>
      </c>
      <c r="BM658" s="325"/>
      <c r="BN658" s="197">
        <f>SUM(BN646:BN657)</f>
        <v>0</v>
      </c>
      <c r="BO658" s="197">
        <f t="shared" ref="BO658:BP658" si="979">SUM(BO646:BO657)</f>
        <v>0</v>
      </c>
      <c r="BP658" s="197">
        <f t="shared" si="979"/>
        <v>0</v>
      </c>
      <c r="BQ658" s="197"/>
      <c r="BR658" s="324"/>
      <c r="BS658" s="422">
        <f>SUM(BW646:BW657)</f>
        <v>0</v>
      </c>
      <c r="BT658" s="422">
        <f t="shared" ref="BT658:BU658" si="980">SUM(BX646:BX657)</f>
        <v>0</v>
      </c>
      <c r="BU658" s="422">
        <f t="shared" si="980"/>
        <v>0</v>
      </c>
      <c r="BV658" s="325"/>
      <c r="BW658" s="197">
        <f>SUM(BW646:BW657)</f>
        <v>0</v>
      </c>
      <c r="BX658" s="197">
        <f t="shared" ref="BX658:BY658" si="981">SUM(BX646:BX657)</f>
        <v>0</v>
      </c>
      <c r="BY658" s="197">
        <f t="shared" si="981"/>
        <v>0</v>
      </c>
      <c r="BZ658" s="197"/>
      <c r="CA658" s="326"/>
      <c r="CB658" s="422">
        <f>SUM(CF646:CF657)</f>
        <v>0</v>
      </c>
      <c r="CC658" s="422">
        <f t="shared" ref="CC658:CD658" si="982">SUM(CG646:CG657)</f>
        <v>0</v>
      </c>
      <c r="CD658" s="422">
        <f t="shared" si="982"/>
        <v>0</v>
      </c>
      <c r="CE658" s="325"/>
      <c r="CF658" s="197">
        <f>SUM(CF646:CF657)</f>
        <v>0</v>
      </c>
      <c r="CG658" s="197">
        <f t="shared" ref="CG658:CH658" si="983">SUM(CG646:CG657)</f>
        <v>0</v>
      </c>
      <c r="CH658" s="197">
        <f t="shared" si="983"/>
        <v>0</v>
      </c>
      <c r="CI658" s="197"/>
      <c r="CJ658" s="197"/>
      <c r="CK658" s="422">
        <f>SUM(CO646:CO657)</f>
        <v>0</v>
      </c>
      <c r="CL658" s="422">
        <f t="shared" ref="CL658:CM658" si="984">SUM(CP646:CP657)</f>
        <v>0</v>
      </c>
      <c r="CM658" s="422">
        <f t="shared" si="984"/>
        <v>0</v>
      </c>
      <c r="CN658" s="325"/>
      <c r="CO658" s="197">
        <f>SUM(CO646:CO657)</f>
        <v>0</v>
      </c>
      <c r="CP658" s="197">
        <f t="shared" ref="CP658:CQ658" si="985">SUM(CP646:CP657)</f>
        <v>0</v>
      </c>
      <c r="CQ658" s="197">
        <f t="shared" si="985"/>
        <v>0</v>
      </c>
      <c r="CR658" s="197"/>
      <c r="CS658" s="197"/>
      <c r="CT658" s="197"/>
      <c r="CU658" s="259"/>
      <c r="CV658" s="209"/>
      <c r="CW658" s="228"/>
    </row>
    <row r="659" spans="1:101" x14ac:dyDescent="0.2">
      <c r="A659" s="227"/>
      <c r="B659" s="227"/>
      <c r="C659" s="168"/>
      <c r="D659" s="249"/>
      <c r="E659" s="242"/>
      <c r="F659" s="243"/>
      <c r="G659" s="242"/>
      <c r="H659" s="242"/>
      <c r="I659" s="242"/>
      <c r="J659" s="242"/>
      <c r="K659" s="242"/>
      <c r="L659" s="252"/>
      <c r="M659" s="260"/>
      <c r="N659" s="337"/>
      <c r="O659" s="333"/>
      <c r="P659" s="244"/>
      <c r="Q659" s="245"/>
      <c r="R659" s="245"/>
      <c r="S659" s="245"/>
      <c r="T659" s="246"/>
      <c r="U659" s="247"/>
      <c r="V659" s="247"/>
      <c r="W659" s="247"/>
      <c r="X659" s="247"/>
      <c r="Y659" s="244"/>
      <c r="Z659" s="245"/>
      <c r="AA659" s="245"/>
      <c r="AB659" s="245"/>
      <c r="AC659" s="246"/>
      <c r="AD659" s="247"/>
      <c r="AE659" s="247"/>
      <c r="AF659" s="247"/>
      <c r="AG659" s="247"/>
      <c r="AH659" s="244"/>
      <c r="AI659" s="245"/>
      <c r="AJ659" s="245"/>
      <c r="AK659" s="245"/>
      <c r="AL659" s="246"/>
      <c r="AM659" s="247"/>
      <c r="AN659" s="247"/>
      <c r="AO659" s="247"/>
      <c r="AP659" s="247"/>
      <c r="AQ659" s="244"/>
      <c r="AR659" s="245"/>
      <c r="AS659" s="245"/>
      <c r="AT659" s="245"/>
      <c r="AU659" s="246"/>
      <c r="AV659" s="247"/>
      <c r="AW659" s="247"/>
      <c r="AX659" s="247"/>
      <c r="AY659" s="247"/>
      <c r="AZ659" s="244"/>
      <c r="BA659" s="245"/>
      <c r="BB659" s="245"/>
      <c r="BC659" s="245"/>
      <c r="BD659" s="246"/>
      <c r="BE659" s="247"/>
      <c r="BF659" s="247"/>
      <c r="BG659" s="247"/>
      <c r="BH659" s="247"/>
      <c r="BI659" s="244"/>
      <c r="BJ659" s="244"/>
      <c r="BK659" s="244"/>
      <c r="BL659" s="244"/>
      <c r="BM659" s="244"/>
      <c r="BN659" s="247"/>
      <c r="BO659" s="247"/>
      <c r="BP659" s="247"/>
      <c r="BQ659" s="247"/>
      <c r="BR659" s="244"/>
      <c r="BS659" s="244"/>
      <c r="BT659" s="244"/>
      <c r="BU659" s="244"/>
      <c r="BV659" s="244"/>
      <c r="BW659" s="247"/>
      <c r="BX659" s="247"/>
      <c r="BY659" s="247"/>
      <c r="BZ659" s="247"/>
      <c r="CA659" s="244"/>
      <c r="CB659" s="244"/>
      <c r="CC659" s="244"/>
      <c r="CD659" s="244"/>
      <c r="CE659" s="244"/>
      <c r="CF659" s="247"/>
      <c r="CG659" s="247"/>
      <c r="CH659" s="247"/>
      <c r="CI659" s="247"/>
      <c r="CJ659" s="248"/>
      <c r="CK659" s="248"/>
      <c r="CL659" s="248"/>
      <c r="CM659" s="248"/>
      <c r="CN659" s="248"/>
      <c r="CO659" s="247"/>
      <c r="CP659" s="247"/>
      <c r="CQ659" s="247"/>
      <c r="CR659" s="247"/>
      <c r="CS659" s="248"/>
      <c r="CT659" s="242"/>
      <c r="CU659" s="253"/>
      <c r="CV659" s="209"/>
      <c r="CW659" s="228"/>
    </row>
    <row r="660" spans="1:101" x14ac:dyDescent="0.2">
      <c r="A660" s="219"/>
      <c r="B660" s="219"/>
      <c r="C660" s="175"/>
      <c r="D660" s="176"/>
      <c r="E660" s="210"/>
      <c r="F660" s="211"/>
      <c r="G660" s="210"/>
      <c r="H660" s="210"/>
      <c r="I660" s="210"/>
      <c r="J660" s="210"/>
      <c r="K660" s="210"/>
      <c r="L660" s="212"/>
      <c r="M660" s="213"/>
      <c r="N660" s="213"/>
      <c r="O660" s="213"/>
      <c r="P660" s="213"/>
      <c r="Q660" s="210"/>
      <c r="R660" s="210"/>
      <c r="S660" s="210"/>
      <c r="T660" s="214"/>
      <c r="U660" s="215"/>
      <c r="V660" s="215"/>
      <c r="W660" s="215"/>
      <c r="X660" s="215"/>
      <c r="Y660" s="213"/>
      <c r="Z660" s="210"/>
      <c r="AA660" s="210"/>
      <c r="AB660" s="210"/>
      <c r="AC660" s="214"/>
      <c r="AD660" s="215"/>
      <c r="AE660" s="215"/>
      <c r="AF660" s="215"/>
      <c r="AG660" s="215"/>
      <c r="AH660" s="213"/>
      <c r="AI660" s="210"/>
      <c r="AJ660" s="210"/>
      <c r="AK660" s="210"/>
      <c r="AL660" s="214"/>
      <c r="AM660" s="215"/>
      <c r="AN660" s="215"/>
      <c r="AO660" s="215"/>
      <c r="AP660" s="215"/>
      <c r="AQ660" s="213"/>
      <c r="AR660" s="210"/>
      <c r="AS660" s="210"/>
      <c r="AT660" s="210"/>
      <c r="AU660" s="214"/>
      <c r="AV660" s="215"/>
      <c r="AW660" s="215"/>
      <c r="AX660" s="215"/>
      <c r="AY660" s="215"/>
      <c r="AZ660" s="213"/>
      <c r="BA660" s="210"/>
      <c r="BB660" s="210"/>
      <c r="BC660" s="210"/>
      <c r="BD660" s="214"/>
      <c r="BE660" s="215"/>
      <c r="BF660" s="215"/>
      <c r="BG660" s="215"/>
      <c r="BH660" s="215"/>
      <c r="BI660" s="213"/>
      <c r="BJ660" s="210"/>
      <c r="BK660" s="210"/>
      <c r="BL660" s="210"/>
      <c r="BM660" s="214"/>
      <c r="BN660" s="215"/>
      <c r="BO660" s="215"/>
      <c r="BP660" s="215"/>
      <c r="BQ660" s="215"/>
      <c r="BR660" s="177"/>
      <c r="BS660" s="210"/>
      <c r="BT660" s="210"/>
      <c r="BU660" s="210"/>
      <c r="BV660" s="213"/>
      <c r="BW660" s="215"/>
      <c r="BX660" s="215"/>
      <c r="BY660" s="215"/>
      <c r="BZ660" s="215"/>
      <c r="CA660" s="210"/>
      <c r="CB660" s="216"/>
      <c r="CC660" s="216"/>
      <c r="CD660" s="216"/>
      <c r="CE660" s="216"/>
      <c r="CF660" s="215"/>
      <c r="CG660" s="215"/>
      <c r="CH660" s="215"/>
      <c r="CI660" s="215"/>
      <c r="CJ660" s="210"/>
      <c r="CK660" s="210"/>
      <c r="CL660" s="210"/>
      <c r="CM660" s="210"/>
      <c r="CN660" s="210"/>
      <c r="CO660" s="215"/>
      <c r="CP660" s="215"/>
      <c r="CQ660" s="215"/>
      <c r="CR660" s="215"/>
      <c r="CS660" s="210"/>
      <c r="CT660" s="210"/>
      <c r="CU660" s="210"/>
      <c r="CV660" s="217"/>
      <c r="CW660" s="218"/>
    </row>
    <row r="661" spans="1:101" ht="14.25" thickTop="1" thickBot="1" x14ac:dyDescent="0.25">
      <c r="A661" s="218"/>
      <c r="B661" s="218"/>
      <c r="C661" s="218"/>
      <c r="D661" s="218"/>
      <c r="E661" s="218"/>
      <c r="F661" s="218"/>
      <c r="G661" s="218"/>
      <c r="H661" s="218"/>
      <c r="I661" s="218"/>
      <c r="J661" s="218"/>
      <c r="K661" s="218"/>
      <c r="L661" s="218"/>
      <c r="M661" s="218"/>
      <c r="N661" s="218"/>
      <c r="O661" s="218"/>
      <c r="P661" s="218"/>
      <c r="Q661" s="218"/>
      <c r="R661" s="218"/>
      <c r="S661" s="218"/>
      <c r="T661" s="218"/>
      <c r="U661" s="218"/>
      <c r="V661" s="218"/>
      <c r="W661" s="218"/>
      <c r="X661" s="218"/>
      <c r="Y661" s="218"/>
      <c r="Z661" s="218"/>
      <c r="AA661" s="218"/>
      <c r="AB661" s="218"/>
      <c r="AC661" s="218"/>
      <c r="AD661" s="218"/>
      <c r="AE661" s="218"/>
      <c r="AF661" s="218"/>
      <c r="AG661" s="218"/>
      <c r="AH661" s="218"/>
      <c r="AI661" s="218"/>
      <c r="AJ661" s="218"/>
      <c r="AK661" s="218"/>
      <c r="AL661" s="218"/>
      <c r="AM661" s="218"/>
      <c r="AN661" s="218"/>
      <c r="AO661" s="218"/>
      <c r="AP661" s="218"/>
      <c r="AQ661" s="218"/>
      <c r="AR661" s="218"/>
      <c r="AS661" s="218"/>
      <c r="AT661" s="218"/>
      <c r="AU661" s="218"/>
      <c r="AV661" s="218"/>
      <c r="AW661" s="218"/>
      <c r="AX661" s="218"/>
      <c r="AY661" s="218"/>
      <c r="AZ661" s="218"/>
      <c r="BA661" s="218"/>
      <c r="BB661" s="218"/>
      <c r="BC661" s="218"/>
      <c r="BD661" s="218"/>
      <c r="BE661" s="218"/>
      <c r="BF661" s="218"/>
      <c r="BG661" s="218"/>
      <c r="BH661" s="218"/>
      <c r="BI661" s="218"/>
      <c r="BJ661" s="218"/>
      <c r="BK661" s="218"/>
      <c r="BL661" s="218"/>
      <c r="BM661" s="218"/>
      <c r="BN661" s="218"/>
      <c r="BO661" s="218"/>
      <c r="BP661" s="218"/>
      <c r="BQ661" s="218"/>
      <c r="BR661" s="218"/>
      <c r="BS661" s="218"/>
      <c r="BT661" s="218"/>
      <c r="BU661" s="218"/>
      <c r="BV661" s="218"/>
      <c r="BW661" s="218"/>
      <c r="BX661" s="218"/>
      <c r="BY661" s="218"/>
      <c r="BZ661" s="218"/>
      <c r="CA661" s="218"/>
      <c r="CB661" s="392"/>
      <c r="CC661" s="392"/>
      <c r="CD661" s="392"/>
      <c r="CE661" s="392"/>
      <c r="CF661" s="218"/>
      <c r="CG661" s="218"/>
      <c r="CH661" s="218"/>
      <c r="CI661" s="218"/>
      <c r="CJ661" s="218"/>
      <c r="CK661" s="218"/>
      <c r="CL661" s="218"/>
      <c r="CM661" s="218"/>
      <c r="CN661" s="218"/>
      <c r="CO661" s="218"/>
      <c r="CP661" s="218"/>
      <c r="CQ661" s="218"/>
      <c r="CR661" s="218"/>
      <c r="CS661" s="218"/>
      <c r="CT661" s="218"/>
      <c r="CU661" s="218"/>
      <c r="CV661" s="218"/>
      <c r="CW661" s="218"/>
    </row>
    <row r="662" spans="1:101" ht="21" thickTop="1" x14ac:dyDescent="0.3">
      <c r="A662" s="219"/>
      <c r="B662" s="219"/>
      <c r="C662" s="157"/>
      <c r="D662" s="158"/>
      <c r="E662" s="731" t="s">
        <v>44</v>
      </c>
      <c r="F662" s="229"/>
      <c r="G662" s="229"/>
      <c r="H662" s="229"/>
      <c r="I662" s="877" t="e" vm="1">
        <v>#VALUE!</v>
      </c>
      <c r="J662" s="877"/>
      <c r="K662" s="877"/>
      <c r="L662" s="877"/>
      <c r="M662" s="159"/>
      <c r="N662" s="159"/>
      <c r="O662" s="159"/>
      <c r="P662" s="160"/>
      <c r="Q662" s="159"/>
      <c r="R662" s="159"/>
      <c r="S662" s="159"/>
      <c r="T662" s="161"/>
      <c r="U662" s="162"/>
      <c r="V662" s="162"/>
      <c r="W662" s="162"/>
      <c r="X662" s="162"/>
      <c r="Y662" s="160"/>
      <c r="Z662" s="159"/>
      <c r="AA662" s="159"/>
      <c r="AB662" s="159"/>
      <c r="AC662" s="161"/>
      <c r="AD662" s="162"/>
      <c r="AE662" s="162"/>
      <c r="AF662" s="162"/>
      <c r="AG662" s="162"/>
      <c r="AH662" s="160"/>
      <c r="AI662" s="159"/>
      <c r="AJ662" s="201"/>
      <c r="AK662" s="201"/>
      <c r="AL662" s="164"/>
      <c r="AM662" s="162"/>
      <c r="AN662" s="162"/>
      <c r="AO662" s="162"/>
      <c r="AP662" s="162"/>
      <c r="AQ662" s="202"/>
      <c r="AR662" s="203"/>
      <c r="AS662" s="165"/>
      <c r="AT662" s="166"/>
      <c r="AU662" s="164"/>
      <c r="AV662" s="162"/>
      <c r="AW662" s="162"/>
      <c r="AX662" s="162"/>
      <c r="AY662" s="162"/>
      <c r="AZ662" s="202"/>
      <c r="BA662" s="203"/>
      <c r="BB662" s="166"/>
      <c r="BC662" s="201"/>
      <c r="BD662" s="204"/>
      <c r="BE662" s="162"/>
      <c r="BF662" s="162"/>
      <c r="BG662" s="162"/>
      <c r="BH662" s="162"/>
      <c r="BI662" s="205"/>
      <c r="BJ662" s="201"/>
      <c r="BK662" s="201"/>
      <c r="BL662" s="201"/>
      <c r="BM662" s="204"/>
      <c r="BN662" s="162"/>
      <c r="BO662" s="162"/>
      <c r="BP662" s="162"/>
      <c r="BQ662" s="162"/>
      <c r="BR662" s="167"/>
      <c r="BS662" s="201"/>
      <c r="BT662" s="201"/>
      <c r="BU662" s="201"/>
      <c r="BV662" s="205"/>
      <c r="BW662" s="162"/>
      <c r="BX662" s="162"/>
      <c r="BY662" s="162"/>
      <c r="BZ662" s="162"/>
      <c r="CA662" s="201"/>
      <c r="CB662" s="393"/>
      <c r="CC662" s="393"/>
      <c r="CD662" s="393"/>
      <c r="CE662" s="393"/>
      <c r="CF662" s="162"/>
      <c r="CG662" s="162"/>
      <c r="CH662" s="162"/>
      <c r="CI662" s="162"/>
      <c r="CJ662" s="163"/>
      <c r="CK662" s="163"/>
      <c r="CL662" s="163"/>
      <c r="CM662" s="163"/>
      <c r="CN662" s="163"/>
      <c r="CO662" s="162"/>
      <c r="CP662" s="162"/>
      <c r="CQ662" s="162"/>
      <c r="CR662" s="162"/>
      <c r="CS662" s="163"/>
      <c r="CT662" s="358"/>
      <c r="CU662" s="201"/>
      <c r="CV662" s="206"/>
      <c r="CW662" s="218"/>
    </row>
    <row r="663" spans="1:101" ht="15.75" thickBot="1" x14ac:dyDescent="0.25">
      <c r="A663" s="219"/>
      <c r="B663" s="219"/>
      <c r="C663" s="168"/>
      <c r="D663" s="785"/>
      <c r="E663" s="869" t="s">
        <v>45</v>
      </c>
      <c r="F663" s="363"/>
      <c r="G663" s="363"/>
      <c r="H663" s="363"/>
      <c r="I663" s="878"/>
      <c r="J663" s="878"/>
      <c r="K663" s="878"/>
      <c r="L663" s="878"/>
      <c r="M663" s="363"/>
      <c r="N663" s="363"/>
      <c r="O663" s="363"/>
      <c r="P663" s="363"/>
      <c r="Q663" s="363"/>
      <c r="R663" s="363"/>
      <c r="S663" s="363"/>
      <c r="T663" s="363"/>
      <c r="U663" s="363"/>
      <c r="V663" s="363"/>
      <c r="W663" s="363"/>
      <c r="X663" s="363"/>
      <c r="Y663" s="363"/>
      <c r="Z663" s="363"/>
      <c r="AA663" s="363"/>
      <c r="AB663" s="363"/>
      <c r="AC663" s="363"/>
      <c r="AD663" s="363"/>
      <c r="AE663" s="363"/>
      <c r="AF663" s="363"/>
      <c r="AG663" s="363"/>
      <c r="AH663" s="363"/>
      <c r="AI663" s="363"/>
      <c r="AJ663" s="363"/>
      <c r="AK663" s="363"/>
      <c r="AL663" s="363"/>
      <c r="AM663" s="363"/>
      <c r="AN663" s="363"/>
      <c r="AO663" s="363"/>
      <c r="AP663" s="363"/>
      <c r="AQ663" s="363"/>
      <c r="AR663" s="363"/>
      <c r="AS663" s="363"/>
      <c r="AT663" s="363"/>
      <c r="AU663" s="363"/>
      <c r="AV663" s="363"/>
      <c r="AW663" s="363"/>
      <c r="AX663" s="363"/>
      <c r="AY663" s="363"/>
      <c r="AZ663" s="363"/>
      <c r="BA663" s="363"/>
      <c r="BB663" s="363"/>
      <c r="BC663" s="363"/>
      <c r="BD663" s="363"/>
      <c r="BE663" s="363"/>
      <c r="BF663" s="363"/>
      <c r="BG663" s="363"/>
      <c r="BH663" s="363"/>
      <c r="BI663" s="363"/>
      <c r="BJ663" s="363"/>
      <c r="BK663" s="363"/>
      <c r="BL663" s="363"/>
      <c r="BM663" s="363"/>
      <c r="BN663" s="363"/>
      <c r="BO663" s="363"/>
      <c r="BP663" s="363"/>
      <c r="BQ663" s="363"/>
      <c r="BR663" s="363"/>
      <c r="BS663" s="363"/>
      <c r="BT663" s="363"/>
      <c r="BU663" s="363"/>
      <c r="BV663" s="363"/>
      <c r="BW663" s="363"/>
      <c r="BX663" s="363"/>
      <c r="BY663" s="363"/>
      <c r="BZ663" s="363"/>
      <c r="CA663" s="363"/>
      <c r="CB663" s="394"/>
      <c r="CC663" s="394"/>
      <c r="CD663" s="394"/>
      <c r="CE663" s="394"/>
      <c r="CF663" s="363"/>
      <c r="CG663" s="363"/>
      <c r="CH663" s="363"/>
      <c r="CI663" s="363"/>
      <c r="CJ663" s="363"/>
      <c r="CK663" s="363"/>
      <c r="CL663" s="363"/>
      <c r="CM663" s="363"/>
      <c r="CN663" s="323"/>
      <c r="CO663" s="363"/>
      <c r="CP663" s="363"/>
      <c r="CQ663" s="363"/>
      <c r="CR663" s="363"/>
      <c r="CS663" s="323"/>
      <c r="CT663" s="155"/>
      <c r="CU663" s="269"/>
      <c r="CV663" s="209"/>
      <c r="CW663" s="218"/>
    </row>
    <row r="664" spans="1:101" ht="18.75" thickTop="1" x14ac:dyDescent="0.2">
      <c r="A664" s="219"/>
      <c r="B664" s="219"/>
      <c r="C664" s="174"/>
      <c r="D664" s="778"/>
      <c r="E664" s="777"/>
      <c r="F664" s="235"/>
      <c r="G664" s="234"/>
      <c r="H664" s="234"/>
      <c r="I664" s="875">
        <f>WEEKNUM(E665)</f>
        <v>11</v>
      </c>
      <c r="J664" s="875"/>
      <c r="K664" s="875"/>
      <c r="L664" s="250"/>
      <c r="M664" s="261"/>
      <c r="N664" s="205"/>
      <c r="O664" s="236"/>
      <c r="P664" s="236"/>
      <c r="Q664" s="675" t="str">
        <f>IF($F668="","",SUM(Q680:S680)-S666)</f>
        <v/>
      </c>
      <c r="R664" s="675"/>
      <c r="S664" s="675"/>
      <c r="T664" s="237"/>
      <c r="U664" s="238"/>
      <c r="V664" s="238"/>
      <c r="W664" s="238"/>
      <c r="X664" s="238"/>
      <c r="Y664" s="236"/>
      <c r="Z664" s="675" t="str">
        <f>IF($F668="","",SUM(Z680:AB680)-AB666)</f>
        <v/>
      </c>
      <c r="AA664" s="675"/>
      <c r="AB664" s="675"/>
      <c r="AC664" s="237"/>
      <c r="AD664" s="238"/>
      <c r="AE664" s="238"/>
      <c r="AF664" s="238"/>
      <c r="AG664" s="238"/>
      <c r="AH664" s="236"/>
      <c r="AI664" s="675" t="str">
        <f>IF($F668="","",SUM(AI680:AK680)-AK666)</f>
        <v/>
      </c>
      <c r="AJ664" s="675"/>
      <c r="AK664" s="675"/>
      <c r="AL664" s="237"/>
      <c r="AM664" s="238"/>
      <c r="AN664" s="238"/>
      <c r="AO664" s="238"/>
      <c r="AP664" s="238"/>
      <c r="AQ664" s="236"/>
      <c r="AR664" s="675" t="str">
        <f>IF($F668="","",SUM(AR680:AT680)-AT666)</f>
        <v/>
      </c>
      <c r="AS664" s="675"/>
      <c r="AT664" s="675"/>
      <c r="AU664" s="239"/>
      <c r="AV664" s="238"/>
      <c r="AW664" s="238"/>
      <c r="AX664" s="238"/>
      <c r="AY664" s="238"/>
      <c r="AZ664" s="240"/>
      <c r="BA664" s="675" t="str">
        <f>IF($F668="","",SUM(BA680:BC680)-BC666)</f>
        <v/>
      </c>
      <c r="BB664" s="675"/>
      <c r="BC664" s="675"/>
      <c r="BD664" s="239"/>
      <c r="BE664" s="238"/>
      <c r="BF664" s="238"/>
      <c r="BG664" s="238"/>
      <c r="BH664" s="238"/>
      <c r="BI664" s="240"/>
      <c r="BJ664" s="675" t="str">
        <f>IF($F668="","",SUM(BJ680:BL680)-BL666)</f>
        <v/>
      </c>
      <c r="BK664" s="675"/>
      <c r="BL664" s="675"/>
      <c r="BM664" s="239"/>
      <c r="BN664" s="238"/>
      <c r="BO664" s="238"/>
      <c r="BP664" s="238"/>
      <c r="BQ664" s="238"/>
      <c r="BR664" s="241"/>
      <c r="BS664" s="675" t="str">
        <f>IF($F668="","",SUM(BS680:BU680)-BU666)</f>
        <v/>
      </c>
      <c r="BT664" s="675"/>
      <c r="BU664" s="675"/>
      <c r="BV664" s="240"/>
      <c r="BW664" s="238"/>
      <c r="BX664" s="238"/>
      <c r="BY664" s="238"/>
      <c r="BZ664" s="238"/>
      <c r="CA664" s="241"/>
      <c r="CB664" s="675" t="str">
        <f>IF($F668="","",SUM(CB680:CD680)-CD666)</f>
        <v/>
      </c>
      <c r="CC664" s="675"/>
      <c r="CD664" s="675"/>
      <c r="CE664" s="240"/>
      <c r="CF664" s="238"/>
      <c r="CG664" s="238"/>
      <c r="CH664" s="238"/>
      <c r="CI664" s="238"/>
      <c r="CJ664" s="234"/>
      <c r="CK664" s="675" t="str">
        <f>IF($F668="","",SUM(CK680:CM680))</f>
        <v/>
      </c>
      <c r="CL664" s="675"/>
      <c r="CM664" s="675"/>
      <c r="CN664" s="240"/>
      <c r="CO664" s="238"/>
      <c r="CP664" s="238"/>
      <c r="CQ664" s="238"/>
      <c r="CR664" s="238"/>
      <c r="CS664" s="234"/>
      <c r="CT664" s="234"/>
      <c r="CU664" s="251"/>
      <c r="CV664" s="209"/>
      <c r="CW664" s="218"/>
    </row>
    <row r="665" spans="1:101" x14ac:dyDescent="0.2">
      <c r="A665" s="219"/>
      <c r="B665" s="219"/>
      <c r="C665" s="174"/>
      <c r="D665" s="779"/>
      <c r="E665" s="543">
        <f>E643+7</f>
        <v>46459</v>
      </c>
      <c r="F665" s="178"/>
      <c r="G665" s="179"/>
      <c r="H665" s="179"/>
      <c r="I665" s="876"/>
      <c r="J665" s="876"/>
      <c r="K665" s="876"/>
      <c r="L665" s="254"/>
      <c r="M665" s="329"/>
      <c r="N665" s="208"/>
      <c r="O665" s="180"/>
      <c r="P665" s="180"/>
      <c r="Q665" s="584" t="str">
        <f>IF(Q664="","",Q664/Data!$X$1)</f>
        <v/>
      </c>
      <c r="R665" s="584"/>
      <c r="S665" s="585" t="str">
        <f>IF(SUM(X668:X679)=0,"",SUM(X668:X679))</f>
        <v/>
      </c>
      <c r="T665" s="181"/>
      <c r="U665" s="182"/>
      <c r="V665" s="182"/>
      <c r="W665" s="182"/>
      <c r="X665" s="182"/>
      <c r="Y665" s="180"/>
      <c r="Z665" s="584" t="str">
        <f>IF(Z664="","",Z664/Data!$X$1)</f>
        <v/>
      </c>
      <c r="AA665" s="584"/>
      <c r="AB665" s="585" t="str">
        <f>IF(SUM(AG668:AG679)=0,"",SUM(AG668:AG679))</f>
        <v/>
      </c>
      <c r="AC665" s="181"/>
      <c r="AD665" s="182"/>
      <c r="AE665" s="182"/>
      <c r="AF665" s="182"/>
      <c r="AG665" s="182"/>
      <c r="AH665" s="180"/>
      <c r="AI665" s="584" t="str">
        <f>IF(AI664="","",AI664/Data!$X$1)</f>
        <v/>
      </c>
      <c r="AJ665" s="584"/>
      <c r="AK665" s="585" t="str">
        <f>IF(SUM(AP668:AP679)=0,"",SUM(AP668:AP679))</f>
        <v/>
      </c>
      <c r="AL665" s="181"/>
      <c r="AM665" s="182"/>
      <c r="AN665" s="182"/>
      <c r="AO665" s="182"/>
      <c r="AP665" s="182"/>
      <c r="AQ665" s="180"/>
      <c r="AR665" s="584" t="str">
        <f>IF(AR664="","",AR664/Data!$X$1)</f>
        <v/>
      </c>
      <c r="AS665" s="584"/>
      <c r="AT665" s="585" t="str">
        <f>IF(SUM(AY668:AY679)=0,"",SUM(AY668:AY679))</f>
        <v/>
      </c>
      <c r="AU665" s="183"/>
      <c r="AV665" s="182"/>
      <c r="AW665" s="182"/>
      <c r="AX665" s="182"/>
      <c r="AY665" s="182"/>
      <c r="AZ665" s="184"/>
      <c r="BA665" s="584" t="str">
        <f>IF(BA664="","",BA664/Data!$X$1)</f>
        <v/>
      </c>
      <c r="BB665" s="584"/>
      <c r="BC665" s="585" t="str">
        <f>IF(SUM(BH668:BH679)=0,"",SUM(BH668:BH679))</f>
        <v/>
      </c>
      <c r="BD665" s="183"/>
      <c r="BE665" s="182"/>
      <c r="BF665" s="182"/>
      <c r="BG665" s="182"/>
      <c r="BH665" s="182"/>
      <c r="BI665" s="184"/>
      <c r="BJ665" s="584" t="str">
        <f>IF(BJ664="","",BJ664/Data!$X$1)</f>
        <v/>
      </c>
      <c r="BK665" s="584"/>
      <c r="BL665" s="585" t="str">
        <f>IF(SUM(BQ668:BQ679)=0,"",SUM(BQ668:BQ679))</f>
        <v/>
      </c>
      <c r="BM665" s="183"/>
      <c r="BN665" s="182"/>
      <c r="BO665" s="182"/>
      <c r="BP665" s="182"/>
      <c r="BQ665" s="182"/>
      <c r="BR665" s="185"/>
      <c r="BS665" s="584" t="str">
        <f>IF(BS664="","",BS664/Data!$X$1)</f>
        <v/>
      </c>
      <c r="BT665" s="584"/>
      <c r="BU665" s="585" t="str">
        <f>IF(SUM(BZ668:BZ679)=0,"",SUM(BZ668:BZ679))</f>
        <v/>
      </c>
      <c r="BV665" s="184"/>
      <c r="BW665" s="182"/>
      <c r="BX665" s="182"/>
      <c r="BY665" s="182"/>
      <c r="BZ665" s="182"/>
      <c r="CA665" s="185"/>
      <c r="CB665" s="584" t="str">
        <f>IF(CB664="","",CB664/Data!$X$1)</f>
        <v/>
      </c>
      <c r="CC665" s="584"/>
      <c r="CD665" s="585" t="str">
        <f>IF(SUM(CI668:CI679)=0,"",SUM(CI668:CI679))</f>
        <v/>
      </c>
      <c r="CE665" s="184"/>
      <c r="CF665" s="182"/>
      <c r="CG665" s="182"/>
      <c r="CH665" s="182"/>
      <c r="CI665" s="182"/>
      <c r="CJ665" s="182"/>
      <c r="CK665" s="584" t="str">
        <f>IF(CK664="","",CK664/Data!$X$1)</f>
        <v/>
      </c>
      <c r="CL665" s="584"/>
      <c r="CM665" s="585" t="str">
        <f>IF(SUM(CR668:CR679)=0,"",SUM(CR668:CR679))</f>
        <v/>
      </c>
      <c r="CN665" s="184"/>
      <c r="CO665" s="182"/>
      <c r="CP665" s="182"/>
      <c r="CQ665" s="182"/>
      <c r="CR665" s="182"/>
      <c r="CS665" s="182"/>
      <c r="CT665" s="182"/>
      <c r="CU665" s="255"/>
      <c r="CV665" s="209"/>
      <c r="CW665" s="218"/>
    </row>
    <row r="666" spans="1:101" ht="13.5" thickBot="1" x14ac:dyDescent="0.25">
      <c r="A666" s="219"/>
      <c r="B666" s="219"/>
      <c r="C666" s="174"/>
      <c r="D666" s="230"/>
      <c r="E666" s="359"/>
      <c r="F666" s="186"/>
      <c r="G666" s="187"/>
      <c r="H666" s="187"/>
      <c r="I666" s="673"/>
      <c r="J666" s="674"/>
      <c r="K666" s="674"/>
      <c r="L666" s="256"/>
      <c r="M666" s="330"/>
      <c r="N666" s="334"/>
      <c r="O666" s="187"/>
      <c r="P666" s="187"/>
      <c r="Q666" s="342" t="str">
        <f>Data!$E$11</f>
        <v>AHH</v>
      </c>
      <c r="R666" s="343" t="str">
        <f>IF($F679="","",RANK(Q664,$Q664:$CL664))</f>
        <v/>
      </c>
      <c r="S666" s="466"/>
      <c r="T666" s="181"/>
      <c r="U666" s="182"/>
      <c r="V666" s="182"/>
      <c r="W666" s="182"/>
      <c r="X666" s="197">
        <f>COUNTIF(U668:W679,"&gt;0")</f>
        <v>0</v>
      </c>
      <c r="Y666" s="180"/>
      <c r="Z666" s="342" t="str">
        <f>Data!$E$12</f>
        <v>RB</v>
      </c>
      <c r="AA666" s="343" t="str">
        <f>IF($F679="","",RANK(Z664,$Q664:$CL664))</f>
        <v/>
      </c>
      <c r="AB666" s="466"/>
      <c r="AC666" s="181"/>
      <c r="AD666" s="182"/>
      <c r="AE666" s="182"/>
      <c r="AF666" s="182"/>
      <c r="AG666" s="197">
        <f>COUNTIF(AD668:AF679,"&gt;0")</f>
        <v>0</v>
      </c>
      <c r="AH666" s="180"/>
      <c r="AI666" s="342" t="str">
        <f>Data!$E$13</f>
        <v>EB</v>
      </c>
      <c r="AJ666" s="343" t="str">
        <f>IF($F679="","",RANK(AI664,$Q664:$CL664))</f>
        <v/>
      </c>
      <c r="AK666" s="466"/>
      <c r="AL666" s="181"/>
      <c r="AM666" s="182"/>
      <c r="AN666" s="182"/>
      <c r="AO666" s="182"/>
      <c r="AP666" s="197">
        <f>COUNTIF(AM668:AO679,"&gt;0")</f>
        <v>0</v>
      </c>
      <c r="AQ666" s="180"/>
      <c r="AR666" s="305" t="str">
        <f>Data!$E$14</f>
        <v>KAF</v>
      </c>
      <c r="AS666" s="343" t="str">
        <f>IF($F679="","",RANK(AR664,$Q664:$CL664))</f>
        <v/>
      </c>
      <c r="AT666" s="466"/>
      <c r="AU666" s="181"/>
      <c r="AV666" s="182"/>
      <c r="AW666" s="182"/>
      <c r="AX666" s="182"/>
      <c r="AY666" s="197">
        <f>COUNTIF(AV668:AX679,"&gt;0")</f>
        <v>0</v>
      </c>
      <c r="AZ666" s="180"/>
      <c r="BA666" s="305" t="str">
        <f>Data!$E$15</f>
        <v>ØG</v>
      </c>
      <c r="BB666" s="343" t="str">
        <f>IF($F679="","",RANK(BA664,$Q664:$CL664))</f>
        <v/>
      </c>
      <c r="BC666" s="466"/>
      <c r="BD666" s="181"/>
      <c r="BE666" s="182"/>
      <c r="BF666" s="182"/>
      <c r="BG666" s="182"/>
      <c r="BH666" s="197">
        <f>COUNTIF(BE668:BG679,"&gt;0")</f>
        <v>0</v>
      </c>
      <c r="BI666" s="180"/>
      <c r="BJ666" s="305" t="str">
        <f>Data!$E$16</f>
        <v>JH</v>
      </c>
      <c r="BK666" s="343" t="str">
        <f>IF($F679="","",RANK(BJ664,$Q664:$CL664))</f>
        <v/>
      </c>
      <c r="BL666" s="466"/>
      <c r="BM666" s="181"/>
      <c r="BN666" s="182"/>
      <c r="BO666" s="182"/>
      <c r="BP666" s="182"/>
      <c r="BQ666" s="197">
        <f>COUNTIF(BN668:BP679,"&gt;0")</f>
        <v>0</v>
      </c>
      <c r="BR666" s="188"/>
      <c r="BS666" s="305" t="str">
        <f>Data!$E$17</f>
        <v>TOH</v>
      </c>
      <c r="BT666" s="343" t="str">
        <f>IF($F679="","",RANK(BS664,$Q664:$CL664))</f>
        <v/>
      </c>
      <c r="BU666" s="466"/>
      <c r="BV666" s="180"/>
      <c r="BW666" s="182"/>
      <c r="BX666" s="182"/>
      <c r="BY666" s="182"/>
      <c r="BZ666" s="197">
        <f>COUNTIF(BW668:BY679,"&gt;0")</f>
        <v>0</v>
      </c>
      <c r="CA666" s="188"/>
      <c r="CB666" s="305" t="s">
        <v>26</v>
      </c>
      <c r="CC666" s="343" t="str">
        <f>IF($F679="","",RANK(CB664,$Q664:$CM664))</f>
        <v/>
      </c>
      <c r="CD666" s="467"/>
      <c r="CE666" s="180"/>
      <c r="CF666" s="182"/>
      <c r="CG666" s="182"/>
      <c r="CH666" s="182"/>
      <c r="CI666" s="197">
        <f>COUNTIF(CF668:CH679,"&gt;0")</f>
        <v>0</v>
      </c>
      <c r="CJ666" s="182"/>
      <c r="CK666" s="305" t="s">
        <v>27</v>
      </c>
      <c r="CL666" s="343" t="str">
        <f>IF($F679="","",RANK(CK664,$Q664:$CM664))</f>
        <v/>
      </c>
      <c r="CM666" s="669"/>
      <c r="CN666" s="180"/>
      <c r="CO666" s="182"/>
      <c r="CP666" s="182"/>
      <c r="CQ666" s="182"/>
      <c r="CR666" s="197">
        <f>COUNTIF(CO668:CQ679,"&gt;0")</f>
        <v>0</v>
      </c>
      <c r="CS666" s="182"/>
      <c r="CT666" s="182"/>
      <c r="CU666" s="255"/>
      <c r="CV666" s="209"/>
      <c r="CW666" s="218"/>
    </row>
    <row r="667" spans="1:101" ht="13.5" thickBot="1" x14ac:dyDescent="0.25">
      <c r="A667" s="227"/>
      <c r="B667" s="227"/>
      <c r="C667" s="168"/>
      <c r="D667" s="231"/>
      <c r="E667" s="189"/>
      <c r="F667" s="190"/>
      <c r="G667" s="191"/>
      <c r="H667" s="191"/>
      <c r="I667" s="192" t="s">
        <v>47</v>
      </c>
      <c r="J667" s="193" t="s">
        <v>48</v>
      </c>
      <c r="K667" s="194" t="s">
        <v>49</v>
      </c>
      <c r="L667" s="257"/>
      <c r="M667" s="331"/>
      <c r="N667" s="335"/>
      <c r="O667" s="195"/>
      <c r="P667" s="195"/>
      <c r="Q667" s="192" t="s">
        <v>47</v>
      </c>
      <c r="R667" s="193" t="s">
        <v>48</v>
      </c>
      <c r="S667" s="194" t="s">
        <v>49</v>
      </c>
      <c r="T667" s="196"/>
      <c r="U667" s="197"/>
      <c r="V667" s="197"/>
      <c r="W667" s="197"/>
      <c r="X667" s="197"/>
      <c r="Y667" s="195"/>
      <c r="Z667" s="192" t="s">
        <v>47</v>
      </c>
      <c r="AA667" s="193" t="s">
        <v>48</v>
      </c>
      <c r="AB667" s="194" t="s">
        <v>49</v>
      </c>
      <c r="AC667" s="196"/>
      <c r="AD667" s="197"/>
      <c r="AE667" s="197"/>
      <c r="AF667" s="197"/>
      <c r="AG667" s="197"/>
      <c r="AH667" s="195"/>
      <c r="AI667" s="192" t="s">
        <v>47</v>
      </c>
      <c r="AJ667" s="193" t="s">
        <v>48</v>
      </c>
      <c r="AK667" s="194" t="s">
        <v>49</v>
      </c>
      <c r="AL667" s="196"/>
      <c r="AM667" s="197"/>
      <c r="AN667" s="197"/>
      <c r="AO667" s="197"/>
      <c r="AP667" s="197"/>
      <c r="AQ667" s="195"/>
      <c r="AR667" s="192" t="s">
        <v>47</v>
      </c>
      <c r="AS667" s="193" t="s">
        <v>48</v>
      </c>
      <c r="AT667" s="194" t="s">
        <v>49</v>
      </c>
      <c r="AU667" s="196"/>
      <c r="AV667" s="197"/>
      <c r="AW667" s="197"/>
      <c r="AX667" s="197"/>
      <c r="AY667" s="197"/>
      <c r="AZ667" s="195"/>
      <c r="BA667" s="192" t="s">
        <v>47</v>
      </c>
      <c r="BB667" s="193" t="s">
        <v>48</v>
      </c>
      <c r="BC667" s="194" t="s">
        <v>49</v>
      </c>
      <c r="BD667" s="196"/>
      <c r="BE667" s="197"/>
      <c r="BF667" s="197"/>
      <c r="BG667" s="197"/>
      <c r="BH667" s="197"/>
      <c r="BI667" s="195"/>
      <c r="BJ667" s="192" t="s">
        <v>47</v>
      </c>
      <c r="BK667" s="193" t="s">
        <v>48</v>
      </c>
      <c r="BL667" s="194" t="s">
        <v>49</v>
      </c>
      <c r="BM667" s="196"/>
      <c r="BN667" s="197"/>
      <c r="BO667" s="197"/>
      <c r="BP667" s="197"/>
      <c r="BQ667" s="197"/>
      <c r="BR667" s="195"/>
      <c r="BS667" s="192" t="s">
        <v>47</v>
      </c>
      <c r="BT667" s="193" t="s">
        <v>48</v>
      </c>
      <c r="BU667" s="194" t="s">
        <v>49</v>
      </c>
      <c r="BV667" s="196"/>
      <c r="BW667" s="197"/>
      <c r="BX667" s="197"/>
      <c r="BY667" s="197"/>
      <c r="BZ667" s="197"/>
      <c r="CA667" s="195"/>
      <c r="CB667" s="192" t="s">
        <v>47</v>
      </c>
      <c r="CC667" s="193" t="s">
        <v>48</v>
      </c>
      <c r="CD667" s="194" t="s">
        <v>49</v>
      </c>
      <c r="CE667" s="196"/>
      <c r="CF667" s="197"/>
      <c r="CG667" s="197"/>
      <c r="CH667" s="197"/>
      <c r="CI667" s="197"/>
      <c r="CJ667" s="197"/>
      <c r="CK667" s="192" t="s">
        <v>47</v>
      </c>
      <c r="CL667" s="193" t="s">
        <v>48</v>
      </c>
      <c r="CM667" s="194" t="s">
        <v>49</v>
      </c>
      <c r="CN667" s="196"/>
      <c r="CO667" s="197"/>
      <c r="CP667" s="197"/>
      <c r="CQ667" s="197"/>
      <c r="CR667" s="197"/>
      <c r="CS667" s="197"/>
      <c r="CT667" s="198"/>
      <c r="CU667" s="255"/>
      <c r="CV667" s="209"/>
      <c r="CW667" s="228"/>
    </row>
    <row r="668" spans="1:101" x14ac:dyDescent="0.2">
      <c r="A668" s="227"/>
      <c r="B668" s="227"/>
      <c r="C668" s="168"/>
      <c r="D668" s="232"/>
      <c r="E668" s="134" t="s">
        <v>412</v>
      </c>
      <c r="F668" s="424"/>
      <c r="G668" s="428"/>
      <c r="H668" s="429"/>
      <c r="I668" s="138" t="str">
        <f t="shared" ref="I668:I679" si="986">IF($F668&gt;$H668,"x","")</f>
        <v/>
      </c>
      <c r="J668" s="344" t="str">
        <f t="shared" ref="J668:J679" si="987">IF(F668&lt;&gt;"",IF(H668&lt;&gt;"",IF(F668=H668,"x",""),""),"")</f>
        <v/>
      </c>
      <c r="K668" s="345" t="str">
        <f t="shared" ref="K668:K679" si="988">IF($F668&lt;$H668,"x","")</f>
        <v/>
      </c>
      <c r="L668" s="258"/>
      <c r="M668" s="332"/>
      <c r="N668" s="336"/>
      <c r="O668" s="200"/>
      <c r="P668" s="200"/>
      <c r="Q668" s="436"/>
      <c r="R668" s="437"/>
      <c r="S668" s="438" t="str">
        <f t="shared" ref="S668:S679" si="989">IF(Q668="","",100-SUM(Q668:R668))</f>
        <v/>
      </c>
      <c r="T668" s="328"/>
      <c r="U668" s="197" t="str">
        <f>IF(AND($I668="x",AND(MAX(Q668:S668)=Q668,Q668&gt;=0)),Data!$BI$2,"")</f>
        <v/>
      </c>
      <c r="V668" s="197" t="str">
        <f>IF(AND($J668="x",AND(MAX(Q668:S668)=R668,R668&gt;=0)),Data!$BJ$2,"")</f>
        <v/>
      </c>
      <c r="W668" s="197" t="str">
        <f>IF(AND($K668="x",AND(MAX(Q668:S668)=S668,S668&gt;=0)),Data!$BK$2,"")</f>
        <v/>
      </c>
      <c r="X668" s="197"/>
      <c r="Y668" s="328"/>
      <c r="Z668" s="451"/>
      <c r="AA668" s="452"/>
      <c r="AB668" s="438" t="str">
        <f t="shared" ref="AB668:AB679" si="990">IF(Z668="","",100-SUM(Z668:AA668))</f>
        <v/>
      </c>
      <c r="AC668" s="328"/>
      <c r="AD668" s="197" t="str">
        <f>IF(AND($I668="x",AND(MAX(Z668:AB668)=Z668,Z668&lt;&gt;"")),Data!$BI$2,"")</f>
        <v/>
      </c>
      <c r="AE668" s="197" t="str">
        <f>IF(AND($J668="x",AND(MAX(Z668:AB668)=AA668,AA668&lt;&gt;"")),Data!$BJ$2,"")</f>
        <v/>
      </c>
      <c r="AF668" s="197" t="str">
        <f>IF(AND($K668="x",AND(MAX(Z668:AB668)=AB668,AB668&lt;&gt;"")),Data!$BK$2,"")</f>
        <v/>
      </c>
      <c r="AG668" s="197"/>
      <c r="AH668" s="328"/>
      <c r="AI668" s="451"/>
      <c r="AJ668" s="452"/>
      <c r="AK668" s="438" t="str">
        <f t="shared" ref="AK668:AK679" si="991">IF(AI668="","",100-SUM(AI668:AJ668))</f>
        <v/>
      </c>
      <c r="AL668" s="328"/>
      <c r="AM668" s="197" t="str">
        <f>IF(AND($I668="x",AND(MAX(AI668:AK668)=AI668,AI668&lt;&gt;"")),Data!$BI$2,"")</f>
        <v/>
      </c>
      <c r="AN668" s="197" t="str">
        <f>IF(AND($J668="x",AND(MAX(AI668:AK668)=AJ668,AJ668&lt;&gt;"")),Data!$BJ$2,"")</f>
        <v/>
      </c>
      <c r="AO668" s="197" t="str">
        <f>IF(AND($K668="x",AND(MAX(AI668:AK668)=AK668,AK668&lt;&gt;"")),Data!$BK$2,"")</f>
        <v/>
      </c>
      <c r="AP668" s="197"/>
      <c r="AQ668" s="328"/>
      <c r="AR668" s="451"/>
      <c r="AS668" s="452"/>
      <c r="AT668" s="438" t="str">
        <f t="shared" ref="AT668:AT679" si="992">IF(AR668="","",100-SUM(AR668:AS668))</f>
        <v/>
      </c>
      <c r="AU668" s="328"/>
      <c r="AV668" s="197" t="str">
        <f>IF(AND($I668="x",AND(MAX(AR668:AT668)=AR668,AR668&lt;&gt;"")),Data!$BI$2,"")</f>
        <v/>
      </c>
      <c r="AW668" s="197" t="str">
        <f>IF(AND($J668="x",AND(MAX(AR668:AT668)=AS668,AS668&lt;&gt;"")),Data!$BJ$2,"")</f>
        <v/>
      </c>
      <c r="AX668" s="197" t="str">
        <f>IF(AND($K668="x",AND(MAX(AR668:AT668)=AT668,AT668&lt;&gt;"")),Data!$BK$2,"")</f>
        <v/>
      </c>
      <c r="AY668" s="197"/>
      <c r="AZ668" s="328"/>
      <c r="BA668" s="451"/>
      <c r="BB668" s="452"/>
      <c r="BC668" s="438" t="str">
        <f t="shared" ref="BC668:BC679" si="993">IF(BA668="","",100-SUM(BA668:BB668))</f>
        <v/>
      </c>
      <c r="BD668" s="328"/>
      <c r="BE668" s="197" t="str">
        <f>IF(AND($I668="x",AND(MAX(BA668:BC668)=BA668,BA668&lt;&gt;"")),Data!$BI$2,"")</f>
        <v/>
      </c>
      <c r="BF668" s="197" t="str">
        <f>IF(AND($J668="x",AND(MAX(BA668:BC668)=BB668,BB668&lt;&gt;"")),Data!$BJ$2,"")</f>
        <v/>
      </c>
      <c r="BG668" s="197" t="str">
        <f>IF(AND($K668="x",AND(MAX(BA668:BC668)=BC668,BC668&lt;&gt;"")),Data!$BK$2,"")</f>
        <v/>
      </c>
      <c r="BH668" s="197"/>
      <c r="BI668" s="328"/>
      <c r="BJ668" s="451"/>
      <c r="BK668" s="452"/>
      <c r="BL668" s="438" t="str">
        <f t="shared" ref="BL668:BL679" si="994">IF(BJ668="","",100-SUM(BJ668:BK668))</f>
        <v/>
      </c>
      <c r="BM668" s="328"/>
      <c r="BN668" s="197" t="str">
        <f>IF(AND($I668="x",AND(MAX(BJ668:BL668)=BJ668,BJ668&lt;&gt;"")),Data!$BI$2,"")</f>
        <v/>
      </c>
      <c r="BO668" s="197" t="str">
        <f>IF(AND($J668="x",AND(MAX(BJ668:BL668)=BK668,BK668&lt;&gt;"")),Data!$BJ$2,"")</f>
        <v/>
      </c>
      <c r="BP668" s="197" t="str">
        <f>IF(AND($K668="x",AND(MAX(BJ668:BL668)=BL668,BL668&lt;&gt;"")),Data!$BK$2,"")</f>
        <v/>
      </c>
      <c r="BQ668" s="197"/>
      <c r="BR668" s="328"/>
      <c r="BS668" s="451"/>
      <c r="BT668" s="452"/>
      <c r="BU668" s="438" t="str">
        <f t="shared" ref="BU668:BU679" si="995">IF(BS668="","",100-SUM(BS668:BT668))</f>
        <v/>
      </c>
      <c r="BV668" s="328"/>
      <c r="BW668" s="197" t="str">
        <f>IF(AND($I668="x",AND(MAX(BS668:BU668)=BS668,BS668&lt;&gt;"")),Data!$BI$2,"")</f>
        <v/>
      </c>
      <c r="BX668" s="197" t="str">
        <f>IF(AND($J668="x",AND(MAX(BS668:BU668)=BT668,BT668&lt;&gt;"")),Data!$BJ$2,"")</f>
        <v/>
      </c>
      <c r="BY668" s="197" t="str">
        <f>IF(AND($K668="x",AND(MAX(BS668:BU668)=BU668,BU668&lt;&gt;"")),Data!$BK$2,"")</f>
        <v/>
      </c>
      <c r="BZ668" s="197"/>
      <c r="CA668" s="328"/>
      <c r="CB668" s="457" t="str">
        <f t="shared" ref="CB668:CB679" si="996">IFERROR(ROUNDUP((SUM(Q668,Z668,AI668,AR668,BA668,BJ668,BS668)/SUM($Q668:$S668,$Z668:$AB668,$AI668:$AK668,$AR668:$AT668,$BA668:$BC668,$BJ668:$BL668,$BS668:$BU668))*100,-1),"")</f>
        <v/>
      </c>
      <c r="CC668" s="458" t="str">
        <f t="shared" ref="CC668:CC679" si="997">IFERROR(ROUNDDOWN((SUM(R668,AA668,AJ668,AS668,BB668,BK668,BT668)/SUM($Q668:$S668,$Z668:$AB668,$AI668:$AK668,$AR668:$AT668,$BA668:$BC668,$BJ668:$BL668,$BS668:$BU668))*100,-1),"")</f>
        <v/>
      </c>
      <c r="CD668" s="459" t="str">
        <f t="shared" ref="CD668:CD679" si="998">IF(CB668="","",100-SUM(CB668:CC668))</f>
        <v/>
      </c>
      <c r="CE668" s="328"/>
      <c r="CF668" s="197" t="str">
        <f>IF(AND($I668="x",AND(MAX(CB668:CD668)=CB668,CB668&lt;&gt;"")),Data!$BI$2,"")</f>
        <v/>
      </c>
      <c r="CG668" s="197" t="str">
        <f>IF(AND($J668="x",AND(MAX(CB668:CD668)=CC668,CC668&lt;&gt;"")),Data!$BJ$2,"")</f>
        <v/>
      </c>
      <c r="CH668" s="197" t="str">
        <f>IF(AND($K668="x",AND(MAX(CB668:CD668)=CD668,CD668&lt;&gt;"")),Data!$BK$2,"")</f>
        <v/>
      </c>
      <c r="CI668" s="197"/>
      <c r="CJ668" s="197"/>
      <c r="CK668" s="451"/>
      <c r="CL668" s="452"/>
      <c r="CM668" s="438" t="str">
        <f t="shared" ref="CM668:CM679" si="999">IF(CK668="","",100-SUM(CK668:CL668))</f>
        <v/>
      </c>
      <c r="CN668" s="328"/>
      <c r="CO668" s="197" t="str">
        <f>IF(AND($I668="x",AND(MAX(CK668:CM668)=CK668,CK668&lt;&gt;"")),Data!$BI$2,"")</f>
        <v/>
      </c>
      <c r="CP668" s="197" t="str">
        <f>IF(AND($J668="x",AND(MAX(CK668:CM668)=CL668,CL668&lt;&gt;"")),Data!$BJ$2,"")</f>
        <v/>
      </c>
      <c r="CQ668" s="197" t="str">
        <f>IF(AND($K668="x",AND(MAX(CK668:CM668)=CM668,CM668&lt;&gt;"")),Data!$BK$2,"")</f>
        <v/>
      </c>
      <c r="CR668" s="197"/>
      <c r="CS668" s="197"/>
      <c r="CT668" s="328"/>
      <c r="CU668" s="255"/>
      <c r="CV668" s="209"/>
      <c r="CW668" s="227"/>
    </row>
    <row r="669" spans="1:101" x14ac:dyDescent="0.2">
      <c r="A669" s="227"/>
      <c r="B669" s="227"/>
      <c r="C669" s="168"/>
      <c r="D669" s="232"/>
      <c r="E669" s="135" t="s">
        <v>413</v>
      </c>
      <c r="F669" s="425"/>
      <c r="G669" s="430"/>
      <c r="H669" s="431"/>
      <c r="I669" s="346" t="str">
        <f t="shared" si="986"/>
        <v/>
      </c>
      <c r="J669" s="347" t="str">
        <f t="shared" si="987"/>
        <v/>
      </c>
      <c r="K669" s="348" t="str">
        <f t="shared" si="988"/>
        <v/>
      </c>
      <c r="L669" s="258"/>
      <c r="M669" s="332"/>
      <c r="N669" s="336"/>
      <c r="O669" s="200"/>
      <c r="P669" s="200"/>
      <c r="Q669" s="439"/>
      <c r="R669" s="440"/>
      <c r="S669" s="441" t="str">
        <f t="shared" si="989"/>
        <v/>
      </c>
      <c r="T669" s="328"/>
      <c r="U669" s="197" t="str">
        <f>IF(AND($I669="x",AND(MAX(Q669:S669)=Q669,Q669&gt;=0)),Data!$BI$2,"")</f>
        <v/>
      </c>
      <c r="V669" s="197" t="str">
        <f>IF(AND($J669="x",AND(MAX(Q669:S669)=R669,R669&gt;=0)),Data!$BJ$2,"")</f>
        <v/>
      </c>
      <c r="W669" s="197" t="str">
        <f>IF(AND($K669="x",AND(MAX(Q669:S669)=S669,S669&gt;=0)),Data!$BK$2,"")</f>
        <v/>
      </c>
      <c r="X669" s="197"/>
      <c r="Y669" s="328"/>
      <c r="Z669" s="453"/>
      <c r="AA669" s="454"/>
      <c r="AB669" s="441" t="str">
        <f t="shared" si="990"/>
        <v/>
      </c>
      <c r="AC669" s="328"/>
      <c r="AD669" s="197" t="str">
        <f>IF(AND($I669="x",AND(MAX(Z669:AB669)=Z669,Z669&lt;&gt;"")),Data!$BI$2,"")</f>
        <v/>
      </c>
      <c r="AE669" s="197" t="str">
        <f>IF(AND($J669="x",AND(MAX(Z669:AB669)=AA669,AA669&lt;&gt;"")),Data!$BJ$2,"")</f>
        <v/>
      </c>
      <c r="AF669" s="197" t="str">
        <f>IF(AND($K669="x",AND(MAX(Z669:AB669)=AB669,AB669&lt;&gt;"")),Data!$BK$2,"")</f>
        <v/>
      </c>
      <c r="AG669" s="197"/>
      <c r="AH669" s="328"/>
      <c r="AI669" s="453"/>
      <c r="AJ669" s="454"/>
      <c r="AK669" s="441" t="str">
        <f t="shared" si="991"/>
        <v/>
      </c>
      <c r="AL669" s="328"/>
      <c r="AM669" s="197" t="str">
        <f>IF(AND($I669="x",AND(MAX(AI669:AK669)=AI669,AI669&lt;&gt;"")),Data!$BI$2,"")</f>
        <v/>
      </c>
      <c r="AN669" s="197" t="str">
        <f>IF(AND($J669="x",AND(MAX(AI669:AK669)=AJ669,AJ669&lt;&gt;"")),Data!$BJ$2,"")</f>
        <v/>
      </c>
      <c r="AO669" s="197" t="str">
        <f>IF(AND($K669="x",AND(MAX(AI669:AK669)=AK669,AK669&lt;&gt;"")),Data!$BK$2,"")</f>
        <v/>
      </c>
      <c r="AP669" s="197"/>
      <c r="AQ669" s="328"/>
      <c r="AR669" s="453"/>
      <c r="AS669" s="454"/>
      <c r="AT669" s="441" t="str">
        <f t="shared" si="992"/>
        <v/>
      </c>
      <c r="AU669" s="328"/>
      <c r="AV669" s="197" t="str">
        <f>IF(AND($I669="x",AND(MAX(AR669:AT669)=AR669,AR669&lt;&gt;"")),Data!$BI$2,"")</f>
        <v/>
      </c>
      <c r="AW669" s="197" t="str">
        <f>IF(AND($J669="x",AND(MAX(AR669:AT669)=AS669,AS669&lt;&gt;"")),Data!$BJ$2,"")</f>
        <v/>
      </c>
      <c r="AX669" s="197" t="str">
        <f>IF(AND($K669="x",AND(MAX(AR669:AT669)=AT669,AT669&lt;&gt;"")),Data!$BK$2,"")</f>
        <v/>
      </c>
      <c r="AY669" s="197"/>
      <c r="AZ669" s="328"/>
      <c r="BA669" s="453"/>
      <c r="BB669" s="454"/>
      <c r="BC669" s="441" t="str">
        <f t="shared" si="993"/>
        <v/>
      </c>
      <c r="BD669" s="328"/>
      <c r="BE669" s="197" t="str">
        <f>IF(AND($I669="x",AND(MAX(BA669:BC669)=BA669,BA669&lt;&gt;"")),Data!$BI$2,"")</f>
        <v/>
      </c>
      <c r="BF669" s="197" t="str">
        <f>IF(AND($J669="x",AND(MAX(BA669:BC669)=BB669,BB669&lt;&gt;"")),Data!$BJ$2,"")</f>
        <v/>
      </c>
      <c r="BG669" s="197" t="str">
        <f>IF(AND($K669="x",AND(MAX(BA669:BC669)=BC669,BC669&lt;&gt;"")),Data!$BK$2,"")</f>
        <v/>
      </c>
      <c r="BH669" s="197"/>
      <c r="BI669" s="328"/>
      <c r="BJ669" s="453"/>
      <c r="BK669" s="454"/>
      <c r="BL669" s="441" t="str">
        <f t="shared" si="994"/>
        <v/>
      </c>
      <c r="BM669" s="328"/>
      <c r="BN669" s="197" t="str">
        <f>IF(AND($I669="x",AND(MAX(BJ669:BL669)=BJ669,BJ669&lt;&gt;"")),Data!$BI$2,"")</f>
        <v/>
      </c>
      <c r="BO669" s="197" t="str">
        <f>IF(AND($J669="x",AND(MAX(BJ669:BL669)=BK669,BK669&lt;&gt;"")),Data!$BJ$2,"")</f>
        <v/>
      </c>
      <c r="BP669" s="197" t="str">
        <f>IF(AND($K669="x",AND(MAX(BJ669:BL669)=BL669,BL669&lt;&gt;"")),Data!$BK$2,"")</f>
        <v/>
      </c>
      <c r="BQ669" s="197"/>
      <c r="BR669" s="328"/>
      <c r="BS669" s="453"/>
      <c r="BT669" s="454"/>
      <c r="BU669" s="441" t="str">
        <f t="shared" si="995"/>
        <v/>
      </c>
      <c r="BV669" s="328"/>
      <c r="BW669" s="197" t="str">
        <f>IF(AND($I669="x",AND(MAX(BS669:BU669)=BS669,BS669&lt;&gt;"")),Data!$BI$2,"")</f>
        <v/>
      </c>
      <c r="BX669" s="197" t="str">
        <f>IF(AND($J669="x",AND(MAX(BS669:BU669)=BT669,BT669&lt;&gt;"")),Data!$BJ$2,"")</f>
        <v/>
      </c>
      <c r="BY669" s="197" t="str">
        <f>IF(AND($K669="x",AND(MAX(BS669:BU669)=BU669,BU669&lt;&gt;"")),Data!$BK$2,"")</f>
        <v/>
      </c>
      <c r="BZ669" s="197"/>
      <c r="CA669" s="328"/>
      <c r="CB669" s="460" t="str">
        <f t="shared" si="996"/>
        <v/>
      </c>
      <c r="CC669" s="461" t="str">
        <f t="shared" si="997"/>
        <v/>
      </c>
      <c r="CD669" s="462" t="str">
        <f t="shared" si="998"/>
        <v/>
      </c>
      <c r="CE669" s="328"/>
      <c r="CF669" s="197" t="str">
        <f>IF(AND($I669="x",AND(MAX(CB669:CD669)=CB669,CB669&lt;&gt;"")),Data!$BI$2,"")</f>
        <v/>
      </c>
      <c r="CG669" s="197" t="str">
        <f>IF(AND($J669="x",AND(MAX(CB669:CD669)=CC669,CC669&lt;&gt;"")),Data!$BJ$2,"")</f>
        <v/>
      </c>
      <c r="CH669" s="197" t="str">
        <f>IF(AND($K669="x",AND(MAX(CB669:CD669)=CD669,CD669&lt;&gt;"")),Data!$BK$2,"")</f>
        <v/>
      </c>
      <c r="CI669" s="197"/>
      <c r="CJ669" s="197"/>
      <c r="CK669" s="453"/>
      <c r="CL669" s="454"/>
      <c r="CM669" s="441" t="str">
        <f t="shared" si="999"/>
        <v/>
      </c>
      <c r="CN669" s="328"/>
      <c r="CO669" s="197" t="str">
        <f>IF(AND($I669="x",AND(MAX(CK669:CM669)=CK669,CK669&lt;&gt;"")),Data!$BI$2,"")</f>
        <v/>
      </c>
      <c r="CP669" s="197" t="str">
        <f>IF(AND($J669="x",AND(MAX(CK669:CM669)=CL669,CL669&lt;&gt;"")),Data!$BJ$2,"")</f>
        <v/>
      </c>
      <c r="CQ669" s="197" t="str">
        <f>IF(AND($K669="x",AND(MAX(CK669:CM669)=CM669,CM669&lt;&gt;"")),Data!$BK$2,"")</f>
        <v/>
      </c>
      <c r="CR669" s="197"/>
      <c r="CS669" s="197"/>
      <c r="CT669" s="328"/>
      <c r="CU669" s="255"/>
      <c r="CV669" s="209"/>
      <c r="CW669" s="227"/>
    </row>
    <row r="670" spans="1:101" x14ac:dyDescent="0.2">
      <c r="A670" s="227"/>
      <c r="B670" s="227"/>
      <c r="C670" s="168"/>
      <c r="D670" s="232"/>
      <c r="E670" s="136" t="s">
        <v>414</v>
      </c>
      <c r="F670" s="426"/>
      <c r="G670" s="432"/>
      <c r="H670" s="433"/>
      <c r="I670" s="349" t="str">
        <f t="shared" si="986"/>
        <v/>
      </c>
      <c r="J670" s="350" t="str">
        <f t="shared" si="987"/>
        <v/>
      </c>
      <c r="K670" s="351" t="str">
        <f t="shared" si="988"/>
        <v/>
      </c>
      <c r="L670" s="258"/>
      <c r="M670" s="332"/>
      <c r="N670" s="336"/>
      <c r="O670" s="200"/>
      <c r="P670" s="200"/>
      <c r="Q670" s="442"/>
      <c r="R670" s="443"/>
      <c r="S670" s="444" t="str">
        <f t="shared" si="989"/>
        <v/>
      </c>
      <c r="T670" s="328"/>
      <c r="U670" s="197" t="str">
        <f>IF(AND($I670="x",AND(MAX(Q670:S670)=Q670,Q670&gt;=0)),Data!$BI$2,"")</f>
        <v/>
      </c>
      <c r="V670" s="197" t="str">
        <f>IF(AND($J670="x",AND(MAX(Q670:S670)=R670,R670&gt;=0)),Data!$BJ$2,"")</f>
        <v/>
      </c>
      <c r="W670" s="197" t="str">
        <f>IF(AND($K670="x",AND(MAX(Q670:S670)=S670,S670&gt;=0)),Data!$BK$2,"")</f>
        <v/>
      </c>
      <c r="X670" s="197"/>
      <c r="Y670" s="328"/>
      <c r="Z670" s="455"/>
      <c r="AA670" s="456"/>
      <c r="AB670" s="444" t="str">
        <f t="shared" si="990"/>
        <v/>
      </c>
      <c r="AC670" s="328"/>
      <c r="AD670" s="197" t="str">
        <f>IF(AND($I670="x",AND(MAX(Z670:AB670)=Z670,Z670&lt;&gt;"")),Data!$BI$2,"")</f>
        <v/>
      </c>
      <c r="AE670" s="197" t="str">
        <f>IF(AND($J670="x",AND(MAX(Z670:AB670)=AA670,AA670&lt;&gt;"")),Data!$BJ$2,"")</f>
        <v/>
      </c>
      <c r="AF670" s="197" t="str">
        <f>IF(AND($K670="x",AND(MAX(Z670:AB670)=AB670,AB670&lt;&gt;"")),Data!$BK$2,"")</f>
        <v/>
      </c>
      <c r="AG670" s="197"/>
      <c r="AH670" s="328"/>
      <c r="AI670" s="455"/>
      <c r="AJ670" s="456"/>
      <c r="AK670" s="444" t="str">
        <f t="shared" si="991"/>
        <v/>
      </c>
      <c r="AL670" s="328"/>
      <c r="AM670" s="197" t="str">
        <f>IF(AND($I670="x",AND(MAX(AI670:AK670)=AI670,AI670&lt;&gt;"")),Data!$BI$2,"")</f>
        <v/>
      </c>
      <c r="AN670" s="197" t="str">
        <f>IF(AND($J670="x",AND(MAX(AI670:AK670)=AJ670,AJ670&lt;&gt;"")),Data!$BJ$2,"")</f>
        <v/>
      </c>
      <c r="AO670" s="197" t="str">
        <f>IF(AND($K670="x",AND(MAX(AI670:AK670)=AK670,AK670&lt;&gt;"")),Data!$BK$2,"")</f>
        <v/>
      </c>
      <c r="AP670" s="197"/>
      <c r="AQ670" s="328"/>
      <c r="AR670" s="455"/>
      <c r="AS670" s="456"/>
      <c r="AT670" s="444" t="str">
        <f t="shared" si="992"/>
        <v/>
      </c>
      <c r="AU670" s="328"/>
      <c r="AV670" s="197" t="str">
        <f>IF(AND($I670="x",AND(MAX(AR670:AT670)=AR670,AR670&lt;&gt;"")),Data!$BI$2,"")</f>
        <v/>
      </c>
      <c r="AW670" s="197" t="str">
        <f>IF(AND($J670="x",AND(MAX(AR670:AT670)=AS670,AS670&lt;&gt;"")),Data!$BJ$2,"")</f>
        <v/>
      </c>
      <c r="AX670" s="197" t="str">
        <f>IF(AND($K670="x",AND(MAX(AR670:AT670)=AT670,AT670&lt;&gt;"")),Data!$BK$2,"")</f>
        <v/>
      </c>
      <c r="AY670" s="197"/>
      <c r="AZ670" s="328"/>
      <c r="BA670" s="455"/>
      <c r="BB670" s="456"/>
      <c r="BC670" s="444" t="str">
        <f t="shared" si="993"/>
        <v/>
      </c>
      <c r="BD670" s="328"/>
      <c r="BE670" s="197" t="str">
        <f>IF(AND($I670="x",AND(MAX(BA670:BC670)=BA670,BA670&lt;&gt;"")),Data!$BI$2,"")</f>
        <v/>
      </c>
      <c r="BF670" s="197" t="str">
        <f>IF(AND($J670="x",AND(MAX(BA670:BC670)=BB670,BB670&lt;&gt;"")),Data!$BJ$2,"")</f>
        <v/>
      </c>
      <c r="BG670" s="197" t="str">
        <f>IF(AND($K670="x",AND(MAX(BA670:BC670)=BC670,BC670&lt;&gt;"")),Data!$BK$2,"")</f>
        <v/>
      </c>
      <c r="BH670" s="197"/>
      <c r="BI670" s="328"/>
      <c r="BJ670" s="455"/>
      <c r="BK670" s="456"/>
      <c r="BL670" s="444" t="str">
        <f t="shared" si="994"/>
        <v/>
      </c>
      <c r="BM670" s="328"/>
      <c r="BN670" s="197" t="str">
        <f>IF(AND($I670="x",AND(MAX(BJ670:BL670)=BJ670,BJ670&lt;&gt;"")),Data!$BI$2,"")</f>
        <v/>
      </c>
      <c r="BO670" s="197" t="str">
        <f>IF(AND($J670="x",AND(MAX(BJ670:BL670)=BK670,BK670&lt;&gt;"")),Data!$BJ$2,"")</f>
        <v/>
      </c>
      <c r="BP670" s="197" t="str">
        <f>IF(AND($K670="x",AND(MAX(BJ670:BL670)=BL670,BL670&lt;&gt;"")),Data!$BK$2,"")</f>
        <v/>
      </c>
      <c r="BQ670" s="197"/>
      <c r="BR670" s="328"/>
      <c r="BS670" s="455"/>
      <c r="BT670" s="456"/>
      <c r="BU670" s="444" t="str">
        <f t="shared" si="995"/>
        <v/>
      </c>
      <c r="BV670" s="328"/>
      <c r="BW670" s="197" t="str">
        <f>IF(AND($I670="x",AND(MAX(BS670:BU670)=BS670,BS670&lt;&gt;"")),Data!$BI$2,"")</f>
        <v/>
      </c>
      <c r="BX670" s="197" t="str">
        <f>IF(AND($J670="x",AND(MAX(BS670:BU670)=BT670,BT670&lt;&gt;"")),Data!$BJ$2,"")</f>
        <v/>
      </c>
      <c r="BY670" s="197" t="str">
        <f>IF(AND($K670="x",AND(MAX(BS670:BU670)=BU670,BU670&lt;&gt;"")),Data!$BK$2,"")</f>
        <v/>
      </c>
      <c r="BZ670" s="197"/>
      <c r="CA670" s="328"/>
      <c r="CB670" s="463" t="str">
        <f t="shared" si="996"/>
        <v/>
      </c>
      <c r="CC670" s="464" t="str">
        <f t="shared" si="997"/>
        <v/>
      </c>
      <c r="CD670" s="465" t="str">
        <f t="shared" si="998"/>
        <v/>
      </c>
      <c r="CE670" s="328"/>
      <c r="CF670" s="197" t="str">
        <f>IF(AND($I670="x",AND(MAX(CB670:CD670)=CB670,CB670&lt;&gt;"")),Data!$BI$2,"")</f>
        <v/>
      </c>
      <c r="CG670" s="197" t="str">
        <f>IF(AND($J670="x",AND(MAX(CB670:CD670)=CC670,CC670&lt;&gt;"")),Data!$BJ$2,"")</f>
        <v/>
      </c>
      <c r="CH670" s="197" t="str">
        <f>IF(AND($K670="x",AND(MAX(CB670:CD670)=CD670,CD670&lt;&gt;"")),Data!$BK$2,"")</f>
        <v/>
      </c>
      <c r="CI670" s="197"/>
      <c r="CJ670" s="197"/>
      <c r="CK670" s="455"/>
      <c r="CL670" s="456"/>
      <c r="CM670" s="444" t="str">
        <f t="shared" si="999"/>
        <v/>
      </c>
      <c r="CN670" s="328"/>
      <c r="CO670" s="197" t="str">
        <f>IF(AND($I670="x",AND(MAX(CK670:CM670)=CK670,CK670&lt;&gt;"")),Data!$BI$2,"")</f>
        <v/>
      </c>
      <c r="CP670" s="197" t="str">
        <f>IF(AND($J670="x",AND(MAX(CK670:CM670)=CL670,CL670&lt;&gt;"")),Data!$BJ$2,"")</f>
        <v/>
      </c>
      <c r="CQ670" s="197" t="str">
        <f>IF(AND($K670="x",AND(MAX(CK670:CM670)=CM670,CM670&lt;&gt;"")),Data!$BK$2,"")</f>
        <v/>
      </c>
      <c r="CR670" s="197"/>
      <c r="CS670" s="197"/>
      <c r="CT670" s="328"/>
      <c r="CU670" s="255"/>
      <c r="CV670" s="209"/>
      <c r="CW670" s="227"/>
    </row>
    <row r="671" spans="1:101" x14ac:dyDescent="0.2">
      <c r="A671" s="227"/>
      <c r="B671" s="227"/>
      <c r="C671" s="168"/>
      <c r="D671" s="232"/>
      <c r="E671" s="134" t="s">
        <v>415</v>
      </c>
      <c r="F671" s="424"/>
      <c r="G671" s="428"/>
      <c r="H671" s="429"/>
      <c r="I671" s="138" t="str">
        <f t="shared" si="986"/>
        <v/>
      </c>
      <c r="J671" s="344" t="str">
        <f t="shared" si="987"/>
        <v/>
      </c>
      <c r="K671" s="345" t="str">
        <f t="shared" si="988"/>
        <v/>
      </c>
      <c r="L671" s="258"/>
      <c r="M671" s="332"/>
      <c r="N671" s="336"/>
      <c r="O671" s="200"/>
      <c r="P671" s="200"/>
      <c r="Q671" s="436"/>
      <c r="R671" s="437"/>
      <c r="S671" s="438" t="str">
        <f t="shared" si="989"/>
        <v/>
      </c>
      <c r="T671" s="328"/>
      <c r="U671" s="197" t="str">
        <f>IF(AND($I671="x",AND(MAX(Q671:S671)=Q671,Q671&gt;=0)),Data!$BI$2,"")</f>
        <v/>
      </c>
      <c r="V671" s="197" t="str">
        <f>IF(AND($J671="x",AND(MAX(Q671:S671)=R671,R671&gt;=0)),Data!$BJ$2,"")</f>
        <v/>
      </c>
      <c r="W671" s="197" t="str">
        <f>IF(AND($K671="x",AND(MAX(Q671:S671)=S671,S671&gt;=0)),Data!$BK$2,"")</f>
        <v/>
      </c>
      <c r="X671" s="197"/>
      <c r="Y671" s="328"/>
      <c r="Z671" s="451"/>
      <c r="AA671" s="452"/>
      <c r="AB671" s="438" t="str">
        <f t="shared" si="990"/>
        <v/>
      </c>
      <c r="AC671" s="328"/>
      <c r="AD671" s="197" t="str">
        <f>IF(AND($I671="x",AND(MAX(Z671:AB671)=Z671,Z671&lt;&gt;"")),Data!$BI$2,"")</f>
        <v/>
      </c>
      <c r="AE671" s="197" t="str">
        <f>IF(AND($J671="x",AND(MAX(Z671:AB671)=AA671,AA671&lt;&gt;"")),Data!$BJ$2,"")</f>
        <v/>
      </c>
      <c r="AF671" s="197" t="str">
        <f>IF(AND($K671="x",AND(MAX(Z671:AB671)=AB671,AB671&lt;&gt;"")),Data!$BK$2,"")</f>
        <v/>
      </c>
      <c r="AG671" s="197"/>
      <c r="AH671" s="328"/>
      <c r="AI671" s="451"/>
      <c r="AJ671" s="452"/>
      <c r="AK671" s="438" t="str">
        <f t="shared" si="991"/>
        <v/>
      </c>
      <c r="AL671" s="328"/>
      <c r="AM671" s="197" t="str">
        <f>IF(AND($I671="x",AND(MAX(AI671:AK671)=AI671,AI671&lt;&gt;"")),Data!$BI$2,"")</f>
        <v/>
      </c>
      <c r="AN671" s="197" t="str">
        <f>IF(AND($J671="x",AND(MAX(AI671:AK671)=AJ671,AJ671&lt;&gt;"")),Data!$BJ$2,"")</f>
        <v/>
      </c>
      <c r="AO671" s="197" t="str">
        <f>IF(AND($K671="x",AND(MAX(AI671:AK671)=AK671,AK671&lt;&gt;"")),Data!$BK$2,"")</f>
        <v/>
      </c>
      <c r="AP671" s="197"/>
      <c r="AQ671" s="328"/>
      <c r="AR671" s="451"/>
      <c r="AS671" s="452"/>
      <c r="AT671" s="438" t="str">
        <f t="shared" si="992"/>
        <v/>
      </c>
      <c r="AU671" s="328"/>
      <c r="AV671" s="197" t="str">
        <f>IF(AND($I671="x",AND(MAX(AR671:AT671)=AR671,AR671&lt;&gt;"")),Data!$BI$2,"")</f>
        <v/>
      </c>
      <c r="AW671" s="197" t="str">
        <f>IF(AND($J671="x",AND(MAX(AR671:AT671)=AS671,AS671&lt;&gt;"")),Data!$BJ$2,"")</f>
        <v/>
      </c>
      <c r="AX671" s="197" t="str">
        <f>IF(AND($K671="x",AND(MAX(AR671:AT671)=AT671,AT671&lt;&gt;"")),Data!$BK$2,"")</f>
        <v/>
      </c>
      <c r="AY671" s="197"/>
      <c r="AZ671" s="328"/>
      <c r="BA671" s="451"/>
      <c r="BB671" s="452"/>
      <c r="BC671" s="438" t="str">
        <f t="shared" si="993"/>
        <v/>
      </c>
      <c r="BD671" s="328"/>
      <c r="BE671" s="197" t="str">
        <f>IF(AND($I671="x",AND(MAX(BA671:BC671)=BA671,BA671&lt;&gt;"")),Data!$BI$2,"")</f>
        <v/>
      </c>
      <c r="BF671" s="197" t="str">
        <f>IF(AND($J671="x",AND(MAX(BA671:BC671)=BB671,BB671&lt;&gt;"")),Data!$BJ$2,"")</f>
        <v/>
      </c>
      <c r="BG671" s="197" t="str">
        <f>IF(AND($K671="x",AND(MAX(BA671:BC671)=BC671,BC671&lt;&gt;"")),Data!$BK$2,"")</f>
        <v/>
      </c>
      <c r="BH671" s="197"/>
      <c r="BI671" s="328"/>
      <c r="BJ671" s="451"/>
      <c r="BK671" s="452"/>
      <c r="BL671" s="438" t="str">
        <f t="shared" si="994"/>
        <v/>
      </c>
      <c r="BM671" s="328"/>
      <c r="BN671" s="197" t="str">
        <f>IF(AND($I671="x",AND(MAX(BJ671:BL671)=BJ671,BJ671&lt;&gt;"")),Data!$BI$2,"")</f>
        <v/>
      </c>
      <c r="BO671" s="197" t="str">
        <f>IF(AND($J671="x",AND(MAX(BJ671:BL671)=BK671,BK671&lt;&gt;"")),Data!$BJ$2,"")</f>
        <v/>
      </c>
      <c r="BP671" s="197" t="str">
        <f>IF(AND($K671="x",AND(MAX(BJ671:BL671)=BL671,BL671&lt;&gt;"")),Data!$BK$2,"")</f>
        <v/>
      </c>
      <c r="BQ671" s="197"/>
      <c r="BR671" s="328"/>
      <c r="BS671" s="451"/>
      <c r="BT671" s="452"/>
      <c r="BU671" s="438" t="str">
        <f t="shared" si="995"/>
        <v/>
      </c>
      <c r="BV671" s="328"/>
      <c r="BW671" s="197" t="str">
        <f>IF(AND($I671="x",AND(MAX(BS671:BU671)=BS671,BS671&lt;&gt;"")),Data!$BI$2,"")</f>
        <v/>
      </c>
      <c r="BX671" s="197" t="str">
        <f>IF(AND($J671="x",AND(MAX(BS671:BU671)=BT671,BT671&lt;&gt;"")),Data!$BJ$2,"")</f>
        <v/>
      </c>
      <c r="BY671" s="197" t="str">
        <f>IF(AND($K671="x",AND(MAX(BS671:BU671)=BU671,BU671&lt;&gt;"")),Data!$BK$2,"")</f>
        <v/>
      </c>
      <c r="BZ671" s="197"/>
      <c r="CA671" s="328"/>
      <c r="CB671" s="457" t="str">
        <f t="shared" si="996"/>
        <v/>
      </c>
      <c r="CC671" s="458" t="str">
        <f t="shared" si="997"/>
        <v/>
      </c>
      <c r="CD671" s="459" t="str">
        <f t="shared" si="998"/>
        <v/>
      </c>
      <c r="CE671" s="328"/>
      <c r="CF671" s="197" t="str">
        <f>IF(AND($I671="x",AND(MAX(CB671:CD671)=CB671,CB671&lt;&gt;"")),Data!$BI$2,"")</f>
        <v/>
      </c>
      <c r="CG671" s="197" t="str">
        <f>IF(AND($J671="x",AND(MAX(CB671:CD671)=CC671,CC671&lt;&gt;"")),Data!$BJ$2,"")</f>
        <v/>
      </c>
      <c r="CH671" s="197" t="str">
        <f>IF(AND($K671="x",AND(MAX(CB671:CD671)=CD671,CD671&lt;&gt;"")),Data!$BK$2,"")</f>
        <v/>
      </c>
      <c r="CI671" s="197"/>
      <c r="CJ671" s="197"/>
      <c r="CK671" s="451"/>
      <c r="CL671" s="452"/>
      <c r="CM671" s="438" t="str">
        <f t="shared" si="999"/>
        <v/>
      </c>
      <c r="CN671" s="328"/>
      <c r="CO671" s="197" t="str">
        <f>IF(AND($I671="x",AND(MAX(CK671:CM671)=CK671,CK671&lt;&gt;"")),Data!$BI$2,"")</f>
        <v/>
      </c>
      <c r="CP671" s="197" t="str">
        <f>IF(AND($J671="x",AND(MAX(CK671:CM671)=CL671,CL671&lt;&gt;"")),Data!$BJ$2,"")</f>
        <v/>
      </c>
      <c r="CQ671" s="197" t="str">
        <f>IF(AND($K671="x",AND(MAX(CK671:CM671)=CM671,CM671&lt;&gt;"")),Data!$BK$2,"")</f>
        <v/>
      </c>
      <c r="CR671" s="197"/>
      <c r="CS671" s="197"/>
      <c r="CT671" s="328"/>
      <c r="CU671" s="255"/>
      <c r="CV671" s="209"/>
      <c r="CW671" s="227"/>
    </row>
    <row r="672" spans="1:101" x14ac:dyDescent="0.2">
      <c r="A672" s="227"/>
      <c r="B672" s="227"/>
      <c r="C672" s="168"/>
      <c r="D672" s="232"/>
      <c r="E672" s="135" t="s">
        <v>416</v>
      </c>
      <c r="F672" s="425"/>
      <c r="G672" s="430"/>
      <c r="H672" s="431"/>
      <c r="I672" s="346" t="str">
        <f t="shared" si="986"/>
        <v/>
      </c>
      <c r="J672" s="347" t="str">
        <f t="shared" si="987"/>
        <v/>
      </c>
      <c r="K672" s="348" t="str">
        <f t="shared" si="988"/>
        <v/>
      </c>
      <c r="L672" s="258"/>
      <c r="M672" s="332"/>
      <c r="N672" s="336"/>
      <c r="O672" s="200"/>
      <c r="P672" s="200"/>
      <c r="Q672" s="439"/>
      <c r="R672" s="440"/>
      <c r="S672" s="441" t="str">
        <f t="shared" si="989"/>
        <v/>
      </c>
      <c r="T672" s="328"/>
      <c r="U672" s="197" t="str">
        <f>IF(AND($I672="x",AND(MAX(Q672:S672)=Q672,Q672&gt;=0)),Data!$BI$2,"")</f>
        <v/>
      </c>
      <c r="V672" s="197" t="str">
        <f>IF(AND($J672="x",AND(MAX(Q672:S672)=R672,R672&gt;=0)),Data!$BJ$2,"")</f>
        <v/>
      </c>
      <c r="W672" s="197" t="str">
        <f>IF(AND($K672="x",AND(MAX(Q672:S672)=S672,S672&gt;=0)),Data!$BK$2,"")</f>
        <v/>
      </c>
      <c r="X672" s="197"/>
      <c r="Y672" s="328"/>
      <c r="Z672" s="453"/>
      <c r="AA672" s="454"/>
      <c r="AB672" s="441" t="str">
        <f t="shared" si="990"/>
        <v/>
      </c>
      <c r="AC672" s="328"/>
      <c r="AD672" s="197" t="str">
        <f>IF(AND($I672="x",AND(MAX(Z672:AB672)=Z672,Z672&lt;&gt;"")),Data!$BI$2,"")</f>
        <v/>
      </c>
      <c r="AE672" s="197" t="str">
        <f>IF(AND($J672="x",AND(MAX(Z672:AB672)=AA672,AA672&lt;&gt;"")),Data!$BJ$2,"")</f>
        <v/>
      </c>
      <c r="AF672" s="197" t="str">
        <f>IF(AND($K672="x",AND(MAX(Z672:AB672)=AB672,AB672&lt;&gt;"")),Data!$BK$2,"")</f>
        <v/>
      </c>
      <c r="AG672" s="197"/>
      <c r="AH672" s="328"/>
      <c r="AI672" s="453"/>
      <c r="AJ672" s="454"/>
      <c r="AK672" s="441" t="str">
        <f t="shared" si="991"/>
        <v/>
      </c>
      <c r="AL672" s="328"/>
      <c r="AM672" s="197" t="str">
        <f>IF(AND($I672="x",AND(MAX(AI672:AK672)=AI672,AI672&lt;&gt;"")),Data!$BI$2,"")</f>
        <v/>
      </c>
      <c r="AN672" s="197" t="str">
        <f>IF(AND($J672="x",AND(MAX(AI672:AK672)=AJ672,AJ672&lt;&gt;"")),Data!$BJ$2,"")</f>
        <v/>
      </c>
      <c r="AO672" s="197" t="str">
        <f>IF(AND($K672="x",AND(MAX(AI672:AK672)=AK672,AK672&lt;&gt;"")),Data!$BK$2,"")</f>
        <v/>
      </c>
      <c r="AP672" s="197"/>
      <c r="AQ672" s="328"/>
      <c r="AR672" s="453"/>
      <c r="AS672" s="454"/>
      <c r="AT672" s="441" t="str">
        <f t="shared" si="992"/>
        <v/>
      </c>
      <c r="AU672" s="328"/>
      <c r="AV672" s="197" t="str">
        <f>IF(AND($I672="x",AND(MAX(AR672:AT672)=AR672,AR672&lt;&gt;"")),Data!$BI$2,"")</f>
        <v/>
      </c>
      <c r="AW672" s="197" t="str">
        <f>IF(AND($J672="x",AND(MAX(AR672:AT672)=AS672,AS672&lt;&gt;"")),Data!$BJ$2,"")</f>
        <v/>
      </c>
      <c r="AX672" s="197" t="str">
        <f>IF(AND($K672="x",AND(MAX(AR672:AT672)=AT672,AT672&lt;&gt;"")),Data!$BK$2,"")</f>
        <v/>
      </c>
      <c r="AY672" s="197"/>
      <c r="AZ672" s="328"/>
      <c r="BA672" s="453"/>
      <c r="BB672" s="454"/>
      <c r="BC672" s="441" t="str">
        <f t="shared" si="993"/>
        <v/>
      </c>
      <c r="BD672" s="328"/>
      <c r="BE672" s="197" t="str">
        <f>IF(AND($I672="x",AND(MAX(BA672:BC672)=BA672,BA672&lt;&gt;"")),Data!$BI$2,"")</f>
        <v/>
      </c>
      <c r="BF672" s="197" t="str">
        <f>IF(AND($J672="x",AND(MAX(BA672:BC672)=BB672,BB672&lt;&gt;"")),Data!$BJ$2,"")</f>
        <v/>
      </c>
      <c r="BG672" s="197" t="str">
        <f>IF(AND($K672="x",AND(MAX(BA672:BC672)=BC672,BC672&lt;&gt;"")),Data!$BK$2,"")</f>
        <v/>
      </c>
      <c r="BH672" s="197"/>
      <c r="BI672" s="328"/>
      <c r="BJ672" s="453"/>
      <c r="BK672" s="454"/>
      <c r="BL672" s="441" t="str">
        <f t="shared" si="994"/>
        <v/>
      </c>
      <c r="BM672" s="328"/>
      <c r="BN672" s="197" t="str">
        <f>IF(AND($I672="x",AND(MAX(BJ672:BL672)=BJ672,BJ672&lt;&gt;"")),Data!$BI$2,"")</f>
        <v/>
      </c>
      <c r="BO672" s="197" t="str">
        <f>IF(AND($J672="x",AND(MAX(BJ672:BL672)=BK672,BK672&lt;&gt;"")),Data!$BJ$2,"")</f>
        <v/>
      </c>
      <c r="BP672" s="197" t="str">
        <f>IF(AND($K672="x",AND(MAX(BJ672:BL672)=BL672,BL672&lt;&gt;"")),Data!$BK$2,"")</f>
        <v/>
      </c>
      <c r="BQ672" s="197"/>
      <c r="BR672" s="328"/>
      <c r="BS672" s="453"/>
      <c r="BT672" s="454"/>
      <c r="BU672" s="441" t="str">
        <f t="shared" si="995"/>
        <v/>
      </c>
      <c r="BV672" s="328"/>
      <c r="BW672" s="197" t="str">
        <f>IF(AND($I672="x",AND(MAX(BS672:BU672)=BS672,BS672&lt;&gt;"")),Data!$BI$2,"")</f>
        <v/>
      </c>
      <c r="BX672" s="197" t="str">
        <f>IF(AND($J672="x",AND(MAX(BS672:BU672)=BT672,BT672&lt;&gt;"")),Data!$BJ$2,"")</f>
        <v/>
      </c>
      <c r="BY672" s="197" t="str">
        <f>IF(AND($K672="x",AND(MAX(BS672:BU672)=BU672,BU672&lt;&gt;"")),Data!$BK$2,"")</f>
        <v/>
      </c>
      <c r="BZ672" s="197"/>
      <c r="CA672" s="328"/>
      <c r="CB672" s="460" t="str">
        <f t="shared" si="996"/>
        <v/>
      </c>
      <c r="CC672" s="461" t="str">
        <f t="shared" si="997"/>
        <v/>
      </c>
      <c r="CD672" s="462" t="str">
        <f t="shared" si="998"/>
        <v/>
      </c>
      <c r="CE672" s="328"/>
      <c r="CF672" s="197" t="str">
        <f>IF(AND($I672="x",AND(MAX(CB672:CD672)=CB672,CB672&lt;&gt;"")),Data!$BI$2,"")</f>
        <v/>
      </c>
      <c r="CG672" s="197" t="str">
        <f>IF(AND($J672="x",AND(MAX(CB672:CD672)=CC672,CC672&lt;&gt;"")),Data!$BJ$2,"")</f>
        <v/>
      </c>
      <c r="CH672" s="197" t="str">
        <f>IF(AND($K672="x",AND(MAX(CB672:CD672)=CD672,CD672&lt;&gt;"")),Data!$BK$2,"")</f>
        <v/>
      </c>
      <c r="CI672" s="197"/>
      <c r="CJ672" s="197"/>
      <c r="CK672" s="453"/>
      <c r="CL672" s="454"/>
      <c r="CM672" s="441" t="str">
        <f t="shared" si="999"/>
        <v/>
      </c>
      <c r="CN672" s="328"/>
      <c r="CO672" s="197" t="str">
        <f>IF(AND($I672="x",AND(MAX(CK672:CM672)=CK672,CK672&lt;&gt;"")),Data!$BI$2,"")</f>
        <v/>
      </c>
      <c r="CP672" s="197" t="str">
        <f>IF(AND($J672="x",AND(MAX(CK672:CM672)=CL672,CL672&lt;&gt;"")),Data!$BJ$2,"")</f>
        <v/>
      </c>
      <c r="CQ672" s="197" t="str">
        <f>IF(AND($K672="x",AND(MAX(CK672:CM672)=CM672,CM672&lt;&gt;"")),Data!$BK$2,"")</f>
        <v/>
      </c>
      <c r="CR672" s="197"/>
      <c r="CS672" s="197"/>
      <c r="CT672" s="328"/>
      <c r="CU672" s="255"/>
      <c r="CV672" s="209"/>
      <c r="CW672" s="227"/>
    </row>
    <row r="673" spans="1:101" x14ac:dyDescent="0.2">
      <c r="A673" s="227"/>
      <c r="B673" s="227"/>
      <c r="C673" s="168"/>
      <c r="D673" s="232"/>
      <c r="E673" s="136" t="s">
        <v>417</v>
      </c>
      <c r="F673" s="426"/>
      <c r="G673" s="432"/>
      <c r="H673" s="433"/>
      <c r="I673" s="349" t="str">
        <f t="shared" si="986"/>
        <v/>
      </c>
      <c r="J673" s="350" t="str">
        <f t="shared" si="987"/>
        <v/>
      </c>
      <c r="K673" s="351" t="str">
        <f t="shared" si="988"/>
        <v/>
      </c>
      <c r="L673" s="258"/>
      <c r="M673" s="332"/>
      <c r="N673" s="336"/>
      <c r="O673" s="200"/>
      <c r="P673" s="200"/>
      <c r="Q673" s="445"/>
      <c r="R673" s="446"/>
      <c r="S673" s="447" t="str">
        <f t="shared" si="989"/>
        <v/>
      </c>
      <c r="T673" s="328"/>
      <c r="U673" s="197" t="str">
        <f>IF(AND($I673="x",AND(MAX(Q673:S673)=Q673,Q673&gt;=0)),Data!$BI$2,"")</f>
        <v/>
      </c>
      <c r="V673" s="197" t="str">
        <f>IF(AND($J673="x",AND(MAX(Q673:S673)=R673,R673&gt;=0)),Data!$BJ$2,"")</f>
        <v/>
      </c>
      <c r="W673" s="197" t="str">
        <f>IF(AND($K673="x",AND(MAX(Q673:S673)=S673,S673&gt;=0)),Data!$BK$2,"")</f>
        <v/>
      </c>
      <c r="X673" s="197"/>
      <c r="Y673" s="328"/>
      <c r="Z673" s="455"/>
      <c r="AA673" s="456"/>
      <c r="AB673" s="447" t="str">
        <f t="shared" si="990"/>
        <v/>
      </c>
      <c r="AC673" s="328"/>
      <c r="AD673" s="197" t="str">
        <f>IF(AND($I673="x",AND(MAX(Z673:AB673)=Z673,Z673&lt;&gt;"")),Data!$BI$2,"")</f>
        <v/>
      </c>
      <c r="AE673" s="197" t="str">
        <f>IF(AND($J673="x",AND(MAX(Z673:AB673)=AA673,AA673&lt;&gt;"")),Data!$BJ$2,"")</f>
        <v/>
      </c>
      <c r="AF673" s="197" t="str">
        <f>IF(AND($K673="x",AND(MAX(Z673:AB673)=AB673,AB673&lt;&gt;"")),Data!$BK$2,"")</f>
        <v/>
      </c>
      <c r="AG673" s="197"/>
      <c r="AH673" s="328"/>
      <c r="AI673" s="455"/>
      <c r="AJ673" s="456"/>
      <c r="AK673" s="447" t="str">
        <f t="shared" si="991"/>
        <v/>
      </c>
      <c r="AL673" s="328"/>
      <c r="AM673" s="197" t="str">
        <f>IF(AND($I673="x",AND(MAX(AI673:AK673)=AI673,AI673&lt;&gt;"")),Data!$BI$2,"")</f>
        <v/>
      </c>
      <c r="AN673" s="197" t="str">
        <f>IF(AND($J673="x",AND(MAX(AI673:AK673)=AJ673,AJ673&lt;&gt;"")),Data!$BJ$2,"")</f>
        <v/>
      </c>
      <c r="AO673" s="197" t="str">
        <f>IF(AND($K673="x",AND(MAX(AI673:AK673)=AK673,AK673&lt;&gt;"")),Data!$BK$2,"")</f>
        <v/>
      </c>
      <c r="AP673" s="197"/>
      <c r="AQ673" s="328"/>
      <c r="AR673" s="455"/>
      <c r="AS673" s="456"/>
      <c r="AT673" s="447" t="str">
        <f t="shared" si="992"/>
        <v/>
      </c>
      <c r="AU673" s="328"/>
      <c r="AV673" s="197" t="str">
        <f>IF(AND($I673="x",AND(MAX(AR673:AT673)=AR673,AR673&lt;&gt;"")),Data!$BI$2,"")</f>
        <v/>
      </c>
      <c r="AW673" s="197" t="str">
        <f>IF(AND($J673="x",AND(MAX(AR673:AT673)=AS673,AS673&lt;&gt;"")),Data!$BJ$2,"")</f>
        <v/>
      </c>
      <c r="AX673" s="197" t="str">
        <f>IF(AND($K673="x",AND(MAX(AR673:AT673)=AT673,AT673&lt;&gt;"")),Data!$BK$2,"")</f>
        <v/>
      </c>
      <c r="AY673" s="197"/>
      <c r="AZ673" s="328"/>
      <c r="BA673" s="455"/>
      <c r="BB673" s="456"/>
      <c r="BC673" s="447" t="str">
        <f t="shared" si="993"/>
        <v/>
      </c>
      <c r="BD673" s="328"/>
      <c r="BE673" s="197" t="str">
        <f>IF(AND($I673="x",AND(MAX(BA673:BC673)=BA673,BA673&lt;&gt;"")),Data!$BI$2,"")</f>
        <v/>
      </c>
      <c r="BF673" s="197" t="str">
        <f>IF(AND($J673="x",AND(MAX(BA673:BC673)=BB673,BB673&lt;&gt;"")),Data!$BJ$2,"")</f>
        <v/>
      </c>
      <c r="BG673" s="197" t="str">
        <f>IF(AND($K673="x",AND(MAX(BA673:BC673)=BC673,BC673&lt;&gt;"")),Data!$BK$2,"")</f>
        <v/>
      </c>
      <c r="BH673" s="197"/>
      <c r="BI673" s="328"/>
      <c r="BJ673" s="455"/>
      <c r="BK673" s="456"/>
      <c r="BL673" s="447" t="str">
        <f t="shared" si="994"/>
        <v/>
      </c>
      <c r="BM673" s="328"/>
      <c r="BN673" s="197" t="str">
        <f>IF(AND($I673="x",AND(MAX(BJ673:BL673)=BJ673,BJ673&lt;&gt;"")),Data!$BI$2,"")</f>
        <v/>
      </c>
      <c r="BO673" s="197" t="str">
        <f>IF(AND($J673="x",AND(MAX(BJ673:BL673)=BK673,BK673&lt;&gt;"")),Data!$BJ$2,"")</f>
        <v/>
      </c>
      <c r="BP673" s="197" t="str">
        <f>IF(AND($K673="x",AND(MAX(BJ673:BL673)=BL673,BL673&lt;&gt;"")),Data!$BK$2,"")</f>
        <v/>
      </c>
      <c r="BQ673" s="197"/>
      <c r="BR673" s="328"/>
      <c r="BS673" s="455"/>
      <c r="BT673" s="456"/>
      <c r="BU673" s="447" t="str">
        <f t="shared" si="995"/>
        <v/>
      </c>
      <c r="BV673" s="328"/>
      <c r="BW673" s="197" t="str">
        <f>IF(AND($I673="x",AND(MAX(BS673:BU673)=BS673,BS673&lt;&gt;"")),Data!$BI$2,"")</f>
        <v/>
      </c>
      <c r="BX673" s="197" t="str">
        <f>IF(AND($J673="x",AND(MAX(BS673:BU673)=BT673,BT673&lt;&gt;"")),Data!$BJ$2,"")</f>
        <v/>
      </c>
      <c r="BY673" s="197" t="str">
        <f>IF(AND($K673="x",AND(MAX(BS673:BU673)=BU673,BU673&lt;&gt;"")),Data!$BK$2,"")</f>
        <v/>
      </c>
      <c r="BZ673" s="197"/>
      <c r="CA673" s="328"/>
      <c r="CB673" s="463" t="str">
        <f t="shared" si="996"/>
        <v/>
      </c>
      <c r="CC673" s="464" t="str">
        <f t="shared" si="997"/>
        <v/>
      </c>
      <c r="CD673" s="465" t="str">
        <f t="shared" si="998"/>
        <v/>
      </c>
      <c r="CE673" s="328"/>
      <c r="CF673" s="197" t="str">
        <f>IF(AND($I673="x",AND(MAX(CB673:CD673)=CB673,CB673&lt;&gt;"")),Data!$BI$2,"")</f>
        <v/>
      </c>
      <c r="CG673" s="197" t="str">
        <f>IF(AND($J673="x",AND(MAX(CB673:CD673)=CC673,CC673&lt;&gt;"")),Data!$BJ$2,"")</f>
        <v/>
      </c>
      <c r="CH673" s="197" t="str">
        <f>IF(AND($K673="x",AND(MAX(CB673:CD673)=CD673,CD673&lt;&gt;"")),Data!$BK$2,"")</f>
        <v/>
      </c>
      <c r="CI673" s="197"/>
      <c r="CJ673" s="197"/>
      <c r="CK673" s="455"/>
      <c r="CL673" s="456"/>
      <c r="CM673" s="447" t="str">
        <f t="shared" si="999"/>
        <v/>
      </c>
      <c r="CN673" s="328"/>
      <c r="CO673" s="197" t="str">
        <f>IF(AND($I673="x",AND(MAX(CK673:CM673)=CK673,CK673&lt;&gt;"")),Data!$BI$2,"")</f>
        <v/>
      </c>
      <c r="CP673" s="197" t="str">
        <f>IF(AND($J673="x",AND(MAX(CK673:CM673)=CL673,CL673&lt;&gt;"")),Data!$BJ$2,"")</f>
        <v/>
      </c>
      <c r="CQ673" s="197" t="str">
        <f>IF(AND($K673="x",AND(MAX(CK673:CM673)=CM673,CM673&lt;&gt;"")),Data!$BK$2,"")</f>
        <v/>
      </c>
      <c r="CR673" s="197"/>
      <c r="CS673" s="197"/>
      <c r="CT673" s="328"/>
      <c r="CU673" s="255"/>
      <c r="CV673" s="209"/>
      <c r="CW673" s="227"/>
    </row>
    <row r="674" spans="1:101" x14ac:dyDescent="0.2">
      <c r="A674" s="227"/>
      <c r="B674" s="227"/>
      <c r="C674" s="168"/>
      <c r="D674" s="232"/>
      <c r="E674" s="134" t="s">
        <v>418</v>
      </c>
      <c r="F674" s="424"/>
      <c r="G674" s="428"/>
      <c r="H674" s="429"/>
      <c r="I674" s="138" t="str">
        <f t="shared" si="986"/>
        <v/>
      </c>
      <c r="J674" s="344" t="str">
        <f t="shared" si="987"/>
        <v/>
      </c>
      <c r="K674" s="345" t="str">
        <f t="shared" si="988"/>
        <v/>
      </c>
      <c r="L674" s="258"/>
      <c r="M674" s="332"/>
      <c r="N674" s="336"/>
      <c r="O674" s="200"/>
      <c r="P674" s="200"/>
      <c r="Q674" s="436"/>
      <c r="R674" s="437"/>
      <c r="S674" s="438" t="str">
        <f t="shared" si="989"/>
        <v/>
      </c>
      <c r="T674" s="328"/>
      <c r="U674" s="197" t="str">
        <f>IF(AND($I674="x",AND(MAX(Q674:S674)=Q674,Q674&gt;=0)),Data!$BI$2,"")</f>
        <v/>
      </c>
      <c r="V674" s="197" t="str">
        <f>IF(AND($J674="x",AND(MAX(Q674:S674)=R674,R674&gt;=0)),Data!$BJ$2,"")</f>
        <v/>
      </c>
      <c r="W674" s="197" t="str">
        <f>IF(AND($K674="x",AND(MAX(Q674:S674)=S674,S674&gt;=0)),Data!$BK$2,"")</f>
        <v/>
      </c>
      <c r="X674" s="197"/>
      <c r="Y674" s="328"/>
      <c r="Z674" s="451"/>
      <c r="AA674" s="452"/>
      <c r="AB674" s="438" t="str">
        <f t="shared" si="990"/>
        <v/>
      </c>
      <c r="AC674" s="328"/>
      <c r="AD674" s="197" t="str">
        <f>IF(AND($I674="x",AND(MAX(Z674:AB674)=Z674,Z674&lt;&gt;"")),Data!$BI$2,"")</f>
        <v/>
      </c>
      <c r="AE674" s="197" t="str">
        <f>IF(AND($J674="x",AND(MAX(Z674:AB674)=AA674,AA674&lt;&gt;"")),Data!$BJ$2,"")</f>
        <v/>
      </c>
      <c r="AF674" s="197" t="str">
        <f>IF(AND($K674="x",AND(MAX(Z674:AB674)=AB674,AB674&lt;&gt;"")),Data!$BK$2,"")</f>
        <v/>
      </c>
      <c r="AG674" s="197"/>
      <c r="AH674" s="328"/>
      <c r="AI674" s="451"/>
      <c r="AJ674" s="452"/>
      <c r="AK674" s="438" t="str">
        <f t="shared" si="991"/>
        <v/>
      </c>
      <c r="AL674" s="328"/>
      <c r="AM674" s="197" t="str">
        <f>IF(AND($I674="x",AND(MAX(AI674:AK674)=AI674,AI674&lt;&gt;"")),Data!$BI$2,"")</f>
        <v/>
      </c>
      <c r="AN674" s="197" t="str">
        <f>IF(AND($J674="x",AND(MAX(AI674:AK674)=AJ674,AJ674&lt;&gt;"")),Data!$BJ$2,"")</f>
        <v/>
      </c>
      <c r="AO674" s="197" t="str">
        <f>IF(AND($K674="x",AND(MAX(AI674:AK674)=AK674,AK674&lt;&gt;"")),Data!$BK$2,"")</f>
        <v/>
      </c>
      <c r="AP674" s="197"/>
      <c r="AQ674" s="328"/>
      <c r="AR674" s="451"/>
      <c r="AS674" s="452"/>
      <c r="AT674" s="438" t="str">
        <f t="shared" si="992"/>
        <v/>
      </c>
      <c r="AU674" s="328"/>
      <c r="AV674" s="197" t="str">
        <f>IF(AND($I674="x",AND(MAX(AR674:AT674)=AR674,AR674&lt;&gt;"")),Data!$BI$2,"")</f>
        <v/>
      </c>
      <c r="AW674" s="197" t="str">
        <f>IF(AND($J674="x",AND(MAX(AR674:AT674)=AS674,AS674&lt;&gt;"")),Data!$BJ$2,"")</f>
        <v/>
      </c>
      <c r="AX674" s="197" t="str">
        <f>IF(AND($K674="x",AND(MAX(AR674:AT674)=AT674,AT674&lt;&gt;"")),Data!$BK$2,"")</f>
        <v/>
      </c>
      <c r="AY674" s="197"/>
      <c r="AZ674" s="328"/>
      <c r="BA674" s="451"/>
      <c r="BB674" s="452"/>
      <c r="BC674" s="438" t="str">
        <f t="shared" si="993"/>
        <v/>
      </c>
      <c r="BD674" s="328"/>
      <c r="BE674" s="197" t="str">
        <f>IF(AND($I674="x",AND(MAX(BA674:BC674)=BA674,BA674&lt;&gt;"")),Data!$BI$2,"")</f>
        <v/>
      </c>
      <c r="BF674" s="197" t="str">
        <f>IF(AND($J674="x",AND(MAX(BA674:BC674)=BB674,BB674&lt;&gt;"")),Data!$BJ$2,"")</f>
        <v/>
      </c>
      <c r="BG674" s="197" t="str">
        <f>IF(AND($K674="x",AND(MAX(BA674:BC674)=BC674,BC674&lt;&gt;"")),Data!$BK$2,"")</f>
        <v/>
      </c>
      <c r="BH674" s="197"/>
      <c r="BI674" s="328"/>
      <c r="BJ674" s="451"/>
      <c r="BK674" s="452"/>
      <c r="BL674" s="438" t="str">
        <f t="shared" si="994"/>
        <v/>
      </c>
      <c r="BM674" s="328"/>
      <c r="BN674" s="197" t="str">
        <f>IF(AND($I674="x",AND(MAX(BJ674:BL674)=BJ674,BJ674&lt;&gt;"")),Data!$BI$2,"")</f>
        <v/>
      </c>
      <c r="BO674" s="197" t="str">
        <f>IF(AND($J674="x",AND(MAX(BJ674:BL674)=BK674,BK674&lt;&gt;"")),Data!$BJ$2,"")</f>
        <v/>
      </c>
      <c r="BP674" s="197" t="str">
        <f>IF(AND($K674="x",AND(MAX(BJ674:BL674)=BL674,BL674&lt;&gt;"")),Data!$BK$2,"")</f>
        <v/>
      </c>
      <c r="BQ674" s="197"/>
      <c r="BR674" s="328"/>
      <c r="BS674" s="451"/>
      <c r="BT674" s="452"/>
      <c r="BU674" s="438" t="str">
        <f t="shared" si="995"/>
        <v/>
      </c>
      <c r="BV674" s="328"/>
      <c r="BW674" s="197" t="str">
        <f>IF(AND($I674="x",AND(MAX(BS674:BU674)=BS674,BS674&lt;&gt;"")),Data!$BI$2,"")</f>
        <v/>
      </c>
      <c r="BX674" s="197" t="str">
        <f>IF(AND($J674="x",AND(MAX(BS674:BU674)=BT674,BT674&lt;&gt;"")),Data!$BJ$2,"")</f>
        <v/>
      </c>
      <c r="BY674" s="197" t="str">
        <f>IF(AND($K674="x",AND(MAX(BS674:BU674)=BU674,BU674&lt;&gt;"")),Data!$BK$2,"")</f>
        <v/>
      </c>
      <c r="BZ674" s="197"/>
      <c r="CA674" s="328"/>
      <c r="CB674" s="457" t="str">
        <f t="shared" si="996"/>
        <v/>
      </c>
      <c r="CC674" s="458" t="str">
        <f t="shared" si="997"/>
        <v/>
      </c>
      <c r="CD674" s="459" t="str">
        <f t="shared" si="998"/>
        <v/>
      </c>
      <c r="CE674" s="328"/>
      <c r="CF674" s="197" t="str">
        <f>IF(AND($I674="x",AND(MAX(CB674:CD674)=CB674,CB674&lt;&gt;"")),Data!$BI$2,"")</f>
        <v/>
      </c>
      <c r="CG674" s="197" t="str">
        <f>IF(AND($J674="x",AND(MAX(CB674:CD674)=CC674,CC674&lt;&gt;"")),Data!$BJ$2,"")</f>
        <v/>
      </c>
      <c r="CH674" s="197" t="str">
        <f>IF(AND($K674="x",AND(MAX(CB674:CD674)=CD674,CD674&lt;&gt;"")),Data!$BK$2,"")</f>
        <v/>
      </c>
      <c r="CI674" s="197"/>
      <c r="CJ674" s="197"/>
      <c r="CK674" s="451"/>
      <c r="CL674" s="452"/>
      <c r="CM674" s="438" t="str">
        <f t="shared" si="999"/>
        <v/>
      </c>
      <c r="CN674" s="328"/>
      <c r="CO674" s="197" t="str">
        <f>IF(AND($I674="x",AND(MAX(CK674:CM674)=CK674,CK674&lt;&gt;"")),Data!$BI$2,"")</f>
        <v/>
      </c>
      <c r="CP674" s="197" t="str">
        <f>IF(AND($J674="x",AND(MAX(CK674:CM674)=CL674,CL674&lt;&gt;"")),Data!$BJ$2,"")</f>
        <v/>
      </c>
      <c r="CQ674" s="197" t="str">
        <f>IF(AND($K674="x",AND(MAX(CK674:CM674)=CM674,CM674&lt;&gt;"")),Data!$BK$2,"")</f>
        <v/>
      </c>
      <c r="CR674" s="197"/>
      <c r="CS674" s="197"/>
      <c r="CT674" s="328"/>
      <c r="CU674" s="259"/>
      <c r="CV674" s="209"/>
      <c r="CW674" s="227"/>
    </row>
    <row r="675" spans="1:101" x14ac:dyDescent="0.2">
      <c r="A675" s="227"/>
      <c r="B675" s="227"/>
      <c r="C675" s="168"/>
      <c r="D675" s="232"/>
      <c r="E675" s="135" t="s">
        <v>419</v>
      </c>
      <c r="F675" s="425"/>
      <c r="G675" s="430"/>
      <c r="H675" s="431"/>
      <c r="I675" s="346" t="str">
        <f t="shared" si="986"/>
        <v/>
      </c>
      <c r="J675" s="347" t="str">
        <f t="shared" si="987"/>
        <v/>
      </c>
      <c r="K675" s="348" t="str">
        <f t="shared" si="988"/>
        <v/>
      </c>
      <c r="L675" s="258"/>
      <c r="M675" s="332"/>
      <c r="N675" s="336"/>
      <c r="O675" s="200"/>
      <c r="P675" s="200"/>
      <c r="Q675" s="439"/>
      <c r="R675" s="440"/>
      <c r="S675" s="441" t="str">
        <f t="shared" si="989"/>
        <v/>
      </c>
      <c r="T675" s="328"/>
      <c r="U675" s="197" t="str">
        <f>IF(AND($I675="x",AND(MAX(Q675:S675)=Q675,Q675&gt;=0)),Data!$BI$2,"")</f>
        <v/>
      </c>
      <c r="V675" s="197" t="str">
        <f>IF(AND($J675="x",AND(MAX(Q675:S675)=R675,R675&gt;=0)),Data!$BJ$2,"")</f>
        <v/>
      </c>
      <c r="W675" s="197" t="str">
        <f>IF(AND($K675="x",AND(MAX(Q675:S675)=S675,S675&gt;=0)),Data!$BK$2,"")</f>
        <v/>
      </c>
      <c r="X675" s="197"/>
      <c r="Y675" s="328"/>
      <c r="Z675" s="453"/>
      <c r="AA675" s="454"/>
      <c r="AB675" s="441" t="str">
        <f t="shared" si="990"/>
        <v/>
      </c>
      <c r="AC675" s="328"/>
      <c r="AD675" s="197" t="str">
        <f>IF(AND($I675="x",AND(MAX(Z675:AB675)=Z675,Z675&lt;&gt;"")),Data!$BI$2,"")</f>
        <v/>
      </c>
      <c r="AE675" s="197" t="str">
        <f>IF(AND($J675="x",AND(MAX(Z675:AB675)=AA675,AA675&lt;&gt;"")),Data!$BJ$2,"")</f>
        <v/>
      </c>
      <c r="AF675" s="197" t="str">
        <f>IF(AND($K675="x",AND(MAX(Z675:AB675)=AB675,AB675&lt;&gt;"")),Data!$BK$2,"")</f>
        <v/>
      </c>
      <c r="AG675" s="197"/>
      <c r="AH675" s="328"/>
      <c r="AI675" s="453"/>
      <c r="AJ675" s="454"/>
      <c r="AK675" s="441" t="str">
        <f t="shared" si="991"/>
        <v/>
      </c>
      <c r="AL675" s="328"/>
      <c r="AM675" s="197" t="str">
        <f>IF(AND($I675="x",AND(MAX(AI675:AK675)=AI675,AI675&lt;&gt;"")),Data!$BI$2,"")</f>
        <v/>
      </c>
      <c r="AN675" s="197" t="str">
        <f>IF(AND($J675="x",AND(MAX(AI675:AK675)=AJ675,AJ675&lt;&gt;"")),Data!$BJ$2,"")</f>
        <v/>
      </c>
      <c r="AO675" s="197" t="str">
        <f>IF(AND($K675="x",AND(MAX(AI675:AK675)=AK675,AK675&lt;&gt;"")),Data!$BK$2,"")</f>
        <v/>
      </c>
      <c r="AP675" s="197"/>
      <c r="AQ675" s="328"/>
      <c r="AR675" s="453"/>
      <c r="AS675" s="454"/>
      <c r="AT675" s="441" t="str">
        <f t="shared" si="992"/>
        <v/>
      </c>
      <c r="AU675" s="328"/>
      <c r="AV675" s="197" t="str">
        <f>IF(AND($I675="x",AND(MAX(AR675:AT675)=AR675,AR675&lt;&gt;"")),Data!$BI$2,"")</f>
        <v/>
      </c>
      <c r="AW675" s="197" t="str">
        <f>IF(AND($J675="x",AND(MAX(AR675:AT675)=AS675,AS675&lt;&gt;"")),Data!$BJ$2,"")</f>
        <v/>
      </c>
      <c r="AX675" s="197" t="str">
        <f>IF(AND($K675="x",AND(MAX(AR675:AT675)=AT675,AT675&lt;&gt;"")),Data!$BK$2,"")</f>
        <v/>
      </c>
      <c r="AY675" s="197"/>
      <c r="AZ675" s="328"/>
      <c r="BA675" s="453"/>
      <c r="BB675" s="454"/>
      <c r="BC675" s="441" t="str">
        <f t="shared" si="993"/>
        <v/>
      </c>
      <c r="BD675" s="328"/>
      <c r="BE675" s="197" t="str">
        <f>IF(AND($I675="x",AND(MAX(BA675:BC675)=BA675,BA675&lt;&gt;"")),Data!$BI$2,"")</f>
        <v/>
      </c>
      <c r="BF675" s="197" t="str">
        <f>IF(AND($J675="x",AND(MAX(BA675:BC675)=BB675,BB675&lt;&gt;"")),Data!$BJ$2,"")</f>
        <v/>
      </c>
      <c r="BG675" s="197" t="str">
        <f>IF(AND($K675="x",AND(MAX(BA675:BC675)=BC675,BC675&lt;&gt;"")),Data!$BK$2,"")</f>
        <v/>
      </c>
      <c r="BH675" s="197"/>
      <c r="BI675" s="328"/>
      <c r="BJ675" s="453"/>
      <c r="BK675" s="454"/>
      <c r="BL675" s="441" t="str">
        <f t="shared" si="994"/>
        <v/>
      </c>
      <c r="BM675" s="328"/>
      <c r="BN675" s="197" t="str">
        <f>IF(AND($I675="x",AND(MAX(BJ675:BL675)=BJ675,BJ675&lt;&gt;"")),Data!$BI$2,"")</f>
        <v/>
      </c>
      <c r="BO675" s="197" t="str">
        <f>IF(AND($J675="x",AND(MAX(BJ675:BL675)=BK675,BK675&lt;&gt;"")),Data!$BJ$2,"")</f>
        <v/>
      </c>
      <c r="BP675" s="197" t="str">
        <f>IF(AND($K675="x",AND(MAX(BJ675:BL675)=BL675,BL675&lt;&gt;"")),Data!$BK$2,"")</f>
        <v/>
      </c>
      <c r="BQ675" s="197"/>
      <c r="BR675" s="328"/>
      <c r="BS675" s="453"/>
      <c r="BT675" s="454"/>
      <c r="BU675" s="441" t="str">
        <f t="shared" si="995"/>
        <v/>
      </c>
      <c r="BV675" s="328"/>
      <c r="BW675" s="197" t="str">
        <f>IF(AND($I675="x",AND(MAX(BS675:BU675)=BS675,BS675&lt;&gt;"")),Data!$BI$2,"")</f>
        <v/>
      </c>
      <c r="BX675" s="197" t="str">
        <f>IF(AND($J675="x",AND(MAX(BS675:BU675)=BT675,BT675&lt;&gt;"")),Data!$BJ$2,"")</f>
        <v/>
      </c>
      <c r="BY675" s="197" t="str">
        <f>IF(AND($K675="x",AND(MAX(BS675:BU675)=BU675,BU675&lt;&gt;"")),Data!$BK$2,"")</f>
        <v/>
      </c>
      <c r="BZ675" s="197"/>
      <c r="CA675" s="328"/>
      <c r="CB675" s="460" t="str">
        <f t="shared" si="996"/>
        <v/>
      </c>
      <c r="CC675" s="461" t="str">
        <f t="shared" si="997"/>
        <v/>
      </c>
      <c r="CD675" s="462" t="str">
        <f t="shared" si="998"/>
        <v/>
      </c>
      <c r="CE675" s="328"/>
      <c r="CF675" s="197" t="str">
        <f>IF(AND($I675="x",AND(MAX(CB675:CD675)=CB675,CB675&lt;&gt;"")),Data!$BI$2,"")</f>
        <v/>
      </c>
      <c r="CG675" s="197" t="str">
        <f>IF(AND($J675="x",AND(MAX(CB675:CD675)=CC675,CC675&lt;&gt;"")),Data!$BJ$2,"")</f>
        <v/>
      </c>
      <c r="CH675" s="197" t="str">
        <f>IF(AND($K675="x",AND(MAX(CB675:CD675)=CD675,CD675&lt;&gt;"")),Data!$BK$2,"")</f>
        <v/>
      </c>
      <c r="CI675" s="197"/>
      <c r="CJ675" s="197"/>
      <c r="CK675" s="453"/>
      <c r="CL675" s="454"/>
      <c r="CM675" s="441" t="str">
        <f t="shared" si="999"/>
        <v/>
      </c>
      <c r="CN675" s="328"/>
      <c r="CO675" s="197" t="str">
        <f>IF(AND($I675="x",AND(MAX(CK675:CM675)=CK675,CK675&lt;&gt;"")),Data!$BI$2,"")</f>
        <v/>
      </c>
      <c r="CP675" s="197" t="str">
        <f>IF(AND($J675="x",AND(MAX(CK675:CM675)=CL675,CL675&lt;&gt;"")),Data!$BJ$2,"")</f>
        <v/>
      </c>
      <c r="CQ675" s="197" t="str">
        <f>IF(AND($K675="x",AND(MAX(CK675:CM675)=CM675,CM675&lt;&gt;"")),Data!$BK$2,"")</f>
        <v/>
      </c>
      <c r="CR675" s="197"/>
      <c r="CS675" s="197"/>
      <c r="CT675" s="328"/>
      <c r="CU675" s="259"/>
      <c r="CV675" s="209"/>
      <c r="CW675" s="227"/>
    </row>
    <row r="676" spans="1:101" x14ac:dyDescent="0.2">
      <c r="A676" s="227"/>
      <c r="B676" s="227"/>
      <c r="C676" s="168"/>
      <c r="D676" s="232"/>
      <c r="E676" s="136" t="s">
        <v>420</v>
      </c>
      <c r="F676" s="426"/>
      <c r="G676" s="432"/>
      <c r="H676" s="433"/>
      <c r="I676" s="349" t="str">
        <f t="shared" si="986"/>
        <v/>
      </c>
      <c r="J676" s="350" t="str">
        <f t="shared" si="987"/>
        <v/>
      </c>
      <c r="K676" s="351" t="str">
        <f t="shared" si="988"/>
        <v/>
      </c>
      <c r="L676" s="258"/>
      <c r="M676" s="332"/>
      <c r="N676" s="336"/>
      <c r="O676" s="200"/>
      <c r="P676" s="200"/>
      <c r="Q676" s="445"/>
      <c r="R676" s="446"/>
      <c r="S676" s="447" t="str">
        <f t="shared" si="989"/>
        <v/>
      </c>
      <c r="T676" s="328"/>
      <c r="U676" s="197" t="str">
        <f>IF(AND($I676="x",AND(MAX(Q676:S676)=Q676,Q676&gt;=0)),Data!$BI$2,"")</f>
        <v/>
      </c>
      <c r="V676" s="197" t="str">
        <f>IF(AND($J676="x",AND(MAX(Q676:S676)=R676,R676&gt;=0)),Data!$BJ$2,"")</f>
        <v/>
      </c>
      <c r="W676" s="197" t="str">
        <f>IF(AND($K676="x",AND(MAX(Q676:S676)=S676,S676&gt;=0)),Data!$BK$2,"")</f>
        <v/>
      </c>
      <c r="X676" s="197"/>
      <c r="Y676" s="328"/>
      <c r="Z676" s="455"/>
      <c r="AA676" s="456"/>
      <c r="AB676" s="447" t="str">
        <f t="shared" si="990"/>
        <v/>
      </c>
      <c r="AC676" s="328"/>
      <c r="AD676" s="197" t="str">
        <f>IF(AND($I676="x",AND(MAX(Z676:AB676)=Z676,Z676&lt;&gt;"")),Data!$BI$2,"")</f>
        <v/>
      </c>
      <c r="AE676" s="197" t="str">
        <f>IF(AND($J676="x",AND(MAX(Z676:AB676)=AA676,AA676&lt;&gt;"")),Data!$BJ$2,"")</f>
        <v/>
      </c>
      <c r="AF676" s="197" t="str">
        <f>IF(AND($K676="x",AND(MAX(Z676:AB676)=AB676,AB676&lt;&gt;"")),Data!$BK$2,"")</f>
        <v/>
      </c>
      <c r="AG676" s="197"/>
      <c r="AH676" s="328"/>
      <c r="AI676" s="455"/>
      <c r="AJ676" s="456"/>
      <c r="AK676" s="447" t="str">
        <f t="shared" si="991"/>
        <v/>
      </c>
      <c r="AL676" s="328"/>
      <c r="AM676" s="197" t="str">
        <f>IF(AND($I676="x",AND(MAX(AI676:AK676)=AI676,AI676&lt;&gt;"")),Data!$BI$2,"")</f>
        <v/>
      </c>
      <c r="AN676" s="197" t="str">
        <f>IF(AND($J676="x",AND(MAX(AI676:AK676)=AJ676,AJ676&lt;&gt;"")),Data!$BJ$2,"")</f>
        <v/>
      </c>
      <c r="AO676" s="197" t="str">
        <f>IF(AND($K676="x",AND(MAX(AI676:AK676)=AK676,AK676&lt;&gt;"")),Data!$BK$2,"")</f>
        <v/>
      </c>
      <c r="AP676" s="197"/>
      <c r="AQ676" s="328"/>
      <c r="AR676" s="455"/>
      <c r="AS676" s="456"/>
      <c r="AT676" s="447" t="str">
        <f t="shared" si="992"/>
        <v/>
      </c>
      <c r="AU676" s="328"/>
      <c r="AV676" s="197" t="str">
        <f>IF(AND($I676="x",AND(MAX(AR676:AT676)=AR676,AR676&lt;&gt;"")),Data!$BI$2,"")</f>
        <v/>
      </c>
      <c r="AW676" s="197" t="str">
        <f>IF(AND($J676="x",AND(MAX(AR676:AT676)=AS676,AS676&lt;&gt;"")),Data!$BJ$2,"")</f>
        <v/>
      </c>
      <c r="AX676" s="197" t="str">
        <f>IF(AND($K676="x",AND(MAX(AR676:AT676)=AT676,AT676&lt;&gt;"")),Data!$BK$2,"")</f>
        <v/>
      </c>
      <c r="AY676" s="197"/>
      <c r="AZ676" s="328"/>
      <c r="BA676" s="455"/>
      <c r="BB676" s="456"/>
      <c r="BC676" s="447" t="str">
        <f t="shared" si="993"/>
        <v/>
      </c>
      <c r="BD676" s="328"/>
      <c r="BE676" s="197" t="str">
        <f>IF(AND($I676="x",AND(MAX(BA676:BC676)=BA676,BA676&lt;&gt;"")),Data!$BI$2,"")</f>
        <v/>
      </c>
      <c r="BF676" s="197" t="str">
        <f>IF(AND($J676="x",AND(MAX(BA676:BC676)=BB676,BB676&lt;&gt;"")),Data!$BJ$2,"")</f>
        <v/>
      </c>
      <c r="BG676" s="197" t="str">
        <f>IF(AND($K676="x",AND(MAX(BA676:BC676)=BC676,BC676&lt;&gt;"")),Data!$BK$2,"")</f>
        <v/>
      </c>
      <c r="BH676" s="197"/>
      <c r="BI676" s="328"/>
      <c r="BJ676" s="455"/>
      <c r="BK676" s="456"/>
      <c r="BL676" s="447" t="str">
        <f t="shared" si="994"/>
        <v/>
      </c>
      <c r="BM676" s="328"/>
      <c r="BN676" s="197" t="str">
        <f>IF(AND($I676="x",AND(MAX(BJ676:BL676)=BJ676,BJ676&lt;&gt;"")),Data!$BI$2,"")</f>
        <v/>
      </c>
      <c r="BO676" s="197" t="str">
        <f>IF(AND($J676="x",AND(MAX(BJ676:BL676)=BK676,BK676&lt;&gt;"")),Data!$BJ$2,"")</f>
        <v/>
      </c>
      <c r="BP676" s="197" t="str">
        <f>IF(AND($K676="x",AND(MAX(BJ676:BL676)=BL676,BL676&lt;&gt;"")),Data!$BK$2,"")</f>
        <v/>
      </c>
      <c r="BQ676" s="197"/>
      <c r="BR676" s="328"/>
      <c r="BS676" s="455"/>
      <c r="BT676" s="456"/>
      <c r="BU676" s="447" t="str">
        <f t="shared" si="995"/>
        <v/>
      </c>
      <c r="BV676" s="328"/>
      <c r="BW676" s="197" t="str">
        <f>IF(AND($I676="x",AND(MAX(BS676:BU676)=BS676,BS676&lt;&gt;"")),Data!$BI$2,"")</f>
        <v/>
      </c>
      <c r="BX676" s="197" t="str">
        <f>IF(AND($J676="x",AND(MAX(BS676:BU676)=BT676,BT676&lt;&gt;"")),Data!$BJ$2,"")</f>
        <v/>
      </c>
      <c r="BY676" s="197" t="str">
        <f>IF(AND($K676="x",AND(MAX(BS676:BU676)=BU676,BU676&lt;&gt;"")),Data!$BK$2,"")</f>
        <v/>
      </c>
      <c r="BZ676" s="197"/>
      <c r="CA676" s="328"/>
      <c r="CB676" s="463" t="str">
        <f t="shared" si="996"/>
        <v/>
      </c>
      <c r="CC676" s="464" t="str">
        <f t="shared" si="997"/>
        <v/>
      </c>
      <c r="CD676" s="465" t="str">
        <f t="shared" si="998"/>
        <v/>
      </c>
      <c r="CE676" s="328"/>
      <c r="CF676" s="197" t="str">
        <f>IF(AND($I676="x",AND(MAX(CB676:CD676)=CB676,CB676&lt;&gt;"")),Data!$BI$2,"")</f>
        <v/>
      </c>
      <c r="CG676" s="197" t="str">
        <f>IF(AND($J676="x",AND(MAX(CB676:CD676)=CC676,CC676&lt;&gt;"")),Data!$BJ$2,"")</f>
        <v/>
      </c>
      <c r="CH676" s="197" t="str">
        <f>IF(AND($K676="x",AND(MAX(CB676:CD676)=CD676,CD676&lt;&gt;"")),Data!$BK$2,"")</f>
        <v/>
      </c>
      <c r="CI676" s="197"/>
      <c r="CJ676" s="197"/>
      <c r="CK676" s="455"/>
      <c r="CL676" s="456"/>
      <c r="CM676" s="447" t="str">
        <f t="shared" si="999"/>
        <v/>
      </c>
      <c r="CN676" s="328"/>
      <c r="CO676" s="197" t="str">
        <f>IF(AND($I676="x",AND(MAX(CK676:CM676)=CK676,CK676&lt;&gt;"")),Data!$BI$2,"")</f>
        <v/>
      </c>
      <c r="CP676" s="197" t="str">
        <f>IF(AND($J676="x",AND(MAX(CK676:CM676)=CL676,CL676&lt;&gt;"")),Data!$BJ$2,"")</f>
        <v/>
      </c>
      <c r="CQ676" s="197" t="str">
        <f>IF(AND($K676="x",AND(MAX(CK676:CM676)=CM676,CM676&lt;&gt;"")),Data!$BK$2,"")</f>
        <v/>
      </c>
      <c r="CR676" s="197"/>
      <c r="CS676" s="197"/>
      <c r="CT676" s="328"/>
      <c r="CU676" s="259"/>
      <c r="CV676" s="209"/>
      <c r="CW676" s="227"/>
    </row>
    <row r="677" spans="1:101" x14ac:dyDescent="0.2">
      <c r="A677" s="227"/>
      <c r="B677" s="227"/>
      <c r="C677" s="168"/>
      <c r="D677" s="232"/>
      <c r="E677" s="137" t="s">
        <v>421</v>
      </c>
      <c r="F677" s="427"/>
      <c r="G677" s="434"/>
      <c r="H677" s="435"/>
      <c r="I677" s="138" t="str">
        <f t="shared" si="986"/>
        <v/>
      </c>
      <c r="J677" s="344" t="str">
        <f t="shared" si="987"/>
        <v/>
      </c>
      <c r="K677" s="345" t="str">
        <f t="shared" si="988"/>
        <v/>
      </c>
      <c r="L677" s="258"/>
      <c r="M677" s="332"/>
      <c r="N677" s="336"/>
      <c r="O677" s="200"/>
      <c r="P677" s="200"/>
      <c r="Q677" s="448"/>
      <c r="R677" s="449"/>
      <c r="S677" s="450" t="str">
        <f t="shared" si="989"/>
        <v/>
      </c>
      <c r="T677" s="328"/>
      <c r="U677" s="197" t="str">
        <f>IF(AND($I677="x",AND(MAX(Q677:S677)=Q677,Q677&gt;=0)),Data!$BI$2,"")</f>
        <v/>
      </c>
      <c r="V677" s="197" t="str">
        <f>IF(AND($J677="x",AND(MAX(Q677:S677)=R677,R677&gt;=0)),Data!$BJ$2,"")</f>
        <v/>
      </c>
      <c r="W677" s="197" t="str">
        <f>IF(AND($K677="x",AND(MAX(Q677:S677)=S677,S677&gt;=0)),Data!$BK$2,"")</f>
        <v/>
      </c>
      <c r="X677" s="197"/>
      <c r="Y677" s="328"/>
      <c r="Z677" s="451"/>
      <c r="AA677" s="452"/>
      <c r="AB677" s="450" t="str">
        <f t="shared" si="990"/>
        <v/>
      </c>
      <c r="AC677" s="328"/>
      <c r="AD677" s="197" t="str">
        <f>IF(AND($I677="x",AND(MAX(Z677:AB677)=Z677,Z677&lt;&gt;"")),Data!$BI$2,"")</f>
        <v/>
      </c>
      <c r="AE677" s="197" t="str">
        <f>IF(AND($J677="x",AND(MAX(Z677:AB677)=AA677,AA677&lt;&gt;"")),Data!$BJ$2,"")</f>
        <v/>
      </c>
      <c r="AF677" s="197" t="str">
        <f>IF(AND($K677="x",AND(MAX(Z677:AB677)=AB677,AB677&lt;&gt;"")),Data!$BK$2,"")</f>
        <v/>
      </c>
      <c r="AG677" s="197"/>
      <c r="AH677" s="328"/>
      <c r="AI677" s="451"/>
      <c r="AJ677" s="452"/>
      <c r="AK677" s="450" t="str">
        <f t="shared" si="991"/>
        <v/>
      </c>
      <c r="AL677" s="328"/>
      <c r="AM677" s="197" t="str">
        <f>IF(AND($I677="x",AND(MAX(AI677:AK677)=AI677,AI677&lt;&gt;"")),Data!$BI$2,"")</f>
        <v/>
      </c>
      <c r="AN677" s="197" t="str">
        <f>IF(AND($J677="x",AND(MAX(AI677:AK677)=AJ677,AJ677&lt;&gt;"")),Data!$BJ$2,"")</f>
        <v/>
      </c>
      <c r="AO677" s="197" t="str">
        <f>IF(AND($K677="x",AND(MAX(AI677:AK677)=AK677,AK677&lt;&gt;"")),Data!$BK$2,"")</f>
        <v/>
      </c>
      <c r="AP677" s="197"/>
      <c r="AQ677" s="328"/>
      <c r="AR677" s="451"/>
      <c r="AS677" s="452"/>
      <c r="AT677" s="450" t="str">
        <f t="shared" si="992"/>
        <v/>
      </c>
      <c r="AU677" s="328"/>
      <c r="AV677" s="197" t="str">
        <f>IF(AND($I677="x",AND(MAX(AR677:AT677)=AR677,AR677&lt;&gt;"")),Data!$BI$2,"")</f>
        <v/>
      </c>
      <c r="AW677" s="197" t="str">
        <f>IF(AND($J677="x",AND(MAX(AR677:AT677)=AS677,AS677&lt;&gt;"")),Data!$BJ$2,"")</f>
        <v/>
      </c>
      <c r="AX677" s="197" t="str">
        <f>IF(AND($K677="x",AND(MAX(AR677:AT677)=AT677,AT677&lt;&gt;"")),Data!$BK$2,"")</f>
        <v/>
      </c>
      <c r="AY677" s="197"/>
      <c r="AZ677" s="328"/>
      <c r="BA677" s="451"/>
      <c r="BB677" s="452"/>
      <c r="BC677" s="450" t="str">
        <f t="shared" si="993"/>
        <v/>
      </c>
      <c r="BD677" s="328"/>
      <c r="BE677" s="197" t="str">
        <f>IF(AND($I677="x",AND(MAX(BA677:BC677)=BA677,BA677&lt;&gt;"")),Data!$BI$2,"")</f>
        <v/>
      </c>
      <c r="BF677" s="197" t="str">
        <f>IF(AND($J677="x",AND(MAX(BA677:BC677)=BB677,BB677&lt;&gt;"")),Data!$BJ$2,"")</f>
        <v/>
      </c>
      <c r="BG677" s="197" t="str">
        <f>IF(AND($K677="x",AND(MAX(BA677:BC677)=BC677,BC677&lt;&gt;"")),Data!$BK$2,"")</f>
        <v/>
      </c>
      <c r="BH677" s="197"/>
      <c r="BI677" s="328"/>
      <c r="BJ677" s="451"/>
      <c r="BK677" s="452"/>
      <c r="BL677" s="450" t="str">
        <f t="shared" si="994"/>
        <v/>
      </c>
      <c r="BM677" s="328"/>
      <c r="BN677" s="197" t="str">
        <f>IF(AND($I677="x",AND(MAX(BJ677:BL677)=BJ677,BJ677&lt;&gt;"")),Data!$BI$2,"")</f>
        <v/>
      </c>
      <c r="BO677" s="197" t="str">
        <f>IF(AND($J677="x",AND(MAX(BJ677:BL677)=BK677,BK677&lt;&gt;"")),Data!$BJ$2,"")</f>
        <v/>
      </c>
      <c r="BP677" s="197" t="str">
        <f>IF(AND($K677="x",AND(MAX(BJ677:BL677)=BL677,BL677&lt;&gt;"")),Data!$BK$2,"")</f>
        <v/>
      </c>
      <c r="BQ677" s="197"/>
      <c r="BR677" s="328"/>
      <c r="BS677" s="451"/>
      <c r="BT677" s="452"/>
      <c r="BU677" s="450" t="str">
        <f t="shared" si="995"/>
        <v/>
      </c>
      <c r="BV677" s="328"/>
      <c r="BW677" s="197" t="str">
        <f>IF(AND($I677="x",AND(MAX(BS677:BU677)=BS677,BS677&lt;&gt;"")),Data!$BI$2,"")</f>
        <v/>
      </c>
      <c r="BX677" s="197" t="str">
        <f>IF(AND($J677="x",AND(MAX(BS677:BU677)=BT677,BT677&lt;&gt;"")),Data!$BJ$2,"")</f>
        <v/>
      </c>
      <c r="BY677" s="197" t="str">
        <f>IF(AND($K677="x",AND(MAX(BS677:BU677)=BU677,BU677&lt;&gt;"")),Data!$BK$2,"")</f>
        <v/>
      </c>
      <c r="BZ677" s="197"/>
      <c r="CA677" s="328"/>
      <c r="CB677" s="457" t="str">
        <f t="shared" si="996"/>
        <v/>
      </c>
      <c r="CC677" s="458" t="str">
        <f t="shared" si="997"/>
        <v/>
      </c>
      <c r="CD677" s="459" t="str">
        <f t="shared" si="998"/>
        <v/>
      </c>
      <c r="CE677" s="328"/>
      <c r="CF677" s="197" t="str">
        <f>IF(AND($I677="x",AND(MAX(CB677:CD677)=CB677,CB677&lt;&gt;"")),Data!$BI$2,"")</f>
        <v/>
      </c>
      <c r="CG677" s="197" t="str">
        <f>IF(AND($J677="x",AND(MAX(CB677:CD677)=CC677,CC677&lt;&gt;"")),Data!$BJ$2,"")</f>
        <v/>
      </c>
      <c r="CH677" s="197" t="str">
        <f>IF(AND($K677="x",AND(MAX(CB677:CD677)=CD677,CD677&lt;&gt;"")),Data!$BK$2,"")</f>
        <v/>
      </c>
      <c r="CI677" s="197"/>
      <c r="CJ677" s="197"/>
      <c r="CK677" s="451"/>
      <c r="CL677" s="452"/>
      <c r="CM677" s="450" t="str">
        <f t="shared" si="999"/>
        <v/>
      </c>
      <c r="CN677" s="328"/>
      <c r="CO677" s="197" t="str">
        <f>IF(AND($I677="x",AND(MAX(CK677:CM677)=CK677,CK677&lt;&gt;"")),Data!$BI$2,"")</f>
        <v/>
      </c>
      <c r="CP677" s="197" t="str">
        <f>IF(AND($J677="x",AND(MAX(CK677:CM677)=CL677,CL677&lt;&gt;"")),Data!$BJ$2,"")</f>
        <v/>
      </c>
      <c r="CQ677" s="197" t="str">
        <f>IF(AND($K677="x",AND(MAX(CK677:CM677)=CM677,CM677&lt;&gt;"")),Data!$BK$2,"")</f>
        <v/>
      </c>
      <c r="CR677" s="197"/>
      <c r="CS677" s="197"/>
      <c r="CT677" s="328"/>
      <c r="CU677" s="259"/>
      <c r="CV677" s="209"/>
      <c r="CW677" s="227"/>
    </row>
    <row r="678" spans="1:101" x14ac:dyDescent="0.2">
      <c r="A678" s="227"/>
      <c r="B678" s="227"/>
      <c r="C678" s="168"/>
      <c r="D678" s="232"/>
      <c r="E678" s="135" t="s">
        <v>422</v>
      </c>
      <c r="F678" s="425"/>
      <c r="G678" s="430"/>
      <c r="H678" s="431"/>
      <c r="I678" s="346" t="str">
        <f t="shared" si="986"/>
        <v/>
      </c>
      <c r="J678" s="347" t="str">
        <f t="shared" si="987"/>
        <v/>
      </c>
      <c r="K678" s="348" t="str">
        <f t="shared" si="988"/>
        <v/>
      </c>
      <c r="L678" s="258"/>
      <c r="M678" s="332"/>
      <c r="N678" s="336"/>
      <c r="O678" s="200"/>
      <c r="P678" s="200"/>
      <c r="Q678" s="439"/>
      <c r="R678" s="440"/>
      <c r="S678" s="441" t="str">
        <f t="shared" si="989"/>
        <v/>
      </c>
      <c r="T678" s="328"/>
      <c r="U678" s="197" t="str">
        <f>IF(AND($I678="x",AND(MAX(Q678:S678)=Q678,Q678&gt;=0)),Data!$BI$2,"")</f>
        <v/>
      </c>
      <c r="V678" s="197" t="str">
        <f>IF(AND($J678="x",AND(MAX(Q678:S678)=R678,R678&gt;=0)),Data!$BJ$2,"")</f>
        <v/>
      </c>
      <c r="W678" s="197" t="str">
        <f>IF(AND($K678="x",AND(MAX(Q678:S678)=S678,S678&gt;=0)),Data!$BK$2,"")</f>
        <v/>
      </c>
      <c r="X678" s="197"/>
      <c r="Y678" s="328"/>
      <c r="Z678" s="453"/>
      <c r="AA678" s="454"/>
      <c r="AB678" s="441" t="str">
        <f t="shared" si="990"/>
        <v/>
      </c>
      <c r="AC678" s="328"/>
      <c r="AD678" s="197" t="str">
        <f>IF(AND($I678="x",AND(MAX(Z678:AB678)=Z678,Z678&lt;&gt;"")),Data!$BI$2,"")</f>
        <v/>
      </c>
      <c r="AE678" s="197" t="str">
        <f>IF(AND($J678="x",AND(MAX(Z678:AB678)=AA678,AA678&lt;&gt;"")),Data!$BJ$2,"")</f>
        <v/>
      </c>
      <c r="AF678" s="197" t="str">
        <f>IF(AND($K678="x",AND(MAX(Z678:AB678)=AB678,AB678&lt;&gt;"")),Data!$BK$2,"")</f>
        <v/>
      </c>
      <c r="AG678" s="197"/>
      <c r="AH678" s="328"/>
      <c r="AI678" s="453"/>
      <c r="AJ678" s="454"/>
      <c r="AK678" s="441" t="str">
        <f t="shared" si="991"/>
        <v/>
      </c>
      <c r="AL678" s="328"/>
      <c r="AM678" s="197" t="str">
        <f>IF(AND($I678="x",AND(MAX(AI678:AK678)=AI678,AI678&lt;&gt;"")),Data!$BI$2,"")</f>
        <v/>
      </c>
      <c r="AN678" s="197" t="str">
        <f>IF(AND($J678="x",AND(MAX(AI678:AK678)=AJ678,AJ678&lt;&gt;"")),Data!$BJ$2,"")</f>
        <v/>
      </c>
      <c r="AO678" s="197" t="str">
        <f>IF(AND($K678="x",AND(MAX(AI678:AK678)=AK678,AK678&lt;&gt;"")),Data!$BK$2,"")</f>
        <v/>
      </c>
      <c r="AP678" s="197"/>
      <c r="AQ678" s="328"/>
      <c r="AR678" s="453"/>
      <c r="AS678" s="454"/>
      <c r="AT678" s="441" t="str">
        <f t="shared" si="992"/>
        <v/>
      </c>
      <c r="AU678" s="328"/>
      <c r="AV678" s="197" t="str">
        <f>IF(AND($I678="x",AND(MAX(AR678:AT678)=AR678,AR678&lt;&gt;"")),Data!$BI$2,"")</f>
        <v/>
      </c>
      <c r="AW678" s="197" t="str">
        <f>IF(AND($J678="x",AND(MAX(AR678:AT678)=AS678,AS678&lt;&gt;"")),Data!$BJ$2,"")</f>
        <v/>
      </c>
      <c r="AX678" s="197" t="str">
        <f>IF(AND($K678="x",AND(MAX(AR678:AT678)=AT678,AT678&lt;&gt;"")),Data!$BK$2,"")</f>
        <v/>
      </c>
      <c r="AY678" s="197"/>
      <c r="AZ678" s="328"/>
      <c r="BA678" s="453"/>
      <c r="BB678" s="454"/>
      <c r="BC678" s="441" t="str">
        <f t="shared" si="993"/>
        <v/>
      </c>
      <c r="BD678" s="328"/>
      <c r="BE678" s="197" t="str">
        <f>IF(AND($I678="x",AND(MAX(BA678:BC678)=BA678,BA678&lt;&gt;"")),Data!$BI$2,"")</f>
        <v/>
      </c>
      <c r="BF678" s="197" t="str">
        <f>IF(AND($J678="x",AND(MAX(BA678:BC678)=BB678,BB678&lt;&gt;"")),Data!$BJ$2,"")</f>
        <v/>
      </c>
      <c r="BG678" s="197" t="str">
        <f>IF(AND($K678="x",AND(MAX(BA678:BC678)=BC678,BC678&lt;&gt;"")),Data!$BK$2,"")</f>
        <v/>
      </c>
      <c r="BH678" s="197"/>
      <c r="BI678" s="328"/>
      <c r="BJ678" s="453"/>
      <c r="BK678" s="454"/>
      <c r="BL678" s="441" t="str">
        <f t="shared" si="994"/>
        <v/>
      </c>
      <c r="BM678" s="328"/>
      <c r="BN678" s="197" t="str">
        <f>IF(AND($I678="x",AND(MAX(BJ678:BL678)=BJ678,BJ678&lt;&gt;"")),Data!$BI$2,"")</f>
        <v/>
      </c>
      <c r="BO678" s="197" t="str">
        <f>IF(AND($J678="x",AND(MAX(BJ678:BL678)=BK678,BK678&lt;&gt;"")),Data!$BJ$2,"")</f>
        <v/>
      </c>
      <c r="BP678" s="197" t="str">
        <f>IF(AND($K678="x",AND(MAX(BJ678:BL678)=BL678,BL678&lt;&gt;"")),Data!$BK$2,"")</f>
        <v/>
      </c>
      <c r="BQ678" s="197"/>
      <c r="BR678" s="328"/>
      <c r="BS678" s="453"/>
      <c r="BT678" s="454"/>
      <c r="BU678" s="441" t="str">
        <f t="shared" si="995"/>
        <v/>
      </c>
      <c r="BV678" s="328"/>
      <c r="BW678" s="197" t="str">
        <f>IF(AND($I678="x",AND(MAX(BS678:BU678)=BS678,BS678&lt;&gt;"")),Data!$BI$2,"")</f>
        <v/>
      </c>
      <c r="BX678" s="197" t="str">
        <f>IF(AND($J678="x",AND(MAX(BS678:BU678)=BT678,BT678&lt;&gt;"")),Data!$BJ$2,"")</f>
        <v/>
      </c>
      <c r="BY678" s="197" t="str">
        <f>IF(AND($K678="x",AND(MAX(BS678:BU678)=BU678,BU678&lt;&gt;"")),Data!$BK$2,"")</f>
        <v/>
      </c>
      <c r="BZ678" s="197"/>
      <c r="CA678" s="328"/>
      <c r="CB678" s="460" t="str">
        <f t="shared" si="996"/>
        <v/>
      </c>
      <c r="CC678" s="461" t="str">
        <f t="shared" si="997"/>
        <v/>
      </c>
      <c r="CD678" s="462" t="str">
        <f t="shared" si="998"/>
        <v/>
      </c>
      <c r="CE678" s="328"/>
      <c r="CF678" s="197" t="str">
        <f>IF(AND($I678="x",AND(MAX(CB678:CD678)=CB678,CB678&lt;&gt;"")),Data!$BI$2,"")</f>
        <v/>
      </c>
      <c r="CG678" s="197" t="str">
        <f>IF(AND($J678="x",AND(MAX(CB678:CD678)=CC678,CC678&lt;&gt;"")),Data!$BJ$2,"")</f>
        <v/>
      </c>
      <c r="CH678" s="197" t="str">
        <f>IF(AND($K678="x",AND(MAX(CB678:CD678)=CD678,CD678&lt;&gt;"")),Data!$BK$2,"")</f>
        <v/>
      </c>
      <c r="CI678" s="197"/>
      <c r="CJ678" s="197"/>
      <c r="CK678" s="453"/>
      <c r="CL678" s="454"/>
      <c r="CM678" s="441" t="str">
        <f t="shared" si="999"/>
        <v/>
      </c>
      <c r="CN678" s="328"/>
      <c r="CO678" s="197" t="str">
        <f>IF(AND($I678="x",AND(MAX(CK678:CM678)=CK678,CK678&lt;&gt;"")),Data!$BI$2,"")</f>
        <v/>
      </c>
      <c r="CP678" s="197" t="str">
        <f>IF(AND($J678="x",AND(MAX(CK678:CM678)=CL678,CL678&lt;&gt;"")),Data!$BJ$2,"")</f>
        <v/>
      </c>
      <c r="CQ678" s="197" t="str">
        <f>IF(AND($K678="x",AND(MAX(CK678:CM678)=CM678,CM678&lt;&gt;"")),Data!$BK$2,"")</f>
        <v/>
      </c>
      <c r="CR678" s="197"/>
      <c r="CS678" s="197"/>
      <c r="CT678" s="328"/>
      <c r="CU678" s="259"/>
      <c r="CV678" s="209"/>
      <c r="CW678" s="227"/>
    </row>
    <row r="679" spans="1:101" x14ac:dyDescent="0.2">
      <c r="A679" s="227"/>
      <c r="B679" s="227"/>
      <c r="C679" s="168"/>
      <c r="D679" s="232"/>
      <c r="E679" s="136" t="s">
        <v>423</v>
      </c>
      <c r="F679" s="426"/>
      <c r="G679" s="432"/>
      <c r="H679" s="433"/>
      <c r="I679" s="349" t="str">
        <f t="shared" si="986"/>
        <v/>
      </c>
      <c r="J679" s="350" t="str">
        <f t="shared" si="987"/>
        <v/>
      </c>
      <c r="K679" s="351" t="str">
        <f t="shared" si="988"/>
        <v/>
      </c>
      <c r="L679" s="258"/>
      <c r="M679" s="332"/>
      <c r="N679" s="336"/>
      <c r="O679" s="200"/>
      <c r="P679" s="200"/>
      <c r="Q679" s="445"/>
      <c r="R679" s="446"/>
      <c r="S679" s="447" t="str">
        <f t="shared" si="989"/>
        <v/>
      </c>
      <c r="T679" s="328"/>
      <c r="U679" s="197" t="str">
        <f>IF(AND($I679="x",AND(MAX(Q679:S679)=Q679,Q679&gt;=0)),Data!$BI$2,"")</f>
        <v/>
      </c>
      <c r="V679" s="197" t="str">
        <f>IF(AND($J679="x",AND(MAX(Q679:S679)=R679,R679&gt;=0)),Data!$BJ$2,"")</f>
        <v/>
      </c>
      <c r="W679" s="197" t="str">
        <f>IF(AND($K679="x",AND(MAX(Q679:S679)=S679,S679&gt;=0)),Data!$BK$2,"")</f>
        <v/>
      </c>
      <c r="X679" s="197"/>
      <c r="Y679" s="328"/>
      <c r="Z679" s="455"/>
      <c r="AA679" s="456"/>
      <c r="AB679" s="447" t="str">
        <f t="shared" si="990"/>
        <v/>
      </c>
      <c r="AC679" s="328"/>
      <c r="AD679" s="197" t="str">
        <f>IF(AND($I679="x",AND(MAX(Z679:AB679)=Z679,Z679&lt;&gt;"")),Data!$BI$2,"")</f>
        <v/>
      </c>
      <c r="AE679" s="197" t="str">
        <f>IF(AND($J679="x",AND(MAX(Z679:AB679)=AA679,AA679&lt;&gt;"")),Data!$BJ$2,"")</f>
        <v/>
      </c>
      <c r="AF679" s="197" t="str">
        <f>IF(AND($K679="x",AND(MAX(Z679:AB679)=AB679,AB679&lt;&gt;"")),Data!$BK$2,"")</f>
        <v/>
      </c>
      <c r="AG679" s="197"/>
      <c r="AH679" s="328"/>
      <c r="AI679" s="455"/>
      <c r="AJ679" s="456"/>
      <c r="AK679" s="447" t="str">
        <f t="shared" si="991"/>
        <v/>
      </c>
      <c r="AL679" s="328"/>
      <c r="AM679" s="197" t="str">
        <f>IF(AND($I679="x",AND(MAX(AI679:AK679)=AI679,AI679&lt;&gt;"")),Data!$BI$2,"")</f>
        <v/>
      </c>
      <c r="AN679" s="197" t="str">
        <f>IF(AND($J679="x",AND(MAX(AI679:AK679)=AJ679,AJ679&lt;&gt;"")),Data!$BJ$2,"")</f>
        <v/>
      </c>
      <c r="AO679" s="197" t="str">
        <f>IF(AND($K679="x",AND(MAX(AI679:AK679)=AK679,AK679&lt;&gt;"")),Data!$BK$2,"")</f>
        <v/>
      </c>
      <c r="AP679" s="197"/>
      <c r="AQ679" s="328"/>
      <c r="AR679" s="455"/>
      <c r="AS679" s="456"/>
      <c r="AT679" s="447" t="str">
        <f t="shared" si="992"/>
        <v/>
      </c>
      <c r="AU679" s="328"/>
      <c r="AV679" s="197" t="str">
        <f>IF(AND($I679="x",AND(MAX(AR679:AT679)=AR679,AR679&lt;&gt;"")),Data!$BI$2,"")</f>
        <v/>
      </c>
      <c r="AW679" s="197" t="str">
        <f>IF(AND($J679="x",AND(MAX(AR679:AT679)=AS679,AS679&lt;&gt;"")),Data!$BJ$2,"")</f>
        <v/>
      </c>
      <c r="AX679" s="197" t="str">
        <f>IF(AND($K679="x",AND(MAX(AR679:AT679)=AT679,AT679&lt;&gt;"")),Data!$BK$2,"")</f>
        <v/>
      </c>
      <c r="AY679" s="197"/>
      <c r="AZ679" s="328"/>
      <c r="BA679" s="455"/>
      <c r="BB679" s="456"/>
      <c r="BC679" s="447" t="str">
        <f t="shared" si="993"/>
        <v/>
      </c>
      <c r="BD679" s="328"/>
      <c r="BE679" s="197" t="str">
        <f>IF(AND($I679="x",AND(MAX(BA679:BC679)=BA679,BA679&lt;&gt;"")),Data!$BI$2,"")</f>
        <v/>
      </c>
      <c r="BF679" s="197" t="str">
        <f>IF(AND($J679="x",AND(MAX(BA679:BC679)=BB679,BB679&lt;&gt;"")),Data!$BJ$2,"")</f>
        <v/>
      </c>
      <c r="BG679" s="197" t="str">
        <f>IF(AND($K679="x",AND(MAX(BA679:BC679)=BC679,BC679&lt;&gt;"")),Data!$BK$2,"")</f>
        <v/>
      </c>
      <c r="BH679" s="197"/>
      <c r="BI679" s="328"/>
      <c r="BJ679" s="455"/>
      <c r="BK679" s="456"/>
      <c r="BL679" s="447" t="str">
        <f t="shared" si="994"/>
        <v/>
      </c>
      <c r="BM679" s="328"/>
      <c r="BN679" s="197" t="str">
        <f>IF(AND($I679="x",AND(MAX(BJ679:BL679)=BJ679,BJ679&lt;&gt;"")),Data!$BI$2,"")</f>
        <v/>
      </c>
      <c r="BO679" s="197" t="str">
        <f>IF(AND($J679="x",AND(MAX(BJ679:BL679)=BK679,BK679&lt;&gt;"")),Data!$BJ$2,"")</f>
        <v/>
      </c>
      <c r="BP679" s="197" t="str">
        <f>IF(AND($K679="x",AND(MAX(BJ679:BL679)=BL679,BL679&lt;&gt;"")),Data!$BK$2,"")</f>
        <v/>
      </c>
      <c r="BQ679" s="197"/>
      <c r="BR679" s="328"/>
      <c r="BS679" s="455"/>
      <c r="BT679" s="456"/>
      <c r="BU679" s="447" t="str">
        <f t="shared" si="995"/>
        <v/>
      </c>
      <c r="BV679" s="328"/>
      <c r="BW679" s="197" t="str">
        <f>IF(AND($I679="x",AND(MAX(BS679:BU679)=BS679,BS679&lt;&gt;"")),Data!$BI$2,"")</f>
        <v/>
      </c>
      <c r="BX679" s="197" t="str">
        <f>IF(AND($J679="x",AND(MAX(BS679:BU679)=BT679,BT679&lt;&gt;"")),Data!$BJ$2,"")</f>
        <v/>
      </c>
      <c r="BY679" s="197" t="str">
        <f>IF(AND($K679="x",AND(MAX(BS679:BU679)=BU679,BU679&lt;&gt;"")),Data!$BK$2,"")</f>
        <v/>
      </c>
      <c r="BZ679" s="197"/>
      <c r="CA679" s="328"/>
      <c r="CB679" s="463" t="str">
        <f t="shared" si="996"/>
        <v/>
      </c>
      <c r="CC679" s="464" t="str">
        <f t="shared" si="997"/>
        <v/>
      </c>
      <c r="CD679" s="465" t="str">
        <f t="shared" si="998"/>
        <v/>
      </c>
      <c r="CE679" s="328"/>
      <c r="CF679" s="197" t="str">
        <f>IF(AND($I679="x",AND(MAX(CB679:CD679)=CB679,CB679&lt;&gt;"")),Data!$BI$2,"")</f>
        <v/>
      </c>
      <c r="CG679" s="197" t="str">
        <f>IF(AND($J679="x",AND(MAX(CB679:CD679)=CC679,CC679&lt;&gt;"")),Data!$BJ$2,"")</f>
        <v/>
      </c>
      <c r="CH679" s="197" t="str">
        <f>IF(AND($K679="x",AND(MAX(CB679:CD679)=CD679,CD679&lt;&gt;"")),Data!$BK$2,"")</f>
        <v/>
      </c>
      <c r="CI679" s="197"/>
      <c r="CJ679" s="197"/>
      <c r="CK679" s="455"/>
      <c r="CL679" s="456"/>
      <c r="CM679" s="447" t="str">
        <f t="shared" si="999"/>
        <v/>
      </c>
      <c r="CN679" s="328"/>
      <c r="CO679" s="197" t="str">
        <f>IF(AND($I679="x",AND(MAX(CK679:CM679)=CK679,CK679&lt;&gt;"")),Data!$BI$2,"")</f>
        <v/>
      </c>
      <c r="CP679" s="197" t="str">
        <f>IF(AND($J679="x",AND(MAX(CK679:CM679)=CL679,CL679&lt;&gt;"")),Data!$BJ$2,"")</f>
        <v/>
      </c>
      <c r="CQ679" s="197" t="str">
        <f>IF(AND($K679="x",AND(MAX(CK679:CM679)=CM679,CM679&lt;&gt;"")),Data!$BK$2,"")</f>
        <v/>
      </c>
      <c r="CR679" s="197"/>
      <c r="CS679" s="197"/>
      <c r="CT679" s="328"/>
      <c r="CU679" s="259"/>
      <c r="CV679" s="209"/>
      <c r="CW679" s="227"/>
    </row>
    <row r="680" spans="1:101" x14ac:dyDescent="0.2">
      <c r="A680" s="227"/>
      <c r="B680" s="227"/>
      <c r="C680" s="168"/>
      <c r="D680" s="233"/>
      <c r="E680" s="199"/>
      <c r="F680" s="352" t="str">
        <f>IF(SUM(F668:F679)=0,"",SUM(F668:F679))</f>
        <v/>
      </c>
      <c r="G680" s="327" t="s">
        <v>51</v>
      </c>
      <c r="H680" s="353" t="str">
        <f>IF(SUM(H668:H679)=0,"",SUM(H668:H679))</f>
        <v/>
      </c>
      <c r="I680" s="354" t="str">
        <f>IF(COUNTIF(I668:I679,"=x")=0,"",COUNTIF(I668:I679,"=x"))</f>
        <v/>
      </c>
      <c r="J680" s="355" t="str">
        <f>IF(COUNTIF(J668:J679,"=x")=0,"",COUNTIF(J668:J679,"=x"))</f>
        <v/>
      </c>
      <c r="K680" s="356" t="str">
        <f>IF(COUNTIF(K668:K679,"=x")=0,"",COUNTIF(K668:K679,"=x"))</f>
        <v/>
      </c>
      <c r="L680" s="258"/>
      <c r="M680" s="332"/>
      <c r="N680" s="336"/>
      <c r="O680" s="200"/>
      <c r="P680" s="326"/>
      <c r="Q680" s="422">
        <f>SUM(U668:U679)</f>
        <v>0</v>
      </c>
      <c r="R680" s="422">
        <f t="shared" ref="R680:S680" si="1000">SUM(V668:V679)</f>
        <v>0</v>
      </c>
      <c r="S680" s="422">
        <f t="shared" si="1000"/>
        <v>0</v>
      </c>
      <c r="T680" s="325"/>
      <c r="U680" s="197">
        <f>SUM(U668:U679)</f>
        <v>0</v>
      </c>
      <c r="V680" s="197">
        <f t="shared" ref="V680:W680" si="1001">SUM(V668:V679)</f>
        <v>0</v>
      </c>
      <c r="W680" s="197">
        <f t="shared" si="1001"/>
        <v>0</v>
      </c>
      <c r="X680" s="197"/>
      <c r="Y680" s="324"/>
      <c r="Z680" s="422">
        <f>SUM(AD668:AD679)</f>
        <v>0</v>
      </c>
      <c r="AA680" s="422">
        <f t="shared" ref="AA680:AB680" si="1002">SUM(AE668:AE679)</f>
        <v>0</v>
      </c>
      <c r="AB680" s="422">
        <f t="shared" si="1002"/>
        <v>0</v>
      </c>
      <c r="AC680" s="325"/>
      <c r="AD680" s="197">
        <f>SUM(AD668:AD679)</f>
        <v>0</v>
      </c>
      <c r="AE680" s="197">
        <f t="shared" ref="AE680:AF680" si="1003">SUM(AE668:AE679)</f>
        <v>0</v>
      </c>
      <c r="AF680" s="197">
        <f t="shared" si="1003"/>
        <v>0</v>
      </c>
      <c r="AG680" s="197"/>
      <c r="AH680" s="324"/>
      <c r="AI680" s="422">
        <f>SUM(AM668:AM679)</f>
        <v>0</v>
      </c>
      <c r="AJ680" s="422">
        <f t="shared" ref="AJ680:AK680" si="1004">SUM(AN668:AN679)</f>
        <v>0</v>
      </c>
      <c r="AK680" s="422">
        <f t="shared" si="1004"/>
        <v>0</v>
      </c>
      <c r="AL680" s="325"/>
      <c r="AM680" s="197">
        <f>SUM(AM668:AM679)</f>
        <v>0</v>
      </c>
      <c r="AN680" s="197">
        <f t="shared" ref="AN680:AO680" si="1005">SUM(AN668:AN679)</f>
        <v>0</v>
      </c>
      <c r="AO680" s="197">
        <f t="shared" si="1005"/>
        <v>0</v>
      </c>
      <c r="AP680" s="197"/>
      <c r="AQ680" s="324"/>
      <c r="AR680" s="422">
        <f>SUM(AV668:AV679)</f>
        <v>0</v>
      </c>
      <c r="AS680" s="422">
        <f t="shared" ref="AS680:AT680" si="1006">SUM(AW668:AW679)</f>
        <v>0</v>
      </c>
      <c r="AT680" s="422">
        <f t="shared" si="1006"/>
        <v>0</v>
      </c>
      <c r="AU680" s="325"/>
      <c r="AV680" s="197">
        <f>SUM(AV668:AV679)</f>
        <v>0</v>
      </c>
      <c r="AW680" s="197">
        <f t="shared" ref="AW680:AX680" si="1007">SUM(AW668:AW679)</f>
        <v>0</v>
      </c>
      <c r="AX680" s="197">
        <f t="shared" si="1007"/>
        <v>0</v>
      </c>
      <c r="AY680" s="197"/>
      <c r="AZ680" s="324"/>
      <c r="BA680" s="422">
        <f>SUM(BE668:BE679)</f>
        <v>0</v>
      </c>
      <c r="BB680" s="422">
        <f t="shared" ref="BB680:BC680" si="1008">SUM(BF668:BF679)</f>
        <v>0</v>
      </c>
      <c r="BC680" s="422">
        <f t="shared" si="1008"/>
        <v>0</v>
      </c>
      <c r="BD680" s="325"/>
      <c r="BE680" s="197">
        <f>SUM(BE668:BE679)</f>
        <v>0</v>
      </c>
      <c r="BF680" s="197">
        <f t="shared" ref="BF680:BG680" si="1009">SUM(BF668:BF679)</f>
        <v>0</v>
      </c>
      <c r="BG680" s="197">
        <f t="shared" si="1009"/>
        <v>0</v>
      </c>
      <c r="BH680" s="197"/>
      <c r="BI680" s="324"/>
      <c r="BJ680" s="422">
        <f>SUM(BN668:BN679)</f>
        <v>0</v>
      </c>
      <c r="BK680" s="422">
        <f t="shared" ref="BK680" si="1010">SUM(BO668:BO679)</f>
        <v>0</v>
      </c>
      <c r="BL680" s="422">
        <f t="shared" ref="BL680" si="1011">SUM(BP668:BP679)</f>
        <v>0</v>
      </c>
      <c r="BM680" s="325"/>
      <c r="BN680" s="197">
        <f>SUM(BN668:BN679)</f>
        <v>0</v>
      </c>
      <c r="BO680" s="197">
        <f t="shared" ref="BO680:BP680" si="1012">SUM(BO668:BO679)</f>
        <v>0</v>
      </c>
      <c r="BP680" s="197">
        <f t="shared" si="1012"/>
        <v>0</v>
      </c>
      <c r="BQ680" s="197"/>
      <c r="BR680" s="324"/>
      <c r="BS680" s="422">
        <f>SUM(BW668:BW679)</f>
        <v>0</v>
      </c>
      <c r="BT680" s="422">
        <f t="shared" ref="BT680:BU680" si="1013">SUM(BX668:BX679)</f>
        <v>0</v>
      </c>
      <c r="BU680" s="422">
        <f t="shared" si="1013"/>
        <v>0</v>
      </c>
      <c r="BV680" s="325"/>
      <c r="BW680" s="197">
        <f>SUM(BW668:BW679)</f>
        <v>0</v>
      </c>
      <c r="BX680" s="197">
        <f t="shared" ref="BX680:BY680" si="1014">SUM(BX668:BX679)</f>
        <v>0</v>
      </c>
      <c r="BY680" s="197">
        <f t="shared" si="1014"/>
        <v>0</v>
      </c>
      <c r="BZ680" s="197"/>
      <c r="CA680" s="326"/>
      <c r="CB680" s="422">
        <f>SUM(CF668:CF679)</f>
        <v>0</v>
      </c>
      <c r="CC680" s="422">
        <f t="shared" ref="CC680:CD680" si="1015">SUM(CG668:CG679)</f>
        <v>0</v>
      </c>
      <c r="CD680" s="422">
        <f t="shared" si="1015"/>
        <v>0</v>
      </c>
      <c r="CE680" s="325"/>
      <c r="CF680" s="197">
        <f>SUM(CF668:CF679)</f>
        <v>0</v>
      </c>
      <c r="CG680" s="197">
        <f t="shared" ref="CG680:CH680" si="1016">SUM(CG668:CG679)</f>
        <v>0</v>
      </c>
      <c r="CH680" s="197">
        <f t="shared" si="1016"/>
        <v>0</v>
      </c>
      <c r="CI680" s="197"/>
      <c r="CJ680" s="197"/>
      <c r="CK680" s="422">
        <f>SUM(CO668:CO679)</f>
        <v>0</v>
      </c>
      <c r="CL680" s="422">
        <f t="shared" ref="CL680:CM680" si="1017">SUM(CP668:CP679)</f>
        <v>0</v>
      </c>
      <c r="CM680" s="422">
        <f t="shared" si="1017"/>
        <v>0</v>
      </c>
      <c r="CN680" s="325"/>
      <c r="CO680" s="197">
        <f>SUM(CO668:CO679)</f>
        <v>0</v>
      </c>
      <c r="CP680" s="197">
        <f t="shared" ref="CP680:CQ680" si="1018">SUM(CP668:CP679)</f>
        <v>0</v>
      </c>
      <c r="CQ680" s="197">
        <f t="shared" si="1018"/>
        <v>0</v>
      </c>
      <c r="CR680" s="197"/>
      <c r="CS680" s="197"/>
      <c r="CT680" s="197"/>
      <c r="CU680" s="259"/>
      <c r="CV680" s="209"/>
      <c r="CW680" s="228"/>
    </row>
    <row r="681" spans="1:101" x14ac:dyDescent="0.2">
      <c r="A681" s="227"/>
      <c r="B681" s="227"/>
      <c r="C681" s="168"/>
      <c r="D681" s="249"/>
      <c r="E681" s="242"/>
      <c r="F681" s="243"/>
      <c r="G681" s="242"/>
      <c r="H681" s="242"/>
      <c r="I681" s="242"/>
      <c r="J681" s="242"/>
      <c r="K681" s="242"/>
      <c r="L681" s="252"/>
      <c r="M681" s="260"/>
      <c r="N681" s="337"/>
      <c r="O681" s="333"/>
      <c r="P681" s="244"/>
      <c r="Q681" s="245"/>
      <c r="R681" s="245"/>
      <c r="S681" s="245"/>
      <c r="T681" s="246"/>
      <c r="U681" s="247"/>
      <c r="V681" s="247"/>
      <c r="W681" s="247"/>
      <c r="X681" s="247"/>
      <c r="Y681" s="244"/>
      <c r="Z681" s="245"/>
      <c r="AA681" s="245"/>
      <c r="AB681" s="245"/>
      <c r="AC681" s="246"/>
      <c r="AD681" s="247"/>
      <c r="AE681" s="247"/>
      <c r="AF681" s="247"/>
      <c r="AG681" s="247"/>
      <c r="AH681" s="244"/>
      <c r="AI681" s="245"/>
      <c r="AJ681" s="245"/>
      <c r="AK681" s="245"/>
      <c r="AL681" s="246"/>
      <c r="AM681" s="247"/>
      <c r="AN681" s="247"/>
      <c r="AO681" s="247"/>
      <c r="AP681" s="247"/>
      <c r="AQ681" s="244"/>
      <c r="AR681" s="245"/>
      <c r="AS681" s="245"/>
      <c r="AT681" s="245"/>
      <c r="AU681" s="246"/>
      <c r="AV681" s="247"/>
      <c r="AW681" s="247"/>
      <c r="AX681" s="247"/>
      <c r="AY681" s="247"/>
      <c r="AZ681" s="244"/>
      <c r="BA681" s="245"/>
      <c r="BB681" s="245"/>
      <c r="BC681" s="245"/>
      <c r="BD681" s="246"/>
      <c r="BE681" s="247"/>
      <c r="BF681" s="247"/>
      <c r="BG681" s="247"/>
      <c r="BH681" s="247"/>
      <c r="BI681" s="244"/>
      <c r="BJ681" s="244"/>
      <c r="BK681" s="244"/>
      <c r="BL681" s="244"/>
      <c r="BM681" s="244"/>
      <c r="BN681" s="247"/>
      <c r="BO681" s="247"/>
      <c r="BP681" s="247"/>
      <c r="BQ681" s="247"/>
      <c r="BR681" s="244"/>
      <c r="BS681" s="244"/>
      <c r="BT681" s="244"/>
      <c r="BU681" s="244"/>
      <c r="BV681" s="244"/>
      <c r="BW681" s="247"/>
      <c r="BX681" s="247"/>
      <c r="BY681" s="247"/>
      <c r="BZ681" s="247"/>
      <c r="CA681" s="244"/>
      <c r="CB681" s="244"/>
      <c r="CC681" s="244"/>
      <c r="CD681" s="244"/>
      <c r="CE681" s="244"/>
      <c r="CF681" s="247"/>
      <c r="CG681" s="247"/>
      <c r="CH681" s="247"/>
      <c r="CI681" s="247"/>
      <c r="CJ681" s="248"/>
      <c r="CK681" s="248"/>
      <c r="CL681" s="248"/>
      <c r="CM681" s="248"/>
      <c r="CN681" s="248"/>
      <c r="CO681" s="247"/>
      <c r="CP681" s="247"/>
      <c r="CQ681" s="247"/>
      <c r="CR681" s="247"/>
      <c r="CS681" s="248"/>
      <c r="CT681" s="242"/>
      <c r="CU681" s="253"/>
      <c r="CV681" s="209"/>
      <c r="CW681" s="228"/>
    </row>
    <row r="682" spans="1:101" x14ac:dyDescent="0.2">
      <c r="A682" s="219"/>
      <c r="B682" s="219"/>
      <c r="C682" s="175"/>
      <c r="D682" s="176"/>
      <c r="E682" s="210"/>
      <c r="F682" s="211"/>
      <c r="G682" s="210"/>
      <c r="H682" s="210"/>
      <c r="I682" s="210"/>
      <c r="J682" s="210"/>
      <c r="K682" s="210"/>
      <c r="L682" s="212"/>
      <c r="M682" s="213"/>
      <c r="N682" s="213"/>
      <c r="O682" s="213"/>
      <c r="P682" s="213"/>
      <c r="Q682" s="210"/>
      <c r="R682" s="210"/>
      <c r="S682" s="210"/>
      <c r="T682" s="214"/>
      <c r="U682" s="215"/>
      <c r="V682" s="215"/>
      <c r="W682" s="215"/>
      <c r="X682" s="215"/>
      <c r="Y682" s="213"/>
      <c r="Z682" s="210"/>
      <c r="AA682" s="210"/>
      <c r="AB682" s="210"/>
      <c r="AC682" s="214"/>
      <c r="AD682" s="215"/>
      <c r="AE682" s="215"/>
      <c r="AF682" s="215"/>
      <c r="AG682" s="215"/>
      <c r="AH682" s="213"/>
      <c r="AI682" s="210"/>
      <c r="AJ682" s="210"/>
      <c r="AK682" s="210"/>
      <c r="AL682" s="214"/>
      <c r="AM682" s="215"/>
      <c r="AN682" s="215"/>
      <c r="AO682" s="215"/>
      <c r="AP682" s="215"/>
      <c r="AQ682" s="213"/>
      <c r="AR682" s="210"/>
      <c r="AS682" s="210"/>
      <c r="AT682" s="210"/>
      <c r="AU682" s="214"/>
      <c r="AV682" s="215"/>
      <c r="AW682" s="215"/>
      <c r="AX682" s="215"/>
      <c r="AY682" s="215"/>
      <c r="AZ682" s="213"/>
      <c r="BA682" s="210"/>
      <c r="BB682" s="210"/>
      <c r="BC682" s="210"/>
      <c r="BD682" s="214"/>
      <c r="BE682" s="215"/>
      <c r="BF682" s="215"/>
      <c r="BG682" s="215"/>
      <c r="BH682" s="215"/>
      <c r="BI682" s="213"/>
      <c r="BJ682" s="210"/>
      <c r="BK682" s="210"/>
      <c r="BL682" s="210"/>
      <c r="BM682" s="214"/>
      <c r="BN682" s="215"/>
      <c r="BO682" s="215"/>
      <c r="BP682" s="215"/>
      <c r="BQ682" s="215"/>
      <c r="BR682" s="177"/>
      <c r="BS682" s="210"/>
      <c r="BT682" s="210"/>
      <c r="BU682" s="210"/>
      <c r="BV682" s="213"/>
      <c r="BW682" s="215"/>
      <c r="BX682" s="215"/>
      <c r="BY682" s="215"/>
      <c r="BZ682" s="215"/>
      <c r="CA682" s="210"/>
      <c r="CB682" s="216"/>
      <c r="CC682" s="216"/>
      <c r="CD682" s="216"/>
      <c r="CE682" s="216"/>
      <c r="CF682" s="215"/>
      <c r="CG682" s="215"/>
      <c r="CH682" s="215"/>
      <c r="CI682" s="215"/>
      <c r="CJ682" s="210"/>
      <c r="CK682" s="210"/>
      <c r="CL682" s="210"/>
      <c r="CM682" s="210"/>
      <c r="CN682" s="210"/>
      <c r="CO682" s="215"/>
      <c r="CP682" s="215"/>
      <c r="CQ682" s="215"/>
      <c r="CR682" s="215"/>
      <c r="CS682" s="210"/>
      <c r="CT682" s="210"/>
      <c r="CU682" s="210"/>
      <c r="CV682" s="217"/>
      <c r="CW682" s="218"/>
    </row>
    <row r="683" spans="1:101" ht="14.25" thickTop="1" thickBot="1" x14ac:dyDescent="0.25">
      <c r="A683" s="218"/>
      <c r="B683" s="218"/>
      <c r="C683" s="218"/>
      <c r="D683" s="218"/>
      <c r="E683" s="218"/>
      <c r="F683" s="218"/>
      <c r="G683" s="218"/>
      <c r="H683" s="218"/>
      <c r="I683" s="218"/>
      <c r="J683" s="218"/>
      <c r="K683" s="218"/>
      <c r="L683" s="218"/>
      <c r="M683" s="218"/>
      <c r="N683" s="218"/>
      <c r="O683" s="218"/>
      <c r="P683" s="218"/>
      <c r="Q683" s="218"/>
      <c r="R683" s="218"/>
      <c r="S683" s="218"/>
      <c r="T683" s="218"/>
      <c r="U683" s="218"/>
      <c r="V683" s="218"/>
      <c r="W683" s="218"/>
      <c r="X683" s="218"/>
      <c r="Y683" s="218"/>
      <c r="Z683" s="218"/>
      <c r="AA683" s="218"/>
      <c r="AB683" s="218"/>
      <c r="AC683" s="218"/>
      <c r="AD683" s="218"/>
      <c r="AE683" s="218"/>
      <c r="AF683" s="218"/>
      <c r="AG683" s="218"/>
      <c r="AH683" s="218"/>
      <c r="AI683" s="218"/>
      <c r="AJ683" s="218"/>
      <c r="AK683" s="218"/>
      <c r="AL683" s="218"/>
      <c r="AM683" s="218"/>
      <c r="AN683" s="218"/>
      <c r="AO683" s="218"/>
      <c r="AP683" s="218"/>
      <c r="AQ683" s="218"/>
      <c r="AR683" s="218"/>
      <c r="AS683" s="218"/>
      <c r="AT683" s="218"/>
      <c r="AU683" s="218"/>
      <c r="AV683" s="218"/>
      <c r="AW683" s="218"/>
      <c r="AX683" s="218"/>
      <c r="AY683" s="218"/>
      <c r="AZ683" s="218"/>
      <c r="BA683" s="218"/>
      <c r="BB683" s="218"/>
      <c r="BC683" s="218"/>
      <c r="BD683" s="218"/>
      <c r="BE683" s="218"/>
      <c r="BF683" s="218"/>
      <c r="BG683" s="218"/>
      <c r="BH683" s="218"/>
      <c r="BI683" s="218"/>
      <c r="BJ683" s="218"/>
      <c r="BK683" s="218"/>
      <c r="BL683" s="218"/>
      <c r="BM683" s="218"/>
      <c r="BN683" s="218"/>
      <c r="BO683" s="218"/>
      <c r="BP683" s="218"/>
      <c r="BQ683" s="218"/>
      <c r="BR683" s="218"/>
      <c r="BS683" s="218"/>
      <c r="BT683" s="218"/>
      <c r="BU683" s="218"/>
      <c r="BV683" s="218"/>
      <c r="BW683" s="218"/>
      <c r="BX683" s="218"/>
      <c r="BY683" s="218"/>
      <c r="BZ683" s="218"/>
      <c r="CA683" s="218"/>
      <c r="CB683" s="392"/>
      <c r="CC683" s="392"/>
      <c r="CD683" s="392"/>
      <c r="CE683" s="392"/>
      <c r="CF683" s="218"/>
      <c r="CG683" s="218"/>
      <c r="CH683" s="218"/>
      <c r="CI683" s="218"/>
      <c r="CJ683" s="218"/>
      <c r="CK683" s="218"/>
      <c r="CL683" s="218"/>
      <c r="CM683" s="218"/>
      <c r="CN683" s="218"/>
      <c r="CO683" s="218"/>
      <c r="CP683" s="218"/>
      <c r="CQ683" s="218"/>
      <c r="CR683" s="218"/>
      <c r="CS683" s="218"/>
      <c r="CT683" s="218"/>
      <c r="CU683" s="218"/>
      <c r="CV683" s="218"/>
      <c r="CW683" s="218"/>
    </row>
    <row r="684" spans="1:101" ht="21" thickTop="1" x14ac:dyDescent="0.3">
      <c r="A684" s="219"/>
      <c r="B684" s="219"/>
      <c r="C684" s="157"/>
      <c r="D684" s="158"/>
      <c r="E684" s="731" t="s">
        <v>44</v>
      </c>
      <c r="F684" s="229"/>
      <c r="G684" s="229"/>
      <c r="H684" s="229"/>
      <c r="I684" s="877" t="e" vm="1">
        <v>#VALUE!</v>
      </c>
      <c r="J684" s="877"/>
      <c r="K684" s="877"/>
      <c r="L684" s="877"/>
      <c r="M684" s="159"/>
      <c r="N684" s="159"/>
      <c r="O684" s="159"/>
      <c r="P684" s="160"/>
      <c r="Q684" s="159"/>
      <c r="R684" s="159"/>
      <c r="S684" s="159"/>
      <c r="T684" s="161"/>
      <c r="U684" s="162"/>
      <c r="V684" s="162"/>
      <c r="W684" s="162"/>
      <c r="X684" s="162"/>
      <c r="Y684" s="160"/>
      <c r="Z684" s="159"/>
      <c r="AA684" s="159"/>
      <c r="AB684" s="159"/>
      <c r="AC684" s="161"/>
      <c r="AD684" s="162"/>
      <c r="AE684" s="162"/>
      <c r="AF684" s="162"/>
      <c r="AG684" s="162"/>
      <c r="AH684" s="160"/>
      <c r="AI684" s="159"/>
      <c r="AJ684" s="201"/>
      <c r="AK684" s="201"/>
      <c r="AL684" s="164"/>
      <c r="AM684" s="162"/>
      <c r="AN684" s="162"/>
      <c r="AO684" s="162"/>
      <c r="AP684" s="162"/>
      <c r="AQ684" s="202"/>
      <c r="AR684" s="203"/>
      <c r="AS684" s="165"/>
      <c r="AT684" s="166"/>
      <c r="AU684" s="164"/>
      <c r="AV684" s="162"/>
      <c r="AW684" s="162"/>
      <c r="AX684" s="162"/>
      <c r="AY684" s="162"/>
      <c r="AZ684" s="202"/>
      <c r="BA684" s="203"/>
      <c r="BB684" s="166"/>
      <c r="BC684" s="201"/>
      <c r="BD684" s="204"/>
      <c r="BE684" s="162"/>
      <c r="BF684" s="162"/>
      <c r="BG684" s="162"/>
      <c r="BH684" s="162"/>
      <c r="BI684" s="205"/>
      <c r="BJ684" s="201"/>
      <c r="BK684" s="201"/>
      <c r="BL684" s="201"/>
      <c r="BM684" s="204"/>
      <c r="BN684" s="162"/>
      <c r="BO684" s="162"/>
      <c r="BP684" s="162"/>
      <c r="BQ684" s="162"/>
      <c r="BR684" s="167"/>
      <c r="BS684" s="201"/>
      <c r="BT684" s="201"/>
      <c r="BU684" s="201"/>
      <c r="BV684" s="205"/>
      <c r="BW684" s="162"/>
      <c r="BX684" s="162"/>
      <c r="BY684" s="162"/>
      <c r="BZ684" s="162"/>
      <c r="CA684" s="201"/>
      <c r="CB684" s="393"/>
      <c r="CC684" s="393"/>
      <c r="CD684" s="393"/>
      <c r="CE684" s="393"/>
      <c r="CF684" s="162"/>
      <c r="CG684" s="162"/>
      <c r="CH684" s="162"/>
      <c r="CI684" s="162"/>
      <c r="CJ684" s="163"/>
      <c r="CK684" s="163"/>
      <c r="CL684" s="163"/>
      <c r="CM684" s="163"/>
      <c r="CN684" s="163"/>
      <c r="CO684" s="162"/>
      <c r="CP684" s="162"/>
      <c r="CQ684" s="162"/>
      <c r="CR684" s="162"/>
      <c r="CS684" s="163"/>
      <c r="CT684" s="358"/>
      <c r="CU684" s="201"/>
      <c r="CV684" s="206"/>
      <c r="CW684" s="218"/>
    </row>
    <row r="685" spans="1:101" ht="15.75" thickBot="1" x14ac:dyDescent="0.25">
      <c r="A685" s="219"/>
      <c r="B685" s="219"/>
      <c r="C685" s="168"/>
      <c r="D685" s="785"/>
      <c r="E685" s="869" t="s">
        <v>45</v>
      </c>
      <c r="F685" s="363"/>
      <c r="G685" s="363"/>
      <c r="H685" s="363"/>
      <c r="I685" s="878"/>
      <c r="J685" s="878"/>
      <c r="K685" s="878"/>
      <c r="L685" s="878"/>
      <c r="M685" s="363"/>
      <c r="N685" s="363"/>
      <c r="O685" s="363"/>
      <c r="P685" s="363"/>
      <c r="Q685" s="363"/>
      <c r="R685" s="363"/>
      <c r="S685" s="363"/>
      <c r="T685" s="363"/>
      <c r="U685" s="363"/>
      <c r="V685" s="363"/>
      <c r="W685" s="363"/>
      <c r="X685" s="363"/>
      <c r="Y685" s="363"/>
      <c r="Z685" s="363"/>
      <c r="AA685" s="363"/>
      <c r="AB685" s="363"/>
      <c r="AC685" s="363"/>
      <c r="AD685" s="363"/>
      <c r="AE685" s="363"/>
      <c r="AF685" s="363"/>
      <c r="AG685" s="363"/>
      <c r="AH685" s="363"/>
      <c r="AI685" s="363"/>
      <c r="AJ685" s="363"/>
      <c r="AK685" s="363"/>
      <c r="AL685" s="363"/>
      <c r="AM685" s="363"/>
      <c r="AN685" s="363"/>
      <c r="AO685" s="363"/>
      <c r="AP685" s="363"/>
      <c r="AQ685" s="363"/>
      <c r="AR685" s="363"/>
      <c r="AS685" s="363"/>
      <c r="AT685" s="363"/>
      <c r="AU685" s="363"/>
      <c r="AV685" s="363"/>
      <c r="AW685" s="363"/>
      <c r="AX685" s="363"/>
      <c r="AY685" s="363"/>
      <c r="AZ685" s="363"/>
      <c r="BA685" s="363"/>
      <c r="BB685" s="363"/>
      <c r="BC685" s="363"/>
      <c r="BD685" s="363"/>
      <c r="BE685" s="363"/>
      <c r="BF685" s="363"/>
      <c r="BG685" s="363"/>
      <c r="BH685" s="363"/>
      <c r="BI685" s="363"/>
      <c r="BJ685" s="363"/>
      <c r="BK685" s="363"/>
      <c r="BL685" s="363"/>
      <c r="BM685" s="363"/>
      <c r="BN685" s="363"/>
      <c r="BO685" s="363"/>
      <c r="BP685" s="363"/>
      <c r="BQ685" s="363"/>
      <c r="BR685" s="363"/>
      <c r="BS685" s="363"/>
      <c r="BT685" s="363"/>
      <c r="BU685" s="363"/>
      <c r="BV685" s="363"/>
      <c r="BW685" s="363"/>
      <c r="BX685" s="363"/>
      <c r="BY685" s="363"/>
      <c r="BZ685" s="363"/>
      <c r="CA685" s="363"/>
      <c r="CB685" s="394"/>
      <c r="CC685" s="394"/>
      <c r="CD685" s="394"/>
      <c r="CE685" s="394"/>
      <c r="CF685" s="363"/>
      <c r="CG685" s="363"/>
      <c r="CH685" s="363"/>
      <c r="CI685" s="363"/>
      <c r="CJ685" s="363"/>
      <c r="CK685" s="363"/>
      <c r="CL685" s="363"/>
      <c r="CM685" s="363"/>
      <c r="CN685" s="323"/>
      <c r="CO685" s="363"/>
      <c r="CP685" s="363"/>
      <c r="CQ685" s="363"/>
      <c r="CR685" s="363"/>
      <c r="CS685" s="323"/>
      <c r="CT685" s="155"/>
      <c r="CU685" s="269"/>
      <c r="CV685" s="209"/>
      <c r="CW685" s="218"/>
    </row>
    <row r="686" spans="1:101" ht="18.75" thickTop="1" x14ac:dyDescent="0.2">
      <c r="A686" s="219"/>
      <c r="B686" s="219"/>
      <c r="C686" s="174"/>
      <c r="D686" s="778"/>
      <c r="E686" s="777"/>
      <c r="F686" s="235"/>
      <c r="G686" s="234"/>
      <c r="H686" s="234"/>
      <c r="I686" s="875">
        <f>WEEKNUM(E687)</f>
        <v>12</v>
      </c>
      <c r="J686" s="875"/>
      <c r="K686" s="875"/>
      <c r="L686" s="250"/>
      <c r="M686" s="261"/>
      <c r="N686" s="205"/>
      <c r="O686" s="236"/>
      <c r="P686" s="236"/>
      <c r="Q686" s="675" t="str">
        <f>IF($F690="","",SUM(Q702:S702)-S688)</f>
        <v/>
      </c>
      <c r="R686" s="675"/>
      <c r="S686" s="675"/>
      <c r="T686" s="237"/>
      <c r="U686" s="238"/>
      <c r="V686" s="238"/>
      <c r="W686" s="238"/>
      <c r="X686" s="238"/>
      <c r="Y686" s="236"/>
      <c r="Z686" s="675" t="str">
        <f>IF($F690="","",SUM(Z702:AB702)-AB688)</f>
        <v/>
      </c>
      <c r="AA686" s="675"/>
      <c r="AB686" s="675"/>
      <c r="AC686" s="237"/>
      <c r="AD686" s="238"/>
      <c r="AE686" s="238"/>
      <c r="AF686" s="238"/>
      <c r="AG686" s="238"/>
      <c r="AH686" s="236"/>
      <c r="AI686" s="675" t="str">
        <f>IF($F690="","",SUM(AI702:AK702)-AK688)</f>
        <v/>
      </c>
      <c r="AJ686" s="675"/>
      <c r="AK686" s="675"/>
      <c r="AL686" s="237"/>
      <c r="AM686" s="238"/>
      <c r="AN686" s="238"/>
      <c r="AO686" s="238"/>
      <c r="AP686" s="238"/>
      <c r="AQ686" s="236"/>
      <c r="AR686" s="675" t="str">
        <f>IF($F690="","",SUM(AR702:AT702)-AT688)</f>
        <v/>
      </c>
      <c r="AS686" s="675"/>
      <c r="AT686" s="675"/>
      <c r="AU686" s="239"/>
      <c r="AV686" s="238"/>
      <c r="AW686" s="238"/>
      <c r="AX686" s="238"/>
      <c r="AY686" s="238"/>
      <c r="AZ686" s="240"/>
      <c r="BA686" s="675" t="str">
        <f>IF($F690="","",SUM(BA702:BC702)-BC688)</f>
        <v/>
      </c>
      <c r="BB686" s="675"/>
      <c r="BC686" s="675"/>
      <c r="BD686" s="239"/>
      <c r="BE686" s="238"/>
      <c r="BF686" s="238"/>
      <c r="BG686" s="238"/>
      <c r="BH686" s="238"/>
      <c r="BI686" s="240"/>
      <c r="BJ686" s="675" t="str">
        <f>IF($F690="","",SUM(BJ702:BL702)-BL688)</f>
        <v/>
      </c>
      <c r="BK686" s="675"/>
      <c r="BL686" s="675"/>
      <c r="BM686" s="239"/>
      <c r="BN686" s="238"/>
      <c r="BO686" s="238"/>
      <c r="BP686" s="238"/>
      <c r="BQ686" s="238"/>
      <c r="BR686" s="241"/>
      <c r="BS686" s="675" t="str">
        <f>IF($F690="","",SUM(BS702:BU702)-BU688)</f>
        <v/>
      </c>
      <c r="BT686" s="675"/>
      <c r="BU686" s="675"/>
      <c r="BV686" s="240"/>
      <c r="BW686" s="238"/>
      <c r="BX686" s="238"/>
      <c r="BY686" s="238"/>
      <c r="BZ686" s="238"/>
      <c r="CA686" s="241"/>
      <c r="CB686" s="675" t="str">
        <f>IF($F690="","",SUM(CB702:CD702)-CD688)</f>
        <v/>
      </c>
      <c r="CC686" s="675"/>
      <c r="CD686" s="675"/>
      <c r="CE686" s="240"/>
      <c r="CF686" s="238"/>
      <c r="CG686" s="238"/>
      <c r="CH686" s="238"/>
      <c r="CI686" s="238"/>
      <c r="CJ686" s="234"/>
      <c r="CK686" s="675" t="str">
        <f>IF($F690="","",SUM(CK702:CM702))</f>
        <v/>
      </c>
      <c r="CL686" s="675"/>
      <c r="CM686" s="675"/>
      <c r="CN686" s="240"/>
      <c r="CO686" s="238"/>
      <c r="CP686" s="238"/>
      <c r="CQ686" s="238"/>
      <c r="CR686" s="238"/>
      <c r="CS686" s="234"/>
      <c r="CT686" s="234"/>
      <c r="CU686" s="251"/>
      <c r="CV686" s="209"/>
      <c r="CW686" s="218"/>
    </row>
    <row r="687" spans="1:101" x14ac:dyDescent="0.2">
      <c r="A687" s="219"/>
      <c r="B687" s="219"/>
      <c r="C687" s="174"/>
      <c r="D687" s="779"/>
      <c r="E687" s="543">
        <f>E665+7</f>
        <v>46466</v>
      </c>
      <c r="F687" s="178"/>
      <c r="G687" s="179"/>
      <c r="H687" s="179"/>
      <c r="I687" s="876"/>
      <c r="J687" s="876"/>
      <c r="K687" s="876"/>
      <c r="L687" s="254"/>
      <c r="M687" s="329"/>
      <c r="N687" s="208"/>
      <c r="O687" s="180"/>
      <c r="P687" s="180"/>
      <c r="Q687" s="584" t="str">
        <f>IF(Q686="","",Q686/Data!$X$1)</f>
        <v/>
      </c>
      <c r="R687" s="584"/>
      <c r="S687" s="585" t="str">
        <f>IF(SUM(X690:X701)=0,"",SUM(X690:X701))</f>
        <v/>
      </c>
      <c r="T687" s="181"/>
      <c r="U687" s="182"/>
      <c r="V687" s="182"/>
      <c r="W687" s="182"/>
      <c r="X687" s="182"/>
      <c r="Y687" s="180"/>
      <c r="Z687" s="584" t="str">
        <f>IF(Z686="","",Z686/Data!$X$1)</f>
        <v/>
      </c>
      <c r="AA687" s="584"/>
      <c r="AB687" s="585" t="str">
        <f>IF(SUM(AG690:AG701)=0,"",SUM(AG690:AG701))</f>
        <v/>
      </c>
      <c r="AC687" s="181"/>
      <c r="AD687" s="182"/>
      <c r="AE687" s="182"/>
      <c r="AF687" s="182"/>
      <c r="AG687" s="182"/>
      <c r="AH687" s="180"/>
      <c r="AI687" s="584" t="str">
        <f>IF(AI686="","",AI686/Data!$X$1)</f>
        <v/>
      </c>
      <c r="AJ687" s="584"/>
      <c r="AK687" s="585" t="str">
        <f>IF(SUM(AP690:AP701)=0,"",SUM(AP690:AP701))</f>
        <v/>
      </c>
      <c r="AL687" s="181"/>
      <c r="AM687" s="182"/>
      <c r="AN687" s="182"/>
      <c r="AO687" s="182"/>
      <c r="AP687" s="182"/>
      <c r="AQ687" s="180"/>
      <c r="AR687" s="584" t="str">
        <f>IF(AR686="","",AR686/Data!$X$1)</f>
        <v/>
      </c>
      <c r="AS687" s="584"/>
      <c r="AT687" s="585" t="str">
        <f>IF(SUM(AY690:AY701)=0,"",SUM(AY690:AY701))</f>
        <v/>
      </c>
      <c r="AU687" s="183"/>
      <c r="AV687" s="182"/>
      <c r="AW687" s="182"/>
      <c r="AX687" s="182"/>
      <c r="AY687" s="182"/>
      <c r="AZ687" s="184"/>
      <c r="BA687" s="584" t="str">
        <f>IF(BA686="","",BA686/Data!$X$1)</f>
        <v/>
      </c>
      <c r="BB687" s="584"/>
      <c r="BC687" s="585" t="str">
        <f>IF(SUM(BH690:BH701)=0,"",SUM(BH690:BH701))</f>
        <v/>
      </c>
      <c r="BD687" s="183"/>
      <c r="BE687" s="182"/>
      <c r="BF687" s="182"/>
      <c r="BG687" s="182"/>
      <c r="BH687" s="182"/>
      <c r="BI687" s="184"/>
      <c r="BJ687" s="584" t="str">
        <f>IF(BJ686="","",BJ686/Data!$X$1)</f>
        <v/>
      </c>
      <c r="BK687" s="584"/>
      <c r="BL687" s="585" t="str">
        <f>IF(SUM(BQ690:BQ701)=0,"",SUM(BQ690:BQ701))</f>
        <v/>
      </c>
      <c r="BM687" s="183"/>
      <c r="BN687" s="182"/>
      <c r="BO687" s="182"/>
      <c r="BP687" s="182"/>
      <c r="BQ687" s="182"/>
      <c r="BR687" s="185"/>
      <c r="BS687" s="584" t="str">
        <f>IF(BS686="","",BS686/Data!$X$1)</f>
        <v/>
      </c>
      <c r="BT687" s="584"/>
      <c r="BU687" s="585" t="str">
        <f>IF(SUM(BZ690:BZ701)=0,"",SUM(BZ690:BZ701))</f>
        <v/>
      </c>
      <c r="BV687" s="184"/>
      <c r="BW687" s="182"/>
      <c r="BX687" s="182"/>
      <c r="BY687" s="182"/>
      <c r="BZ687" s="182"/>
      <c r="CA687" s="185"/>
      <c r="CB687" s="584" t="str">
        <f>IF(CB686="","",CB686/Data!$X$1)</f>
        <v/>
      </c>
      <c r="CC687" s="584"/>
      <c r="CD687" s="585" t="str">
        <f>IF(SUM(CI690:CI701)=0,"",SUM(CI690:CI701))</f>
        <v/>
      </c>
      <c r="CE687" s="184"/>
      <c r="CF687" s="182"/>
      <c r="CG687" s="182"/>
      <c r="CH687" s="182"/>
      <c r="CI687" s="182"/>
      <c r="CJ687" s="182"/>
      <c r="CK687" s="584" t="str">
        <f>IF(CK686="","",CK686/Data!$X$1)</f>
        <v/>
      </c>
      <c r="CL687" s="584"/>
      <c r="CM687" s="585" t="str">
        <f>IF(SUM(CR690:CR701)=0,"",SUM(CR690:CR701))</f>
        <v/>
      </c>
      <c r="CN687" s="184"/>
      <c r="CO687" s="182"/>
      <c r="CP687" s="182"/>
      <c r="CQ687" s="182"/>
      <c r="CR687" s="182"/>
      <c r="CS687" s="182"/>
      <c r="CT687" s="182"/>
      <c r="CU687" s="255"/>
      <c r="CV687" s="209"/>
      <c r="CW687" s="218"/>
    </row>
    <row r="688" spans="1:101" ht="13.5" thickBot="1" x14ac:dyDescent="0.25">
      <c r="A688" s="219"/>
      <c r="B688" s="219"/>
      <c r="C688" s="174"/>
      <c r="D688" s="230"/>
      <c r="E688" s="359"/>
      <c r="F688" s="186"/>
      <c r="G688" s="187"/>
      <c r="H688" s="187"/>
      <c r="I688" s="673"/>
      <c r="J688" s="674"/>
      <c r="K688" s="674"/>
      <c r="L688" s="256"/>
      <c r="M688" s="330"/>
      <c r="N688" s="334"/>
      <c r="O688" s="187"/>
      <c r="P688" s="187"/>
      <c r="Q688" s="342" t="str">
        <f>Data!$E$11</f>
        <v>AHH</v>
      </c>
      <c r="R688" s="343" t="str">
        <f>IF($F701="","",RANK(Q686,$Q686:$CL686))</f>
        <v/>
      </c>
      <c r="S688" s="466"/>
      <c r="T688" s="181"/>
      <c r="U688" s="182"/>
      <c r="V688" s="182"/>
      <c r="W688" s="182"/>
      <c r="X688" s="197">
        <f>COUNTIF(U690:W701,"&gt;0")</f>
        <v>0</v>
      </c>
      <c r="Y688" s="180"/>
      <c r="Z688" s="342" t="str">
        <f>Data!$E$12</f>
        <v>RB</v>
      </c>
      <c r="AA688" s="343" t="str">
        <f>IF($F701="","",RANK(Z686,$Q686:$CL686))</f>
        <v/>
      </c>
      <c r="AB688" s="466"/>
      <c r="AC688" s="181"/>
      <c r="AD688" s="182"/>
      <c r="AE688" s="182"/>
      <c r="AF688" s="182"/>
      <c r="AG688" s="197">
        <f>COUNTIF(AD690:AF701,"&gt;0")</f>
        <v>0</v>
      </c>
      <c r="AH688" s="180"/>
      <c r="AI688" s="342" t="str">
        <f>Data!$E$13</f>
        <v>EB</v>
      </c>
      <c r="AJ688" s="343" t="str">
        <f>IF($F701="","",RANK(AI686,$Q686:$CL686))</f>
        <v/>
      </c>
      <c r="AK688" s="466"/>
      <c r="AL688" s="181"/>
      <c r="AM688" s="182"/>
      <c r="AN688" s="182"/>
      <c r="AO688" s="182"/>
      <c r="AP688" s="197">
        <f>COUNTIF(AM690:AO701,"&gt;0")</f>
        <v>0</v>
      </c>
      <c r="AQ688" s="180"/>
      <c r="AR688" s="305" t="str">
        <f>Data!$E$14</f>
        <v>KAF</v>
      </c>
      <c r="AS688" s="343" t="str">
        <f>IF($F701="","",RANK(AR686,$Q686:$CL686))</f>
        <v/>
      </c>
      <c r="AT688" s="466"/>
      <c r="AU688" s="181"/>
      <c r="AV688" s="182"/>
      <c r="AW688" s="182"/>
      <c r="AX688" s="182"/>
      <c r="AY688" s="197">
        <f>COUNTIF(AV690:AX701,"&gt;0")</f>
        <v>0</v>
      </c>
      <c r="AZ688" s="180"/>
      <c r="BA688" s="305" t="str">
        <f>Data!$E$15</f>
        <v>ØG</v>
      </c>
      <c r="BB688" s="343" t="str">
        <f>IF($F701="","",RANK(BA686,$Q686:$CL686))</f>
        <v/>
      </c>
      <c r="BC688" s="466"/>
      <c r="BD688" s="181"/>
      <c r="BE688" s="182"/>
      <c r="BF688" s="182"/>
      <c r="BG688" s="182"/>
      <c r="BH688" s="197">
        <f>COUNTIF(BE690:BG701,"&gt;0")</f>
        <v>0</v>
      </c>
      <c r="BI688" s="180"/>
      <c r="BJ688" s="305" t="str">
        <f>Data!$E$16</f>
        <v>JH</v>
      </c>
      <c r="BK688" s="343" t="str">
        <f>IF($F701="","",RANK(BJ686,$Q686:$CL686))</f>
        <v/>
      </c>
      <c r="BL688" s="466"/>
      <c r="BM688" s="181"/>
      <c r="BN688" s="182"/>
      <c r="BO688" s="182"/>
      <c r="BP688" s="182"/>
      <c r="BQ688" s="197">
        <f>COUNTIF(BN690:BP701,"&gt;0")</f>
        <v>0</v>
      </c>
      <c r="BR688" s="188"/>
      <c r="BS688" s="305" t="str">
        <f>Data!$E$17</f>
        <v>TOH</v>
      </c>
      <c r="BT688" s="343" t="str">
        <f>IF($F701="","",RANK(BS686,$Q686:$CL686))</f>
        <v/>
      </c>
      <c r="BU688" s="466"/>
      <c r="BV688" s="180"/>
      <c r="BW688" s="182"/>
      <c r="BX688" s="182"/>
      <c r="BY688" s="182"/>
      <c r="BZ688" s="197">
        <f>COUNTIF(BW690:BY701,"&gt;0")</f>
        <v>0</v>
      </c>
      <c r="CA688" s="188"/>
      <c r="CB688" s="305" t="s">
        <v>26</v>
      </c>
      <c r="CC688" s="343" t="str">
        <f>IF($F701="","",RANK(CB686,$Q686:$CM686))</f>
        <v/>
      </c>
      <c r="CD688" s="467"/>
      <c r="CE688" s="180"/>
      <c r="CF688" s="182"/>
      <c r="CG688" s="182"/>
      <c r="CH688" s="182"/>
      <c r="CI688" s="197">
        <f>COUNTIF(CF690:CH701,"&gt;0")</f>
        <v>0</v>
      </c>
      <c r="CJ688" s="182"/>
      <c r="CK688" s="305" t="s">
        <v>27</v>
      </c>
      <c r="CL688" s="343" t="str">
        <f>IF($F701="","",RANK(CK686,$Q686:$CM686))</f>
        <v/>
      </c>
      <c r="CM688" s="669"/>
      <c r="CN688" s="180"/>
      <c r="CO688" s="182"/>
      <c r="CP688" s="182"/>
      <c r="CQ688" s="182"/>
      <c r="CR688" s="197">
        <f>COUNTIF(CO690:CQ701,"&gt;0")</f>
        <v>0</v>
      </c>
      <c r="CS688" s="182"/>
      <c r="CT688" s="182"/>
      <c r="CU688" s="255"/>
      <c r="CV688" s="209"/>
      <c r="CW688" s="218"/>
    </row>
    <row r="689" spans="1:101" ht="13.5" thickBot="1" x14ac:dyDescent="0.25">
      <c r="A689" s="227"/>
      <c r="B689" s="227"/>
      <c r="C689" s="168"/>
      <c r="D689" s="231"/>
      <c r="E689" s="189"/>
      <c r="F689" s="190"/>
      <c r="G689" s="191"/>
      <c r="H689" s="191"/>
      <c r="I689" s="192" t="s">
        <v>47</v>
      </c>
      <c r="J689" s="193" t="s">
        <v>48</v>
      </c>
      <c r="K689" s="194" t="s">
        <v>49</v>
      </c>
      <c r="L689" s="257"/>
      <c r="M689" s="331"/>
      <c r="N689" s="335"/>
      <c r="O689" s="195"/>
      <c r="P689" s="195"/>
      <c r="Q689" s="192" t="s">
        <v>47</v>
      </c>
      <c r="R689" s="193" t="s">
        <v>48</v>
      </c>
      <c r="S689" s="194" t="s">
        <v>49</v>
      </c>
      <c r="T689" s="196"/>
      <c r="U689" s="197"/>
      <c r="V689" s="197"/>
      <c r="W689" s="197"/>
      <c r="X689" s="197"/>
      <c r="Y689" s="195"/>
      <c r="Z689" s="192" t="s">
        <v>47</v>
      </c>
      <c r="AA689" s="193" t="s">
        <v>48</v>
      </c>
      <c r="AB689" s="194" t="s">
        <v>49</v>
      </c>
      <c r="AC689" s="196"/>
      <c r="AD689" s="197"/>
      <c r="AE689" s="197"/>
      <c r="AF689" s="197"/>
      <c r="AG689" s="197"/>
      <c r="AH689" s="195"/>
      <c r="AI689" s="192" t="s">
        <v>47</v>
      </c>
      <c r="AJ689" s="193" t="s">
        <v>48</v>
      </c>
      <c r="AK689" s="194" t="s">
        <v>49</v>
      </c>
      <c r="AL689" s="196"/>
      <c r="AM689" s="197"/>
      <c r="AN689" s="197"/>
      <c r="AO689" s="197"/>
      <c r="AP689" s="197"/>
      <c r="AQ689" s="195"/>
      <c r="AR689" s="192" t="s">
        <v>47</v>
      </c>
      <c r="AS689" s="193" t="s">
        <v>48</v>
      </c>
      <c r="AT689" s="194" t="s">
        <v>49</v>
      </c>
      <c r="AU689" s="196"/>
      <c r="AV689" s="197"/>
      <c r="AW689" s="197"/>
      <c r="AX689" s="197"/>
      <c r="AY689" s="197"/>
      <c r="AZ689" s="195"/>
      <c r="BA689" s="192" t="s">
        <v>47</v>
      </c>
      <c r="BB689" s="193" t="s">
        <v>48</v>
      </c>
      <c r="BC689" s="194" t="s">
        <v>49</v>
      </c>
      <c r="BD689" s="196"/>
      <c r="BE689" s="197"/>
      <c r="BF689" s="197"/>
      <c r="BG689" s="197"/>
      <c r="BH689" s="197"/>
      <c r="BI689" s="195"/>
      <c r="BJ689" s="192" t="s">
        <v>47</v>
      </c>
      <c r="BK689" s="193" t="s">
        <v>48</v>
      </c>
      <c r="BL689" s="194" t="s">
        <v>49</v>
      </c>
      <c r="BM689" s="196"/>
      <c r="BN689" s="197"/>
      <c r="BO689" s="197"/>
      <c r="BP689" s="197"/>
      <c r="BQ689" s="197"/>
      <c r="BR689" s="195"/>
      <c r="BS689" s="192" t="s">
        <v>47</v>
      </c>
      <c r="BT689" s="193" t="s">
        <v>48</v>
      </c>
      <c r="BU689" s="194" t="s">
        <v>49</v>
      </c>
      <c r="BV689" s="196"/>
      <c r="BW689" s="197"/>
      <c r="BX689" s="197"/>
      <c r="BY689" s="197"/>
      <c r="BZ689" s="197"/>
      <c r="CA689" s="195"/>
      <c r="CB689" s="192" t="s">
        <v>47</v>
      </c>
      <c r="CC689" s="193" t="s">
        <v>48</v>
      </c>
      <c r="CD689" s="194" t="s">
        <v>49</v>
      </c>
      <c r="CE689" s="196"/>
      <c r="CF689" s="197"/>
      <c r="CG689" s="197"/>
      <c r="CH689" s="197"/>
      <c r="CI689" s="197"/>
      <c r="CJ689" s="197"/>
      <c r="CK689" s="192" t="s">
        <v>47</v>
      </c>
      <c r="CL689" s="193" t="s">
        <v>48</v>
      </c>
      <c r="CM689" s="194" t="s">
        <v>49</v>
      </c>
      <c r="CN689" s="196"/>
      <c r="CO689" s="197"/>
      <c r="CP689" s="197"/>
      <c r="CQ689" s="197"/>
      <c r="CR689" s="197"/>
      <c r="CS689" s="197"/>
      <c r="CT689" s="198"/>
      <c r="CU689" s="255"/>
      <c r="CV689" s="209"/>
      <c r="CW689" s="228"/>
    </row>
    <row r="690" spans="1:101" x14ac:dyDescent="0.2">
      <c r="A690" s="227"/>
      <c r="B690" s="227"/>
      <c r="C690" s="168"/>
      <c r="D690" s="232"/>
      <c r="E690" s="134" t="s">
        <v>424</v>
      </c>
      <c r="F690" s="424"/>
      <c r="G690" s="428"/>
      <c r="H690" s="429"/>
      <c r="I690" s="138" t="str">
        <f t="shared" ref="I690:I701" si="1019">IF($F690&gt;$H690,"x","")</f>
        <v/>
      </c>
      <c r="J690" s="344" t="str">
        <f t="shared" ref="J690:J701" si="1020">IF(F690&lt;&gt;"",IF(H690&lt;&gt;"",IF(F690=H690,"x",""),""),"")</f>
        <v/>
      </c>
      <c r="K690" s="345" t="str">
        <f t="shared" ref="K690:K701" si="1021">IF($F690&lt;$H690,"x","")</f>
        <v/>
      </c>
      <c r="L690" s="258"/>
      <c r="M690" s="332"/>
      <c r="N690" s="336"/>
      <c r="O690" s="200"/>
      <c r="P690" s="200"/>
      <c r="Q690" s="436"/>
      <c r="R690" s="437"/>
      <c r="S690" s="438" t="str">
        <f t="shared" ref="S690:S701" si="1022">IF(Q690="","",100-SUM(Q690:R690))</f>
        <v/>
      </c>
      <c r="T690" s="328"/>
      <c r="U690" s="197" t="str">
        <f>IF(AND($I690="x",AND(MAX(Q690:S690)=Q690,Q690&gt;=0)),Data!$BI$2,"")</f>
        <v/>
      </c>
      <c r="V690" s="197" t="str">
        <f>IF(AND($J690="x",AND(MAX(Q690:S690)=R690,R690&gt;=0)),Data!$BJ$2,"")</f>
        <v/>
      </c>
      <c r="W690" s="197" t="str">
        <f>IF(AND($K690="x",AND(MAX(Q690:S690)=S690,S690&gt;=0)),Data!$BK$2,"")</f>
        <v/>
      </c>
      <c r="X690" s="197"/>
      <c r="Y690" s="328"/>
      <c r="Z690" s="451"/>
      <c r="AA690" s="452"/>
      <c r="AB690" s="438" t="str">
        <f t="shared" ref="AB690:AB701" si="1023">IF(Z690="","",100-SUM(Z690:AA690))</f>
        <v/>
      </c>
      <c r="AC690" s="328"/>
      <c r="AD690" s="197" t="str">
        <f>IF(AND($I690="x",AND(MAX(Z690:AB690)=Z690,Z690&lt;&gt;"")),Data!$BI$2,"")</f>
        <v/>
      </c>
      <c r="AE690" s="197" t="str">
        <f>IF(AND($J690="x",AND(MAX(Z690:AB690)=AA690,AA690&lt;&gt;"")),Data!$BJ$2,"")</f>
        <v/>
      </c>
      <c r="AF690" s="197" t="str">
        <f>IF(AND($K690="x",AND(MAX(Z690:AB690)=AB690,AB690&lt;&gt;"")),Data!$BK$2,"")</f>
        <v/>
      </c>
      <c r="AG690" s="197"/>
      <c r="AH690" s="328"/>
      <c r="AI690" s="451"/>
      <c r="AJ690" s="452"/>
      <c r="AK690" s="438" t="str">
        <f t="shared" ref="AK690:AK701" si="1024">IF(AI690="","",100-SUM(AI690:AJ690))</f>
        <v/>
      </c>
      <c r="AL690" s="328"/>
      <c r="AM690" s="197" t="str">
        <f>IF(AND($I690="x",AND(MAX(AI690:AK690)=AI690,AI690&lt;&gt;"")),Data!$BI$2,"")</f>
        <v/>
      </c>
      <c r="AN690" s="197" t="str">
        <f>IF(AND($J690="x",AND(MAX(AI690:AK690)=AJ690,AJ690&lt;&gt;"")),Data!$BJ$2,"")</f>
        <v/>
      </c>
      <c r="AO690" s="197" t="str">
        <f>IF(AND($K690="x",AND(MAX(AI690:AK690)=AK690,AK690&lt;&gt;"")),Data!$BK$2,"")</f>
        <v/>
      </c>
      <c r="AP690" s="197"/>
      <c r="AQ690" s="328"/>
      <c r="AR690" s="451"/>
      <c r="AS690" s="452"/>
      <c r="AT690" s="438" t="str">
        <f t="shared" ref="AT690:AT701" si="1025">IF(AR690="","",100-SUM(AR690:AS690))</f>
        <v/>
      </c>
      <c r="AU690" s="328"/>
      <c r="AV690" s="197" t="str">
        <f>IF(AND($I690="x",AND(MAX(AR690:AT690)=AR690,AR690&lt;&gt;"")),Data!$BI$2,"")</f>
        <v/>
      </c>
      <c r="AW690" s="197" t="str">
        <f>IF(AND($J690="x",AND(MAX(AR690:AT690)=AS690,AS690&lt;&gt;"")),Data!$BJ$2,"")</f>
        <v/>
      </c>
      <c r="AX690" s="197" t="str">
        <f>IF(AND($K690="x",AND(MAX(AR690:AT690)=AT690,AT690&lt;&gt;"")),Data!$BK$2,"")</f>
        <v/>
      </c>
      <c r="AY690" s="197"/>
      <c r="AZ690" s="328"/>
      <c r="BA690" s="451"/>
      <c r="BB690" s="452"/>
      <c r="BC690" s="438" t="str">
        <f t="shared" ref="BC690:BC701" si="1026">IF(BA690="","",100-SUM(BA690:BB690))</f>
        <v/>
      </c>
      <c r="BD690" s="328"/>
      <c r="BE690" s="197" t="str">
        <f>IF(AND($I690="x",AND(MAX(BA690:BC690)=BA690,BA690&lt;&gt;"")),Data!$BI$2,"")</f>
        <v/>
      </c>
      <c r="BF690" s="197" t="str">
        <f>IF(AND($J690="x",AND(MAX(BA690:BC690)=BB690,BB690&lt;&gt;"")),Data!$BJ$2,"")</f>
        <v/>
      </c>
      <c r="BG690" s="197" t="str">
        <f>IF(AND($K690="x",AND(MAX(BA690:BC690)=BC690,BC690&lt;&gt;"")),Data!$BK$2,"")</f>
        <v/>
      </c>
      <c r="BH690" s="197"/>
      <c r="BI690" s="328"/>
      <c r="BJ690" s="451"/>
      <c r="BK690" s="452"/>
      <c r="BL690" s="438" t="str">
        <f t="shared" ref="BL690:BL701" si="1027">IF(BJ690="","",100-SUM(BJ690:BK690))</f>
        <v/>
      </c>
      <c r="BM690" s="328"/>
      <c r="BN690" s="197" t="str">
        <f>IF(AND($I690="x",AND(MAX(BJ690:BL690)=BJ690,BJ690&lt;&gt;"")),Data!$BI$2,"")</f>
        <v/>
      </c>
      <c r="BO690" s="197" t="str">
        <f>IF(AND($J690="x",AND(MAX(BJ690:BL690)=BK690,BK690&lt;&gt;"")),Data!$BJ$2,"")</f>
        <v/>
      </c>
      <c r="BP690" s="197" t="str">
        <f>IF(AND($K690="x",AND(MAX(BJ690:BL690)=BL690,BL690&lt;&gt;"")),Data!$BK$2,"")</f>
        <v/>
      </c>
      <c r="BQ690" s="197"/>
      <c r="BR690" s="328"/>
      <c r="BS690" s="451"/>
      <c r="BT690" s="452"/>
      <c r="BU690" s="438" t="str">
        <f t="shared" ref="BU690:BU701" si="1028">IF(BS690="","",100-SUM(BS690:BT690))</f>
        <v/>
      </c>
      <c r="BV690" s="328"/>
      <c r="BW690" s="197" t="str">
        <f>IF(AND($I690="x",AND(MAX(BS690:BU690)=BS690,BS690&lt;&gt;"")),Data!$BI$2,"")</f>
        <v/>
      </c>
      <c r="BX690" s="197" t="str">
        <f>IF(AND($J690="x",AND(MAX(BS690:BU690)=BT690,BT690&lt;&gt;"")),Data!$BJ$2,"")</f>
        <v/>
      </c>
      <c r="BY690" s="197" t="str">
        <f>IF(AND($K690="x",AND(MAX(BS690:BU690)=BU690,BU690&lt;&gt;"")),Data!$BK$2,"")</f>
        <v/>
      </c>
      <c r="BZ690" s="197"/>
      <c r="CA690" s="328"/>
      <c r="CB690" s="457" t="str">
        <f t="shared" ref="CB690:CB701" si="1029">IFERROR(ROUNDUP((SUM(Q690,Z690,AI690,AR690,BA690,BJ690,BS690)/SUM($Q690:$S690,$Z690:$AB690,$AI690:$AK690,$AR690:$AT690,$BA690:$BC690,$BJ690:$BL690,$BS690:$BU690))*100,-1),"")</f>
        <v/>
      </c>
      <c r="CC690" s="458" t="str">
        <f t="shared" ref="CC690:CC701" si="1030">IFERROR(ROUNDDOWN((SUM(R690,AA690,AJ690,AS690,BB690,BK690,BT690)/SUM($Q690:$S690,$Z690:$AB690,$AI690:$AK690,$AR690:$AT690,$BA690:$BC690,$BJ690:$BL690,$BS690:$BU690))*100,-1),"")</f>
        <v/>
      </c>
      <c r="CD690" s="459" t="str">
        <f t="shared" ref="CD690:CD701" si="1031">IF(CB690="","",100-SUM(CB690:CC690))</f>
        <v/>
      </c>
      <c r="CE690" s="328"/>
      <c r="CF690" s="197" t="str">
        <f>IF(AND($I690="x",AND(MAX(CB690:CD690)=CB690,CB690&lt;&gt;"")),Data!$BI$2,"")</f>
        <v/>
      </c>
      <c r="CG690" s="197" t="str">
        <f>IF(AND($J690="x",AND(MAX(CB690:CD690)=CC690,CC690&lt;&gt;"")),Data!$BJ$2,"")</f>
        <v/>
      </c>
      <c r="CH690" s="197" t="str">
        <f>IF(AND($K690="x",AND(MAX(CB690:CD690)=CD690,CD690&lt;&gt;"")),Data!$BK$2,"")</f>
        <v/>
      </c>
      <c r="CI690" s="197"/>
      <c r="CJ690" s="197"/>
      <c r="CK690" s="451"/>
      <c r="CL690" s="452"/>
      <c r="CM690" s="438" t="str">
        <f t="shared" ref="CM690:CM701" si="1032">IF(CK690="","",100-SUM(CK690:CL690))</f>
        <v/>
      </c>
      <c r="CN690" s="328"/>
      <c r="CO690" s="197" t="str">
        <f>IF(AND($I690="x",AND(MAX(CK690:CM690)=CK690,CK690&lt;&gt;"")),Data!$BI$2,"")</f>
        <v/>
      </c>
      <c r="CP690" s="197" t="str">
        <f>IF(AND($J690="x",AND(MAX(CK690:CM690)=CL690,CL690&lt;&gt;"")),Data!$BJ$2,"")</f>
        <v/>
      </c>
      <c r="CQ690" s="197" t="str">
        <f>IF(AND($K690="x",AND(MAX(CK690:CM690)=CM690,CM690&lt;&gt;"")),Data!$BK$2,"")</f>
        <v/>
      </c>
      <c r="CR690" s="197"/>
      <c r="CS690" s="197"/>
      <c r="CT690" s="328"/>
      <c r="CU690" s="255"/>
      <c r="CV690" s="209"/>
      <c r="CW690" s="227"/>
    </row>
    <row r="691" spans="1:101" x14ac:dyDescent="0.2">
      <c r="A691" s="227"/>
      <c r="B691" s="227"/>
      <c r="C691" s="168"/>
      <c r="D691" s="232"/>
      <c r="E691" s="135" t="s">
        <v>425</v>
      </c>
      <c r="F691" s="425"/>
      <c r="G691" s="430"/>
      <c r="H691" s="431"/>
      <c r="I691" s="346" t="str">
        <f t="shared" si="1019"/>
        <v/>
      </c>
      <c r="J691" s="347" t="str">
        <f t="shared" si="1020"/>
        <v/>
      </c>
      <c r="K691" s="348" t="str">
        <f t="shared" si="1021"/>
        <v/>
      </c>
      <c r="L691" s="258"/>
      <c r="M691" s="332"/>
      <c r="N691" s="336"/>
      <c r="O691" s="200"/>
      <c r="P691" s="200"/>
      <c r="Q691" s="439"/>
      <c r="R691" s="440"/>
      <c r="S691" s="441" t="str">
        <f t="shared" si="1022"/>
        <v/>
      </c>
      <c r="T691" s="328"/>
      <c r="U691" s="197" t="str">
        <f>IF(AND($I691="x",AND(MAX(Q691:S691)=Q691,Q691&gt;=0)),Data!$BI$2,"")</f>
        <v/>
      </c>
      <c r="V691" s="197" t="str">
        <f>IF(AND($J691="x",AND(MAX(Q691:S691)=R691,R691&gt;=0)),Data!$BJ$2,"")</f>
        <v/>
      </c>
      <c r="W691" s="197" t="str">
        <f>IF(AND($K691="x",AND(MAX(Q691:S691)=S691,S691&gt;=0)),Data!$BK$2,"")</f>
        <v/>
      </c>
      <c r="X691" s="197"/>
      <c r="Y691" s="328"/>
      <c r="Z691" s="453"/>
      <c r="AA691" s="454"/>
      <c r="AB691" s="441" t="str">
        <f t="shared" si="1023"/>
        <v/>
      </c>
      <c r="AC691" s="328"/>
      <c r="AD691" s="197" t="str">
        <f>IF(AND($I691="x",AND(MAX(Z691:AB691)=Z691,Z691&lt;&gt;"")),Data!$BI$2,"")</f>
        <v/>
      </c>
      <c r="AE691" s="197" t="str">
        <f>IF(AND($J691="x",AND(MAX(Z691:AB691)=AA691,AA691&lt;&gt;"")),Data!$BJ$2,"")</f>
        <v/>
      </c>
      <c r="AF691" s="197" t="str">
        <f>IF(AND($K691="x",AND(MAX(Z691:AB691)=AB691,AB691&lt;&gt;"")),Data!$BK$2,"")</f>
        <v/>
      </c>
      <c r="AG691" s="197"/>
      <c r="AH691" s="328"/>
      <c r="AI691" s="453"/>
      <c r="AJ691" s="454"/>
      <c r="AK691" s="441" t="str">
        <f t="shared" si="1024"/>
        <v/>
      </c>
      <c r="AL691" s="328"/>
      <c r="AM691" s="197" t="str">
        <f>IF(AND($I691="x",AND(MAX(AI691:AK691)=AI691,AI691&lt;&gt;"")),Data!$BI$2,"")</f>
        <v/>
      </c>
      <c r="AN691" s="197" t="str">
        <f>IF(AND($J691="x",AND(MAX(AI691:AK691)=AJ691,AJ691&lt;&gt;"")),Data!$BJ$2,"")</f>
        <v/>
      </c>
      <c r="AO691" s="197" t="str">
        <f>IF(AND($K691="x",AND(MAX(AI691:AK691)=AK691,AK691&lt;&gt;"")),Data!$BK$2,"")</f>
        <v/>
      </c>
      <c r="AP691" s="197"/>
      <c r="AQ691" s="328"/>
      <c r="AR691" s="453"/>
      <c r="AS691" s="454"/>
      <c r="AT691" s="441" t="str">
        <f t="shared" si="1025"/>
        <v/>
      </c>
      <c r="AU691" s="328"/>
      <c r="AV691" s="197" t="str">
        <f>IF(AND($I691="x",AND(MAX(AR691:AT691)=AR691,AR691&lt;&gt;"")),Data!$BI$2,"")</f>
        <v/>
      </c>
      <c r="AW691" s="197" t="str">
        <f>IF(AND($J691="x",AND(MAX(AR691:AT691)=AS691,AS691&lt;&gt;"")),Data!$BJ$2,"")</f>
        <v/>
      </c>
      <c r="AX691" s="197" t="str">
        <f>IF(AND($K691="x",AND(MAX(AR691:AT691)=AT691,AT691&lt;&gt;"")),Data!$BK$2,"")</f>
        <v/>
      </c>
      <c r="AY691" s="197"/>
      <c r="AZ691" s="328"/>
      <c r="BA691" s="453"/>
      <c r="BB691" s="454"/>
      <c r="BC691" s="441" t="str">
        <f t="shared" si="1026"/>
        <v/>
      </c>
      <c r="BD691" s="328"/>
      <c r="BE691" s="197" t="str">
        <f>IF(AND($I691="x",AND(MAX(BA691:BC691)=BA691,BA691&lt;&gt;"")),Data!$BI$2,"")</f>
        <v/>
      </c>
      <c r="BF691" s="197" t="str">
        <f>IF(AND($J691="x",AND(MAX(BA691:BC691)=BB691,BB691&lt;&gt;"")),Data!$BJ$2,"")</f>
        <v/>
      </c>
      <c r="BG691" s="197" t="str">
        <f>IF(AND($K691="x",AND(MAX(BA691:BC691)=BC691,BC691&lt;&gt;"")),Data!$BK$2,"")</f>
        <v/>
      </c>
      <c r="BH691" s="197"/>
      <c r="BI691" s="328"/>
      <c r="BJ691" s="453"/>
      <c r="BK691" s="454"/>
      <c r="BL691" s="441" t="str">
        <f t="shared" si="1027"/>
        <v/>
      </c>
      <c r="BM691" s="328"/>
      <c r="BN691" s="197" t="str">
        <f>IF(AND($I691="x",AND(MAX(BJ691:BL691)=BJ691,BJ691&lt;&gt;"")),Data!$BI$2,"")</f>
        <v/>
      </c>
      <c r="BO691" s="197" t="str">
        <f>IF(AND($J691="x",AND(MAX(BJ691:BL691)=BK691,BK691&lt;&gt;"")),Data!$BJ$2,"")</f>
        <v/>
      </c>
      <c r="BP691" s="197" t="str">
        <f>IF(AND($K691="x",AND(MAX(BJ691:BL691)=BL691,BL691&lt;&gt;"")),Data!$BK$2,"")</f>
        <v/>
      </c>
      <c r="BQ691" s="197"/>
      <c r="BR691" s="328"/>
      <c r="BS691" s="453"/>
      <c r="BT691" s="454"/>
      <c r="BU691" s="441" t="str">
        <f t="shared" si="1028"/>
        <v/>
      </c>
      <c r="BV691" s="328"/>
      <c r="BW691" s="197" t="str">
        <f>IF(AND($I691="x",AND(MAX(BS691:BU691)=BS691,BS691&lt;&gt;"")),Data!$BI$2,"")</f>
        <v/>
      </c>
      <c r="BX691" s="197" t="str">
        <f>IF(AND($J691="x",AND(MAX(BS691:BU691)=BT691,BT691&lt;&gt;"")),Data!$BJ$2,"")</f>
        <v/>
      </c>
      <c r="BY691" s="197" t="str">
        <f>IF(AND($K691="x",AND(MAX(BS691:BU691)=BU691,BU691&lt;&gt;"")),Data!$BK$2,"")</f>
        <v/>
      </c>
      <c r="BZ691" s="197"/>
      <c r="CA691" s="328"/>
      <c r="CB691" s="460" t="str">
        <f t="shared" si="1029"/>
        <v/>
      </c>
      <c r="CC691" s="461" t="str">
        <f t="shared" si="1030"/>
        <v/>
      </c>
      <c r="CD691" s="462" t="str">
        <f t="shared" si="1031"/>
        <v/>
      </c>
      <c r="CE691" s="328"/>
      <c r="CF691" s="197" t="str">
        <f>IF(AND($I691="x",AND(MAX(CB691:CD691)=CB691,CB691&lt;&gt;"")),Data!$BI$2,"")</f>
        <v/>
      </c>
      <c r="CG691" s="197" t="str">
        <f>IF(AND($J691="x",AND(MAX(CB691:CD691)=CC691,CC691&lt;&gt;"")),Data!$BJ$2,"")</f>
        <v/>
      </c>
      <c r="CH691" s="197" t="str">
        <f>IF(AND($K691="x",AND(MAX(CB691:CD691)=CD691,CD691&lt;&gt;"")),Data!$BK$2,"")</f>
        <v/>
      </c>
      <c r="CI691" s="197"/>
      <c r="CJ691" s="197"/>
      <c r="CK691" s="453"/>
      <c r="CL691" s="454"/>
      <c r="CM691" s="441" t="str">
        <f t="shared" si="1032"/>
        <v/>
      </c>
      <c r="CN691" s="328"/>
      <c r="CO691" s="197" t="str">
        <f>IF(AND($I691="x",AND(MAX(CK691:CM691)=CK691,CK691&lt;&gt;"")),Data!$BI$2,"")</f>
        <v/>
      </c>
      <c r="CP691" s="197" t="str">
        <f>IF(AND($J691="x",AND(MAX(CK691:CM691)=CL691,CL691&lt;&gt;"")),Data!$BJ$2,"")</f>
        <v/>
      </c>
      <c r="CQ691" s="197" t="str">
        <f>IF(AND($K691="x",AND(MAX(CK691:CM691)=CM691,CM691&lt;&gt;"")),Data!$BK$2,"")</f>
        <v/>
      </c>
      <c r="CR691" s="197"/>
      <c r="CS691" s="197"/>
      <c r="CT691" s="328"/>
      <c r="CU691" s="255"/>
      <c r="CV691" s="209"/>
      <c r="CW691" s="227"/>
    </row>
    <row r="692" spans="1:101" x14ac:dyDescent="0.2">
      <c r="A692" s="227"/>
      <c r="B692" s="227"/>
      <c r="C692" s="168"/>
      <c r="D692" s="232"/>
      <c r="E692" s="136" t="s">
        <v>426</v>
      </c>
      <c r="F692" s="426"/>
      <c r="G692" s="432"/>
      <c r="H692" s="433"/>
      <c r="I692" s="349" t="str">
        <f t="shared" si="1019"/>
        <v/>
      </c>
      <c r="J692" s="350" t="str">
        <f t="shared" si="1020"/>
        <v/>
      </c>
      <c r="K692" s="351" t="str">
        <f t="shared" si="1021"/>
        <v/>
      </c>
      <c r="L692" s="258"/>
      <c r="M692" s="332"/>
      <c r="N692" s="336"/>
      <c r="O692" s="200"/>
      <c r="P692" s="200"/>
      <c r="Q692" s="442"/>
      <c r="R692" s="443"/>
      <c r="S692" s="444" t="str">
        <f t="shared" si="1022"/>
        <v/>
      </c>
      <c r="T692" s="328"/>
      <c r="U692" s="197" t="str">
        <f>IF(AND($I692="x",AND(MAX(Q692:S692)=Q692,Q692&gt;=0)),Data!$BI$2,"")</f>
        <v/>
      </c>
      <c r="V692" s="197" t="str">
        <f>IF(AND($J692="x",AND(MAX(Q692:S692)=R692,R692&gt;=0)),Data!$BJ$2,"")</f>
        <v/>
      </c>
      <c r="W692" s="197" t="str">
        <f>IF(AND($K692="x",AND(MAX(Q692:S692)=S692,S692&gt;=0)),Data!$BK$2,"")</f>
        <v/>
      </c>
      <c r="X692" s="197"/>
      <c r="Y692" s="328"/>
      <c r="Z692" s="455"/>
      <c r="AA692" s="456"/>
      <c r="AB692" s="444" t="str">
        <f t="shared" si="1023"/>
        <v/>
      </c>
      <c r="AC692" s="328"/>
      <c r="AD692" s="197" t="str">
        <f>IF(AND($I692="x",AND(MAX(Z692:AB692)=Z692,Z692&lt;&gt;"")),Data!$BI$2,"")</f>
        <v/>
      </c>
      <c r="AE692" s="197" t="str">
        <f>IF(AND($J692="x",AND(MAX(Z692:AB692)=AA692,AA692&lt;&gt;"")),Data!$BJ$2,"")</f>
        <v/>
      </c>
      <c r="AF692" s="197" t="str">
        <f>IF(AND($K692="x",AND(MAX(Z692:AB692)=AB692,AB692&lt;&gt;"")),Data!$BK$2,"")</f>
        <v/>
      </c>
      <c r="AG692" s="197"/>
      <c r="AH692" s="328"/>
      <c r="AI692" s="455"/>
      <c r="AJ692" s="456"/>
      <c r="AK692" s="444" t="str">
        <f t="shared" si="1024"/>
        <v/>
      </c>
      <c r="AL692" s="328"/>
      <c r="AM692" s="197" t="str">
        <f>IF(AND($I692="x",AND(MAX(AI692:AK692)=AI692,AI692&lt;&gt;"")),Data!$BI$2,"")</f>
        <v/>
      </c>
      <c r="AN692" s="197" t="str">
        <f>IF(AND($J692="x",AND(MAX(AI692:AK692)=AJ692,AJ692&lt;&gt;"")),Data!$BJ$2,"")</f>
        <v/>
      </c>
      <c r="AO692" s="197" t="str">
        <f>IF(AND($K692="x",AND(MAX(AI692:AK692)=AK692,AK692&lt;&gt;"")),Data!$BK$2,"")</f>
        <v/>
      </c>
      <c r="AP692" s="197"/>
      <c r="AQ692" s="328"/>
      <c r="AR692" s="455"/>
      <c r="AS692" s="456"/>
      <c r="AT692" s="444" t="str">
        <f t="shared" si="1025"/>
        <v/>
      </c>
      <c r="AU692" s="328"/>
      <c r="AV692" s="197" t="str">
        <f>IF(AND($I692="x",AND(MAX(AR692:AT692)=AR692,AR692&lt;&gt;"")),Data!$BI$2,"")</f>
        <v/>
      </c>
      <c r="AW692" s="197" t="str">
        <f>IF(AND($J692="x",AND(MAX(AR692:AT692)=AS692,AS692&lt;&gt;"")),Data!$BJ$2,"")</f>
        <v/>
      </c>
      <c r="AX692" s="197" t="str">
        <f>IF(AND($K692="x",AND(MAX(AR692:AT692)=AT692,AT692&lt;&gt;"")),Data!$BK$2,"")</f>
        <v/>
      </c>
      <c r="AY692" s="197"/>
      <c r="AZ692" s="328"/>
      <c r="BA692" s="455"/>
      <c r="BB692" s="456"/>
      <c r="BC692" s="444" t="str">
        <f t="shared" si="1026"/>
        <v/>
      </c>
      <c r="BD692" s="328"/>
      <c r="BE692" s="197" t="str">
        <f>IF(AND($I692="x",AND(MAX(BA692:BC692)=BA692,BA692&lt;&gt;"")),Data!$BI$2,"")</f>
        <v/>
      </c>
      <c r="BF692" s="197" t="str">
        <f>IF(AND($J692="x",AND(MAX(BA692:BC692)=BB692,BB692&lt;&gt;"")),Data!$BJ$2,"")</f>
        <v/>
      </c>
      <c r="BG692" s="197" t="str">
        <f>IF(AND($K692="x",AND(MAX(BA692:BC692)=BC692,BC692&lt;&gt;"")),Data!$BK$2,"")</f>
        <v/>
      </c>
      <c r="BH692" s="197"/>
      <c r="BI692" s="328"/>
      <c r="BJ692" s="455"/>
      <c r="BK692" s="456"/>
      <c r="BL692" s="444" t="str">
        <f t="shared" si="1027"/>
        <v/>
      </c>
      <c r="BM692" s="328"/>
      <c r="BN692" s="197" t="str">
        <f>IF(AND($I692="x",AND(MAX(BJ692:BL692)=BJ692,BJ692&lt;&gt;"")),Data!$BI$2,"")</f>
        <v/>
      </c>
      <c r="BO692" s="197" t="str">
        <f>IF(AND($J692="x",AND(MAX(BJ692:BL692)=BK692,BK692&lt;&gt;"")),Data!$BJ$2,"")</f>
        <v/>
      </c>
      <c r="BP692" s="197" t="str">
        <f>IF(AND($K692="x",AND(MAX(BJ692:BL692)=BL692,BL692&lt;&gt;"")),Data!$BK$2,"")</f>
        <v/>
      </c>
      <c r="BQ692" s="197"/>
      <c r="BR692" s="328"/>
      <c r="BS692" s="455"/>
      <c r="BT692" s="456"/>
      <c r="BU692" s="444" t="str">
        <f t="shared" si="1028"/>
        <v/>
      </c>
      <c r="BV692" s="328"/>
      <c r="BW692" s="197" t="str">
        <f>IF(AND($I692="x",AND(MAX(BS692:BU692)=BS692,BS692&lt;&gt;"")),Data!$BI$2,"")</f>
        <v/>
      </c>
      <c r="BX692" s="197" t="str">
        <f>IF(AND($J692="x",AND(MAX(BS692:BU692)=BT692,BT692&lt;&gt;"")),Data!$BJ$2,"")</f>
        <v/>
      </c>
      <c r="BY692" s="197" t="str">
        <f>IF(AND($K692="x",AND(MAX(BS692:BU692)=BU692,BU692&lt;&gt;"")),Data!$BK$2,"")</f>
        <v/>
      </c>
      <c r="BZ692" s="197"/>
      <c r="CA692" s="328"/>
      <c r="CB692" s="463" t="str">
        <f t="shared" si="1029"/>
        <v/>
      </c>
      <c r="CC692" s="464" t="str">
        <f t="shared" si="1030"/>
        <v/>
      </c>
      <c r="CD692" s="465" t="str">
        <f t="shared" si="1031"/>
        <v/>
      </c>
      <c r="CE692" s="328"/>
      <c r="CF692" s="197" t="str">
        <f>IF(AND($I692="x",AND(MAX(CB692:CD692)=CB692,CB692&lt;&gt;"")),Data!$BI$2,"")</f>
        <v/>
      </c>
      <c r="CG692" s="197" t="str">
        <f>IF(AND($J692="x",AND(MAX(CB692:CD692)=CC692,CC692&lt;&gt;"")),Data!$BJ$2,"")</f>
        <v/>
      </c>
      <c r="CH692" s="197" t="str">
        <f>IF(AND($K692="x",AND(MAX(CB692:CD692)=CD692,CD692&lt;&gt;"")),Data!$BK$2,"")</f>
        <v/>
      </c>
      <c r="CI692" s="197"/>
      <c r="CJ692" s="197"/>
      <c r="CK692" s="455"/>
      <c r="CL692" s="456"/>
      <c r="CM692" s="444" t="str">
        <f t="shared" si="1032"/>
        <v/>
      </c>
      <c r="CN692" s="328"/>
      <c r="CO692" s="197" t="str">
        <f>IF(AND($I692="x",AND(MAX(CK692:CM692)=CK692,CK692&lt;&gt;"")),Data!$BI$2,"")</f>
        <v/>
      </c>
      <c r="CP692" s="197" t="str">
        <f>IF(AND($J692="x",AND(MAX(CK692:CM692)=CL692,CL692&lt;&gt;"")),Data!$BJ$2,"")</f>
        <v/>
      </c>
      <c r="CQ692" s="197" t="str">
        <f>IF(AND($K692="x",AND(MAX(CK692:CM692)=CM692,CM692&lt;&gt;"")),Data!$BK$2,"")</f>
        <v/>
      </c>
      <c r="CR692" s="197"/>
      <c r="CS692" s="197"/>
      <c r="CT692" s="328"/>
      <c r="CU692" s="255"/>
      <c r="CV692" s="209"/>
      <c r="CW692" s="227"/>
    </row>
    <row r="693" spans="1:101" x14ac:dyDescent="0.2">
      <c r="A693" s="227"/>
      <c r="B693" s="227"/>
      <c r="C693" s="168"/>
      <c r="D693" s="232"/>
      <c r="E693" s="134" t="s">
        <v>427</v>
      </c>
      <c r="F693" s="424"/>
      <c r="G693" s="428"/>
      <c r="H693" s="429"/>
      <c r="I693" s="138" t="str">
        <f t="shared" si="1019"/>
        <v/>
      </c>
      <c r="J693" s="344" t="str">
        <f t="shared" si="1020"/>
        <v/>
      </c>
      <c r="K693" s="345" t="str">
        <f t="shared" si="1021"/>
        <v/>
      </c>
      <c r="L693" s="258"/>
      <c r="M693" s="332"/>
      <c r="N693" s="336"/>
      <c r="O693" s="200"/>
      <c r="P693" s="200"/>
      <c r="Q693" s="436"/>
      <c r="R693" s="437"/>
      <c r="S693" s="438" t="str">
        <f t="shared" si="1022"/>
        <v/>
      </c>
      <c r="T693" s="328"/>
      <c r="U693" s="197" t="str">
        <f>IF(AND($I693="x",AND(MAX(Q693:S693)=Q693,Q693&gt;=0)),Data!$BI$2,"")</f>
        <v/>
      </c>
      <c r="V693" s="197" t="str">
        <f>IF(AND($J693="x",AND(MAX(Q693:S693)=R693,R693&gt;=0)),Data!$BJ$2,"")</f>
        <v/>
      </c>
      <c r="W693" s="197" t="str">
        <f>IF(AND($K693="x",AND(MAX(Q693:S693)=S693,S693&gt;=0)),Data!$BK$2,"")</f>
        <v/>
      </c>
      <c r="X693" s="197"/>
      <c r="Y693" s="328"/>
      <c r="Z693" s="451"/>
      <c r="AA693" s="452"/>
      <c r="AB693" s="438" t="str">
        <f t="shared" si="1023"/>
        <v/>
      </c>
      <c r="AC693" s="328"/>
      <c r="AD693" s="197" t="str">
        <f>IF(AND($I693="x",AND(MAX(Z693:AB693)=Z693,Z693&lt;&gt;"")),Data!$BI$2,"")</f>
        <v/>
      </c>
      <c r="AE693" s="197" t="str">
        <f>IF(AND($J693="x",AND(MAX(Z693:AB693)=AA693,AA693&lt;&gt;"")),Data!$BJ$2,"")</f>
        <v/>
      </c>
      <c r="AF693" s="197" t="str">
        <f>IF(AND($K693="x",AND(MAX(Z693:AB693)=AB693,AB693&lt;&gt;"")),Data!$BK$2,"")</f>
        <v/>
      </c>
      <c r="AG693" s="197"/>
      <c r="AH693" s="328"/>
      <c r="AI693" s="451"/>
      <c r="AJ693" s="452"/>
      <c r="AK693" s="438" t="str">
        <f t="shared" si="1024"/>
        <v/>
      </c>
      <c r="AL693" s="328"/>
      <c r="AM693" s="197" t="str">
        <f>IF(AND($I693="x",AND(MAX(AI693:AK693)=AI693,AI693&lt;&gt;"")),Data!$BI$2,"")</f>
        <v/>
      </c>
      <c r="AN693" s="197" t="str">
        <f>IF(AND($J693="x",AND(MAX(AI693:AK693)=AJ693,AJ693&lt;&gt;"")),Data!$BJ$2,"")</f>
        <v/>
      </c>
      <c r="AO693" s="197" t="str">
        <f>IF(AND($K693="x",AND(MAX(AI693:AK693)=AK693,AK693&lt;&gt;"")),Data!$BK$2,"")</f>
        <v/>
      </c>
      <c r="AP693" s="197"/>
      <c r="AQ693" s="328"/>
      <c r="AR693" s="451"/>
      <c r="AS693" s="452"/>
      <c r="AT693" s="438" t="str">
        <f t="shared" si="1025"/>
        <v/>
      </c>
      <c r="AU693" s="328"/>
      <c r="AV693" s="197" t="str">
        <f>IF(AND($I693="x",AND(MAX(AR693:AT693)=AR693,AR693&lt;&gt;"")),Data!$BI$2,"")</f>
        <v/>
      </c>
      <c r="AW693" s="197" t="str">
        <f>IF(AND($J693="x",AND(MAX(AR693:AT693)=AS693,AS693&lt;&gt;"")),Data!$BJ$2,"")</f>
        <v/>
      </c>
      <c r="AX693" s="197" t="str">
        <f>IF(AND($K693="x",AND(MAX(AR693:AT693)=AT693,AT693&lt;&gt;"")),Data!$BK$2,"")</f>
        <v/>
      </c>
      <c r="AY693" s="197"/>
      <c r="AZ693" s="328"/>
      <c r="BA693" s="451"/>
      <c r="BB693" s="452"/>
      <c r="BC693" s="438" t="str">
        <f t="shared" si="1026"/>
        <v/>
      </c>
      <c r="BD693" s="328"/>
      <c r="BE693" s="197" t="str">
        <f>IF(AND($I693="x",AND(MAX(BA693:BC693)=BA693,BA693&lt;&gt;"")),Data!$BI$2,"")</f>
        <v/>
      </c>
      <c r="BF693" s="197" t="str">
        <f>IF(AND($J693="x",AND(MAX(BA693:BC693)=BB693,BB693&lt;&gt;"")),Data!$BJ$2,"")</f>
        <v/>
      </c>
      <c r="BG693" s="197" t="str">
        <f>IF(AND($K693="x",AND(MAX(BA693:BC693)=BC693,BC693&lt;&gt;"")),Data!$BK$2,"")</f>
        <v/>
      </c>
      <c r="BH693" s="197"/>
      <c r="BI693" s="328"/>
      <c r="BJ693" s="451"/>
      <c r="BK693" s="452"/>
      <c r="BL693" s="438" t="str">
        <f t="shared" si="1027"/>
        <v/>
      </c>
      <c r="BM693" s="328"/>
      <c r="BN693" s="197" t="str">
        <f>IF(AND($I693="x",AND(MAX(BJ693:BL693)=BJ693,BJ693&lt;&gt;"")),Data!$BI$2,"")</f>
        <v/>
      </c>
      <c r="BO693" s="197" t="str">
        <f>IF(AND($J693="x",AND(MAX(BJ693:BL693)=BK693,BK693&lt;&gt;"")),Data!$BJ$2,"")</f>
        <v/>
      </c>
      <c r="BP693" s="197" t="str">
        <f>IF(AND($K693="x",AND(MAX(BJ693:BL693)=BL693,BL693&lt;&gt;"")),Data!$BK$2,"")</f>
        <v/>
      </c>
      <c r="BQ693" s="197"/>
      <c r="BR693" s="328"/>
      <c r="BS693" s="451"/>
      <c r="BT693" s="452"/>
      <c r="BU693" s="438" t="str">
        <f t="shared" si="1028"/>
        <v/>
      </c>
      <c r="BV693" s="328"/>
      <c r="BW693" s="197" t="str">
        <f>IF(AND($I693="x",AND(MAX(BS693:BU693)=BS693,BS693&lt;&gt;"")),Data!$BI$2,"")</f>
        <v/>
      </c>
      <c r="BX693" s="197" t="str">
        <f>IF(AND($J693="x",AND(MAX(BS693:BU693)=BT693,BT693&lt;&gt;"")),Data!$BJ$2,"")</f>
        <v/>
      </c>
      <c r="BY693" s="197" t="str">
        <f>IF(AND($K693="x",AND(MAX(BS693:BU693)=BU693,BU693&lt;&gt;"")),Data!$BK$2,"")</f>
        <v/>
      </c>
      <c r="BZ693" s="197"/>
      <c r="CA693" s="328"/>
      <c r="CB693" s="457" t="str">
        <f t="shared" si="1029"/>
        <v/>
      </c>
      <c r="CC693" s="458" t="str">
        <f t="shared" si="1030"/>
        <v/>
      </c>
      <c r="CD693" s="459" t="str">
        <f t="shared" si="1031"/>
        <v/>
      </c>
      <c r="CE693" s="328"/>
      <c r="CF693" s="197" t="str">
        <f>IF(AND($I693="x",AND(MAX(CB693:CD693)=CB693,CB693&lt;&gt;"")),Data!$BI$2,"")</f>
        <v/>
      </c>
      <c r="CG693" s="197" t="str">
        <f>IF(AND($J693="x",AND(MAX(CB693:CD693)=CC693,CC693&lt;&gt;"")),Data!$BJ$2,"")</f>
        <v/>
      </c>
      <c r="CH693" s="197" t="str">
        <f>IF(AND($K693="x",AND(MAX(CB693:CD693)=CD693,CD693&lt;&gt;"")),Data!$BK$2,"")</f>
        <v/>
      </c>
      <c r="CI693" s="197"/>
      <c r="CJ693" s="197"/>
      <c r="CK693" s="451"/>
      <c r="CL693" s="452"/>
      <c r="CM693" s="438" t="str">
        <f t="shared" si="1032"/>
        <v/>
      </c>
      <c r="CN693" s="328"/>
      <c r="CO693" s="197" t="str">
        <f>IF(AND($I693="x",AND(MAX(CK693:CM693)=CK693,CK693&lt;&gt;"")),Data!$BI$2,"")</f>
        <v/>
      </c>
      <c r="CP693" s="197" t="str">
        <f>IF(AND($J693="x",AND(MAX(CK693:CM693)=CL693,CL693&lt;&gt;"")),Data!$BJ$2,"")</f>
        <v/>
      </c>
      <c r="CQ693" s="197" t="str">
        <f>IF(AND($K693="x",AND(MAX(CK693:CM693)=CM693,CM693&lt;&gt;"")),Data!$BK$2,"")</f>
        <v/>
      </c>
      <c r="CR693" s="197"/>
      <c r="CS693" s="197"/>
      <c r="CT693" s="328"/>
      <c r="CU693" s="255"/>
      <c r="CV693" s="209"/>
      <c r="CW693" s="227"/>
    </row>
    <row r="694" spans="1:101" x14ac:dyDescent="0.2">
      <c r="A694" s="227"/>
      <c r="B694" s="227"/>
      <c r="C694" s="168"/>
      <c r="D694" s="232"/>
      <c r="E694" s="135" t="s">
        <v>428</v>
      </c>
      <c r="F694" s="425"/>
      <c r="G694" s="430"/>
      <c r="H694" s="431"/>
      <c r="I694" s="346" t="str">
        <f t="shared" si="1019"/>
        <v/>
      </c>
      <c r="J694" s="347" t="str">
        <f t="shared" si="1020"/>
        <v/>
      </c>
      <c r="K694" s="348" t="str">
        <f t="shared" si="1021"/>
        <v/>
      </c>
      <c r="L694" s="258"/>
      <c r="M694" s="332"/>
      <c r="N694" s="336"/>
      <c r="O694" s="200"/>
      <c r="P694" s="200"/>
      <c r="Q694" s="439"/>
      <c r="R694" s="440"/>
      <c r="S694" s="441" t="str">
        <f t="shared" si="1022"/>
        <v/>
      </c>
      <c r="T694" s="328"/>
      <c r="U694" s="197" t="str">
        <f>IF(AND($I694="x",AND(MAX(Q694:S694)=Q694,Q694&gt;=0)),Data!$BI$2,"")</f>
        <v/>
      </c>
      <c r="V694" s="197" t="str">
        <f>IF(AND($J694="x",AND(MAX(Q694:S694)=R694,R694&gt;=0)),Data!$BJ$2,"")</f>
        <v/>
      </c>
      <c r="W694" s="197" t="str">
        <f>IF(AND($K694="x",AND(MAX(Q694:S694)=S694,S694&gt;=0)),Data!$BK$2,"")</f>
        <v/>
      </c>
      <c r="X694" s="197"/>
      <c r="Y694" s="328"/>
      <c r="Z694" s="453"/>
      <c r="AA694" s="454"/>
      <c r="AB694" s="441" t="str">
        <f t="shared" si="1023"/>
        <v/>
      </c>
      <c r="AC694" s="328"/>
      <c r="AD694" s="197" t="str">
        <f>IF(AND($I694="x",AND(MAX(Z694:AB694)=Z694,Z694&lt;&gt;"")),Data!$BI$2,"")</f>
        <v/>
      </c>
      <c r="AE694" s="197" t="str">
        <f>IF(AND($J694="x",AND(MAX(Z694:AB694)=AA694,AA694&lt;&gt;"")),Data!$BJ$2,"")</f>
        <v/>
      </c>
      <c r="AF694" s="197" t="str">
        <f>IF(AND($K694="x",AND(MAX(Z694:AB694)=AB694,AB694&lt;&gt;"")),Data!$BK$2,"")</f>
        <v/>
      </c>
      <c r="AG694" s="197"/>
      <c r="AH694" s="328"/>
      <c r="AI694" s="453"/>
      <c r="AJ694" s="454"/>
      <c r="AK694" s="441" t="str">
        <f t="shared" si="1024"/>
        <v/>
      </c>
      <c r="AL694" s="328"/>
      <c r="AM694" s="197" t="str">
        <f>IF(AND($I694="x",AND(MAX(AI694:AK694)=AI694,AI694&lt;&gt;"")),Data!$BI$2,"")</f>
        <v/>
      </c>
      <c r="AN694" s="197" t="str">
        <f>IF(AND($J694="x",AND(MAX(AI694:AK694)=AJ694,AJ694&lt;&gt;"")),Data!$BJ$2,"")</f>
        <v/>
      </c>
      <c r="AO694" s="197" t="str">
        <f>IF(AND($K694="x",AND(MAX(AI694:AK694)=AK694,AK694&lt;&gt;"")),Data!$BK$2,"")</f>
        <v/>
      </c>
      <c r="AP694" s="197"/>
      <c r="AQ694" s="328"/>
      <c r="AR694" s="453"/>
      <c r="AS694" s="454"/>
      <c r="AT694" s="441" t="str">
        <f t="shared" si="1025"/>
        <v/>
      </c>
      <c r="AU694" s="328"/>
      <c r="AV694" s="197" t="str">
        <f>IF(AND($I694="x",AND(MAX(AR694:AT694)=AR694,AR694&lt;&gt;"")),Data!$BI$2,"")</f>
        <v/>
      </c>
      <c r="AW694" s="197" t="str">
        <f>IF(AND($J694="x",AND(MAX(AR694:AT694)=AS694,AS694&lt;&gt;"")),Data!$BJ$2,"")</f>
        <v/>
      </c>
      <c r="AX694" s="197" t="str">
        <f>IF(AND($K694="x",AND(MAX(AR694:AT694)=AT694,AT694&lt;&gt;"")),Data!$BK$2,"")</f>
        <v/>
      </c>
      <c r="AY694" s="197"/>
      <c r="AZ694" s="328"/>
      <c r="BA694" s="453"/>
      <c r="BB694" s="454"/>
      <c r="BC694" s="441" t="str">
        <f t="shared" si="1026"/>
        <v/>
      </c>
      <c r="BD694" s="328"/>
      <c r="BE694" s="197" t="str">
        <f>IF(AND($I694="x",AND(MAX(BA694:BC694)=BA694,BA694&lt;&gt;"")),Data!$BI$2,"")</f>
        <v/>
      </c>
      <c r="BF694" s="197" t="str">
        <f>IF(AND($J694="x",AND(MAX(BA694:BC694)=BB694,BB694&lt;&gt;"")),Data!$BJ$2,"")</f>
        <v/>
      </c>
      <c r="BG694" s="197" t="str">
        <f>IF(AND($K694="x",AND(MAX(BA694:BC694)=BC694,BC694&lt;&gt;"")),Data!$BK$2,"")</f>
        <v/>
      </c>
      <c r="BH694" s="197"/>
      <c r="BI694" s="328"/>
      <c r="BJ694" s="453"/>
      <c r="BK694" s="454"/>
      <c r="BL694" s="441" t="str">
        <f t="shared" si="1027"/>
        <v/>
      </c>
      <c r="BM694" s="328"/>
      <c r="BN694" s="197" t="str">
        <f>IF(AND($I694="x",AND(MAX(BJ694:BL694)=BJ694,BJ694&lt;&gt;"")),Data!$BI$2,"")</f>
        <v/>
      </c>
      <c r="BO694" s="197" t="str">
        <f>IF(AND($J694="x",AND(MAX(BJ694:BL694)=BK694,BK694&lt;&gt;"")),Data!$BJ$2,"")</f>
        <v/>
      </c>
      <c r="BP694" s="197" t="str">
        <f>IF(AND($K694="x",AND(MAX(BJ694:BL694)=BL694,BL694&lt;&gt;"")),Data!$BK$2,"")</f>
        <v/>
      </c>
      <c r="BQ694" s="197"/>
      <c r="BR694" s="328"/>
      <c r="BS694" s="453"/>
      <c r="BT694" s="454"/>
      <c r="BU694" s="441" t="str">
        <f t="shared" si="1028"/>
        <v/>
      </c>
      <c r="BV694" s="328"/>
      <c r="BW694" s="197" t="str">
        <f>IF(AND($I694="x",AND(MAX(BS694:BU694)=BS694,BS694&lt;&gt;"")),Data!$BI$2,"")</f>
        <v/>
      </c>
      <c r="BX694" s="197" t="str">
        <f>IF(AND($J694="x",AND(MAX(BS694:BU694)=BT694,BT694&lt;&gt;"")),Data!$BJ$2,"")</f>
        <v/>
      </c>
      <c r="BY694" s="197" t="str">
        <f>IF(AND($K694="x",AND(MAX(BS694:BU694)=BU694,BU694&lt;&gt;"")),Data!$BK$2,"")</f>
        <v/>
      </c>
      <c r="BZ694" s="197"/>
      <c r="CA694" s="328"/>
      <c r="CB694" s="460" t="str">
        <f t="shared" si="1029"/>
        <v/>
      </c>
      <c r="CC694" s="461" t="str">
        <f t="shared" si="1030"/>
        <v/>
      </c>
      <c r="CD694" s="462" t="str">
        <f t="shared" si="1031"/>
        <v/>
      </c>
      <c r="CE694" s="328"/>
      <c r="CF694" s="197" t="str">
        <f>IF(AND($I694="x",AND(MAX(CB694:CD694)=CB694,CB694&lt;&gt;"")),Data!$BI$2,"")</f>
        <v/>
      </c>
      <c r="CG694" s="197" t="str">
        <f>IF(AND($J694="x",AND(MAX(CB694:CD694)=CC694,CC694&lt;&gt;"")),Data!$BJ$2,"")</f>
        <v/>
      </c>
      <c r="CH694" s="197" t="str">
        <f>IF(AND($K694="x",AND(MAX(CB694:CD694)=CD694,CD694&lt;&gt;"")),Data!$BK$2,"")</f>
        <v/>
      </c>
      <c r="CI694" s="197"/>
      <c r="CJ694" s="197"/>
      <c r="CK694" s="453"/>
      <c r="CL694" s="454"/>
      <c r="CM694" s="441" t="str">
        <f t="shared" si="1032"/>
        <v/>
      </c>
      <c r="CN694" s="328"/>
      <c r="CO694" s="197" t="str">
        <f>IF(AND($I694="x",AND(MAX(CK694:CM694)=CK694,CK694&lt;&gt;"")),Data!$BI$2,"")</f>
        <v/>
      </c>
      <c r="CP694" s="197" t="str">
        <f>IF(AND($J694="x",AND(MAX(CK694:CM694)=CL694,CL694&lt;&gt;"")),Data!$BJ$2,"")</f>
        <v/>
      </c>
      <c r="CQ694" s="197" t="str">
        <f>IF(AND($K694="x",AND(MAX(CK694:CM694)=CM694,CM694&lt;&gt;"")),Data!$BK$2,"")</f>
        <v/>
      </c>
      <c r="CR694" s="197"/>
      <c r="CS694" s="197"/>
      <c r="CT694" s="328"/>
      <c r="CU694" s="255"/>
      <c r="CV694" s="209"/>
      <c r="CW694" s="227"/>
    </row>
    <row r="695" spans="1:101" x14ac:dyDescent="0.2">
      <c r="A695" s="227"/>
      <c r="B695" s="227"/>
      <c r="C695" s="168"/>
      <c r="D695" s="232"/>
      <c r="E695" s="136" t="s">
        <v>429</v>
      </c>
      <c r="F695" s="426"/>
      <c r="G695" s="432"/>
      <c r="H695" s="433"/>
      <c r="I695" s="349" t="str">
        <f t="shared" si="1019"/>
        <v/>
      </c>
      <c r="J695" s="350" t="str">
        <f t="shared" si="1020"/>
        <v/>
      </c>
      <c r="K695" s="351" t="str">
        <f t="shared" si="1021"/>
        <v/>
      </c>
      <c r="L695" s="258"/>
      <c r="M695" s="332"/>
      <c r="N695" s="336"/>
      <c r="O695" s="200"/>
      <c r="P695" s="200"/>
      <c r="Q695" s="445"/>
      <c r="R695" s="446"/>
      <c r="S695" s="447" t="str">
        <f t="shared" si="1022"/>
        <v/>
      </c>
      <c r="T695" s="328"/>
      <c r="U695" s="197" t="str">
        <f>IF(AND($I695="x",AND(MAX(Q695:S695)=Q695,Q695&gt;=0)),Data!$BI$2,"")</f>
        <v/>
      </c>
      <c r="V695" s="197" t="str">
        <f>IF(AND($J695="x",AND(MAX(Q695:S695)=R695,R695&gt;=0)),Data!$BJ$2,"")</f>
        <v/>
      </c>
      <c r="W695" s="197" t="str">
        <f>IF(AND($K695="x",AND(MAX(Q695:S695)=S695,S695&gt;=0)),Data!$BK$2,"")</f>
        <v/>
      </c>
      <c r="X695" s="197"/>
      <c r="Y695" s="328"/>
      <c r="Z695" s="455"/>
      <c r="AA695" s="456"/>
      <c r="AB695" s="447" t="str">
        <f t="shared" si="1023"/>
        <v/>
      </c>
      <c r="AC695" s="328"/>
      <c r="AD695" s="197" t="str">
        <f>IF(AND($I695="x",AND(MAX(Z695:AB695)=Z695,Z695&lt;&gt;"")),Data!$BI$2,"")</f>
        <v/>
      </c>
      <c r="AE695" s="197" t="str">
        <f>IF(AND($J695="x",AND(MAX(Z695:AB695)=AA695,AA695&lt;&gt;"")),Data!$BJ$2,"")</f>
        <v/>
      </c>
      <c r="AF695" s="197" t="str">
        <f>IF(AND($K695="x",AND(MAX(Z695:AB695)=AB695,AB695&lt;&gt;"")),Data!$BK$2,"")</f>
        <v/>
      </c>
      <c r="AG695" s="197"/>
      <c r="AH695" s="328"/>
      <c r="AI695" s="455"/>
      <c r="AJ695" s="456"/>
      <c r="AK695" s="447" t="str">
        <f t="shared" si="1024"/>
        <v/>
      </c>
      <c r="AL695" s="328"/>
      <c r="AM695" s="197" t="str">
        <f>IF(AND($I695="x",AND(MAX(AI695:AK695)=AI695,AI695&lt;&gt;"")),Data!$BI$2,"")</f>
        <v/>
      </c>
      <c r="AN695" s="197" t="str">
        <f>IF(AND($J695="x",AND(MAX(AI695:AK695)=AJ695,AJ695&lt;&gt;"")),Data!$BJ$2,"")</f>
        <v/>
      </c>
      <c r="AO695" s="197" t="str">
        <f>IF(AND($K695="x",AND(MAX(AI695:AK695)=AK695,AK695&lt;&gt;"")),Data!$BK$2,"")</f>
        <v/>
      </c>
      <c r="AP695" s="197"/>
      <c r="AQ695" s="328"/>
      <c r="AR695" s="455"/>
      <c r="AS695" s="456"/>
      <c r="AT695" s="447" t="str">
        <f t="shared" si="1025"/>
        <v/>
      </c>
      <c r="AU695" s="328"/>
      <c r="AV695" s="197" t="str">
        <f>IF(AND($I695="x",AND(MAX(AR695:AT695)=AR695,AR695&lt;&gt;"")),Data!$BI$2,"")</f>
        <v/>
      </c>
      <c r="AW695" s="197" t="str">
        <f>IF(AND($J695="x",AND(MAX(AR695:AT695)=AS695,AS695&lt;&gt;"")),Data!$BJ$2,"")</f>
        <v/>
      </c>
      <c r="AX695" s="197" t="str">
        <f>IF(AND($K695="x",AND(MAX(AR695:AT695)=AT695,AT695&lt;&gt;"")),Data!$BK$2,"")</f>
        <v/>
      </c>
      <c r="AY695" s="197"/>
      <c r="AZ695" s="328"/>
      <c r="BA695" s="455"/>
      <c r="BB695" s="456"/>
      <c r="BC695" s="447" t="str">
        <f t="shared" si="1026"/>
        <v/>
      </c>
      <c r="BD695" s="328"/>
      <c r="BE695" s="197" t="str">
        <f>IF(AND($I695="x",AND(MAX(BA695:BC695)=BA695,BA695&lt;&gt;"")),Data!$BI$2,"")</f>
        <v/>
      </c>
      <c r="BF695" s="197" t="str">
        <f>IF(AND($J695="x",AND(MAX(BA695:BC695)=BB695,BB695&lt;&gt;"")),Data!$BJ$2,"")</f>
        <v/>
      </c>
      <c r="BG695" s="197" t="str">
        <f>IF(AND($K695="x",AND(MAX(BA695:BC695)=BC695,BC695&lt;&gt;"")),Data!$BK$2,"")</f>
        <v/>
      </c>
      <c r="BH695" s="197"/>
      <c r="BI695" s="328"/>
      <c r="BJ695" s="455"/>
      <c r="BK695" s="456"/>
      <c r="BL695" s="447" t="str">
        <f t="shared" si="1027"/>
        <v/>
      </c>
      <c r="BM695" s="328"/>
      <c r="BN695" s="197" t="str">
        <f>IF(AND($I695="x",AND(MAX(BJ695:BL695)=BJ695,BJ695&lt;&gt;"")),Data!$BI$2,"")</f>
        <v/>
      </c>
      <c r="BO695" s="197" t="str">
        <f>IF(AND($J695="x",AND(MAX(BJ695:BL695)=BK695,BK695&lt;&gt;"")),Data!$BJ$2,"")</f>
        <v/>
      </c>
      <c r="BP695" s="197" t="str">
        <f>IF(AND($K695="x",AND(MAX(BJ695:BL695)=BL695,BL695&lt;&gt;"")),Data!$BK$2,"")</f>
        <v/>
      </c>
      <c r="BQ695" s="197"/>
      <c r="BR695" s="328"/>
      <c r="BS695" s="455"/>
      <c r="BT695" s="456"/>
      <c r="BU695" s="447" t="str">
        <f t="shared" si="1028"/>
        <v/>
      </c>
      <c r="BV695" s="328"/>
      <c r="BW695" s="197" t="str">
        <f>IF(AND($I695="x",AND(MAX(BS695:BU695)=BS695,BS695&lt;&gt;"")),Data!$BI$2,"")</f>
        <v/>
      </c>
      <c r="BX695" s="197" t="str">
        <f>IF(AND($J695="x",AND(MAX(BS695:BU695)=BT695,BT695&lt;&gt;"")),Data!$BJ$2,"")</f>
        <v/>
      </c>
      <c r="BY695" s="197" t="str">
        <f>IF(AND($K695="x",AND(MAX(BS695:BU695)=BU695,BU695&lt;&gt;"")),Data!$BK$2,"")</f>
        <v/>
      </c>
      <c r="BZ695" s="197"/>
      <c r="CA695" s="328"/>
      <c r="CB695" s="463" t="str">
        <f t="shared" si="1029"/>
        <v/>
      </c>
      <c r="CC695" s="464" t="str">
        <f t="shared" si="1030"/>
        <v/>
      </c>
      <c r="CD695" s="465" t="str">
        <f t="shared" si="1031"/>
        <v/>
      </c>
      <c r="CE695" s="328"/>
      <c r="CF695" s="197" t="str">
        <f>IF(AND($I695="x",AND(MAX(CB695:CD695)=CB695,CB695&lt;&gt;"")),Data!$BI$2,"")</f>
        <v/>
      </c>
      <c r="CG695" s="197" t="str">
        <f>IF(AND($J695="x",AND(MAX(CB695:CD695)=CC695,CC695&lt;&gt;"")),Data!$BJ$2,"")</f>
        <v/>
      </c>
      <c r="CH695" s="197" t="str">
        <f>IF(AND($K695="x",AND(MAX(CB695:CD695)=CD695,CD695&lt;&gt;"")),Data!$BK$2,"")</f>
        <v/>
      </c>
      <c r="CI695" s="197"/>
      <c r="CJ695" s="197"/>
      <c r="CK695" s="455"/>
      <c r="CL695" s="456"/>
      <c r="CM695" s="447" t="str">
        <f t="shared" si="1032"/>
        <v/>
      </c>
      <c r="CN695" s="328"/>
      <c r="CO695" s="197" t="str">
        <f>IF(AND($I695="x",AND(MAX(CK695:CM695)=CK695,CK695&lt;&gt;"")),Data!$BI$2,"")</f>
        <v/>
      </c>
      <c r="CP695" s="197" t="str">
        <f>IF(AND($J695="x",AND(MAX(CK695:CM695)=CL695,CL695&lt;&gt;"")),Data!$BJ$2,"")</f>
        <v/>
      </c>
      <c r="CQ695" s="197" t="str">
        <f>IF(AND($K695="x",AND(MAX(CK695:CM695)=CM695,CM695&lt;&gt;"")),Data!$BK$2,"")</f>
        <v/>
      </c>
      <c r="CR695" s="197"/>
      <c r="CS695" s="197"/>
      <c r="CT695" s="328"/>
      <c r="CU695" s="255"/>
      <c r="CV695" s="209"/>
      <c r="CW695" s="227"/>
    </row>
    <row r="696" spans="1:101" x14ac:dyDescent="0.2">
      <c r="A696" s="227"/>
      <c r="B696" s="227"/>
      <c r="C696" s="168"/>
      <c r="D696" s="232"/>
      <c r="E696" s="134" t="s">
        <v>430</v>
      </c>
      <c r="F696" s="424"/>
      <c r="G696" s="428"/>
      <c r="H696" s="429"/>
      <c r="I696" s="138" t="str">
        <f t="shared" si="1019"/>
        <v/>
      </c>
      <c r="J696" s="344" t="str">
        <f t="shared" si="1020"/>
        <v/>
      </c>
      <c r="K696" s="345" t="str">
        <f t="shared" si="1021"/>
        <v/>
      </c>
      <c r="L696" s="258"/>
      <c r="M696" s="332"/>
      <c r="N696" s="336"/>
      <c r="O696" s="200"/>
      <c r="P696" s="200"/>
      <c r="Q696" s="436"/>
      <c r="R696" s="437"/>
      <c r="S696" s="438" t="str">
        <f t="shared" si="1022"/>
        <v/>
      </c>
      <c r="T696" s="328"/>
      <c r="U696" s="197" t="str">
        <f>IF(AND($I696="x",AND(MAX(Q696:S696)=Q696,Q696&gt;=0)),Data!$BI$2,"")</f>
        <v/>
      </c>
      <c r="V696" s="197" t="str">
        <f>IF(AND($J696="x",AND(MAX(Q696:S696)=R696,R696&gt;=0)),Data!$BJ$2,"")</f>
        <v/>
      </c>
      <c r="W696" s="197" t="str">
        <f>IF(AND($K696="x",AND(MAX(Q696:S696)=S696,S696&gt;=0)),Data!$BK$2,"")</f>
        <v/>
      </c>
      <c r="X696" s="197"/>
      <c r="Y696" s="328"/>
      <c r="Z696" s="451"/>
      <c r="AA696" s="452"/>
      <c r="AB696" s="438" t="str">
        <f t="shared" si="1023"/>
        <v/>
      </c>
      <c r="AC696" s="328"/>
      <c r="AD696" s="197" t="str">
        <f>IF(AND($I696="x",AND(MAX(Z696:AB696)=Z696,Z696&lt;&gt;"")),Data!$BI$2,"")</f>
        <v/>
      </c>
      <c r="AE696" s="197" t="str">
        <f>IF(AND($J696="x",AND(MAX(Z696:AB696)=AA696,AA696&lt;&gt;"")),Data!$BJ$2,"")</f>
        <v/>
      </c>
      <c r="AF696" s="197" t="str">
        <f>IF(AND($K696="x",AND(MAX(Z696:AB696)=AB696,AB696&lt;&gt;"")),Data!$BK$2,"")</f>
        <v/>
      </c>
      <c r="AG696" s="197"/>
      <c r="AH696" s="328"/>
      <c r="AI696" s="451"/>
      <c r="AJ696" s="452"/>
      <c r="AK696" s="438" t="str">
        <f t="shared" si="1024"/>
        <v/>
      </c>
      <c r="AL696" s="328"/>
      <c r="AM696" s="197" t="str">
        <f>IF(AND($I696="x",AND(MAX(AI696:AK696)=AI696,AI696&lt;&gt;"")),Data!$BI$2,"")</f>
        <v/>
      </c>
      <c r="AN696" s="197" t="str">
        <f>IF(AND($J696="x",AND(MAX(AI696:AK696)=AJ696,AJ696&lt;&gt;"")),Data!$BJ$2,"")</f>
        <v/>
      </c>
      <c r="AO696" s="197" t="str">
        <f>IF(AND($K696="x",AND(MAX(AI696:AK696)=AK696,AK696&lt;&gt;"")),Data!$BK$2,"")</f>
        <v/>
      </c>
      <c r="AP696" s="197"/>
      <c r="AQ696" s="328"/>
      <c r="AR696" s="451"/>
      <c r="AS696" s="452"/>
      <c r="AT696" s="438" t="str">
        <f t="shared" si="1025"/>
        <v/>
      </c>
      <c r="AU696" s="328"/>
      <c r="AV696" s="197" t="str">
        <f>IF(AND($I696="x",AND(MAX(AR696:AT696)=AR696,AR696&lt;&gt;"")),Data!$BI$2,"")</f>
        <v/>
      </c>
      <c r="AW696" s="197" t="str">
        <f>IF(AND($J696="x",AND(MAX(AR696:AT696)=AS696,AS696&lt;&gt;"")),Data!$BJ$2,"")</f>
        <v/>
      </c>
      <c r="AX696" s="197" t="str">
        <f>IF(AND($K696="x",AND(MAX(AR696:AT696)=AT696,AT696&lt;&gt;"")),Data!$BK$2,"")</f>
        <v/>
      </c>
      <c r="AY696" s="197"/>
      <c r="AZ696" s="328"/>
      <c r="BA696" s="451"/>
      <c r="BB696" s="452"/>
      <c r="BC696" s="438" t="str">
        <f t="shared" si="1026"/>
        <v/>
      </c>
      <c r="BD696" s="328"/>
      <c r="BE696" s="197" t="str">
        <f>IF(AND($I696="x",AND(MAX(BA696:BC696)=BA696,BA696&lt;&gt;"")),Data!$BI$2,"")</f>
        <v/>
      </c>
      <c r="BF696" s="197" t="str">
        <f>IF(AND($J696="x",AND(MAX(BA696:BC696)=BB696,BB696&lt;&gt;"")),Data!$BJ$2,"")</f>
        <v/>
      </c>
      <c r="BG696" s="197" t="str">
        <f>IF(AND($K696="x",AND(MAX(BA696:BC696)=BC696,BC696&lt;&gt;"")),Data!$BK$2,"")</f>
        <v/>
      </c>
      <c r="BH696" s="197"/>
      <c r="BI696" s="328"/>
      <c r="BJ696" s="451"/>
      <c r="BK696" s="452"/>
      <c r="BL696" s="438" t="str">
        <f t="shared" si="1027"/>
        <v/>
      </c>
      <c r="BM696" s="328"/>
      <c r="BN696" s="197" t="str">
        <f>IF(AND($I696="x",AND(MAX(BJ696:BL696)=BJ696,BJ696&lt;&gt;"")),Data!$BI$2,"")</f>
        <v/>
      </c>
      <c r="BO696" s="197" t="str">
        <f>IF(AND($J696="x",AND(MAX(BJ696:BL696)=BK696,BK696&lt;&gt;"")),Data!$BJ$2,"")</f>
        <v/>
      </c>
      <c r="BP696" s="197" t="str">
        <f>IF(AND($K696="x",AND(MAX(BJ696:BL696)=BL696,BL696&lt;&gt;"")),Data!$BK$2,"")</f>
        <v/>
      </c>
      <c r="BQ696" s="197"/>
      <c r="BR696" s="328"/>
      <c r="BS696" s="451"/>
      <c r="BT696" s="452"/>
      <c r="BU696" s="438" t="str">
        <f t="shared" si="1028"/>
        <v/>
      </c>
      <c r="BV696" s="328"/>
      <c r="BW696" s="197" t="str">
        <f>IF(AND($I696="x",AND(MAX(BS696:BU696)=BS696,BS696&lt;&gt;"")),Data!$BI$2,"")</f>
        <v/>
      </c>
      <c r="BX696" s="197" t="str">
        <f>IF(AND($J696="x",AND(MAX(BS696:BU696)=BT696,BT696&lt;&gt;"")),Data!$BJ$2,"")</f>
        <v/>
      </c>
      <c r="BY696" s="197" t="str">
        <f>IF(AND($K696="x",AND(MAX(BS696:BU696)=BU696,BU696&lt;&gt;"")),Data!$BK$2,"")</f>
        <v/>
      </c>
      <c r="BZ696" s="197"/>
      <c r="CA696" s="328"/>
      <c r="CB696" s="457" t="str">
        <f t="shared" si="1029"/>
        <v/>
      </c>
      <c r="CC696" s="458" t="str">
        <f t="shared" si="1030"/>
        <v/>
      </c>
      <c r="CD696" s="459" t="str">
        <f t="shared" si="1031"/>
        <v/>
      </c>
      <c r="CE696" s="328"/>
      <c r="CF696" s="197" t="str">
        <f>IF(AND($I696="x",AND(MAX(CB696:CD696)=CB696,CB696&lt;&gt;"")),Data!$BI$2,"")</f>
        <v/>
      </c>
      <c r="CG696" s="197" t="str">
        <f>IF(AND($J696="x",AND(MAX(CB696:CD696)=CC696,CC696&lt;&gt;"")),Data!$BJ$2,"")</f>
        <v/>
      </c>
      <c r="CH696" s="197" t="str">
        <f>IF(AND($K696="x",AND(MAX(CB696:CD696)=CD696,CD696&lt;&gt;"")),Data!$BK$2,"")</f>
        <v/>
      </c>
      <c r="CI696" s="197"/>
      <c r="CJ696" s="197"/>
      <c r="CK696" s="451"/>
      <c r="CL696" s="452"/>
      <c r="CM696" s="438" t="str">
        <f t="shared" si="1032"/>
        <v/>
      </c>
      <c r="CN696" s="328"/>
      <c r="CO696" s="197" t="str">
        <f>IF(AND($I696="x",AND(MAX(CK696:CM696)=CK696,CK696&lt;&gt;"")),Data!$BI$2,"")</f>
        <v/>
      </c>
      <c r="CP696" s="197" t="str">
        <f>IF(AND($J696="x",AND(MAX(CK696:CM696)=CL696,CL696&lt;&gt;"")),Data!$BJ$2,"")</f>
        <v/>
      </c>
      <c r="CQ696" s="197" t="str">
        <f>IF(AND($K696="x",AND(MAX(CK696:CM696)=CM696,CM696&lt;&gt;"")),Data!$BK$2,"")</f>
        <v/>
      </c>
      <c r="CR696" s="197"/>
      <c r="CS696" s="197"/>
      <c r="CT696" s="328"/>
      <c r="CU696" s="259"/>
      <c r="CV696" s="209"/>
      <c r="CW696" s="227"/>
    </row>
    <row r="697" spans="1:101" x14ac:dyDescent="0.2">
      <c r="A697" s="227"/>
      <c r="B697" s="227"/>
      <c r="C697" s="168"/>
      <c r="D697" s="232"/>
      <c r="E697" s="135" t="s">
        <v>431</v>
      </c>
      <c r="F697" s="425"/>
      <c r="G697" s="430"/>
      <c r="H697" s="431"/>
      <c r="I697" s="346" t="str">
        <f t="shared" si="1019"/>
        <v/>
      </c>
      <c r="J697" s="347" t="str">
        <f t="shared" si="1020"/>
        <v/>
      </c>
      <c r="K697" s="348" t="str">
        <f t="shared" si="1021"/>
        <v/>
      </c>
      <c r="L697" s="258"/>
      <c r="M697" s="332"/>
      <c r="N697" s="336"/>
      <c r="O697" s="200"/>
      <c r="P697" s="200"/>
      <c r="Q697" s="439"/>
      <c r="R697" s="440"/>
      <c r="S697" s="441" t="str">
        <f t="shared" si="1022"/>
        <v/>
      </c>
      <c r="T697" s="328"/>
      <c r="U697" s="197" t="str">
        <f>IF(AND($I697="x",AND(MAX(Q697:S697)=Q697,Q697&gt;=0)),Data!$BI$2,"")</f>
        <v/>
      </c>
      <c r="V697" s="197" t="str">
        <f>IF(AND($J697="x",AND(MAX(Q697:S697)=R697,R697&gt;=0)),Data!$BJ$2,"")</f>
        <v/>
      </c>
      <c r="W697" s="197" t="str">
        <f>IF(AND($K697="x",AND(MAX(Q697:S697)=S697,S697&gt;=0)),Data!$BK$2,"")</f>
        <v/>
      </c>
      <c r="X697" s="197"/>
      <c r="Y697" s="328"/>
      <c r="Z697" s="453"/>
      <c r="AA697" s="454"/>
      <c r="AB697" s="441" t="str">
        <f t="shared" si="1023"/>
        <v/>
      </c>
      <c r="AC697" s="328"/>
      <c r="AD697" s="197" t="str">
        <f>IF(AND($I697="x",AND(MAX(Z697:AB697)=Z697,Z697&lt;&gt;"")),Data!$BI$2,"")</f>
        <v/>
      </c>
      <c r="AE697" s="197" t="str">
        <f>IF(AND($J697="x",AND(MAX(Z697:AB697)=AA697,AA697&lt;&gt;"")),Data!$BJ$2,"")</f>
        <v/>
      </c>
      <c r="AF697" s="197" t="str">
        <f>IF(AND($K697="x",AND(MAX(Z697:AB697)=AB697,AB697&lt;&gt;"")),Data!$BK$2,"")</f>
        <v/>
      </c>
      <c r="AG697" s="197"/>
      <c r="AH697" s="328"/>
      <c r="AI697" s="453"/>
      <c r="AJ697" s="454"/>
      <c r="AK697" s="441" t="str">
        <f t="shared" si="1024"/>
        <v/>
      </c>
      <c r="AL697" s="328"/>
      <c r="AM697" s="197" t="str">
        <f>IF(AND($I697="x",AND(MAX(AI697:AK697)=AI697,AI697&lt;&gt;"")),Data!$BI$2,"")</f>
        <v/>
      </c>
      <c r="AN697" s="197" t="str">
        <f>IF(AND($J697="x",AND(MAX(AI697:AK697)=AJ697,AJ697&lt;&gt;"")),Data!$BJ$2,"")</f>
        <v/>
      </c>
      <c r="AO697" s="197" t="str">
        <f>IF(AND($K697="x",AND(MAX(AI697:AK697)=AK697,AK697&lt;&gt;"")),Data!$BK$2,"")</f>
        <v/>
      </c>
      <c r="AP697" s="197"/>
      <c r="AQ697" s="328"/>
      <c r="AR697" s="453"/>
      <c r="AS697" s="454"/>
      <c r="AT697" s="441" t="str">
        <f t="shared" si="1025"/>
        <v/>
      </c>
      <c r="AU697" s="328"/>
      <c r="AV697" s="197" t="str">
        <f>IF(AND($I697="x",AND(MAX(AR697:AT697)=AR697,AR697&lt;&gt;"")),Data!$BI$2,"")</f>
        <v/>
      </c>
      <c r="AW697" s="197" t="str">
        <f>IF(AND($J697="x",AND(MAX(AR697:AT697)=AS697,AS697&lt;&gt;"")),Data!$BJ$2,"")</f>
        <v/>
      </c>
      <c r="AX697" s="197" t="str">
        <f>IF(AND($K697="x",AND(MAX(AR697:AT697)=AT697,AT697&lt;&gt;"")),Data!$BK$2,"")</f>
        <v/>
      </c>
      <c r="AY697" s="197"/>
      <c r="AZ697" s="328"/>
      <c r="BA697" s="453"/>
      <c r="BB697" s="454"/>
      <c r="BC697" s="441" t="str">
        <f t="shared" si="1026"/>
        <v/>
      </c>
      <c r="BD697" s="328"/>
      <c r="BE697" s="197" t="str">
        <f>IF(AND($I697="x",AND(MAX(BA697:BC697)=BA697,BA697&lt;&gt;"")),Data!$BI$2,"")</f>
        <v/>
      </c>
      <c r="BF697" s="197" t="str">
        <f>IF(AND($J697="x",AND(MAX(BA697:BC697)=BB697,BB697&lt;&gt;"")),Data!$BJ$2,"")</f>
        <v/>
      </c>
      <c r="BG697" s="197" t="str">
        <f>IF(AND($K697="x",AND(MAX(BA697:BC697)=BC697,BC697&lt;&gt;"")),Data!$BK$2,"")</f>
        <v/>
      </c>
      <c r="BH697" s="197"/>
      <c r="BI697" s="328"/>
      <c r="BJ697" s="453"/>
      <c r="BK697" s="454"/>
      <c r="BL697" s="441" t="str">
        <f t="shared" si="1027"/>
        <v/>
      </c>
      <c r="BM697" s="328"/>
      <c r="BN697" s="197" t="str">
        <f>IF(AND($I697="x",AND(MAX(BJ697:BL697)=BJ697,BJ697&lt;&gt;"")),Data!$BI$2,"")</f>
        <v/>
      </c>
      <c r="BO697" s="197" t="str">
        <f>IF(AND($J697="x",AND(MAX(BJ697:BL697)=BK697,BK697&lt;&gt;"")),Data!$BJ$2,"")</f>
        <v/>
      </c>
      <c r="BP697" s="197" t="str">
        <f>IF(AND($K697="x",AND(MAX(BJ697:BL697)=BL697,BL697&lt;&gt;"")),Data!$BK$2,"")</f>
        <v/>
      </c>
      <c r="BQ697" s="197"/>
      <c r="BR697" s="328"/>
      <c r="BS697" s="453"/>
      <c r="BT697" s="454"/>
      <c r="BU697" s="441" t="str">
        <f t="shared" si="1028"/>
        <v/>
      </c>
      <c r="BV697" s="328"/>
      <c r="BW697" s="197" t="str">
        <f>IF(AND($I697="x",AND(MAX(BS697:BU697)=BS697,BS697&lt;&gt;"")),Data!$BI$2,"")</f>
        <v/>
      </c>
      <c r="BX697" s="197" t="str">
        <f>IF(AND($J697="x",AND(MAX(BS697:BU697)=BT697,BT697&lt;&gt;"")),Data!$BJ$2,"")</f>
        <v/>
      </c>
      <c r="BY697" s="197" t="str">
        <f>IF(AND($K697="x",AND(MAX(BS697:BU697)=BU697,BU697&lt;&gt;"")),Data!$BK$2,"")</f>
        <v/>
      </c>
      <c r="BZ697" s="197"/>
      <c r="CA697" s="328"/>
      <c r="CB697" s="460" t="str">
        <f t="shared" si="1029"/>
        <v/>
      </c>
      <c r="CC697" s="461" t="str">
        <f t="shared" si="1030"/>
        <v/>
      </c>
      <c r="CD697" s="462" t="str">
        <f t="shared" si="1031"/>
        <v/>
      </c>
      <c r="CE697" s="328"/>
      <c r="CF697" s="197" t="str">
        <f>IF(AND($I697="x",AND(MAX(CB697:CD697)=CB697,CB697&lt;&gt;"")),Data!$BI$2,"")</f>
        <v/>
      </c>
      <c r="CG697" s="197" t="str">
        <f>IF(AND($J697="x",AND(MAX(CB697:CD697)=CC697,CC697&lt;&gt;"")),Data!$BJ$2,"")</f>
        <v/>
      </c>
      <c r="CH697" s="197" t="str">
        <f>IF(AND($K697="x",AND(MAX(CB697:CD697)=CD697,CD697&lt;&gt;"")),Data!$BK$2,"")</f>
        <v/>
      </c>
      <c r="CI697" s="197"/>
      <c r="CJ697" s="197"/>
      <c r="CK697" s="453"/>
      <c r="CL697" s="454"/>
      <c r="CM697" s="441" t="str">
        <f t="shared" si="1032"/>
        <v/>
      </c>
      <c r="CN697" s="328"/>
      <c r="CO697" s="197" t="str">
        <f>IF(AND($I697="x",AND(MAX(CK697:CM697)=CK697,CK697&lt;&gt;"")),Data!$BI$2,"")</f>
        <v/>
      </c>
      <c r="CP697" s="197" t="str">
        <f>IF(AND($J697="x",AND(MAX(CK697:CM697)=CL697,CL697&lt;&gt;"")),Data!$BJ$2,"")</f>
        <v/>
      </c>
      <c r="CQ697" s="197" t="str">
        <f>IF(AND($K697="x",AND(MAX(CK697:CM697)=CM697,CM697&lt;&gt;"")),Data!$BK$2,"")</f>
        <v/>
      </c>
      <c r="CR697" s="197"/>
      <c r="CS697" s="197"/>
      <c r="CT697" s="328"/>
      <c r="CU697" s="259"/>
      <c r="CV697" s="209"/>
      <c r="CW697" s="227"/>
    </row>
    <row r="698" spans="1:101" x14ac:dyDescent="0.2">
      <c r="A698" s="227"/>
      <c r="B698" s="227"/>
      <c r="C698" s="168"/>
      <c r="D698" s="232"/>
      <c r="E698" s="136" t="s">
        <v>432</v>
      </c>
      <c r="F698" s="426"/>
      <c r="G698" s="432"/>
      <c r="H698" s="433"/>
      <c r="I698" s="349" t="str">
        <f t="shared" si="1019"/>
        <v/>
      </c>
      <c r="J698" s="350" t="str">
        <f t="shared" si="1020"/>
        <v/>
      </c>
      <c r="K698" s="351" t="str">
        <f t="shared" si="1021"/>
        <v/>
      </c>
      <c r="L698" s="258"/>
      <c r="M698" s="332"/>
      <c r="N698" s="336"/>
      <c r="O698" s="200"/>
      <c r="P698" s="200"/>
      <c r="Q698" s="445"/>
      <c r="R698" s="446"/>
      <c r="S698" s="447" t="str">
        <f t="shared" si="1022"/>
        <v/>
      </c>
      <c r="T698" s="328"/>
      <c r="U698" s="197" t="str">
        <f>IF(AND($I698="x",AND(MAX(Q698:S698)=Q698,Q698&gt;=0)),Data!$BI$2,"")</f>
        <v/>
      </c>
      <c r="V698" s="197" t="str">
        <f>IF(AND($J698="x",AND(MAX(Q698:S698)=R698,R698&gt;=0)),Data!$BJ$2,"")</f>
        <v/>
      </c>
      <c r="W698" s="197" t="str">
        <f>IF(AND($K698="x",AND(MAX(Q698:S698)=S698,S698&gt;=0)),Data!$BK$2,"")</f>
        <v/>
      </c>
      <c r="X698" s="197"/>
      <c r="Y698" s="328"/>
      <c r="Z698" s="455"/>
      <c r="AA698" s="456"/>
      <c r="AB698" s="447" t="str">
        <f t="shared" si="1023"/>
        <v/>
      </c>
      <c r="AC698" s="328"/>
      <c r="AD698" s="197" t="str">
        <f>IF(AND($I698="x",AND(MAX(Z698:AB698)=Z698,Z698&lt;&gt;"")),Data!$BI$2,"")</f>
        <v/>
      </c>
      <c r="AE698" s="197" t="str">
        <f>IF(AND($J698="x",AND(MAX(Z698:AB698)=AA698,AA698&lt;&gt;"")),Data!$BJ$2,"")</f>
        <v/>
      </c>
      <c r="AF698" s="197" t="str">
        <f>IF(AND($K698="x",AND(MAX(Z698:AB698)=AB698,AB698&lt;&gt;"")),Data!$BK$2,"")</f>
        <v/>
      </c>
      <c r="AG698" s="197"/>
      <c r="AH698" s="328"/>
      <c r="AI698" s="455"/>
      <c r="AJ698" s="456"/>
      <c r="AK698" s="447" t="str">
        <f t="shared" si="1024"/>
        <v/>
      </c>
      <c r="AL698" s="328"/>
      <c r="AM698" s="197" t="str">
        <f>IF(AND($I698="x",AND(MAX(AI698:AK698)=AI698,AI698&lt;&gt;"")),Data!$BI$2,"")</f>
        <v/>
      </c>
      <c r="AN698" s="197" t="str">
        <f>IF(AND($J698="x",AND(MAX(AI698:AK698)=AJ698,AJ698&lt;&gt;"")),Data!$BJ$2,"")</f>
        <v/>
      </c>
      <c r="AO698" s="197" t="str">
        <f>IF(AND($K698="x",AND(MAX(AI698:AK698)=AK698,AK698&lt;&gt;"")),Data!$BK$2,"")</f>
        <v/>
      </c>
      <c r="AP698" s="197"/>
      <c r="AQ698" s="328"/>
      <c r="AR698" s="455"/>
      <c r="AS698" s="456"/>
      <c r="AT698" s="447" t="str">
        <f t="shared" si="1025"/>
        <v/>
      </c>
      <c r="AU698" s="328"/>
      <c r="AV698" s="197" t="str">
        <f>IF(AND($I698="x",AND(MAX(AR698:AT698)=AR698,AR698&lt;&gt;"")),Data!$BI$2,"")</f>
        <v/>
      </c>
      <c r="AW698" s="197" t="str">
        <f>IF(AND($J698="x",AND(MAX(AR698:AT698)=AS698,AS698&lt;&gt;"")),Data!$BJ$2,"")</f>
        <v/>
      </c>
      <c r="AX698" s="197" t="str">
        <f>IF(AND($K698="x",AND(MAX(AR698:AT698)=AT698,AT698&lt;&gt;"")),Data!$BK$2,"")</f>
        <v/>
      </c>
      <c r="AY698" s="197"/>
      <c r="AZ698" s="328"/>
      <c r="BA698" s="455"/>
      <c r="BB698" s="456"/>
      <c r="BC698" s="447" t="str">
        <f t="shared" si="1026"/>
        <v/>
      </c>
      <c r="BD698" s="328"/>
      <c r="BE698" s="197" t="str">
        <f>IF(AND($I698="x",AND(MAX(BA698:BC698)=BA698,BA698&lt;&gt;"")),Data!$BI$2,"")</f>
        <v/>
      </c>
      <c r="BF698" s="197" t="str">
        <f>IF(AND($J698="x",AND(MAX(BA698:BC698)=BB698,BB698&lt;&gt;"")),Data!$BJ$2,"")</f>
        <v/>
      </c>
      <c r="BG698" s="197" t="str">
        <f>IF(AND($K698="x",AND(MAX(BA698:BC698)=BC698,BC698&lt;&gt;"")),Data!$BK$2,"")</f>
        <v/>
      </c>
      <c r="BH698" s="197"/>
      <c r="BI698" s="328"/>
      <c r="BJ698" s="455"/>
      <c r="BK698" s="456"/>
      <c r="BL698" s="447" t="str">
        <f t="shared" si="1027"/>
        <v/>
      </c>
      <c r="BM698" s="328"/>
      <c r="BN698" s="197" t="str">
        <f>IF(AND($I698="x",AND(MAX(BJ698:BL698)=BJ698,BJ698&lt;&gt;"")),Data!$BI$2,"")</f>
        <v/>
      </c>
      <c r="BO698" s="197" t="str">
        <f>IF(AND($J698="x",AND(MAX(BJ698:BL698)=BK698,BK698&lt;&gt;"")),Data!$BJ$2,"")</f>
        <v/>
      </c>
      <c r="BP698" s="197" t="str">
        <f>IF(AND($K698="x",AND(MAX(BJ698:BL698)=BL698,BL698&lt;&gt;"")),Data!$BK$2,"")</f>
        <v/>
      </c>
      <c r="BQ698" s="197"/>
      <c r="BR698" s="328"/>
      <c r="BS698" s="455"/>
      <c r="BT698" s="456"/>
      <c r="BU698" s="447" t="str">
        <f t="shared" si="1028"/>
        <v/>
      </c>
      <c r="BV698" s="328"/>
      <c r="BW698" s="197" t="str">
        <f>IF(AND($I698="x",AND(MAX(BS698:BU698)=BS698,BS698&lt;&gt;"")),Data!$BI$2,"")</f>
        <v/>
      </c>
      <c r="BX698" s="197" t="str">
        <f>IF(AND($J698="x",AND(MAX(BS698:BU698)=BT698,BT698&lt;&gt;"")),Data!$BJ$2,"")</f>
        <v/>
      </c>
      <c r="BY698" s="197" t="str">
        <f>IF(AND($K698="x",AND(MAX(BS698:BU698)=BU698,BU698&lt;&gt;"")),Data!$BK$2,"")</f>
        <v/>
      </c>
      <c r="BZ698" s="197"/>
      <c r="CA698" s="328"/>
      <c r="CB698" s="463" t="str">
        <f t="shared" si="1029"/>
        <v/>
      </c>
      <c r="CC698" s="464" t="str">
        <f t="shared" si="1030"/>
        <v/>
      </c>
      <c r="CD698" s="465" t="str">
        <f t="shared" si="1031"/>
        <v/>
      </c>
      <c r="CE698" s="328"/>
      <c r="CF698" s="197" t="str">
        <f>IF(AND($I698="x",AND(MAX(CB698:CD698)=CB698,CB698&lt;&gt;"")),Data!$BI$2,"")</f>
        <v/>
      </c>
      <c r="CG698" s="197" t="str">
        <f>IF(AND($J698="x",AND(MAX(CB698:CD698)=CC698,CC698&lt;&gt;"")),Data!$BJ$2,"")</f>
        <v/>
      </c>
      <c r="CH698" s="197" t="str">
        <f>IF(AND($K698="x",AND(MAX(CB698:CD698)=CD698,CD698&lt;&gt;"")),Data!$BK$2,"")</f>
        <v/>
      </c>
      <c r="CI698" s="197"/>
      <c r="CJ698" s="197"/>
      <c r="CK698" s="455"/>
      <c r="CL698" s="456"/>
      <c r="CM698" s="447" t="str">
        <f t="shared" si="1032"/>
        <v/>
      </c>
      <c r="CN698" s="328"/>
      <c r="CO698" s="197" t="str">
        <f>IF(AND($I698="x",AND(MAX(CK698:CM698)=CK698,CK698&lt;&gt;"")),Data!$BI$2,"")</f>
        <v/>
      </c>
      <c r="CP698" s="197" t="str">
        <f>IF(AND($J698="x",AND(MAX(CK698:CM698)=CL698,CL698&lt;&gt;"")),Data!$BJ$2,"")</f>
        <v/>
      </c>
      <c r="CQ698" s="197" t="str">
        <f>IF(AND($K698="x",AND(MAX(CK698:CM698)=CM698,CM698&lt;&gt;"")),Data!$BK$2,"")</f>
        <v/>
      </c>
      <c r="CR698" s="197"/>
      <c r="CS698" s="197"/>
      <c r="CT698" s="328"/>
      <c r="CU698" s="259"/>
      <c r="CV698" s="209"/>
      <c r="CW698" s="227"/>
    </row>
    <row r="699" spans="1:101" x14ac:dyDescent="0.2">
      <c r="A699" s="227"/>
      <c r="B699" s="227"/>
      <c r="C699" s="168"/>
      <c r="D699" s="232"/>
      <c r="E699" s="137" t="s">
        <v>433</v>
      </c>
      <c r="F699" s="427"/>
      <c r="G699" s="434"/>
      <c r="H699" s="435"/>
      <c r="I699" s="138" t="str">
        <f t="shared" si="1019"/>
        <v/>
      </c>
      <c r="J699" s="344" t="str">
        <f t="shared" si="1020"/>
        <v/>
      </c>
      <c r="K699" s="345" t="str">
        <f t="shared" si="1021"/>
        <v/>
      </c>
      <c r="L699" s="258"/>
      <c r="M699" s="332"/>
      <c r="N699" s="336"/>
      <c r="O699" s="200"/>
      <c r="P699" s="200"/>
      <c r="Q699" s="448"/>
      <c r="R699" s="449"/>
      <c r="S699" s="450" t="str">
        <f t="shared" si="1022"/>
        <v/>
      </c>
      <c r="T699" s="328"/>
      <c r="U699" s="197" t="str">
        <f>IF(AND($I699="x",AND(MAX(Q699:S699)=Q699,Q699&gt;=0)),Data!$BI$2,"")</f>
        <v/>
      </c>
      <c r="V699" s="197" t="str">
        <f>IF(AND($J699="x",AND(MAX(Q699:S699)=R699,R699&gt;=0)),Data!$BJ$2,"")</f>
        <v/>
      </c>
      <c r="W699" s="197" t="str">
        <f>IF(AND($K699="x",AND(MAX(Q699:S699)=S699,S699&gt;=0)),Data!$BK$2,"")</f>
        <v/>
      </c>
      <c r="X699" s="197"/>
      <c r="Y699" s="328"/>
      <c r="Z699" s="451"/>
      <c r="AA699" s="452"/>
      <c r="AB699" s="450" t="str">
        <f t="shared" si="1023"/>
        <v/>
      </c>
      <c r="AC699" s="328"/>
      <c r="AD699" s="197" t="str">
        <f>IF(AND($I699="x",AND(MAX(Z699:AB699)=Z699,Z699&lt;&gt;"")),Data!$BI$2,"")</f>
        <v/>
      </c>
      <c r="AE699" s="197" t="str">
        <f>IF(AND($J699="x",AND(MAX(Z699:AB699)=AA699,AA699&lt;&gt;"")),Data!$BJ$2,"")</f>
        <v/>
      </c>
      <c r="AF699" s="197" t="str">
        <f>IF(AND($K699="x",AND(MAX(Z699:AB699)=AB699,AB699&lt;&gt;"")),Data!$BK$2,"")</f>
        <v/>
      </c>
      <c r="AG699" s="197"/>
      <c r="AH699" s="328"/>
      <c r="AI699" s="451"/>
      <c r="AJ699" s="452"/>
      <c r="AK699" s="450" t="str">
        <f t="shared" si="1024"/>
        <v/>
      </c>
      <c r="AL699" s="328"/>
      <c r="AM699" s="197" t="str">
        <f>IF(AND($I699="x",AND(MAX(AI699:AK699)=AI699,AI699&lt;&gt;"")),Data!$BI$2,"")</f>
        <v/>
      </c>
      <c r="AN699" s="197" t="str">
        <f>IF(AND($J699="x",AND(MAX(AI699:AK699)=AJ699,AJ699&lt;&gt;"")),Data!$BJ$2,"")</f>
        <v/>
      </c>
      <c r="AO699" s="197" t="str">
        <f>IF(AND($K699="x",AND(MAX(AI699:AK699)=AK699,AK699&lt;&gt;"")),Data!$BK$2,"")</f>
        <v/>
      </c>
      <c r="AP699" s="197"/>
      <c r="AQ699" s="328"/>
      <c r="AR699" s="451"/>
      <c r="AS699" s="452"/>
      <c r="AT699" s="450" t="str">
        <f t="shared" si="1025"/>
        <v/>
      </c>
      <c r="AU699" s="328"/>
      <c r="AV699" s="197" t="str">
        <f>IF(AND($I699="x",AND(MAX(AR699:AT699)=AR699,AR699&lt;&gt;"")),Data!$BI$2,"")</f>
        <v/>
      </c>
      <c r="AW699" s="197" t="str">
        <f>IF(AND($J699="x",AND(MAX(AR699:AT699)=AS699,AS699&lt;&gt;"")),Data!$BJ$2,"")</f>
        <v/>
      </c>
      <c r="AX699" s="197" t="str">
        <f>IF(AND($K699="x",AND(MAX(AR699:AT699)=AT699,AT699&lt;&gt;"")),Data!$BK$2,"")</f>
        <v/>
      </c>
      <c r="AY699" s="197"/>
      <c r="AZ699" s="328"/>
      <c r="BA699" s="451"/>
      <c r="BB699" s="452"/>
      <c r="BC699" s="450" t="str">
        <f t="shared" si="1026"/>
        <v/>
      </c>
      <c r="BD699" s="328"/>
      <c r="BE699" s="197" t="str">
        <f>IF(AND($I699="x",AND(MAX(BA699:BC699)=BA699,BA699&lt;&gt;"")),Data!$BI$2,"")</f>
        <v/>
      </c>
      <c r="BF699" s="197" t="str">
        <f>IF(AND($J699="x",AND(MAX(BA699:BC699)=BB699,BB699&lt;&gt;"")),Data!$BJ$2,"")</f>
        <v/>
      </c>
      <c r="BG699" s="197" t="str">
        <f>IF(AND($K699="x",AND(MAX(BA699:BC699)=BC699,BC699&lt;&gt;"")),Data!$BK$2,"")</f>
        <v/>
      </c>
      <c r="BH699" s="197"/>
      <c r="BI699" s="328"/>
      <c r="BJ699" s="451"/>
      <c r="BK699" s="452"/>
      <c r="BL699" s="450" t="str">
        <f t="shared" si="1027"/>
        <v/>
      </c>
      <c r="BM699" s="328"/>
      <c r="BN699" s="197" t="str">
        <f>IF(AND($I699="x",AND(MAX(BJ699:BL699)=BJ699,BJ699&lt;&gt;"")),Data!$BI$2,"")</f>
        <v/>
      </c>
      <c r="BO699" s="197" t="str">
        <f>IF(AND($J699="x",AND(MAX(BJ699:BL699)=BK699,BK699&lt;&gt;"")),Data!$BJ$2,"")</f>
        <v/>
      </c>
      <c r="BP699" s="197" t="str">
        <f>IF(AND($K699="x",AND(MAX(BJ699:BL699)=BL699,BL699&lt;&gt;"")),Data!$BK$2,"")</f>
        <v/>
      </c>
      <c r="BQ699" s="197"/>
      <c r="BR699" s="328"/>
      <c r="BS699" s="451"/>
      <c r="BT699" s="452"/>
      <c r="BU699" s="450" t="str">
        <f t="shared" si="1028"/>
        <v/>
      </c>
      <c r="BV699" s="328"/>
      <c r="BW699" s="197" t="str">
        <f>IF(AND($I699="x",AND(MAX(BS699:BU699)=BS699,BS699&lt;&gt;"")),Data!$BI$2,"")</f>
        <v/>
      </c>
      <c r="BX699" s="197" t="str">
        <f>IF(AND($J699="x",AND(MAX(BS699:BU699)=BT699,BT699&lt;&gt;"")),Data!$BJ$2,"")</f>
        <v/>
      </c>
      <c r="BY699" s="197" t="str">
        <f>IF(AND($K699="x",AND(MAX(BS699:BU699)=BU699,BU699&lt;&gt;"")),Data!$BK$2,"")</f>
        <v/>
      </c>
      <c r="BZ699" s="197"/>
      <c r="CA699" s="328"/>
      <c r="CB699" s="457" t="str">
        <f t="shared" si="1029"/>
        <v/>
      </c>
      <c r="CC699" s="458" t="str">
        <f t="shared" si="1030"/>
        <v/>
      </c>
      <c r="CD699" s="459" t="str">
        <f t="shared" si="1031"/>
        <v/>
      </c>
      <c r="CE699" s="328"/>
      <c r="CF699" s="197" t="str">
        <f>IF(AND($I699="x",AND(MAX(CB699:CD699)=CB699,CB699&lt;&gt;"")),Data!$BI$2,"")</f>
        <v/>
      </c>
      <c r="CG699" s="197" t="str">
        <f>IF(AND($J699="x",AND(MAX(CB699:CD699)=CC699,CC699&lt;&gt;"")),Data!$BJ$2,"")</f>
        <v/>
      </c>
      <c r="CH699" s="197" t="str">
        <f>IF(AND($K699="x",AND(MAX(CB699:CD699)=CD699,CD699&lt;&gt;"")),Data!$BK$2,"")</f>
        <v/>
      </c>
      <c r="CI699" s="197"/>
      <c r="CJ699" s="197"/>
      <c r="CK699" s="451"/>
      <c r="CL699" s="452"/>
      <c r="CM699" s="450" t="str">
        <f t="shared" si="1032"/>
        <v/>
      </c>
      <c r="CN699" s="328"/>
      <c r="CO699" s="197" t="str">
        <f>IF(AND($I699="x",AND(MAX(CK699:CM699)=CK699,CK699&lt;&gt;"")),Data!$BI$2,"")</f>
        <v/>
      </c>
      <c r="CP699" s="197" t="str">
        <f>IF(AND($J699="x",AND(MAX(CK699:CM699)=CL699,CL699&lt;&gt;"")),Data!$BJ$2,"")</f>
        <v/>
      </c>
      <c r="CQ699" s="197" t="str">
        <f>IF(AND($K699="x",AND(MAX(CK699:CM699)=CM699,CM699&lt;&gt;"")),Data!$BK$2,"")</f>
        <v/>
      </c>
      <c r="CR699" s="197"/>
      <c r="CS699" s="197"/>
      <c r="CT699" s="328"/>
      <c r="CU699" s="259"/>
      <c r="CV699" s="209"/>
      <c r="CW699" s="227"/>
    </row>
    <row r="700" spans="1:101" x14ac:dyDescent="0.2">
      <c r="A700" s="227"/>
      <c r="B700" s="227"/>
      <c r="C700" s="168"/>
      <c r="D700" s="232"/>
      <c r="E700" s="135" t="s">
        <v>434</v>
      </c>
      <c r="F700" s="425"/>
      <c r="G700" s="430"/>
      <c r="H700" s="431"/>
      <c r="I700" s="346" t="str">
        <f t="shared" si="1019"/>
        <v/>
      </c>
      <c r="J700" s="347" t="str">
        <f t="shared" si="1020"/>
        <v/>
      </c>
      <c r="K700" s="348" t="str">
        <f t="shared" si="1021"/>
        <v/>
      </c>
      <c r="L700" s="258"/>
      <c r="M700" s="332"/>
      <c r="N700" s="336"/>
      <c r="O700" s="200"/>
      <c r="P700" s="200"/>
      <c r="Q700" s="439"/>
      <c r="R700" s="440"/>
      <c r="S700" s="441" t="str">
        <f t="shared" si="1022"/>
        <v/>
      </c>
      <c r="T700" s="328"/>
      <c r="U700" s="197" t="str">
        <f>IF(AND($I700="x",AND(MAX(Q700:S700)=Q700,Q700&gt;=0)),Data!$BI$2,"")</f>
        <v/>
      </c>
      <c r="V700" s="197" t="str">
        <f>IF(AND($J700="x",AND(MAX(Q700:S700)=R700,R700&gt;=0)),Data!$BJ$2,"")</f>
        <v/>
      </c>
      <c r="W700" s="197" t="str">
        <f>IF(AND($K700="x",AND(MAX(Q700:S700)=S700,S700&gt;=0)),Data!$BK$2,"")</f>
        <v/>
      </c>
      <c r="X700" s="197"/>
      <c r="Y700" s="328"/>
      <c r="Z700" s="453"/>
      <c r="AA700" s="454"/>
      <c r="AB700" s="441" t="str">
        <f t="shared" si="1023"/>
        <v/>
      </c>
      <c r="AC700" s="328"/>
      <c r="AD700" s="197" t="str">
        <f>IF(AND($I700="x",AND(MAX(Z700:AB700)=Z700,Z700&lt;&gt;"")),Data!$BI$2,"")</f>
        <v/>
      </c>
      <c r="AE700" s="197" t="str">
        <f>IF(AND($J700="x",AND(MAX(Z700:AB700)=AA700,AA700&lt;&gt;"")),Data!$BJ$2,"")</f>
        <v/>
      </c>
      <c r="AF700" s="197" t="str">
        <f>IF(AND($K700="x",AND(MAX(Z700:AB700)=AB700,AB700&lt;&gt;"")),Data!$BK$2,"")</f>
        <v/>
      </c>
      <c r="AG700" s="197"/>
      <c r="AH700" s="328"/>
      <c r="AI700" s="453"/>
      <c r="AJ700" s="454"/>
      <c r="AK700" s="441" t="str">
        <f t="shared" si="1024"/>
        <v/>
      </c>
      <c r="AL700" s="328"/>
      <c r="AM700" s="197" t="str">
        <f>IF(AND($I700="x",AND(MAX(AI700:AK700)=AI700,AI700&lt;&gt;"")),Data!$BI$2,"")</f>
        <v/>
      </c>
      <c r="AN700" s="197" t="str">
        <f>IF(AND($J700="x",AND(MAX(AI700:AK700)=AJ700,AJ700&lt;&gt;"")),Data!$BJ$2,"")</f>
        <v/>
      </c>
      <c r="AO700" s="197" t="str">
        <f>IF(AND($K700="x",AND(MAX(AI700:AK700)=AK700,AK700&lt;&gt;"")),Data!$BK$2,"")</f>
        <v/>
      </c>
      <c r="AP700" s="197"/>
      <c r="AQ700" s="328"/>
      <c r="AR700" s="453"/>
      <c r="AS700" s="454"/>
      <c r="AT700" s="441" t="str">
        <f t="shared" si="1025"/>
        <v/>
      </c>
      <c r="AU700" s="328"/>
      <c r="AV700" s="197" t="str">
        <f>IF(AND($I700="x",AND(MAX(AR700:AT700)=AR700,AR700&lt;&gt;"")),Data!$BI$2,"")</f>
        <v/>
      </c>
      <c r="AW700" s="197" t="str">
        <f>IF(AND($J700="x",AND(MAX(AR700:AT700)=AS700,AS700&lt;&gt;"")),Data!$BJ$2,"")</f>
        <v/>
      </c>
      <c r="AX700" s="197" t="str">
        <f>IF(AND($K700="x",AND(MAX(AR700:AT700)=AT700,AT700&lt;&gt;"")),Data!$BK$2,"")</f>
        <v/>
      </c>
      <c r="AY700" s="197"/>
      <c r="AZ700" s="328"/>
      <c r="BA700" s="453"/>
      <c r="BB700" s="454"/>
      <c r="BC700" s="441" t="str">
        <f t="shared" si="1026"/>
        <v/>
      </c>
      <c r="BD700" s="328"/>
      <c r="BE700" s="197" t="str">
        <f>IF(AND($I700="x",AND(MAX(BA700:BC700)=BA700,BA700&lt;&gt;"")),Data!$BI$2,"")</f>
        <v/>
      </c>
      <c r="BF700" s="197" t="str">
        <f>IF(AND($J700="x",AND(MAX(BA700:BC700)=BB700,BB700&lt;&gt;"")),Data!$BJ$2,"")</f>
        <v/>
      </c>
      <c r="BG700" s="197" t="str">
        <f>IF(AND($K700="x",AND(MAX(BA700:BC700)=BC700,BC700&lt;&gt;"")),Data!$BK$2,"")</f>
        <v/>
      </c>
      <c r="BH700" s="197"/>
      <c r="BI700" s="328"/>
      <c r="BJ700" s="453"/>
      <c r="BK700" s="454"/>
      <c r="BL700" s="441" t="str">
        <f t="shared" si="1027"/>
        <v/>
      </c>
      <c r="BM700" s="328"/>
      <c r="BN700" s="197" t="str">
        <f>IF(AND($I700="x",AND(MAX(BJ700:BL700)=BJ700,BJ700&lt;&gt;"")),Data!$BI$2,"")</f>
        <v/>
      </c>
      <c r="BO700" s="197" t="str">
        <f>IF(AND($J700="x",AND(MAX(BJ700:BL700)=BK700,BK700&lt;&gt;"")),Data!$BJ$2,"")</f>
        <v/>
      </c>
      <c r="BP700" s="197" t="str">
        <f>IF(AND($K700="x",AND(MAX(BJ700:BL700)=BL700,BL700&lt;&gt;"")),Data!$BK$2,"")</f>
        <v/>
      </c>
      <c r="BQ700" s="197"/>
      <c r="BR700" s="328"/>
      <c r="BS700" s="453"/>
      <c r="BT700" s="454"/>
      <c r="BU700" s="441" t="str">
        <f t="shared" si="1028"/>
        <v/>
      </c>
      <c r="BV700" s="328"/>
      <c r="BW700" s="197" t="str">
        <f>IF(AND($I700="x",AND(MAX(BS700:BU700)=BS700,BS700&lt;&gt;"")),Data!$BI$2,"")</f>
        <v/>
      </c>
      <c r="BX700" s="197" t="str">
        <f>IF(AND($J700="x",AND(MAX(BS700:BU700)=BT700,BT700&lt;&gt;"")),Data!$BJ$2,"")</f>
        <v/>
      </c>
      <c r="BY700" s="197" t="str">
        <f>IF(AND($K700="x",AND(MAX(BS700:BU700)=BU700,BU700&lt;&gt;"")),Data!$BK$2,"")</f>
        <v/>
      </c>
      <c r="BZ700" s="197"/>
      <c r="CA700" s="328"/>
      <c r="CB700" s="460" t="str">
        <f t="shared" si="1029"/>
        <v/>
      </c>
      <c r="CC700" s="461" t="str">
        <f t="shared" si="1030"/>
        <v/>
      </c>
      <c r="CD700" s="462" t="str">
        <f t="shared" si="1031"/>
        <v/>
      </c>
      <c r="CE700" s="328"/>
      <c r="CF700" s="197" t="str">
        <f>IF(AND($I700="x",AND(MAX(CB700:CD700)=CB700,CB700&lt;&gt;"")),Data!$BI$2,"")</f>
        <v/>
      </c>
      <c r="CG700" s="197" t="str">
        <f>IF(AND($J700="x",AND(MAX(CB700:CD700)=CC700,CC700&lt;&gt;"")),Data!$BJ$2,"")</f>
        <v/>
      </c>
      <c r="CH700" s="197" t="str">
        <f>IF(AND($K700="x",AND(MAX(CB700:CD700)=CD700,CD700&lt;&gt;"")),Data!$BK$2,"")</f>
        <v/>
      </c>
      <c r="CI700" s="197"/>
      <c r="CJ700" s="197"/>
      <c r="CK700" s="453"/>
      <c r="CL700" s="454"/>
      <c r="CM700" s="441" t="str">
        <f t="shared" si="1032"/>
        <v/>
      </c>
      <c r="CN700" s="328"/>
      <c r="CO700" s="197" t="str">
        <f>IF(AND($I700="x",AND(MAX(CK700:CM700)=CK700,CK700&lt;&gt;"")),Data!$BI$2,"")</f>
        <v/>
      </c>
      <c r="CP700" s="197" t="str">
        <f>IF(AND($J700="x",AND(MAX(CK700:CM700)=CL700,CL700&lt;&gt;"")),Data!$BJ$2,"")</f>
        <v/>
      </c>
      <c r="CQ700" s="197" t="str">
        <f>IF(AND($K700="x",AND(MAX(CK700:CM700)=CM700,CM700&lt;&gt;"")),Data!$BK$2,"")</f>
        <v/>
      </c>
      <c r="CR700" s="197"/>
      <c r="CS700" s="197"/>
      <c r="CT700" s="328"/>
      <c r="CU700" s="259"/>
      <c r="CV700" s="209"/>
      <c r="CW700" s="227"/>
    </row>
    <row r="701" spans="1:101" x14ac:dyDescent="0.2">
      <c r="A701" s="227"/>
      <c r="B701" s="227"/>
      <c r="C701" s="168"/>
      <c r="D701" s="232"/>
      <c r="E701" s="136" t="s">
        <v>435</v>
      </c>
      <c r="F701" s="426"/>
      <c r="G701" s="432"/>
      <c r="H701" s="433"/>
      <c r="I701" s="349" t="str">
        <f t="shared" si="1019"/>
        <v/>
      </c>
      <c r="J701" s="350" t="str">
        <f t="shared" si="1020"/>
        <v/>
      </c>
      <c r="K701" s="351" t="str">
        <f t="shared" si="1021"/>
        <v/>
      </c>
      <c r="L701" s="258"/>
      <c r="M701" s="332"/>
      <c r="N701" s="336"/>
      <c r="O701" s="200"/>
      <c r="P701" s="200"/>
      <c r="Q701" s="445"/>
      <c r="R701" s="446"/>
      <c r="S701" s="447" t="str">
        <f t="shared" si="1022"/>
        <v/>
      </c>
      <c r="T701" s="328"/>
      <c r="U701" s="197" t="str">
        <f>IF(AND($I701="x",AND(MAX(Q701:S701)=Q701,Q701&gt;=0)),Data!$BI$2,"")</f>
        <v/>
      </c>
      <c r="V701" s="197" t="str">
        <f>IF(AND($J701="x",AND(MAX(Q701:S701)=R701,R701&gt;=0)),Data!$BJ$2,"")</f>
        <v/>
      </c>
      <c r="W701" s="197" t="str">
        <f>IF(AND($K701="x",AND(MAX(Q701:S701)=S701,S701&gt;=0)),Data!$BK$2,"")</f>
        <v/>
      </c>
      <c r="X701" s="197"/>
      <c r="Y701" s="328"/>
      <c r="Z701" s="455"/>
      <c r="AA701" s="456"/>
      <c r="AB701" s="447" t="str">
        <f t="shared" si="1023"/>
        <v/>
      </c>
      <c r="AC701" s="328"/>
      <c r="AD701" s="197" t="str">
        <f>IF(AND($I701="x",AND(MAX(Z701:AB701)=Z701,Z701&lt;&gt;"")),Data!$BI$2,"")</f>
        <v/>
      </c>
      <c r="AE701" s="197" t="str">
        <f>IF(AND($J701="x",AND(MAX(Z701:AB701)=AA701,AA701&lt;&gt;"")),Data!$BJ$2,"")</f>
        <v/>
      </c>
      <c r="AF701" s="197" t="str">
        <f>IF(AND($K701="x",AND(MAX(Z701:AB701)=AB701,AB701&lt;&gt;"")),Data!$BK$2,"")</f>
        <v/>
      </c>
      <c r="AG701" s="197"/>
      <c r="AH701" s="328"/>
      <c r="AI701" s="455"/>
      <c r="AJ701" s="456"/>
      <c r="AK701" s="447" t="str">
        <f t="shared" si="1024"/>
        <v/>
      </c>
      <c r="AL701" s="328"/>
      <c r="AM701" s="197" t="str">
        <f>IF(AND($I701="x",AND(MAX(AI701:AK701)=AI701,AI701&lt;&gt;"")),Data!$BI$2,"")</f>
        <v/>
      </c>
      <c r="AN701" s="197" t="str">
        <f>IF(AND($J701="x",AND(MAX(AI701:AK701)=AJ701,AJ701&lt;&gt;"")),Data!$BJ$2,"")</f>
        <v/>
      </c>
      <c r="AO701" s="197" t="str">
        <f>IF(AND($K701="x",AND(MAX(AI701:AK701)=AK701,AK701&lt;&gt;"")),Data!$BK$2,"")</f>
        <v/>
      </c>
      <c r="AP701" s="197"/>
      <c r="AQ701" s="328"/>
      <c r="AR701" s="455"/>
      <c r="AS701" s="456"/>
      <c r="AT701" s="447" t="str">
        <f t="shared" si="1025"/>
        <v/>
      </c>
      <c r="AU701" s="328"/>
      <c r="AV701" s="197" t="str">
        <f>IF(AND($I701="x",AND(MAX(AR701:AT701)=AR701,AR701&lt;&gt;"")),Data!$BI$2,"")</f>
        <v/>
      </c>
      <c r="AW701" s="197" t="str">
        <f>IF(AND($J701="x",AND(MAX(AR701:AT701)=AS701,AS701&lt;&gt;"")),Data!$BJ$2,"")</f>
        <v/>
      </c>
      <c r="AX701" s="197" t="str">
        <f>IF(AND($K701="x",AND(MAX(AR701:AT701)=AT701,AT701&lt;&gt;"")),Data!$BK$2,"")</f>
        <v/>
      </c>
      <c r="AY701" s="197"/>
      <c r="AZ701" s="328"/>
      <c r="BA701" s="455"/>
      <c r="BB701" s="456"/>
      <c r="BC701" s="447" t="str">
        <f t="shared" si="1026"/>
        <v/>
      </c>
      <c r="BD701" s="328"/>
      <c r="BE701" s="197" t="str">
        <f>IF(AND($I701="x",AND(MAX(BA701:BC701)=BA701,BA701&lt;&gt;"")),Data!$BI$2,"")</f>
        <v/>
      </c>
      <c r="BF701" s="197" t="str">
        <f>IF(AND($J701="x",AND(MAX(BA701:BC701)=BB701,BB701&lt;&gt;"")),Data!$BJ$2,"")</f>
        <v/>
      </c>
      <c r="BG701" s="197" t="str">
        <f>IF(AND($K701="x",AND(MAX(BA701:BC701)=BC701,BC701&lt;&gt;"")),Data!$BK$2,"")</f>
        <v/>
      </c>
      <c r="BH701" s="197"/>
      <c r="BI701" s="328"/>
      <c r="BJ701" s="455"/>
      <c r="BK701" s="456"/>
      <c r="BL701" s="447" t="str">
        <f t="shared" si="1027"/>
        <v/>
      </c>
      <c r="BM701" s="328"/>
      <c r="BN701" s="197" t="str">
        <f>IF(AND($I701="x",AND(MAX(BJ701:BL701)=BJ701,BJ701&lt;&gt;"")),Data!$BI$2,"")</f>
        <v/>
      </c>
      <c r="BO701" s="197" t="str">
        <f>IF(AND($J701="x",AND(MAX(BJ701:BL701)=BK701,BK701&lt;&gt;"")),Data!$BJ$2,"")</f>
        <v/>
      </c>
      <c r="BP701" s="197" t="str">
        <f>IF(AND($K701="x",AND(MAX(BJ701:BL701)=BL701,BL701&lt;&gt;"")),Data!$BK$2,"")</f>
        <v/>
      </c>
      <c r="BQ701" s="197"/>
      <c r="BR701" s="328"/>
      <c r="BS701" s="455"/>
      <c r="BT701" s="456"/>
      <c r="BU701" s="447" t="str">
        <f t="shared" si="1028"/>
        <v/>
      </c>
      <c r="BV701" s="328"/>
      <c r="BW701" s="197" t="str">
        <f>IF(AND($I701="x",AND(MAX(BS701:BU701)=BS701,BS701&lt;&gt;"")),Data!$BI$2,"")</f>
        <v/>
      </c>
      <c r="BX701" s="197" t="str">
        <f>IF(AND($J701="x",AND(MAX(BS701:BU701)=BT701,BT701&lt;&gt;"")),Data!$BJ$2,"")</f>
        <v/>
      </c>
      <c r="BY701" s="197" t="str">
        <f>IF(AND($K701="x",AND(MAX(BS701:BU701)=BU701,BU701&lt;&gt;"")),Data!$BK$2,"")</f>
        <v/>
      </c>
      <c r="BZ701" s="197"/>
      <c r="CA701" s="328"/>
      <c r="CB701" s="463" t="str">
        <f t="shared" si="1029"/>
        <v/>
      </c>
      <c r="CC701" s="464" t="str">
        <f t="shared" si="1030"/>
        <v/>
      </c>
      <c r="CD701" s="465" t="str">
        <f t="shared" si="1031"/>
        <v/>
      </c>
      <c r="CE701" s="328"/>
      <c r="CF701" s="197" t="str">
        <f>IF(AND($I701="x",AND(MAX(CB701:CD701)=CB701,CB701&lt;&gt;"")),Data!$BI$2,"")</f>
        <v/>
      </c>
      <c r="CG701" s="197" t="str">
        <f>IF(AND($J701="x",AND(MAX(CB701:CD701)=CC701,CC701&lt;&gt;"")),Data!$BJ$2,"")</f>
        <v/>
      </c>
      <c r="CH701" s="197" t="str">
        <f>IF(AND($K701="x",AND(MAX(CB701:CD701)=CD701,CD701&lt;&gt;"")),Data!$BK$2,"")</f>
        <v/>
      </c>
      <c r="CI701" s="197"/>
      <c r="CJ701" s="197"/>
      <c r="CK701" s="455"/>
      <c r="CL701" s="456"/>
      <c r="CM701" s="447" t="str">
        <f t="shared" si="1032"/>
        <v/>
      </c>
      <c r="CN701" s="328"/>
      <c r="CO701" s="197" t="str">
        <f>IF(AND($I701="x",AND(MAX(CK701:CM701)=CK701,CK701&lt;&gt;"")),Data!$BI$2,"")</f>
        <v/>
      </c>
      <c r="CP701" s="197" t="str">
        <f>IF(AND($J701="x",AND(MAX(CK701:CM701)=CL701,CL701&lt;&gt;"")),Data!$BJ$2,"")</f>
        <v/>
      </c>
      <c r="CQ701" s="197" t="str">
        <f>IF(AND($K701="x",AND(MAX(CK701:CM701)=CM701,CM701&lt;&gt;"")),Data!$BK$2,"")</f>
        <v/>
      </c>
      <c r="CR701" s="197"/>
      <c r="CS701" s="197"/>
      <c r="CT701" s="328"/>
      <c r="CU701" s="259"/>
      <c r="CV701" s="209"/>
      <c r="CW701" s="227"/>
    </row>
    <row r="702" spans="1:101" x14ac:dyDescent="0.2">
      <c r="A702" s="227"/>
      <c r="B702" s="227"/>
      <c r="C702" s="168"/>
      <c r="D702" s="233"/>
      <c r="E702" s="199"/>
      <c r="F702" s="352" t="str">
        <f>IF(SUM(F690:F701)=0,"",SUM(F690:F701))</f>
        <v/>
      </c>
      <c r="G702" s="327" t="s">
        <v>51</v>
      </c>
      <c r="H702" s="353" t="str">
        <f>IF(SUM(H690:H701)=0,"",SUM(H690:H701))</f>
        <v/>
      </c>
      <c r="I702" s="354" t="str">
        <f>IF(COUNTIF(I690:I701,"=x")=0,"",COUNTIF(I690:I701,"=x"))</f>
        <v/>
      </c>
      <c r="J702" s="355" t="str">
        <f>IF(COUNTIF(J690:J701,"=x")=0,"",COUNTIF(J690:J701,"=x"))</f>
        <v/>
      </c>
      <c r="K702" s="356" t="str">
        <f>IF(COUNTIF(K690:K701,"=x")=0,"",COUNTIF(K690:K701,"=x"))</f>
        <v/>
      </c>
      <c r="L702" s="258"/>
      <c r="M702" s="332"/>
      <c r="N702" s="336"/>
      <c r="O702" s="200"/>
      <c r="P702" s="326"/>
      <c r="Q702" s="422">
        <f>SUM(U690:U701)</f>
        <v>0</v>
      </c>
      <c r="R702" s="422">
        <f t="shared" ref="R702:S702" si="1033">SUM(V690:V701)</f>
        <v>0</v>
      </c>
      <c r="S702" s="422">
        <f t="shared" si="1033"/>
        <v>0</v>
      </c>
      <c r="T702" s="325"/>
      <c r="U702" s="197">
        <f>SUM(U690:U701)</f>
        <v>0</v>
      </c>
      <c r="V702" s="197">
        <f t="shared" ref="V702:W702" si="1034">SUM(V690:V701)</f>
        <v>0</v>
      </c>
      <c r="W702" s="197">
        <f t="shared" si="1034"/>
        <v>0</v>
      </c>
      <c r="X702" s="197"/>
      <c r="Y702" s="324"/>
      <c r="Z702" s="422">
        <f>SUM(AD690:AD701)</f>
        <v>0</v>
      </c>
      <c r="AA702" s="422">
        <f t="shared" ref="AA702:AB702" si="1035">SUM(AE690:AE701)</f>
        <v>0</v>
      </c>
      <c r="AB702" s="422">
        <f t="shared" si="1035"/>
        <v>0</v>
      </c>
      <c r="AC702" s="325"/>
      <c r="AD702" s="197">
        <f>SUM(AD690:AD701)</f>
        <v>0</v>
      </c>
      <c r="AE702" s="197">
        <f t="shared" ref="AE702:AF702" si="1036">SUM(AE690:AE701)</f>
        <v>0</v>
      </c>
      <c r="AF702" s="197">
        <f t="shared" si="1036"/>
        <v>0</v>
      </c>
      <c r="AG702" s="197"/>
      <c r="AH702" s="324"/>
      <c r="AI702" s="422">
        <f>SUM(AM690:AM701)</f>
        <v>0</v>
      </c>
      <c r="AJ702" s="422">
        <f t="shared" ref="AJ702:AK702" si="1037">SUM(AN690:AN701)</f>
        <v>0</v>
      </c>
      <c r="AK702" s="422">
        <f t="shared" si="1037"/>
        <v>0</v>
      </c>
      <c r="AL702" s="325"/>
      <c r="AM702" s="197">
        <f>SUM(AM690:AM701)</f>
        <v>0</v>
      </c>
      <c r="AN702" s="197">
        <f t="shared" ref="AN702:AO702" si="1038">SUM(AN690:AN701)</f>
        <v>0</v>
      </c>
      <c r="AO702" s="197">
        <f t="shared" si="1038"/>
        <v>0</v>
      </c>
      <c r="AP702" s="197"/>
      <c r="AQ702" s="324"/>
      <c r="AR702" s="422">
        <f>SUM(AV690:AV701)</f>
        <v>0</v>
      </c>
      <c r="AS702" s="422">
        <f t="shared" ref="AS702:AT702" si="1039">SUM(AW690:AW701)</f>
        <v>0</v>
      </c>
      <c r="AT702" s="422">
        <f t="shared" si="1039"/>
        <v>0</v>
      </c>
      <c r="AU702" s="325"/>
      <c r="AV702" s="197">
        <f>SUM(AV690:AV701)</f>
        <v>0</v>
      </c>
      <c r="AW702" s="197">
        <f t="shared" ref="AW702:AX702" si="1040">SUM(AW690:AW701)</f>
        <v>0</v>
      </c>
      <c r="AX702" s="197">
        <f t="shared" si="1040"/>
        <v>0</v>
      </c>
      <c r="AY702" s="197"/>
      <c r="AZ702" s="324"/>
      <c r="BA702" s="422">
        <f>SUM(BE690:BE701)</f>
        <v>0</v>
      </c>
      <c r="BB702" s="422">
        <f t="shared" ref="BB702:BC702" si="1041">SUM(BF690:BF701)</f>
        <v>0</v>
      </c>
      <c r="BC702" s="422">
        <f t="shared" si="1041"/>
        <v>0</v>
      </c>
      <c r="BD702" s="325"/>
      <c r="BE702" s="197">
        <f>SUM(BE690:BE701)</f>
        <v>0</v>
      </c>
      <c r="BF702" s="197">
        <f t="shared" ref="BF702:BG702" si="1042">SUM(BF690:BF701)</f>
        <v>0</v>
      </c>
      <c r="BG702" s="197">
        <f t="shared" si="1042"/>
        <v>0</v>
      </c>
      <c r="BH702" s="197"/>
      <c r="BI702" s="324"/>
      <c r="BJ702" s="422">
        <f>SUM(BN690:BN701)</f>
        <v>0</v>
      </c>
      <c r="BK702" s="422">
        <f t="shared" ref="BK702" si="1043">SUM(BO690:BO701)</f>
        <v>0</v>
      </c>
      <c r="BL702" s="422">
        <f t="shared" ref="BL702" si="1044">SUM(BP690:BP701)</f>
        <v>0</v>
      </c>
      <c r="BM702" s="325"/>
      <c r="BN702" s="197">
        <f>SUM(BN690:BN701)</f>
        <v>0</v>
      </c>
      <c r="BO702" s="197">
        <f t="shared" ref="BO702:BP702" si="1045">SUM(BO690:BO701)</f>
        <v>0</v>
      </c>
      <c r="BP702" s="197">
        <f t="shared" si="1045"/>
        <v>0</v>
      </c>
      <c r="BQ702" s="197"/>
      <c r="BR702" s="324"/>
      <c r="BS702" s="422">
        <f>SUM(BW690:BW701)</f>
        <v>0</v>
      </c>
      <c r="BT702" s="422">
        <f t="shared" ref="BT702:BU702" si="1046">SUM(BX690:BX701)</f>
        <v>0</v>
      </c>
      <c r="BU702" s="422">
        <f t="shared" si="1046"/>
        <v>0</v>
      </c>
      <c r="BV702" s="325"/>
      <c r="BW702" s="197">
        <f>SUM(BW690:BW701)</f>
        <v>0</v>
      </c>
      <c r="BX702" s="197">
        <f t="shared" ref="BX702:BY702" si="1047">SUM(BX690:BX701)</f>
        <v>0</v>
      </c>
      <c r="BY702" s="197">
        <f t="shared" si="1047"/>
        <v>0</v>
      </c>
      <c r="BZ702" s="197"/>
      <c r="CA702" s="326"/>
      <c r="CB702" s="422">
        <f>SUM(CF690:CF701)</f>
        <v>0</v>
      </c>
      <c r="CC702" s="422">
        <f t="shared" ref="CC702:CD702" si="1048">SUM(CG690:CG701)</f>
        <v>0</v>
      </c>
      <c r="CD702" s="422">
        <f t="shared" si="1048"/>
        <v>0</v>
      </c>
      <c r="CE702" s="325"/>
      <c r="CF702" s="197">
        <f>SUM(CF690:CF701)</f>
        <v>0</v>
      </c>
      <c r="CG702" s="197">
        <f t="shared" ref="CG702:CH702" si="1049">SUM(CG690:CG701)</f>
        <v>0</v>
      </c>
      <c r="CH702" s="197">
        <f t="shared" si="1049"/>
        <v>0</v>
      </c>
      <c r="CI702" s="197"/>
      <c r="CJ702" s="197"/>
      <c r="CK702" s="422">
        <f>SUM(CO690:CO701)</f>
        <v>0</v>
      </c>
      <c r="CL702" s="422">
        <f t="shared" ref="CL702:CM702" si="1050">SUM(CP690:CP701)</f>
        <v>0</v>
      </c>
      <c r="CM702" s="422">
        <f t="shared" si="1050"/>
        <v>0</v>
      </c>
      <c r="CN702" s="325"/>
      <c r="CO702" s="197">
        <f>SUM(CO690:CO701)</f>
        <v>0</v>
      </c>
      <c r="CP702" s="197">
        <f t="shared" ref="CP702:CQ702" si="1051">SUM(CP690:CP701)</f>
        <v>0</v>
      </c>
      <c r="CQ702" s="197">
        <f t="shared" si="1051"/>
        <v>0</v>
      </c>
      <c r="CR702" s="197"/>
      <c r="CS702" s="197"/>
      <c r="CT702" s="197"/>
      <c r="CU702" s="259"/>
      <c r="CV702" s="209"/>
      <c r="CW702" s="228"/>
    </row>
    <row r="703" spans="1:101" x14ac:dyDescent="0.2">
      <c r="A703" s="227"/>
      <c r="B703" s="227"/>
      <c r="C703" s="168"/>
      <c r="D703" s="249"/>
      <c r="E703" s="242"/>
      <c r="F703" s="243"/>
      <c r="G703" s="242"/>
      <c r="H703" s="242"/>
      <c r="I703" s="242"/>
      <c r="J703" s="242"/>
      <c r="K703" s="242"/>
      <c r="L703" s="252"/>
      <c r="M703" s="260"/>
      <c r="N703" s="337"/>
      <c r="O703" s="333"/>
      <c r="P703" s="244"/>
      <c r="Q703" s="245"/>
      <c r="R703" s="245"/>
      <c r="S703" s="245"/>
      <c r="T703" s="246"/>
      <c r="U703" s="247"/>
      <c r="V703" s="247"/>
      <c r="W703" s="247"/>
      <c r="X703" s="247"/>
      <c r="Y703" s="244"/>
      <c r="Z703" s="245"/>
      <c r="AA703" s="245"/>
      <c r="AB703" s="245"/>
      <c r="AC703" s="246"/>
      <c r="AD703" s="247"/>
      <c r="AE703" s="247"/>
      <c r="AF703" s="247"/>
      <c r="AG703" s="247"/>
      <c r="AH703" s="244"/>
      <c r="AI703" s="245"/>
      <c r="AJ703" s="245"/>
      <c r="AK703" s="245"/>
      <c r="AL703" s="246"/>
      <c r="AM703" s="247"/>
      <c r="AN703" s="247"/>
      <c r="AO703" s="247"/>
      <c r="AP703" s="247"/>
      <c r="AQ703" s="244"/>
      <c r="AR703" s="245"/>
      <c r="AS703" s="245"/>
      <c r="AT703" s="245"/>
      <c r="AU703" s="246"/>
      <c r="AV703" s="247"/>
      <c r="AW703" s="247"/>
      <c r="AX703" s="247"/>
      <c r="AY703" s="247"/>
      <c r="AZ703" s="244"/>
      <c r="BA703" s="245"/>
      <c r="BB703" s="245"/>
      <c r="BC703" s="245"/>
      <c r="BD703" s="246"/>
      <c r="BE703" s="247"/>
      <c r="BF703" s="247"/>
      <c r="BG703" s="247"/>
      <c r="BH703" s="247"/>
      <c r="BI703" s="244"/>
      <c r="BJ703" s="244"/>
      <c r="BK703" s="244"/>
      <c r="BL703" s="244"/>
      <c r="BM703" s="244"/>
      <c r="BN703" s="247"/>
      <c r="BO703" s="247"/>
      <c r="BP703" s="247"/>
      <c r="BQ703" s="247"/>
      <c r="BR703" s="244"/>
      <c r="BS703" s="244"/>
      <c r="BT703" s="244"/>
      <c r="BU703" s="244"/>
      <c r="BV703" s="244"/>
      <c r="BW703" s="247"/>
      <c r="BX703" s="247"/>
      <c r="BY703" s="247"/>
      <c r="BZ703" s="247"/>
      <c r="CA703" s="244"/>
      <c r="CB703" s="244"/>
      <c r="CC703" s="244"/>
      <c r="CD703" s="244"/>
      <c r="CE703" s="244"/>
      <c r="CF703" s="247"/>
      <c r="CG703" s="247"/>
      <c r="CH703" s="247"/>
      <c r="CI703" s="247"/>
      <c r="CJ703" s="248"/>
      <c r="CK703" s="248"/>
      <c r="CL703" s="248"/>
      <c r="CM703" s="248"/>
      <c r="CN703" s="248"/>
      <c r="CO703" s="247"/>
      <c r="CP703" s="247"/>
      <c r="CQ703" s="247"/>
      <c r="CR703" s="247"/>
      <c r="CS703" s="248"/>
      <c r="CT703" s="242"/>
      <c r="CU703" s="253"/>
      <c r="CV703" s="209"/>
      <c r="CW703" s="228"/>
    </row>
    <row r="704" spans="1:101" x14ac:dyDescent="0.2">
      <c r="A704" s="219"/>
      <c r="B704" s="219"/>
      <c r="C704" s="175"/>
      <c r="D704" s="176"/>
      <c r="E704" s="210"/>
      <c r="F704" s="211"/>
      <c r="G704" s="210"/>
      <c r="H704" s="210"/>
      <c r="I704" s="210"/>
      <c r="J704" s="210"/>
      <c r="K704" s="210"/>
      <c r="L704" s="212"/>
      <c r="M704" s="213"/>
      <c r="N704" s="213"/>
      <c r="O704" s="213"/>
      <c r="P704" s="213"/>
      <c r="Q704" s="210"/>
      <c r="R704" s="210"/>
      <c r="S704" s="210"/>
      <c r="T704" s="214"/>
      <c r="U704" s="215"/>
      <c r="V704" s="215"/>
      <c r="W704" s="215"/>
      <c r="X704" s="215"/>
      <c r="Y704" s="213"/>
      <c r="Z704" s="210"/>
      <c r="AA704" s="210"/>
      <c r="AB704" s="210"/>
      <c r="AC704" s="214"/>
      <c r="AD704" s="215"/>
      <c r="AE704" s="215"/>
      <c r="AF704" s="215"/>
      <c r="AG704" s="215"/>
      <c r="AH704" s="213"/>
      <c r="AI704" s="210"/>
      <c r="AJ704" s="210"/>
      <c r="AK704" s="210"/>
      <c r="AL704" s="214"/>
      <c r="AM704" s="215"/>
      <c r="AN704" s="215"/>
      <c r="AO704" s="215"/>
      <c r="AP704" s="215"/>
      <c r="AQ704" s="213"/>
      <c r="AR704" s="210"/>
      <c r="AS704" s="210"/>
      <c r="AT704" s="210"/>
      <c r="AU704" s="214"/>
      <c r="AV704" s="215"/>
      <c r="AW704" s="215"/>
      <c r="AX704" s="215"/>
      <c r="AY704" s="215"/>
      <c r="AZ704" s="213"/>
      <c r="BA704" s="210"/>
      <c r="BB704" s="210"/>
      <c r="BC704" s="210"/>
      <c r="BD704" s="214"/>
      <c r="BE704" s="215"/>
      <c r="BF704" s="215"/>
      <c r="BG704" s="215"/>
      <c r="BH704" s="215"/>
      <c r="BI704" s="213"/>
      <c r="BJ704" s="210"/>
      <c r="BK704" s="210"/>
      <c r="BL704" s="210"/>
      <c r="BM704" s="214"/>
      <c r="BN704" s="215"/>
      <c r="BO704" s="215"/>
      <c r="BP704" s="215"/>
      <c r="BQ704" s="215"/>
      <c r="BR704" s="177"/>
      <c r="BS704" s="210"/>
      <c r="BT704" s="210"/>
      <c r="BU704" s="210"/>
      <c r="BV704" s="213"/>
      <c r="BW704" s="215"/>
      <c r="BX704" s="215"/>
      <c r="BY704" s="215"/>
      <c r="BZ704" s="215"/>
      <c r="CA704" s="210"/>
      <c r="CB704" s="216"/>
      <c r="CC704" s="216"/>
      <c r="CD704" s="216"/>
      <c r="CE704" s="216"/>
      <c r="CF704" s="215"/>
      <c r="CG704" s="215"/>
      <c r="CH704" s="215"/>
      <c r="CI704" s="215"/>
      <c r="CJ704" s="210"/>
      <c r="CK704" s="210"/>
      <c r="CL704" s="210"/>
      <c r="CM704" s="210"/>
      <c r="CN704" s="210"/>
      <c r="CO704" s="215"/>
      <c r="CP704" s="215"/>
      <c r="CQ704" s="215"/>
      <c r="CR704" s="215"/>
      <c r="CS704" s="210"/>
      <c r="CT704" s="210"/>
      <c r="CU704" s="210"/>
      <c r="CV704" s="217"/>
      <c r="CW704" s="218"/>
    </row>
    <row r="705" spans="1:101" ht="14.25" thickTop="1" thickBot="1" x14ac:dyDescent="0.25">
      <c r="A705" s="218"/>
      <c r="B705" s="218"/>
      <c r="C705" s="218"/>
      <c r="D705" s="218"/>
      <c r="E705" s="218"/>
      <c r="F705" s="218"/>
      <c r="G705" s="218"/>
      <c r="H705" s="218"/>
      <c r="I705" s="218"/>
      <c r="J705" s="218"/>
      <c r="K705" s="218"/>
      <c r="L705" s="218"/>
      <c r="M705" s="218"/>
      <c r="N705" s="218"/>
      <c r="O705" s="218"/>
      <c r="P705" s="218"/>
      <c r="Q705" s="218"/>
      <c r="R705" s="218"/>
      <c r="S705" s="218"/>
      <c r="T705" s="218"/>
      <c r="U705" s="218"/>
      <c r="V705" s="218"/>
      <c r="W705" s="218"/>
      <c r="X705" s="218"/>
      <c r="Y705" s="218"/>
      <c r="Z705" s="218"/>
      <c r="AA705" s="218"/>
      <c r="AB705" s="218"/>
      <c r="AC705" s="218"/>
      <c r="AD705" s="218"/>
      <c r="AE705" s="218"/>
      <c r="AF705" s="218"/>
      <c r="AG705" s="218"/>
      <c r="AH705" s="218"/>
      <c r="AI705" s="218"/>
      <c r="AJ705" s="218"/>
      <c r="AK705" s="218"/>
      <c r="AL705" s="218"/>
      <c r="AM705" s="218"/>
      <c r="AN705" s="218"/>
      <c r="AO705" s="218"/>
      <c r="AP705" s="218"/>
      <c r="AQ705" s="218"/>
      <c r="AR705" s="218"/>
      <c r="AS705" s="218"/>
      <c r="AT705" s="218"/>
      <c r="AU705" s="218"/>
      <c r="AV705" s="218"/>
      <c r="AW705" s="218"/>
      <c r="AX705" s="218"/>
      <c r="AY705" s="218"/>
      <c r="AZ705" s="218"/>
      <c r="BA705" s="218"/>
      <c r="BB705" s="218"/>
      <c r="BC705" s="218"/>
      <c r="BD705" s="218"/>
      <c r="BE705" s="218"/>
      <c r="BF705" s="218"/>
      <c r="BG705" s="218"/>
      <c r="BH705" s="218"/>
      <c r="BI705" s="218"/>
      <c r="BJ705" s="218"/>
      <c r="BK705" s="218"/>
      <c r="BL705" s="218"/>
      <c r="BM705" s="218"/>
      <c r="BN705" s="218"/>
      <c r="BO705" s="218"/>
      <c r="BP705" s="218"/>
      <c r="BQ705" s="218"/>
      <c r="BR705" s="218"/>
      <c r="BS705" s="218"/>
      <c r="BT705" s="218"/>
      <c r="BU705" s="218"/>
      <c r="BV705" s="218"/>
      <c r="BW705" s="218"/>
      <c r="BX705" s="218"/>
      <c r="BY705" s="218"/>
      <c r="BZ705" s="218"/>
      <c r="CA705" s="218"/>
      <c r="CB705" s="392"/>
      <c r="CC705" s="392"/>
      <c r="CD705" s="392"/>
      <c r="CE705" s="392"/>
      <c r="CF705" s="218"/>
      <c r="CG705" s="218"/>
      <c r="CH705" s="218"/>
      <c r="CI705" s="218"/>
      <c r="CJ705" s="218"/>
      <c r="CK705" s="218"/>
      <c r="CL705" s="218"/>
      <c r="CM705" s="218"/>
      <c r="CN705" s="218"/>
      <c r="CO705" s="218"/>
      <c r="CP705" s="218"/>
      <c r="CQ705" s="218"/>
      <c r="CR705" s="218"/>
      <c r="CS705" s="218"/>
      <c r="CT705" s="218"/>
      <c r="CU705" s="218"/>
      <c r="CV705" s="218"/>
      <c r="CW705" s="218"/>
    </row>
    <row r="706" spans="1:101" ht="21" thickTop="1" x14ac:dyDescent="0.3">
      <c r="A706" s="219"/>
      <c r="B706" s="219"/>
      <c r="C706" s="157"/>
      <c r="D706" s="158"/>
      <c r="E706" s="731" t="s">
        <v>44</v>
      </c>
      <c r="F706" s="229"/>
      <c r="G706" s="229"/>
      <c r="H706" s="229"/>
      <c r="I706" s="877" t="e" vm="1">
        <v>#VALUE!</v>
      </c>
      <c r="J706" s="877"/>
      <c r="K706" s="877"/>
      <c r="L706" s="877"/>
      <c r="M706" s="159"/>
      <c r="N706" s="159"/>
      <c r="O706" s="159"/>
      <c r="P706" s="160"/>
      <c r="Q706" s="159"/>
      <c r="R706" s="159"/>
      <c r="S706" s="159"/>
      <c r="T706" s="161"/>
      <c r="U706" s="162"/>
      <c r="V706" s="162"/>
      <c r="W706" s="162"/>
      <c r="X706" s="162"/>
      <c r="Y706" s="160"/>
      <c r="Z706" s="159"/>
      <c r="AA706" s="159"/>
      <c r="AB706" s="159"/>
      <c r="AC706" s="161"/>
      <c r="AD706" s="162"/>
      <c r="AE706" s="162"/>
      <c r="AF706" s="162"/>
      <c r="AG706" s="162"/>
      <c r="AH706" s="160"/>
      <c r="AI706" s="159"/>
      <c r="AJ706" s="201"/>
      <c r="AK706" s="201"/>
      <c r="AL706" s="164"/>
      <c r="AM706" s="162"/>
      <c r="AN706" s="162"/>
      <c r="AO706" s="162"/>
      <c r="AP706" s="162"/>
      <c r="AQ706" s="202"/>
      <c r="AR706" s="203"/>
      <c r="AS706" s="165"/>
      <c r="AT706" s="166"/>
      <c r="AU706" s="164"/>
      <c r="AV706" s="162"/>
      <c r="AW706" s="162"/>
      <c r="AX706" s="162"/>
      <c r="AY706" s="162"/>
      <c r="AZ706" s="202"/>
      <c r="BA706" s="203"/>
      <c r="BB706" s="166"/>
      <c r="BC706" s="201"/>
      <c r="BD706" s="204"/>
      <c r="BE706" s="162"/>
      <c r="BF706" s="162"/>
      <c r="BG706" s="162"/>
      <c r="BH706" s="162"/>
      <c r="BI706" s="205"/>
      <c r="BJ706" s="201"/>
      <c r="BK706" s="201"/>
      <c r="BL706" s="201"/>
      <c r="BM706" s="204"/>
      <c r="BN706" s="162"/>
      <c r="BO706" s="162"/>
      <c r="BP706" s="162"/>
      <c r="BQ706" s="162"/>
      <c r="BR706" s="167"/>
      <c r="BS706" s="201"/>
      <c r="BT706" s="201"/>
      <c r="BU706" s="201"/>
      <c r="BV706" s="205"/>
      <c r="BW706" s="162"/>
      <c r="BX706" s="162"/>
      <c r="BY706" s="162"/>
      <c r="BZ706" s="162"/>
      <c r="CA706" s="201"/>
      <c r="CB706" s="393"/>
      <c r="CC706" s="393"/>
      <c r="CD706" s="393"/>
      <c r="CE706" s="393"/>
      <c r="CF706" s="162"/>
      <c r="CG706" s="162"/>
      <c r="CH706" s="162"/>
      <c r="CI706" s="162"/>
      <c r="CJ706" s="163"/>
      <c r="CK706" s="163"/>
      <c r="CL706" s="163"/>
      <c r="CM706" s="163"/>
      <c r="CN706" s="163"/>
      <c r="CO706" s="162"/>
      <c r="CP706" s="162"/>
      <c r="CQ706" s="162"/>
      <c r="CR706" s="162"/>
      <c r="CS706" s="163"/>
      <c r="CT706" s="358"/>
      <c r="CU706" s="201"/>
      <c r="CV706" s="206"/>
      <c r="CW706" s="218"/>
    </row>
    <row r="707" spans="1:101" ht="15.75" thickBot="1" x14ac:dyDescent="0.25">
      <c r="A707" s="219"/>
      <c r="B707" s="219"/>
      <c r="C707" s="168"/>
      <c r="D707" s="785"/>
      <c r="E707" s="869" t="s">
        <v>45</v>
      </c>
      <c r="F707" s="363"/>
      <c r="G707" s="363"/>
      <c r="H707" s="363"/>
      <c r="I707" s="878"/>
      <c r="J707" s="878"/>
      <c r="K707" s="878"/>
      <c r="L707" s="878"/>
      <c r="M707" s="363"/>
      <c r="N707" s="363"/>
      <c r="O707" s="363"/>
      <c r="P707" s="363"/>
      <c r="Q707" s="363"/>
      <c r="R707" s="363"/>
      <c r="S707" s="363"/>
      <c r="T707" s="363"/>
      <c r="U707" s="363"/>
      <c r="V707" s="363"/>
      <c r="W707" s="363"/>
      <c r="X707" s="363"/>
      <c r="Y707" s="363"/>
      <c r="Z707" s="363"/>
      <c r="AA707" s="363"/>
      <c r="AB707" s="363"/>
      <c r="AC707" s="363"/>
      <c r="AD707" s="363"/>
      <c r="AE707" s="363"/>
      <c r="AF707" s="363"/>
      <c r="AG707" s="363"/>
      <c r="AH707" s="363"/>
      <c r="AI707" s="363"/>
      <c r="AJ707" s="363"/>
      <c r="AK707" s="363"/>
      <c r="AL707" s="363"/>
      <c r="AM707" s="363"/>
      <c r="AN707" s="363"/>
      <c r="AO707" s="363"/>
      <c r="AP707" s="363"/>
      <c r="AQ707" s="363"/>
      <c r="AR707" s="363"/>
      <c r="AS707" s="363"/>
      <c r="AT707" s="363"/>
      <c r="AU707" s="363"/>
      <c r="AV707" s="363"/>
      <c r="AW707" s="363"/>
      <c r="AX707" s="363"/>
      <c r="AY707" s="363"/>
      <c r="AZ707" s="363"/>
      <c r="BA707" s="363"/>
      <c r="BB707" s="363"/>
      <c r="BC707" s="363"/>
      <c r="BD707" s="363"/>
      <c r="BE707" s="363"/>
      <c r="BF707" s="363"/>
      <c r="BG707" s="363"/>
      <c r="BH707" s="363"/>
      <c r="BI707" s="363"/>
      <c r="BJ707" s="363"/>
      <c r="BK707" s="363"/>
      <c r="BL707" s="363"/>
      <c r="BM707" s="363"/>
      <c r="BN707" s="363"/>
      <c r="BO707" s="363"/>
      <c r="BP707" s="363"/>
      <c r="BQ707" s="363"/>
      <c r="BR707" s="363"/>
      <c r="BS707" s="363"/>
      <c r="BT707" s="363"/>
      <c r="BU707" s="363"/>
      <c r="BV707" s="363"/>
      <c r="BW707" s="363"/>
      <c r="BX707" s="363"/>
      <c r="BY707" s="363"/>
      <c r="BZ707" s="363"/>
      <c r="CA707" s="363"/>
      <c r="CB707" s="394"/>
      <c r="CC707" s="394"/>
      <c r="CD707" s="394"/>
      <c r="CE707" s="394"/>
      <c r="CF707" s="363"/>
      <c r="CG707" s="363"/>
      <c r="CH707" s="363"/>
      <c r="CI707" s="363"/>
      <c r="CJ707" s="363"/>
      <c r="CK707" s="363"/>
      <c r="CL707" s="363"/>
      <c r="CM707" s="363"/>
      <c r="CN707" s="323"/>
      <c r="CO707" s="363"/>
      <c r="CP707" s="363"/>
      <c r="CQ707" s="363"/>
      <c r="CR707" s="363"/>
      <c r="CS707" s="323"/>
      <c r="CT707" s="155"/>
      <c r="CU707" s="269"/>
      <c r="CV707" s="209"/>
      <c r="CW707" s="218"/>
    </row>
    <row r="708" spans="1:101" ht="18.75" thickTop="1" x14ac:dyDescent="0.2">
      <c r="A708" s="219"/>
      <c r="B708" s="219"/>
      <c r="C708" s="174"/>
      <c r="D708" s="778"/>
      <c r="E708" s="777"/>
      <c r="F708" s="235"/>
      <c r="G708" s="234"/>
      <c r="H708" s="234"/>
      <c r="I708" s="875">
        <f>WEEKNUM(E709)</f>
        <v>13</v>
      </c>
      <c r="J708" s="875"/>
      <c r="K708" s="875"/>
      <c r="L708" s="250"/>
      <c r="M708" s="261"/>
      <c r="N708" s="205"/>
      <c r="O708" s="236"/>
      <c r="P708" s="236"/>
      <c r="Q708" s="675" t="str">
        <f>IF($F712="","",SUM(Q724:S724)-S710)</f>
        <v/>
      </c>
      <c r="R708" s="675"/>
      <c r="S708" s="675"/>
      <c r="T708" s="237"/>
      <c r="U708" s="238"/>
      <c r="V708" s="238"/>
      <c r="W708" s="238"/>
      <c r="X708" s="238"/>
      <c r="Y708" s="236"/>
      <c r="Z708" s="675" t="str">
        <f>IF($F712="","",SUM(Z724:AB724)-AB710)</f>
        <v/>
      </c>
      <c r="AA708" s="675"/>
      <c r="AB708" s="675"/>
      <c r="AC708" s="237"/>
      <c r="AD708" s="238"/>
      <c r="AE708" s="238"/>
      <c r="AF708" s="238"/>
      <c r="AG708" s="238"/>
      <c r="AH708" s="236"/>
      <c r="AI708" s="675" t="str">
        <f>IF($F712="","",SUM(AI724:AK724)-AK710)</f>
        <v/>
      </c>
      <c r="AJ708" s="675"/>
      <c r="AK708" s="675"/>
      <c r="AL708" s="237"/>
      <c r="AM708" s="238"/>
      <c r="AN708" s="238"/>
      <c r="AO708" s="238"/>
      <c r="AP708" s="238"/>
      <c r="AQ708" s="236"/>
      <c r="AR708" s="675" t="str">
        <f>IF($F712="","",SUM(AR724:AT724)-AT710)</f>
        <v/>
      </c>
      <c r="AS708" s="675"/>
      <c r="AT708" s="675"/>
      <c r="AU708" s="239"/>
      <c r="AV708" s="238"/>
      <c r="AW708" s="238"/>
      <c r="AX708" s="238"/>
      <c r="AY708" s="238"/>
      <c r="AZ708" s="240"/>
      <c r="BA708" s="675" t="str">
        <f>IF($F712="","",SUM(BA724:BC724)-BC710)</f>
        <v/>
      </c>
      <c r="BB708" s="675"/>
      <c r="BC708" s="675"/>
      <c r="BD708" s="239"/>
      <c r="BE708" s="238"/>
      <c r="BF708" s="238"/>
      <c r="BG708" s="238"/>
      <c r="BH708" s="238"/>
      <c r="BI708" s="240"/>
      <c r="BJ708" s="675" t="str">
        <f>IF($F712="","",SUM(BJ724:BL724)-BL710)</f>
        <v/>
      </c>
      <c r="BK708" s="675"/>
      <c r="BL708" s="675"/>
      <c r="BM708" s="239"/>
      <c r="BN708" s="238"/>
      <c r="BO708" s="238"/>
      <c r="BP708" s="238"/>
      <c r="BQ708" s="238"/>
      <c r="BR708" s="241"/>
      <c r="BS708" s="675" t="str">
        <f>IF($F712="","",SUM(BS724:BU724)-BU710)</f>
        <v/>
      </c>
      <c r="BT708" s="675"/>
      <c r="BU708" s="675"/>
      <c r="BV708" s="240"/>
      <c r="BW708" s="238"/>
      <c r="BX708" s="238"/>
      <c r="BY708" s="238"/>
      <c r="BZ708" s="238"/>
      <c r="CA708" s="241"/>
      <c r="CB708" s="675" t="str">
        <f>IF($F712="","",SUM(CB724:CD724)-CD710)</f>
        <v/>
      </c>
      <c r="CC708" s="675"/>
      <c r="CD708" s="675"/>
      <c r="CE708" s="240"/>
      <c r="CF708" s="238"/>
      <c r="CG708" s="238"/>
      <c r="CH708" s="238"/>
      <c r="CI708" s="238"/>
      <c r="CJ708" s="234"/>
      <c r="CK708" s="675" t="str">
        <f>IF($F712="","",SUM(CK724:CM724))</f>
        <v/>
      </c>
      <c r="CL708" s="675"/>
      <c r="CM708" s="675"/>
      <c r="CN708" s="240"/>
      <c r="CO708" s="238"/>
      <c r="CP708" s="238"/>
      <c r="CQ708" s="238"/>
      <c r="CR708" s="238"/>
      <c r="CS708" s="234"/>
      <c r="CT708" s="234"/>
      <c r="CU708" s="251"/>
      <c r="CV708" s="209"/>
      <c r="CW708" s="218"/>
    </row>
    <row r="709" spans="1:101" x14ac:dyDescent="0.2">
      <c r="A709" s="219"/>
      <c r="B709" s="219"/>
      <c r="C709" s="174"/>
      <c r="D709" s="779"/>
      <c r="E709" s="543">
        <f>E687+7</f>
        <v>46473</v>
      </c>
      <c r="F709" s="178"/>
      <c r="G709" s="179"/>
      <c r="H709" s="179"/>
      <c r="I709" s="876"/>
      <c r="J709" s="876"/>
      <c r="K709" s="876"/>
      <c r="L709" s="254"/>
      <c r="M709" s="329"/>
      <c r="N709" s="208"/>
      <c r="O709" s="180"/>
      <c r="P709" s="180"/>
      <c r="Q709" s="584" t="str">
        <f>IF(Q708="","",Q708/Data!$X$1)</f>
        <v/>
      </c>
      <c r="R709" s="584"/>
      <c r="S709" s="585" t="str">
        <f>IF(SUM(X712:X723)=0,"",SUM(X712:X723))</f>
        <v/>
      </c>
      <c r="T709" s="181"/>
      <c r="U709" s="182"/>
      <c r="V709" s="182"/>
      <c r="W709" s="182"/>
      <c r="X709" s="182"/>
      <c r="Y709" s="180"/>
      <c r="Z709" s="584" t="str">
        <f>IF(Z708="","",Z708/Data!$X$1)</f>
        <v/>
      </c>
      <c r="AA709" s="584"/>
      <c r="AB709" s="585" t="str">
        <f>IF(SUM(AG712:AG723)=0,"",SUM(AG712:AG723))</f>
        <v/>
      </c>
      <c r="AC709" s="181"/>
      <c r="AD709" s="182"/>
      <c r="AE709" s="182"/>
      <c r="AF709" s="182"/>
      <c r="AG709" s="182"/>
      <c r="AH709" s="180"/>
      <c r="AI709" s="584" t="str">
        <f>IF(AI708="","",AI708/Data!$X$1)</f>
        <v/>
      </c>
      <c r="AJ709" s="584"/>
      <c r="AK709" s="585" t="str">
        <f>IF(SUM(AP712:AP723)=0,"",SUM(AP712:AP723))</f>
        <v/>
      </c>
      <c r="AL709" s="181"/>
      <c r="AM709" s="182"/>
      <c r="AN709" s="182"/>
      <c r="AO709" s="182"/>
      <c r="AP709" s="182"/>
      <c r="AQ709" s="180"/>
      <c r="AR709" s="584" t="str">
        <f>IF(AR708="","",AR708/Data!$X$1)</f>
        <v/>
      </c>
      <c r="AS709" s="584"/>
      <c r="AT709" s="585" t="str">
        <f>IF(SUM(AY712:AY723)=0,"",SUM(AY712:AY723))</f>
        <v/>
      </c>
      <c r="AU709" s="183"/>
      <c r="AV709" s="182"/>
      <c r="AW709" s="182"/>
      <c r="AX709" s="182"/>
      <c r="AY709" s="182"/>
      <c r="AZ709" s="184"/>
      <c r="BA709" s="584" t="str">
        <f>IF(BA708="","",BA708/Data!$X$1)</f>
        <v/>
      </c>
      <c r="BB709" s="584"/>
      <c r="BC709" s="585" t="str">
        <f>IF(SUM(BH712:BH723)=0,"",SUM(BH712:BH723))</f>
        <v/>
      </c>
      <c r="BD709" s="183"/>
      <c r="BE709" s="182"/>
      <c r="BF709" s="182"/>
      <c r="BG709" s="182"/>
      <c r="BH709" s="182"/>
      <c r="BI709" s="184"/>
      <c r="BJ709" s="584" t="str">
        <f>IF(BJ708="","",BJ708/Data!$X$1)</f>
        <v/>
      </c>
      <c r="BK709" s="584"/>
      <c r="BL709" s="585" t="str">
        <f>IF(SUM(BQ712:BQ723)=0,"",SUM(BQ712:BQ723))</f>
        <v/>
      </c>
      <c r="BM709" s="183"/>
      <c r="BN709" s="182"/>
      <c r="BO709" s="182"/>
      <c r="BP709" s="182"/>
      <c r="BQ709" s="182"/>
      <c r="BR709" s="185"/>
      <c r="BS709" s="584" t="str">
        <f>IF(BS708="","",BS708/Data!$X$1)</f>
        <v/>
      </c>
      <c r="BT709" s="584"/>
      <c r="BU709" s="585" t="str">
        <f>IF(SUM(BZ712:BZ723)=0,"",SUM(BZ712:BZ723))</f>
        <v/>
      </c>
      <c r="BV709" s="184"/>
      <c r="BW709" s="182"/>
      <c r="BX709" s="182"/>
      <c r="BY709" s="182"/>
      <c r="BZ709" s="182"/>
      <c r="CA709" s="185"/>
      <c r="CB709" s="584" t="str">
        <f>IF(CB708="","",CB708/Data!$X$1)</f>
        <v/>
      </c>
      <c r="CC709" s="584"/>
      <c r="CD709" s="585" t="str">
        <f>IF(SUM(CI712:CI723)=0,"",SUM(CI712:CI723))</f>
        <v/>
      </c>
      <c r="CE709" s="184"/>
      <c r="CF709" s="182"/>
      <c r="CG709" s="182"/>
      <c r="CH709" s="182"/>
      <c r="CI709" s="182"/>
      <c r="CJ709" s="182"/>
      <c r="CK709" s="584" t="str">
        <f>IF(CK708="","",CK708/Data!$X$1)</f>
        <v/>
      </c>
      <c r="CL709" s="584"/>
      <c r="CM709" s="585" t="str">
        <f>IF(SUM(CR712:CR723)=0,"",SUM(CR712:CR723))</f>
        <v/>
      </c>
      <c r="CN709" s="184"/>
      <c r="CO709" s="182"/>
      <c r="CP709" s="182"/>
      <c r="CQ709" s="182"/>
      <c r="CR709" s="182"/>
      <c r="CS709" s="182"/>
      <c r="CT709" s="182"/>
      <c r="CU709" s="255"/>
      <c r="CV709" s="209"/>
      <c r="CW709" s="218"/>
    </row>
    <row r="710" spans="1:101" ht="13.5" thickBot="1" x14ac:dyDescent="0.25">
      <c r="A710" s="219"/>
      <c r="B710" s="219"/>
      <c r="C710" s="174"/>
      <c r="D710" s="230"/>
      <c r="E710" s="359"/>
      <c r="F710" s="186"/>
      <c r="G710" s="187"/>
      <c r="H710" s="187"/>
      <c r="I710" s="673"/>
      <c r="J710" s="674"/>
      <c r="K710" s="674"/>
      <c r="L710" s="256"/>
      <c r="M710" s="330"/>
      <c r="N710" s="334"/>
      <c r="O710" s="187"/>
      <c r="P710" s="187"/>
      <c r="Q710" s="342" t="str">
        <f>Data!$E$11</f>
        <v>AHH</v>
      </c>
      <c r="R710" s="343" t="str">
        <f>IF($F723="","",RANK(Q708,$Q708:$CL708))</f>
        <v/>
      </c>
      <c r="S710" s="466"/>
      <c r="T710" s="181"/>
      <c r="U710" s="182"/>
      <c r="V710" s="182"/>
      <c r="W710" s="182"/>
      <c r="X710" s="197">
        <f>COUNTIF(U712:W723,"&gt;0")</f>
        <v>0</v>
      </c>
      <c r="Y710" s="180"/>
      <c r="Z710" s="342" t="str">
        <f>Data!$E$12</f>
        <v>RB</v>
      </c>
      <c r="AA710" s="343" t="str">
        <f>IF($F723="","",RANK(Z708,$Q708:$CL708))</f>
        <v/>
      </c>
      <c r="AB710" s="466"/>
      <c r="AC710" s="181"/>
      <c r="AD710" s="182"/>
      <c r="AE710" s="182"/>
      <c r="AF710" s="182"/>
      <c r="AG710" s="197">
        <f>COUNTIF(AD712:AF723,"&gt;0")</f>
        <v>0</v>
      </c>
      <c r="AH710" s="180"/>
      <c r="AI710" s="342" t="str">
        <f>Data!$E$13</f>
        <v>EB</v>
      </c>
      <c r="AJ710" s="343" t="str">
        <f>IF($F723="","",RANK(AI708,$Q708:$CL708))</f>
        <v/>
      </c>
      <c r="AK710" s="466"/>
      <c r="AL710" s="181"/>
      <c r="AM710" s="182"/>
      <c r="AN710" s="182"/>
      <c r="AO710" s="182"/>
      <c r="AP710" s="197">
        <f>COUNTIF(AM712:AO723,"&gt;0")</f>
        <v>0</v>
      </c>
      <c r="AQ710" s="180"/>
      <c r="AR710" s="305" t="str">
        <f>Data!$E$14</f>
        <v>KAF</v>
      </c>
      <c r="AS710" s="343" t="str">
        <f>IF($F723="","",RANK(AR708,$Q708:$CL708))</f>
        <v/>
      </c>
      <c r="AT710" s="466"/>
      <c r="AU710" s="181"/>
      <c r="AV710" s="182"/>
      <c r="AW710" s="182"/>
      <c r="AX710" s="182"/>
      <c r="AY710" s="197">
        <f>COUNTIF(AV712:AX723,"&gt;0")</f>
        <v>0</v>
      </c>
      <c r="AZ710" s="180"/>
      <c r="BA710" s="305" t="str">
        <f>Data!$E$15</f>
        <v>ØG</v>
      </c>
      <c r="BB710" s="343" t="str">
        <f>IF($F723="","",RANK(BA708,$Q708:$CL708))</f>
        <v/>
      </c>
      <c r="BC710" s="466"/>
      <c r="BD710" s="181"/>
      <c r="BE710" s="182"/>
      <c r="BF710" s="182"/>
      <c r="BG710" s="182"/>
      <c r="BH710" s="197">
        <f>COUNTIF(BE712:BG723,"&gt;0")</f>
        <v>0</v>
      </c>
      <c r="BI710" s="180"/>
      <c r="BJ710" s="305" t="str">
        <f>Data!$E$16</f>
        <v>JH</v>
      </c>
      <c r="BK710" s="343" t="str">
        <f>IF($F723="","",RANK(BJ708,$Q708:$CL708))</f>
        <v/>
      </c>
      <c r="BL710" s="466"/>
      <c r="BM710" s="181"/>
      <c r="BN710" s="182"/>
      <c r="BO710" s="182"/>
      <c r="BP710" s="182"/>
      <c r="BQ710" s="197">
        <f>COUNTIF(BN712:BP723,"&gt;0")</f>
        <v>0</v>
      </c>
      <c r="BR710" s="188"/>
      <c r="BS710" s="305" t="str">
        <f>Data!$E$17</f>
        <v>TOH</v>
      </c>
      <c r="BT710" s="343" t="str">
        <f>IF($F723="","",RANK(BS708,$Q708:$CL708))</f>
        <v/>
      </c>
      <c r="BU710" s="466"/>
      <c r="BV710" s="180"/>
      <c r="BW710" s="182"/>
      <c r="BX710" s="182"/>
      <c r="BY710" s="182"/>
      <c r="BZ710" s="197">
        <f>COUNTIF(BW712:BY723,"&gt;0")</f>
        <v>0</v>
      </c>
      <c r="CA710" s="188"/>
      <c r="CB710" s="305" t="s">
        <v>26</v>
      </c>
      <c r="CC710" s="343" t="str">
        <f>IF($F723="","",RANK(CB708,$Q708:$CM708))</f>
        <v/>
      </c>
      <c r="CD710" s="467"/>
      <c r="CE710" s="180"/>
      <c r="CF710" s="182"/>
      <c r="CG710" s="182"/>
      <c r="CH710" s="182"/>
      <c r="CI710" s="197">
        <f>COUNTIF(CF712:CH723,"&gt;0")</f>
        <v>0</v>
      </c>
      <c r="CJ710" s="182"/>
      <c r="CK710" s="305" t="s">
        <v>27</v>
      </c>
      <c r="CL710" s="343" t="str">
        <f>IF($F723="","",RANK(CK708,$Q708:$CM708))</f>
        <v/>
      </c>
      <c r="CM710" s="669"/>
      <c r="CN710" s="180"/>
      <c r="CO710" s="182"/>
      <c r="CP710" s="182"/>
      <c r="CQ710" s="182"/>
      <c r="CR710" s="197">
        <f>COUNTIF(CO712:CQ723,"&gt;0")</f>
        <v>0</v>
      </c>
      <c r="CS710" s="182"/>
      <c r="CT710" s="182"/>
      <c r="CU710" s="255"/>
      <c r="CV710" s="209"/>
      <c r="CW710" s="218"/>
    </row>
    <row r="711" spans="1:101" ht="13.5" thickBot="1" x14ac:dyDescent="0.25">
      <c r="A711" s="227"/>
      <c r="B711" s="227"/>
      <c r="C711" s="168"/>
      <c r="D711" s="231"/>
      <c r="E711" s="189"/>
      <c r="F711" s="190"/>
      <c r="G711" s="191"/>
      <c r="H711" s="191"/>
      <c r="I711" s="192" t="s">
        <v>47</v>
      </c>
      <c r="J711" s="193" t="s">
        <v>48</v>
      </c>
      <c r="K711" s="194" t="s">
        <v>49</v>
      </c>
      <c r="L711" s="257"/>
      <c r="M711" s="331"/>
      <c r="N711" s="335"/>
      <c r="O711" s="195"/>
      <c r="P711" s="195"/>
      <c r="Q711" s="192" t="s">
        <v>47</v>
      </c>
      <c r="R711" s="193" t="s">
        <v>48</v>
      </c>
      <c r="S711" s="194" t="s">
        <v>49</v>
      </c>
      <c r="T711" s="196"/>
      <c r="U711" s="197"/>
      <c r="V711" s="197"/>
      <c r="W711" s="197"/>
      <c r="X711" s="197"/>
      <c r="Y711" s="195"/>
      <c r="Z711" s="192" t="s">
        <v>47</v>
      </c>
      <c r="AA711" s="193" t="s">
        <v>48</v>
      </c>
      <c r="AB711" s="194" t="s">
        <v>49</v>
      </c>
      <c r="AC711" s="196"/>
      <c r="AD711" s="197"/>
      <c r="AE711" s="197"/>
      <c r="AF711" s="197"/>
      <c r="AG711" s="197"/>
      <c r="AH711" s="195"/>
      <c r="AI711" s="192" t="s">
        <v>47</v>
      </c>
      <c r="AJ711" s="193" t="s">
        <v>48</v>
      </c>
      <c r="AK711" s="194" t="s">
        <v>49</v>
      </c>
      <c r="AL711" s="196"/>
      <c r="AM711" s="197"/>
      <c r="AN711" s="197"/>
      <c r="AO711" s="197"/>
      <c r="AP711" s="197"/>
      <c r="AQ711" s="195"/>
      <c r="AR711" s="192" t="s">
        <v>47</v>
      </c>
      <c r="AS711" s="193" t="s">
        <v>48</v>
      </c>
      <c r="AT711" s="194" t="s">
        <v>49</v>
      </c>
      <c r="AU711" s="196"/>
      <c r="AV711" s="197"/>
      <c r="AW711" s="197"/>
      <c r="AX711" s="197"/>
      <c r="AY711" s="197"/>
      <c r="AZ711" s="195"/>
      <c r="BA711" s="192" t="s">
        <v>47</v>
      </c>
      <c r="BB711" s="193" t="s">
        <v>48</v>
      </c>
      <c r="BC711" s="194" t="s">
        <v>49</v>
      </c>
      <c r="BD711" s="196"/>
      <c r="BE711" s="197"/>
      <c r="BF711" s="197"/>
      <c r="BG711" s="197"/>
      <c r="BH711" s="197"/>
      <c r="BI711" s="195"/>
      <c r="BJ711" s="192" t="s">
        <v>47</v>
      </c>
      <c r="BK711" s="193" t="s">
        <v>48</v>
      </c>
      <c r="BL711" s="194" t="s">
        <v>49</v>
      </c>
      <c r="BM711" s="196"/>
      <c r="BN711" s="197"/>
      <c r="BO711" s="197"/>
      <c r="BP711" s="197"/>
      <c r="BQ711" s="197"/>
      <c r="BR711" s="195"/>
      <c r="BS711" s="192" t="s">
        <v>47</v>
      </c>
      <c r="BT711" s="193" t="s">
        <v>48</v>
      </c>
      <c r="BU711" s="194" t="s">
        <v>49</v>
      </c>
      <c r="BV711" s="196"/>
      <c r="BW711" s="197"/>
      <c r="BX711" s="197"/>
      <c r="BY711" s="197"/>
      <c r="BZ711" s="197"/>
      <c r="CA711" s="195"/>
      <c r="CB711" s="192" t="s">
        <v>47</v>
      </c>
      <c r="CC711" s="193" t="s">
        <v>48</v>
      </c>
      <c r="CD711" s="194" t="s">
        <v>49</v>
      </c>
      <c r="CE711" s="196"/>
      <c r="CF711" s="197"/>
      <c r="CG711" s="197"/>
      <c r="CH711" s="197"/>
      <c r="CI711" s="197"/>
      <c r="CJ711" s="197"/>
      <c r="CK711" s="192" t="s">
        <v>47</v>
      </c>
      <c r="CL711" s="193" t="s">
        <v>48</v>
      </c>
      <c r="CM711" s="194" t="s">
        <v>49</v>
      </c>
      <c r="CN711" s="196"/>
      <c r="CO711" s="197"/>
      <c r="CP711" s="197"/>
      <c r="CQ711" s="197"/>
      <c r="CR711" s="197"/>
      <c r="CS711" s="197"/>
      <c r="CT711" s="198"/>
      <c r="CU711" s="255"/>
      <c r="CV711" s="209"/>
      <c r="CW711" s="228"/>
    </row>
    <row r="712" spans="1:101" x14ac:dyDescent="0.2">
      <c r="A712" s="227"/>
      <c r="B712" s="227"/>
      <c r="C712" s="168"/>
      <c r="D712" s="232"/>
      <c r="E712" s="134"/>
      <c r="F712" s="424"/>
      <c r="G712" s="428"/>
      <c r="H712" s="429"/>
      <c r="I712" s="138" t="str">
        <f t="shared" ref="I712:I723" si="1052">IF($F712&gt;$H712,"x","")</f>
        <v/>
      </c>
      <c r="J712" s="344" t="str">
        <f t="shared" ref="J712:J723" si="1053">IF(F712&lt;&gt;"",IF(H712&lt;&gt;"",IF(F712=H712,"x",""),""),"")</f>
        <v/>
      </c>
      <c r="K712" s="345" t="str">
        <f t="shared" ref="K712:K723" si="1054">IF($F712&lt;$H712,"x","")</f>
        <v/>
      </c>
      <c r="L712" s="258"/>
      <c r="M712" s="332"/>
      <c r="N712" s="336"/>
      <c r="O712" s="200"/>
      <c r="P712" s="200"/>
      <c r="Q712" s="436"/>
      <c r="R712" s="437"/>
      <c r="S712" s="438" t="str">
        <f t="shared" ref="S712:S723" si="1055">IF(Q712="","",100-SUM(Q712:R712))</f>
        <v/>
      </c>
      <c r="T712" s="328"/>
      <c r="U712" s="197" t="str">
        <f>IF(AND($I712="x",AND(MAX(Q712:S712)=Q712,Q712&gt;=0)),Data!$BI$2,"")</f>
        <v/>
      </c>
      <c r="V712" s="197" t="str">
        <f>IF(AND($J712="x",AND(MAX(Q712:S712)=R712,R712&gt;=0)),Data!$BJ$2,"")</f>
        <v/>
      </c>
      <c r="W712" s="197" t="str">
        <f>IF(AND($K712="x",AND(MAX(Q712:S712)=S712,S712&gt;=0)),Data!$BK$2,"")</f>
        <v/>
      </c>
      <c r="X712" s="197"/>
      <c r="Y712" s="328"/>
      <c r="Z712" s="451"/>
      <c r="AA712" s="452"/>
      <c r="AB712" s="438" t="str">
        <f t="shared" ref="AB712:AB723" si="1056">IF(Z712="","",100-SUM(Z712:AA712))</f>
        <v/>
      </c>
      <c r="AC712" s="328"/>
      <c r="AD712" s="197" t="str">
        <f>IF(AND($I712="x",AND(MAX(Z712:AB712)=Z712,Z712&lt;&gt;"")),Data!$BI$2,"")</f>
        <v/>
      </c>
      <c r="AE712" s="197" t="str">
        <f>IF(AND($J712="x",AND(MAX(Z712:AB712)=AA712,AA712&lt;&gt;"")),Data!$BJ$2,"")</f>
        <v/>
      </c>
      <c r="AF712" s="197" t="str">
        <f>IF(AND($K712="x",AND(MAX(Z712:AB712)=AB712,AB712&lt;&gt;"")),Data!$BK$2,"")</f>
        <v/>
      </c>
      <c r="AG712" s="197"/>
      <c r="AH712" s="328"/>
      <c r="AI712" s="451"/>
      <c r="AJ712" s="452"/>
      <c r="AK712" s="438" t="str">
        <f t="shared" ref="AK712:AK723" si="1057">IF(AI712="","",100-SUM(AI712:AJ712))</f>
        <v/>
      </c>
      <c r="AL712" s="328"/>
      <c r="AM712" s="197" t="str">
        <f>IF(AND($I712="x",AND(MAX(AI712:AK712)=AI712,AI712&lt;&gt;"")),Data!$BI$2,"")</f>
        <v/>
      </c>
      <c r="AN712" s="197" t="str">
        <f>IF(AND($J712="x",AND(MAX(AI712:AK712)=AJ712,AJ712&lt;&gt;"")),Data!$BJ$2,"")</f>
        <v/>
      </c>
      <c r="AO712" s="197" t="str">
        <f>IF(AND($K712="x",AND(MAX(AI712:AK712)=AK712,AK712&lt;&gt;"")),Data!$BK$2,"")</f>
        <v/>
      </c>
      <c r="AP712" s="197"/>
      <c r="AQ712" s="328"/>
      <c r="AR712" s="451"/>
      <c r="AS712" s="452"/>
      <c r="AT712" s="438" t="str">
        <f t="shared" ref="AT712:AT723" si="1058">IF(AR712="","",100-SUM(AR712:AS712))</f>
        <v/>
      </c>
      <c r="AU712" s="328"/>
      <c r="AV712" s="197" t="str">
        <f>IF(AND($I712="x",AND(MAX(AR712:AT712)=AR712,AR712&lt;&gt;"")),Data!$BI$2,"")</f>
        <v/>
      </c>
      <c r="AW712" s="197" t="str">
        <f>IF(AND($J712="x",AND(MAX(AR712:AT712)=AS712,AS712&lt;&gt;"")),Data!$BJ$2,"")</f>
        <v/>
      </c>
      <c r="AX712" s="197" t="str">
        <f>IF(AND($K712="x",AND(MAX(AR712:AT712)=AT712,AT712&lt;&gt;"")),Data!$BK$2,"")</f>
        <v/>
      </c>
      <c r="AY712" s="197"/>
      <c r="AZ712" s="328"/>
      <c r="BA712" s="451"/>
      <c r="BB712" s="452"/>
      <c r="BC712" s="438" t="str">
        <f t="shared" ref="BC712:BC723" si="1059">IF(BA712="","",100-SUM(BA712:BB712))</f>
        <v/>
      </c>
      <c r="BD712" s="328"/>
      <c r="BE712" s="197" t="str">
        <f>IF(AND($I712="x",AND(MAX(BA712:BC712)=BA712,BA712&lt;&gt;"")),Data!$BI$2,"")</f>
        <v/>
      </c>
      <c r="BF712" s="197" t="str">
        <f>IF(AND($J712="x",AND(MAX(BA712:BC712)=BB712,BB712&lt;&gt;"")),Data!$BJ$2,"")</f>
        <v/>
      </c>
      <c r="BG712" s="197" t="str">
        <f>IF(AND($K712="x",AND(MAX(BA712:BC712)=BC712,BC712&lt;&gt;"")),Data!$BK$2,"")</f>
        <v/>
      </c>
      <c r="BH712" s="197"/>
      <c r="BI712" s="328"/>
      <c r="BJ712" s="451"/>
      <c r="BK712" s="452"/>
      <c r="BL712" s="438" t="str">
        <f t="shared" ref="BL712:BL723" si="1060">IF(BJ712="","",100-SUM(BJ712:BK712))</f>
        <v/>
      </c>
      <c r="BM712" s="328"/>
      <c r="BN712" s="197" t="str">
        <f>IF(AND($I712="x",AND(MAX(BJ712:BL712)=BJ712,BJ712&lt;&gt;"")),Data!$BI$2,"")</f>
        <v/>
      </c>
      <c r="BO712" s="197" t="str">
        <f>IF(AND($J712="x",AND(MAX(BJ712:BL712)=BK712,BK712&lt;&gt;"")),Data!$BJ$2,"")</f>
        <v/>
      </c>
      <c r="BP712" s="197" t="str">
        <f>IF(AND($K712="x",AND(MAX(BJ712:BL712)=BL712,BL712&lt;&gt;"")),Data!$BK$2,"")</f>
        <v/>
      </c>
      <c r="BQ712" s="197"/>
      <c r="BR712" s="328"/>
      <c r="BS712" s="451"/>
      <c r="BT712" s="452"/>
      <c r="BU712" s="438" t="str">
        <f t="shared" ref="BU712:BU723" si="1061">IF(BS712="","",100-SUM(BS712:BT712))</f>
        <v/>
      </c>
      <c r="BV712" s="328"/>
      <c r="BW712" s="197" t="str">
        <f>IF(AND($I712="x",AND(MAX(BS712:BU712)=BS712,BS712&lt;&gt;"")),Data!$BI$2,"")</f>
        <v/>
      </c>
      <c r="BX712" s="197" t="str">
        <f>IF(AND($J712="x",AND(MAX(BS712:BU712)=BT712,BT712&lt;&gt;"")),Data!$BJ$2,"")</f>
        <v/>
      </c>
      <c r="BY712" s="197" t="str">
        <f>IF(AND($K712="x",AND(MAX(BS712:BU712)=BU712,BU712&lt;&gt;"")),Data!$BK$2,"")</f>
        <v/>
      </c>
      <c r="BZ712" s="197"/>
      <c r="CA712" s="328"/>
      <c r="CB712" s="457" t="str">
        <f t="shared" ref="CB712:CB723" si="1062">IFERROR(ROUNDUP((SUM(Q712,Z712,AI712,AR712,BA712,BJ712,BS712)/SUM($Q712:$S712,$Z712:$AB712,$AI712:$AK712,$AR712:$AT712,$BA712:$BC712,$BJ712:$BL712,$BS712:$BU712))*100,-1),"")</f>
        <v/>
      </c>
      <c r="CC712" s="458" t="str">
        <f t="shared" ref="CC712:CC723" si="1063">IFERROR(ROUNDDOWN((SUM(R712,AA712,AJ712,AS712,BB712,BK712,BT712)/SUM($Q712:$S712,$Z712:$AB712,$AI712:$AK712,$AR712:$AT712,$BA712:$BC712,$BJ712:$BL712,$BS712:$BU712))*100,-1),"")</f>
        <v/>
      </c>
      <c r="CD712" s="459" t="str">
        <f t="shared" ref="CD712:CD723" si="1064">IF(CB712="","",100-SUM(CB712:CC712))</f>
        <v/>
      </c>
      <c r="CE712" s="328"/>
      <c r="CF712" s="197" t="str">
        <f>IF(AND($I712="x",AND(MAX(CB712:CD712)=CB712,CB712&lt;&gt;"")),Data!$BI$2,"")</f>
        <v/>
      </c>
      <c r="CG712" s="197" t="str">
        <f>IF(AND($J712="x",AND(MAX(CB712:CD712)=CC712,CC712&lt;&gt;"")),Data!$BJ$2,"")</f>
        <v/>
      </c>
      <c r="CH712" s="197" t="str">
        <f>IF(AND($K712="x",AND(MAX(CB712:CD712)=CD712,CD712&lt;&gt;"")),Data!$BK$2,"")</f>
        <v/>
      </c>
      <c r="CI712" s="197"/>
      <c r="CJ712" s="197"/>
      <c r="CK712" s="451"/>
      <c r="CL712" s="452"/>
      <c r="CM712" s="438" t="str">
        <f t="shared" ref="CM712:CM723" si="1065">IF(CK712="","",100-SUM(CK712:CL712))</f>
        <v/>
      </c>
      <c r="CN712" s="328"/>
      <c r="CO712" s="197" t="str">
        <f>IF(AND($I712="x",AND(MAX(CK712:CM712)=CK712,CK712&lt;&gt;"")),Data!$BI$2,"")</f>
        <v/>
      </c>
      <c r="CP712" s="197" t="str">
        <f>IF(AND($J712="x",AND(MAX(CK712:CM712)=CL712,CL712&lt;&gt;"")),Data!$BJ$2,"")</f>
        <v/>
      </c>
      <c r="CQ712" s="197" t="str">
        <f>IF(AND($K712="x",AND(MAX(CK712:CM712)=CM712,CM712&lt;&gt;"")),Data!$BK$2,"")</f>
        <v/>
      </c>
      <c r="CR712" s="197"/>
      <c r="CS712" s="197"/>
      <c r="CT712" s="328"/>
      <c r="CU712" s="255"/>
      <c r="CV712" s="209"/>
      <c r="CW712" s="227"/>
    </row>
    <row r="713" spans="1:101" x14ac:dyDescent="0.2">
      <c r="A713" s="227"/>
      <c r="B713" s="227"/>
      <c r="C713" s="168"/>
      <c r="D713" s="232"/>
      <c r="E713" s="135"/>
      <c r="F713" s="425"/>
      <c r="G713" s="430"/>
      <c r="H713" s="431"/>
      <c r="I713" s="346" t="str">
        <f t="shared" si="1052"/>
        <v/>
      </c>
      <c r="J713" s="347" t="str">
        <f t="shared" si="1053"/>
        <v/>
      </c>
      <c r="K713" s="348" t="str">
        <f t="shared" si="1054"/>
        <v/>
      </c>
      <c r="L713" s="258"/>
      <c r="M713" s="332"/>
      <c r="N713" s="336"/>
      <c r="O713" s="200"/>
      <c r="P713" s="200"/>
      <c r="Q713" s="439"/>
      <c r="R713" s="440"/>
      <c r="S713" s="441" t="str">
        <f t="shared" si="1055"/>
        <v/>
      </c>
      <c r="T713" s="328"/>
      <c r="U713" s="197" t="str">
        <f>IF(AND($I713="x",AND(MAX(Q713:S713)=Q713,Q713&gt;=0)),Data!$BI$2,"")</f>
        <v/>
      </c>
      <c r="V713" s="197" t="str">
        <f>IF(AND($J713="x",AND(MAX(Q713:S713)=R713,R713&gt;=0)),Data!$BJ$2,"")</f>
        <v/>
      </c>
      <c r="W713" s="197" t="str">
        <f>IF(AND($K713="x",AND(MAX(Q713:S713)=S713,S713&gt;=0)),Data!$BK$2,"")</f>
        <v/>
      </c>
      <c r="X713" s="197"/>
      <c r="Y713" s="328"/>
      <c r="Z713" s="453"/>
      <c r="AA713" s="454"/>
      <c r="AB713" s="441" t="str">
        <f t="shared" si="1056"/>
        <v/>
      </c>
      <c r="AC713" s="328"/>
      <c r="AD713" s="197" t="str">
        <f>IF(AND($I713="x",AND(MAX(Z713:AB713)=Z713,Z713&lt;&gt;"")),Data!$BI$2,"")</f>
        <v/>
      </c>
      <c r="AE713" s="197" t="str">
        <f>IF(AND($J713="x",AND(MAX(Z713:AB713)=AA713,AA713&lt;&gt;"")),Data!$BJ$2,"")</f>
        <v/>
      </c>
      <c r="AF713" s="197" t="str">
        <f>IF(AND($K713="x",AND(MAX(Z713:AB713)=AB713,AB713&lt;&gt;"")),Data!$BK$2,"")</f>
        <v/>
      </c>
      <c r="AG713" s="197"/>
      <c r="AH713" s="328"/>
      <c r="AI713" s="453"/>
      <c r="AJ713" s="454"/>
      <c r="AK713" s="441" t="str">
        <f t="shared" si="1057"/>
        <v/>
      </c>
      <c r="AL713" s="328"/>
      <c r="AM713" s="197" t="str">
        <f>IF(AND($I713="x",AND(MAX(AI713:AK713)=AI713,AI713&lt;&gt;"")),Data!$BI$2,"")</f>
        <v/>
      </c>
      <c r="AN713" s="197" t="str">
        <f>IF(AND($J713="x",AND(MAX(AI713:AK713)=AJ713,AJ713&lt;&gt;"")),Data!$BJ$2,"")</f>
        <v/>
      </c>
      <c r="AO713" s="197" t="str">
        <f>IF(AND($K713="x",AND(MAX(AI713:AK713)=AK713,AK713&lt;&gt;"")),Data!$BK$2,"")</f>
        <v/>
      </c>
      <c r="AP713" s="197"/>
      <c r="AQ713" s="328"/>
      <c r="AR713" s="453"/>
      <c r="AS713" s="454"/>
      <c r="AT713" s="441" t="str">
        <f t="shared" si="1058"/>
        <v/>
      </c>
      <c r="AU713" s="328"/>
      <c r="AV713" s="197" t="str">
        <f>IF(AND($I713="x",AND(MAX(AR713:AT713)=AR713,AR713&lt;&gt;"")),Data!$BI$2,"")</f>
        <v/>
      </c>
      <c r="AW713" s="197" t="str">
        <f>IF(AND($J713="x",AND(MAX(AR713:AT713)=AS713,AS713&lt;&gt;"")),Data!$BJ$2,"")</f>
        <v/>
      </c>
      <c r="AX713" s="197" t="str">
        <f>IF(AND($K713="x",AND(MAX(AR713:AT713)=AT713,AT713&lt;&gt;"")),Data!$BK$2,"")</f>
        <v/>
      </c>
      <c r="AY713" s="197"/>
      <c r="AZ713" s="328"/>
      <c r="BA713" s="453"/>
      <c r="BB713" s="454"/>
      <c r="BC713" s="441" t="str">
        <f t="shared" si="1059"/>
        <v/>
      </c>
      <c r="BD713" s="328"/>
      <c r="BE713" s="197" t="str">
        <f>IF(AND($I713="x",AND(MAX(BA713:BC713)=BA713,BA713&lt;&gt;"")),Data!$BI$2,"")</f>
        <v/>
      </c>
      <c r="BF713" s="197" t="str">
        <f>IF(AND($J713="x",AND(MAX(BA713:BC713)=BB713,BB713&lt;&gt;"")),Data!$BJ$2,"")</f>
        <v/>
      </c>
      <c r="BG713" s="197" t="str">
        <f>IF(AND($K713="x",AND(MAX(BA713:BC713)=BC713,BC713&lt;&gt;"")),Data!$BK$2,"")</f>
        <v/>
      </c>
      <c r="BH713" s="197"/>
      <c r="BI713" s="328"/>
      <c r="BJ713" s="453"/>
      <c r="BK713" s="454"/>
      <c r="BL713" s="441" t="str">
        <f t="shared" si="1060"/>
        <v/>
      </c>
      <c r="BM713" s="328"/>
      <c r="BN713" s="197" t="str">
        <f>IF(AND($I713="x",AND(MAX(BJ713:BL713)=BJ713,BJ713&lt;&gt;"")),Data!$BI$2,"")</f>
        <v/>
      </c>
      <c r="BO713" s="197" t="str">
        <f>IF(AND($J713="x",AND(MAX(BJ713:BL713)=BK713,BK713&lt;&gt;"")),Data!$BJ$2,"")</f>
        <v/>
      </c>
      <c r="BP713" s="197" t="str">
        <f>IF(AND($K713="x",AND(MAX(BJ713:BL713)=BL713,BL713&lt;&gt;"")),Data!$BK$2,"")</f>
        <v/>
      </c>
      <c r="BQ713" s="197"/>
      <c r="BR713" s="328"/>
      <c r="BS713" s="453"/>
      <c r="BT713" s="454"/>
      <c r="BU713" s="441" t="str">
        <f t="shared" si="1061"/>
        <v/>
      </c>
      <c r="BV713" s="328"/>
      <c r="BW713" s="197" t="str">
        <f>IF(AND($I713="x",AND(MAX(BS713:BU713)=BS713,BS713&lt;&gt;"")),Data!$BI$2,"")</f>
        <v/>
      </c>
      <c r="BX713" s="197" t="str">
        <f>IF(AND($J713="x",AND(MAX(BS713:BU713)=BT713,BT713&lt;&gt;"")),Data!$BJ$2,"")</f>
        <v/>
      </c>
      <c r="BY713" s="197" t="str">
        <f>IF(AND($K713="x",AND(MAX(BS713:BU713)=BU713,BU713&lt;&gt;"")),Data!$BK$2,"")</f>
        <v/>
      </c>
      <c r="BZ713" s="197"/>
      <c r="CA713" s="328"/>
      <c r="CB713" s="460" t="str">
        <f t="shared" si="1062"/>
        <v/>
      </c>
      <c r="CC713" s="461" t="str">
        <f t="shared" si="1063"/>
        <v/>
      </c>
      <c r="CD713" s="462" t="str">
        <f t="shared" si="1064"/>
        <v/>
      </c>
      <c r="CE713" s="328"/>
      <c r="CF713" s="197" t="str">
        <f>IF(AND($I713="x",AND(MAX(CB713:CD713)=CB713,CB713&lt;&gt;"")),Data!$BI$2,"")</f>
        <v/>
      </c>
      <c r="CG713" s="197" t="str">
        <f>IF(AND($J713="x",AND(MAX(CB713:CD713)=CC713,CC713&lt;&gt;"")),Data!$BJ$2,"")</f>
        <v/>
      </c>
      <c r="CH713" s="197" t="str">
        <f>IF(AND($K713="x",AND(MAX(CB713:CD713)=CD713,CD713&lt;&gt;"")),Data!$BK$2,"")</f>
        <v/>
      </c>
      <c r="CI713" s="197"/>
      <c r="CJ713" s="197"/>
      <c r="CK713" s="453"/>
      <c r="CL713" s="454"/>
      <c r="CM713" s="441" t="str">
        <f t="shared" si="1065"/>
        <v/>
      </c>
      <c r="CN713" s="328"/>
      <c r="CO713" s="197" t="str">
        <f>IF(AND($I713="x",AND(MAX(CK713:CM713)=CK713,CK713&lt;&gt;"")),Data!$BI$2,"")</f>
        <v/>
      </c>
      <c r="CP713" s="197" t="str">
        <f>IF(AND($J713="x",AND(MAX(CK713:CM713)=CL713,CL713&lt;&gt;"")),Data!$BJ$2,"")</f>
        <v/>
      </c>
      <c r="CQ713" s="197" t="str">
        <f>IF(AND($K713="x",AND(MAX(CK713:CM713)=CM713,CM713&lt;&gt;"")),Data!$BK$2,"")</f>
        <v/>
      </c>
      <c r="CR713" s="197"/>
      <c r="CS713" s="197"/>
      <c r="CT713" s="328"/>
      <c r="CU713" s="255"/>
      <c r="CV713" s="209"/>
      <c r="CW713" s="227"/>
    </row>
    <row r="714" spans="1:101" x14ac:dyDescent="0.2">
      <c r="A714" s="227"/>
      <c r="B714" s="227"/>
      <c r="C714" s="168"/>
      <c r="D714" s="232"/>
      <c r="E714" s="136"/>
      <c r="F714" s="426"/>
      <c r="G714" s="432"/>
      <c r="H714" s="433"/>
      <c r="I714" s="349" t="str">
        <f t="shared" si="1052"/>
        <v/>
      </c>
      <c r="J714" s="350" t="str">
        <f t="shared" si="1053"/>
        <v/>
      </c>
      <c r="K714" s="351" t="str">
        <f t="shared" si="1054"/>
        <v/>
      </c>
      <c r="L714" s="258"/>
      <c r="M714" s="332"/>
      <c r="N714" s="336"/>
      <c r="O714" s="200"/>
      <c r="P714" s="200"/>
      <c r="Q714" s="442"/>
      <c r="R714" s="443"/>
      <c r="S714" s="444" t="str">
        <f t="shared" si="1055"/>
        <v/>
      </c>
      <c r="T714" s="328"/>
      <c r="U714" s="197" t="str">
        <f>IF(AND($I714="x",AND(MAX(Q714:S714)=Q714,Q714&gt;=0)),Data!$BI$2,"")</f>
        <v/>
      </c>
      <c r="V714" s="197" t="str">
        <f>IF(AND($J714="x",AND(MAX(Q714:S714)=R714,R714&gt;=0)),Data!$BJ$2,"")</f>
        <v/>
      </c>
      <c r="W714" s="197" t="str">
        <f>IF(AND($K714="x",AND(MAX(Q714:S714)=S714,S714&gt;=0)),Data!$BK$2,"")</f>
        <v/>
      </c>
      <c r="X714" s="197"/>
      <c r="Y714" s="328"/>
      <c r="Z714" s="455"/>
      <c r="AA714" s="456"/>
      <c r="AB714" s="444" t="str">
        <f t="shared" si="1056"/>
        <v/>
      </c>
      <c r="AC714" s="328"/>
      <c r="AD714" s="197" t="str">
        <f>IF(AND($I714="x",AND(MAX(Z714:AB714)=Z714,Z714&lt;&gt;"")),Data!$BI$2,"")</f>
        <v/>
      </c>
      <c r="AE714" s="197" t="str">
        <f>IF(AND($J714="x",AND(MAX(Z714:AB714)=AA714,AA714&lt;&gt;"")),Data!$BJ$2,"")</f>
        <v/>
      </c>
      <c r="AF714" s="197" t="str">
        <f>IF(AND($K714="x",AND(MAX(Z714:AB714)=AB714,AB714&lt;&gt;"")),Data!$BK$2,"")</f>
        <v/>
      </c>
      <c r="AG714" s="197"/>
      <c r="AH714" s="328"/>
      <c r="AI714" s="455"/>
      <c r="AJ714" s="456"/>
      <c r="AK714" s="444" t="str">
        <f t="shared" si="1057"/>
        <v/>
      </c>
      <c r="AL714" s="328"/>
      <c r="AM714" s="197" t="str">
        <f>IF(AND($I714="x",AND(MAX(AI714:AK714)=AI714,AI714&lt;&gt;"")),Data!$BI$2,"")</f>
        <v/>
      </c>
      <c r="AN714" s="197" t="str">
        <f>IF(AND($J714="x",AND(MAX(AI714:AK714)=AJ714,AJ714&lt;&gt;"")),Data!$BJ$2,"")</f>
        <v/>
      </c>
      <c r="AO714" s="197" t="str">
        <f>IF(AND($K714="x",AND(MAX(AI714:AK714)=AK714,AK714&lt;&gt;"")),Data!$BK$2,"")</f>
        <v/>
      </c>
      <c r="AP714" s="197"/>
      <c r="AQ714" s="328"/>
      <c r="AR714" s="455"/>
      <c r="AS714" s="456"/>
      <c r="AT714" s="444" t="str">
        <f t="shared" si="1058"/>
        <v/>
      </c>
      <c r="AU714" s="328"/>
      <c r="AV714" s="197" t="str">
        <f>IF(AND($I714="x",AND(MAX(AR714:AT714)=AR714,AR714&lt;&gt;"")),Data!$BI$2,"")</f>
        <v/>
      </c>
      <c r="AW714" s="197" t="str">
        <f>IF(AND($J714="x",AND(MAX(AR714:AT714)=AS714,AS714&lt;&gt;"")),Data!$BJ$2,"")</f>
        <v/>
      </c>
      <c r="AX714" s="197" t="str">
        <f>IF(AND($K714="x",AND(MAX(AR714:AT714)=AT714,AT714&lt;&gt;"")),Data!$BK$2,"")</f>
        <v/>
      </c>
      <c r="AY714" s="197"/>
      <c r="AZ714" s="328"/>
      <c r="BA714" s="455"/>
      <c r="BB714" s="456"/>
      <c r="BC714" s="444" t="str">
        <f t="shared" si="1059"/>
        <v/>
      </c>
      <c r="BD714" s="328"/>
      <c r="BE714" s="197" t="str">
        <f>IF(AND($I714="x",AND(MAX(BA714:BC714)=BA714,BA714&lt;&gt;"")),Data!$BI$2,"")</f>
        <v/>
      </c>
      <c r="BF714" s="197" t="str">
        <f>IF(AND($J714="x",AND(MAX(BA714:BC714)=BB714,BB714&lt;&gt;"")),Data!$BJ$2,"")</f>
        <v/>
      </c>
      <c r="BG714" s="197" t="str">
        <f>IF(AND($K714="x",AND(MAX(BA714:BC714)=BC714,BC714&lt;&gt;"")),Data!$BK$2,"")</f>
        <v/>
      </c>
      <c r="BH714" s="197"/>
      <c r="BI714" s="328"/>
      <c r="BJ714" s="455"/>
      <c r="BK714" s="456"/>
      <c r="BL714" s="444" t="str">
        <f t="shared" si="1060"/>
        <v/>
      </c>
      <c r="BM714" s="328"/>
      <c r="BN714" s="197" t="str">
        <f>IF(AND($I714="x",AND(MAX(BJ714:BL714)=BJ714,BJ714&lt;&gt;"")),Data!$BI$2,"")</f>
        <v/>
      </c>
      <c r="BO714" s="197" t="str">
        <f>IF(AND($J714="x",AND(MAX(BJ714:BL714)=BK714,BK714&lt;&gt;"")),Data!$BJ$2,"")</f>
        <v/>
      </c>
      <c r="BP714" s="197" t="str">
        <f>IF(AND($K714="x",AND(MAX(BJ714:BL714)=BL714,BL714&lt;&gt;"")),Data!$BK$2,"")</f>
        <v/>
      </c>
      <c r="BQ714" s="197"/>
      <c r="BR714" s="328"/>
      <c r="BS714" s="455"/>
      <c r="BT714" s="456"/>
      <c r="BU714" s="444" t="str">
        <f t="shared" si="1061"/>
        <v/>
      </c>
      <c r="BV714" s="328"/>
      <c r="BW714" s="197" t="str">
        <f>IF(AND($I714="x",AND(MAX(BS714:BU714)=BS714,BS714&lt;&gt;"")),Data!$BI$2,"")</f>
        <v/>
      </c>
      <c r="BX714" s="197" t="str">
        <f>IF(AND($J714="x",AND(MAX(BS714:BU714)=BT714,BT714&lt;&gt;"")),Data!$BJ$2,"")</f>
        <v/>
      </c>
      <c r="BY714" s="197" t="str">
        <f>IF(AND($K714="x",AND(MAX(BS714:BU714)=BU714,BU714&lt;&gt;"")),Data!$BK$2,"")</f>
        <v/>
      </c>
      <c r="BZ714" s="197"/>
      <c r="CA714" s="328"/>
      <c r="CB714" s="463" t="str">
        <f t="shared" si="1062"/>
        <v/>
      </c>
      <c r="CC714" s="464" t="str">
        <f t="shared" si="1063"/>
        <v/>
      </c>
      <c r="CD714" s="465" t="str">
        <f t="shared" si="1064"/>
        <v/>
      </c>
      <c r="CE714" s="328"/>
      <c r="CF714" s="197" t="str">
        <f>IF(AND($I714="x",AND(MAX(CB714:CD714)=CB714,CB714&lt;&gt;"")),Data!$BI$2,"")</f>
        <v/>
      </c>
      <c r="CG714" s="197" t="str">
        <f>IF(AND($J714="x",AND(MAX(CB714:CD714)=CC714,CC714&lt;&gt;"")),Data!$BJ$2,"")</f>
        <v/>
      </c>
      <c r="CH714" s="197" t="str">
        <f>IF(AND($K714="x",AND(MAX(CB714:CD714)=CD714,CD714&lt;&gt;"")),Data!$BK$2,"")</f>
        <v/>
      </c>
      <c r="CI714" s="197"/>
      <c r="CJ714" s="197"/>
      <c r="CK714" s="455"/>
      <c r="CL714" s="456"/>
      <c r="CM714" s="444" t="str">
        <f t="shared" si="1065"/>
        <v/>
      </c>
      <c r="CN714" s="328"/>
      <c r="CO714" s="197" t="str">
        <f>IF(AND($I714="x",AND(MAX(CK714:CM714)=CK714,CK714&lt;&gt;"")),Data!$BI$2,"")</f>
        <v/>
      </c>
      <c r="CP714" s="197" t="str">
        <f>IF(AND($J714="x",AND(MAX(CK714:CM714)=CL714,CL714&lt;&gt;"")),Data!$BJ$2,"")</f>
        <v/>
      </c>
      <c r="CQ714" s="197" t="str">
        <f>IF(AND($K714="x",AND(MAX(CK714:CM714)=CM714,CM714&lt;&gt;"")),Data!$BK$2,"")</f>
        <v/>
      </c>
      <c r="CR714" s="197"/>
      <c r="CS714" s="197"/>
      <c r="CT714" s="328"/>
      <c r="CU714" s="255"/>
      <c r="CV714" s="209"/>
      <c r="CW714" s="227"/>
    </row>
    <row r="715" spans="1:101" x14ac:dyDescent="0.2">
      <c r="A715" s="227"/>
      <c r="B715" s="227"/>
      <c r="C715" s="168"/>
      <c r="D715" s="232"/>
      <c r="E715" s="134"/>
      <c r="F715" s="424"/>
      <c r="G715" s="428"/>
      <c r="H715" s="429"/>
      <c r="I715" s="138" t="str">
        <f t="shared" si="1052"/>
        <v/>
      </c>
      <c r="J715" s="344" t="str">
        <f t="shared" si="1053"/>
        <v/>
      </c>
      <c r="K715" s="345" t="str">
        <f t="shared" si="1054"/>
        <v/>
      </c>
      <c r="L715" s="258"/>
      <c r="M715" s="332"/>
      <c r="N715" s="336"/>
      <c r="O715" s="200"/>
      <c r="P715" s="200"/>
      <c r="Q715" s="436"/>
      <c r="R715" s="437"/>
      <c r="S715" s="438" t="str">
        <f t="shared" si="1055"/>
        <v/>
      </c>
      <c r="T715" s="328"/>
      <c r="U715" s="197" t="str">
        <f>IF(AND($I715="x",AND(MAX(Q715:S715)=Q715,Q715&gt;=0)),Data!$BI$2,"")</f>
        <v/>
      </c>
      <c r="V715" s="197" t="str">
        <f>IF(AND($J715="x",AND(MAX(Q715:S715)=R715,R715&gt;=0)),Data!$BJ$2,"")</f>
        <v/>
      </c>
      <c r="W715" s="197" t="str">
        <f>IF(AND($K715="x",AND(MAX(Q715:S715)=S715,S715&gt;=0)),Data!$BK$2,"")</f>
        <v/>
      </c>
      <c r="X715" s="197"/>
      <c r="Y715" s="328"/>
      <c r="Z715" s="451"/>
      <c r="AA715" s="452"/>
      <c r="AB715" s="438" t="str">
        <f t="shared" si="1056"/>
        <v/>
      </c>
      <c r="AC715" s="328"/>
      <c r="AD715" s="197" t="str">
        <f>IF(AND($I715="x",AND(MAX(Z715:AB715)=Z715,Z715&lt;&gt;"")),Data!$BI$2,"")</f>
        <v/>
      </c>
      <c r="AE715" s="197" t="str">
        <f>IF(AND($J715="x",AND(MAX(Z715:AB715)=AA715,AA715&lt;&gt;"")),Data!$BJ$2,"")</f>
        <v/>
      </c>
      <c r="AF715" s="197" t="str">
        <f>IF(AND($K715="x",AND(MAX(Z715:AB715)=AB715,AB715&lt;&gt;"")),Data!$BK$2,"")</f>
        <v/>
      </c>
      <c r="AG715" s="197"/>
      <c r="AH715" s="328"/>
      <c r="AI715" s="451"/>
      <c r="AJ715" s="452"/>
      <c r="AK715" s="438" t="str">
        <f t="shared" si="1057"/>
        <v/>
      </c>
      <c r="AL715" s="328"/>
      <c r="AM715" s="197" t="str">
        <f>IF(AND($I715="x",AND(MAX(AI715:AK715)=AI715,AI715&lt;&gt;"")),Data!$BI$2,"")</f>
        <v/>
      </c>
      <c r="AN715" s="197" t="str">
        <f>IF(AND($J715="x",AND(MAX(AI715:AK715)=AJ715,AJ715&lt;&gt;"")),Data!$BJ$2,"")</f>
        <v/>
      </c>
      <c r="AO715" s="197" t="str">
        <f>IF(AND($K715="x",AND(MAX(AI715:AK715)=AK715,AK715&lt;&gt;"")),Data!$BK$2,"")</f>
        <v/>
      </c>
      <c r="AP715" s="197"/>
      <c r="AQ715" s="328"/>
      <c r="AR715" s="451"/>
      <c r="AS715" s="452"/>
      <c r="AT715" s="438" t="str">
        <f t="shared" si="1058"/>
        <v/>
      </c>
      <c r="AU715" s="328"/>
      <c r="AV715" s="197" t="str">
        <f>IF(AND($I715="x",AND(MAX(AR715:AT715)=AR715,AR715&lt;&gt;"")),Data!$BI$2,"")</f>
        <v/>
      </c>
      <c r="AW715" s="197" t="str">
        <f>IF(AND($J715="x",AND(MAX(AR715:AT715)=AS715,AS715&lt;&gt;"")),Data!$BJ$2,"")</f>
        <v/>
      </c>
      <c r="AX715" s="197" t="str">
        <f>IF(AND($K715="x",AND(MAX(AR715:AT715)=AT715,AT715&lt;&gt;"")),Data!$BK$2,"")</f>
        <v/>
      </c>
      <c r="AY715" s="197"/>
      <c r="AZ715" s="328"/>
      <c r="BA715" s="451"/>
      <c r="BB715" s="452"/>
      <c r="BC715" s="438" t="str">
        <f t="shared" si="1059"/>
        <v/>
      </c>
      <c r="BD715" s="328"/>
      <c r="BE715" s="197" t="str">
        <f>IF(AND($I715="x",AND(MAX(BA715:BC715)=BA715,BA715&lt;&gt;"")),Data!$BI$2,"")</f>
        <v/>
      </c>
      <c r="BF715" s="197" t="str">
        <f>IF(AND($J715="x",AND(MAX(BA715:BC715)=BB715,BB715&lt;&gt;"")),Data!$BJ$2,"")</f>
        <v/>
      </c>
      <c r="BG715" s="197" t="str">
        <f>IF(AND($K715="x",AND(MAX(BA715:BC715)=BC715,BC715&lt;&gt;"")),Data!$BK$2,"")</f>
        <v/>
      </c>
      <c r="BH715" s="197"/>
      <c r="BI715" s="328"/>
      <c r="BJ715" s="451"/>
      <c r="BK715" s="452"/>
      <c r="BL715" s="438" t="str">
        <f t="shared" si="1060"/>
        <v/>
      </c>
      <c r="BM715" s="328"/>
      <c r="BN715" s="197" t="str">
        <f>IF(AND($I715="x",AND(MAX(BJ715:BL715)=BJ715,BJ715&lt;&gt;"")),Data!$BI$2,"")</f>
        <v/>
      </c>
      <c r="BO715" s="197" t="str">
        <f>IF(AND($J715="x",AND(MAX(BJ715:BL715)=BK715,BK715&lt;&gt;"")),Data!$BJ$2,"")</f>
        <v/>
      </c>
      <c r="BP715" s="197" t="str">
        <f>IF(AND($K715="x",AND(MAX(BJ715:BL715)=BL715,BL715&lt;&gt;"")),Data!$BK$2,"")</f>
        <v/>
      </c>
      <c r="BQ715" s="197"/>
      <c r="BR715" s="328"/>
      <c r="BS715" s="451"/>
      <c r="BT715" s="452"/>
      <c r="BU715" s="438" t="str">
        <f t="shared" si="1061"/>
        <v/>
      </c>
      <c r="BV715" s="328"/>
      <c r="BW715" s="197" t="str">
        <f>IF(AND($I715="x",AND(MAX(BS715:BU715)=BS715,BS715&lt;&gt;"")),Data!$BI$2,"")</f>
        <v/>
      </c>
      <c r="BX715" s="197" t="str">
        <f>IF(AND($J715="x",AND(MAX(BS715:BU715)=BT715,BT715&lt;&gt;"")),Data!$BJ$2,"")</f>
        <v/>
      </c>
      <c r="BY715" s="197" t="str">
        <f>IF(AND($K715="x",AND(MAX(BS715:BU715)=BU715,BU715&lt;&gt;"")),Data!$BK$2,"")</f>
        <v/>
      </c>
      <c r="BZ715" s="197"/>
      <c r="CA715" s="328"/>
      <c r="CB715" s="457" t="str">
        <f t="shared" si="1062"/>
        <v/>
      </c>
      <c r="CC715" s="458" t="str">
        <f t="shared" si="1063"/>
        <v/>
      </c>
      <c r="CD715" s="459" t="str">
        <f t="shared" si="1064"/>
        <v/>
      </c>
      <c r="CE715" s="328"/>
      <c r="CF715" s="197" t="str">
        <f>IF(AND($I715="x",AND(MAX(CB715:CD715)=CB715,CB715&lt;&gt;"")),Data!$BI$2,"")</f>
        <v/>
      </c>
      <c r="CG715" s="197" t="str">
        <f>IF(AND($J715="x",AND(MAX(CB715:CD715)=CC715,CC715&lt;&gt;"")),Data!$BJ$2,"")</f>
        <v/>
      </c>
      <c r="CH715" s="197" t="str">
        <f>IF(AND($K715="x",AND(MAX(CB715:CD715)=CD715,CD715&lt;&gt;"")),Data!$BK$2,"")</f>
        <v/>
      </c>
      <c r="CI715" s="197"/>
      <c r="CJ715" s="197"/>
      <c r="CK715" s="451"/>
      <c r="CL715" s="452"/>
      <c r="CM715" s="438" t="str">
        <f t="shared" si="1065"/>
        <v/>
      </c>
      <c r="CN715" s="328"/>
      <c r="CO715" s="197" t="str">
        <f>IF(AND($I715="x",AND(MAX(CK715:CM715)=CK715,CK715&lt;&gt;"")),Data!$BI$2,"")</f>
        <v/>
      </c>
      <c r="CP715" s="197" t="str">
        <f>IF(AND($J715="x",AND(MAX(CK715:CM715)=CL715,CL715&lt;&gt;"")),Data!$BJ$2,"")</f>
        <v/>
      </c>
      <c r="CQ715" s="197" t="str">
        <f>IF(AND($K715="x",AND(MAX(CK715:CM715)=CM715,CM715&lt;&gt;"")),Data!$BK$2,"")</f>
        <v/>
      </c>
      <c r="CR715" s="197"/>
      <c r="CS715" s="197"/>
      <c r="CT715" s="328"/>
      <c r="CU715" s="255"/>
      <c r="CV715" s="209"/>
      <c r="CW715" s="227"/>
    </row>
    <row r="716" spans="1:101" x14ac:dyDescent="0.2">
      <c r="A716" s="227"/>
      <c r="B716" s="227"/>
      <c r="C716" s="168"/>
      <c r="D716" s="232"/>
      <c r="E716" s="135"/>
      <c r="F716" s="425"/>
      <c r="G716" s="430"/>
      <c r="H716" s="431"/>
      <c r="I716" s="346" t="str">
        <f t="shared" si="1052"/>
        <v/>
      </c>
      <c r="J716" s="347" t="str">
        <f t="shared" si="1053"/>
        <v/>
      </c>
      <c r="K716" s="348" t="str">
        <f t="shared" si="1054"/>
        <v/>
      </c>
      <c r="L716" s="258"/>
      <c r="M716" s="332"/>
      <c r="N716" s="336"/>
      <c r="O716" s="200"/>
      <c r="P716" s="200"/>
      <c r="Q716" s="439"/>
      <c r="R716" s="440"/>
      <c r="S716" s="441" t="str">
        <f t="shared" si="1055"/>
        <v/>
      </c>
      <c r="T716" s="328"/>
      <c r="U716" s="197" t="str">
        <f>IF(AND($I716="x",AND(MAX(Q716:S716)=Q716,Q716&gt;=0)),Data!$BI$2,"")</f>
        <v/>
      </c>
      <c r="V716" s="197" t="str">
        <f>IF(AND($J716="x",AND(MAX(Q716:S716)=R716,R716&gt;=0)),Data!$BJ$2,"")</f>
        <v/>
      </c>
      <c r="W716" s="197" t="str">
        <f>IF(AND($K716="x",AND(MAX(Q716:S716)=S716,S716&gt;=0)),Data!$BK$2,"")</f>
        <v/>
      </c>
      <c r="X716" s="197"/>
      <c r="Y716" s="328"/>
      <c r="Z716" s="453"/>
      <c r="AA716" s="454"/>
      <c r="AB716" s="441" t="str">
        <f t="shared" si="1056"/>
        <v/>
      </c>
      <c r="AC716" s="328"/>
      <c r="AD716" s="197" t="str">
        <f>IF(AND($I716="x",AND(MAX(Z716:AB716)=Z716,Z716&lt;&gt;"")),Data!$BI$2,"")</f>
        <v/>
      </c>
      <c r="AE716" s="197" t="str">
        <f>IF(AND($J716="x",AND(MAX(Z716:AB716)=AA716,AA716&lt;&gt;"")),Data!$BJ$2,"")</f>
        <v/>
      </c>
      <c r="AF716" s="197" t="str">
        <f>IF(AND($K716="x",AND(MAX(Z716:AB716)=AB716,AB716&lt;&gt;"")),Data!$BK$2,"")</f>
        <v/>
      </c>
      <c r="AG716" s="197"/>
      <c r="AH716" s="328"/>
      <c r="AI716" s="453"/>
      <c r="AJ716" s="454"/>
      <c r="AK716" s="441" t="str">
        <f t="shared" si="1057"/>
        <v/>
      </c>
      <c r="AL716" s="328"/>
      <c r="AM716" s="197" t="str">
        <f>IF(AND($I716="x",AND(MAX(AI716:AK716)=AI716,AI716&lt;&gt;"")),Data!$BI$2,"")</f>
        <v/>
      </c>
      <c r="AN716" s="197" t="str">
        <f>IF(AND($J716="x",AND(MAX(AI716:AK716)=AJ716,AJ716&lt;&gt;"")),Data!$BJ$2,"")</f>
        <v/>
      </c>
      <c r="AO716" s="197" t="str">
        <f>IF(AND($K716="x",AND(MAX(AI716:AK716)=AK716,AK716&lt;&gt;"")),Data!$BK$2,"")</f>
        <v/>
      </c>
      <c r="AP716" s="197"/>
      <c r="AQ716" s="328"/>
      <c r="AR716" s="453"/>
      <c r="AS716" s="454"/>
      <c r="AT716" s="441" t="str">
        <f t="shared" si="1058"/>
        <v/>
      </c>
      <c r="AU716" s="328"/>
      <c r="AV716" s="197" t="str">
        <f>IF(AND($I716="x",AND(MAX(AR716:AT716)=AR716,AR716&lt;&gt;"")),Data!$BI$2,"")</f>
        <v/>
      </c>
      <c r="AW716" s="197" t="str">
        <f>IF(AND($J716="x",AND(MAX(AR716:AT716)=AS716,AS716&lt;&gt;"")),Data!$BJ$2,"")</f>
        <v/>
      </c>
      <c r="AX716" s="197" t="str">
        <f>IF(AND($K716="x",AND(MAX(AR716:AT716)=AT716,AT716&lt;&gt;"")),Data!$BK$2,"")</f>
        <v/>
      </c>
      <c r="AY716" s="197"/>
      <c r="AZ716" s="328"/>
      <c r="BA716" s="453"/>
      <c r="BB716" s="454"/>
      <c r="BC716" s="441" t="str">
        <f t="shared" si="1059"/>
        <v/>
      </c>
      <c r="BD716" s="328"/>
      <c r="BE716" s="197" t="str">
        <f>IF(AND($I716="x",AND(MAX(BA716:BC716)=BA716,BA716&lt;&gt;"")),Data!$BI$2,"")</f>
        <v/>
      </c>
      <c r="BF716" s="197" t="str">
        <f>IF(AND($J716="x",AND(MAX(BA716:BC716)=BB716,BB716&lt;&gt;"")),Data!$BJ$2,"")</f>
        <v/>
      </c>
      <c r="BG716" s="197" t="str">
        <f>IF(AND($K716="x",AND(MAX(BA716:BC716)=BC716,BC716&lt;&gt;"")),Data!$BK$2,"")</f>
        <v/>
      </c>
      <c r="BH716" s="197"/>
      <c r="BI716" s="328"/>
      <c r="BJ716" s="453"/>
      <c r="BK716" s="454"/>
      <c r="BL716" s="441" t="str">
        <f t="shared" si="1060"/>
        <v/>
      </c>
      <c r="BM716" s="328"/>
      <c r="BN716" s="197" t="str">
        <f>IF(AND($I716="x",AND(MAX(BJ716:BL716)=BJ716,BJ716&lt;&gt;"")),Data!$BI$2,"")</f>
        <v/>
      </c>
      <c r="BO716" s="197" t="str">
        <f>IF(AND($J716="x",AND(MAX(BJ716:BL716)=BK716,BK716&lt;&gt;"")),Data!$BJ$2,"")</f>
        <v/>
      </c>
      <c r="BP716" s="197" t="str">
        <f>IF(AND($K716="x",AND(MAX(BJ716:BL716)=BL716,BL716&lt;&gt;"")),Data!$BK$2,"")</f>
        <v/>
      </c>
      <c r="BQ716" s="197"/>
      <c r="BR716" s="328"/>
      <c r="BS716" s="453"/>
      <c r="BT716" s="454"/>
      <c r="BU716" s="441" t="str">
        <f t="shared" si="1061"/>
        <v/>
      </c>
      <c r="BV716" s="328"/>
      <c r="BW716" s="197" t="str">
        <f>IF(AND($I716="x",AND(MAX(BS716:BU716)=BS716,BS716&lt;&gt;"")),Data!$BI$2,"")</f>
        <v/>
      </c>
      <c r="BX716" s="197" t="str">
        <f>IF(AND($J716="x",AND(MAX(BS716:BU716)=BT716,BT716&lt;&gt;"")),Data!$BJ$2,"")</f>
        <v/>
      </c>
      <c r="BY716" s="197" t="str">
        <f>IF(AND($K716="x",AND(MAX(BS716:BU716)=BU716,BU716&lt;&gt;"")),Data!$BK$2,"")</f>
        <v/>
      </c>
      <c r="BZ716" s="197"/>
      <c r="CA716" s="328"/>
      <c r="CB716" s="460" t="str">
        <f t="shared" si="1062"/>
        <v/>
      </c>
      <c r="CC716" s="461" t="str">
        <f t="shared" si="1063"/>
        <v/>
      </c>
      <c r="CD716" s="462" t="str">
        <f t="shared" si="1064"/>
        <v/>
      </c>
      <c r="CE716" s="328"/>
      <c r="CF716" s="197" t="str">
        <f>IF(AND($I716="x",AND(MAX(CB716:CD716)=CB716,CB716&lt;&gt;"")),Data!$BI$2,"")</f>
        <v/>
      </c>
      <c r="CG716" s="197" t="str">
        <f>IF(AND($J716="x",AND(MAX(CB716:CD716)=CC716,CC716&lt;&gt;"")),Data!$BJ$2,"")</f>
        <v/>
      </c>
      <c r="CH716" s="197" t="str">
        <f>IF(AND($K716="x",AND(MAX(CB716:CD716)=CD716,CD716&lt;&gt;"")),Data!$BK$2,"")</f>
        <v/>
      </c>
      <c r="CI716" s="197"/>
      <c r="CJ716" s="197"/>
      <c r="CK716" s="453"/>
      <c r="CL716" s="454"/>
      <c r="CM716" s="441" t="str">
        <f t="shared" si="1065"/>
        <v/>
      </c>
      <c r="CN716" s="328"/>
      <c r="CO716" s="197" t="str">
        <f>IF(AND($I716="x",AND(MAX(CK716:CM716)=CK716,CK716&lt;&gt;"")),Data!$BI$2,"")</f>
        <v/>
      </c>
      <c r="CP716" s="197" t="str">
        <f>IF(AND($J716="x",AND(MAX(CK716:CM716)=CL716,CL716&lt;&gt;"")),Data!$BJ$2,"")</f>
        <v/>
      </c>
      <c r="CQ716" s="197" t="str">
        <f>IF(AND($K716="x",AND(MAX(CK716:CM716)=CM716,CM716&lt;&gt;"")),Data!$BK$2,"")</f>
        <v/>
      </c>
      <c r="CR716" s="197"/>
      <c r="CS716" s="197"/>
      <c r="CT716" s="328"/>
      <c r="CU716" s="255"/>
      <c r="CV716" s="209"/>
      <c r="CW716" s="227"/>
    </row>
    <row r="717" spans="1:101" x14ac:dyDescent="0.2">
      <c r="A717" s="227"/>
      <c r="B717" s="227"/>
      <c r="C717" s="168"/>
      <c r="D717" s="232"/>
      <c r="E717" s="136"/>
      <c r="F717" s="426"/>
      <c r="G717" s="432"/>
      <c r="H717" s="433"/>
      <c r="I717" s="349" t="str">
        <f t="shared" si="1052"/>
        <v/>
      </c>
      <c r="J717" s="350" t="str">
        <f t="shared" si="1053"/>
        <v/>
      </c>
      <c r="K717" s="351" t="str">
        <f t="shared" si="1054"/>
        <v/>
      </c>
      <c r="L717" s="258"/>
      <c r="M717" s="332"/>
      <c r="N717" s="336"/>
      <c r="O717" s="200"/>
      <c r="P717" s="200"/>
      <c r="Q717" s="445"/>
      <c r="R717" s="446"/>
      <c r="S717" s="447" t="str">
        <f t="shared" si="1055"/>
        <v/>
      </c>
      <c r="T717" s="328"/>
      <c r="U717" s="197" t="str">
        <f>IF(AND($I717="x",AND(MAX(Q717:S717)=Q717,Q717&gt;=0)),Data!$BI$2,"")</f>
        <v/>
      </c>
      <c r="V717" s="197" t="str">
        <f>IF(AND($J717="x",AND(MAX(Q717:S717)=R717,R717&gt;=0)),Data!$BJ$2,"")</f>
        <v/>
      </c>
      <c r="W717" s="197" t="str">
        <f>IF(AND($K717="x",AND(MAX(Q717:S717)=S717,S717&gt;=0)),Data!$BK$2,"")</f>
        <v/>
      </c>
      <c r="X717" s="197"/>
      <c r="Y717" s="328"/>
      <c r="Z717" s="455"/>
      <c r="AA717" s="456"/>
      <c r="AB717" s="447" t="str">
        <f t="shared" si="1056"/>
        <v/>
      </c>
      <c r="AC717" s="328"/>
      <c r="AD717" s="197" t="str">
        <f>IF(AND($I717="x",AND(MAX(Z717:AB717)=Z717,Z717&lt;&gt;"")),Data!$BI$2,"")</f>
        <v/>
      </c>
      <c r="AE717" s="197" t="str">
        <f>IF(AND($J717="x",AND(MAX(Z717:AB717)=AA717,AA717&lt;&gt;"")),Data!$BJ$2,"")</f>
        <v/>
      </c>
      <c r="AF717" s="197" t="str">
        <f>IF(AND($K717="x",AND(MAX(Z717:AB717)=AB717,AB717&lt;&gt;"")),Data!$BK$2,"")</f>
        <v/>
      </c>
      <c r="AG717" s="197"/>
      <c r="AH717" s="328"/>
      <c r="AI717" s="455"/>
      <c r="AJ717" s="456"/>
      <c r="AK717" s="447" t="str">
        <f t="shared" si="1057"/>
        <v/>
      </c>
      <c r="AL717" s="328"/>
      <c r="AM717" s="197" t="str">
        <f>IF(AND($I717="x",AND(MAX(AI717:AK717)=AI717,AI717&lt;&gt;"")),Data!$BI$2,"")</f>
        <v/>
      </c>
      <c r="AN717" s="197" t="str">
        <f>IF(AND($J717="x",AND(MAX(AI717:AK717)=AJ717,AJ717&lt;&gt;"")),Data!$BJ$2,"")</f>
        <v/>
      </c>
      <c r="AO717" s="197" t="str">
        <f>IF(AND($K717="x",AND(MAX(AI717:AK717)=AK717,AK717&lt;&gt;"")),Data!$BK$2,"")</f>
        <v/>
      </c>
      <c r="AP717" s="197"/>
      <c r="AQ717" s="328"/>
      <c r="AR717" s="455"/>
      <c r="AS717" s="456"/>
      <c r="AT717" s="447" t="str">
        <f t="shared" si="1058"/>
        <v/>
      </c>
      <c r="AU717" s="328"/>
      <c r="AV717" s="197" t="str">
        <f>IF(AND($I717="x",AND(MAX(AR717:AT717)=AR717,AR717&lt;&gt;"")),Data!$BI$2,"")</f>
        <v/>
      </c>
      <c r="AW717" s="197" t="str">
        <f>IF(AND($J717="x",AND(MAX(AR717:AT717)=AS717,AS717&lt;&gt;"")),Data!$BJ$2,"")</f>
        <v/>
      </c>
      <c r="AX717" s="197" t="str">
        <f>IF(AND($K717="x",AND(MAX(AR717:AT717)=AT717,AT717&lt;&gt;"")),Data!$BK$2,"")</f>
        <v/>
      </c>
      <c r="AY717" s="197"/>
      <c r="AZ717" s="328"/>
      <c r="BA717" s="455"/>
      <c r="BB717" s="456"/>
      <c r="BC717" s="447" t="str">
        <f t="shared" si="1059"/>
        <v/>
      </c>
      <c r="BD717" s="328"/>
      <c r="BE717" s="197" t="str">
        <f>IF(AND($I717="x",AND(MAX(BA717:BC717)=BA717,BA717&lt;&gt;"")),Data!$BI$2,"")</f>
        <v/>
      </c>
      <c r="BF717" s="197" t="str">
        <f>IF(AND($J717="x",AND(MAX(BA717:BC717)=BB717,BB717&lt;&gt;"")),Data!$BJ$2,"")</f>
        <v/>
      </c>
      <c r="BG717" s="197" t="str">
        <f>IF(AND($K717="x",AND(MAX(BA717:BC717)=BC717,BC717&lt;&gt;"")),Data!$BK$2,"")</f>
        <v/>
      </c>
      <c r="BH717" s="197"/>
      <c r="BI717" s="328"/>
      <c r="BJ717" s="455"/>
      <c r="BK717" s="456"/>
      <c r="BL717" s="447" t="str">
        <f t="shared" si="1060"/>
        <v/>
      </c>
      <c r="BM717" s="328"/>
      <c r="BN717" s="197" t="str">
        <f>IF(AND($I717="x",AND(MAX(BJ717:BL717)=BJ717,BJ717&lt;&gt;"")),Data!$BI$2,"")</f>
        <v/>
      </c>
      <c r="BO717" s="197" t="str">
        <f>IF(AND($J717="x",AND(MAX(BJ717:BL717)=BK717,BK717&lt;&gt;"")),Data!$BJ$2,"")</f>
        <v/>
      </c>
      <c r="BP717" s="197" t="str">
        <f>IF(AND($K717="x",AND(MAX(BJ717:BL717)=BL717,BL717&lt;&gt;"")),Data!$BK$2,"")</f>
        <v/>
      </c>
      <c r="BQ717" s="197"/>
      <c r="BR717" s="328"/>
      <c r="BS717" s="455"/>
      <c r="BT717" s="456"/>
      <c r="BU717" s="447" t="str">
        <f t="shared" si="1061"/>
        <v/>
      </c>
      <c r="BV717" s="328"/>
      <c r="BW717" s="197" t="str">
        <f>IF(AND($I717="x",AND(MAX(BS717:BU717)=BS717,BS717&lt;&gt;"")),Data!$BI$2,"")</f>
        <v/>
      </c>
      <c r="BX717" s="197" t="str">
        <f>IF(AND($J717="x",AND(MAX(BS717:BU717)=BT717,BT717&lt;&gt;"")),Data!$BJ$2,"")</f>
        <v/>
      </c>
      <c r="BY717" s="197" t="str">
        <f>IF(AND($K717="x",AND(MAX(BS717:BU717)=BU717,BU717&lt;&gt;"")),Data!$BK$2,"")</f>
        <v/>
      </c>
      <c r="BZ717" s="197"/>
      <c r="CA717" s="328"/>
      <c r="CB717" s="463" t="str">
        <f t="shared" si="1062"/>
        <v/>
      </c>
      <c r="CC717" s="464" t="str">
        <f t="shared" si="1063"/>
        <v/>
      </c>
      <c r="CD717" s="465" t="str">
        <f t="shared" si="1064"/>
        <v/>
      </c>
      <c r="CE717" s="328"/>
      <c r="CF717" s="197" t="str">
        <f>IF(AND($I717="x",AND(MAX(CB717:CD717)=CB717,CB717&lt;&gt;"")),Data!$BI$2,"")</f>
        <v/>
      </c>
      <c r="CG717" s="197" t="str">
        <f>IF(AND($J717="x",AND(MAX(CB717:CD717)=CC717,CC717&lt;&gt;"")),Data!$BJ$2,"")</f>
        <v/>
      </c>
      <c r="CH717" s="197" t="str">
        <f>IF(AND($K717="x",AND(MAX(CB717:CD717)=CD717,CD717&lt;&gt;"")),Data!$BK$2,"")</f>
        <v/>
      </c>
      <c r="CI717" s="197"/>
      <c r="CJ717" s="197"/>
      <c r="CK717" s="455"/>
      <c r="CL717" s="456"/>
      <c r="CM717" s="447" t="str">
        <f t="shared" si="1065"/>
        <v/>
      </c>
      <c r="CN717" s="328"/>
      <c r="CO717" s="197" t="str">
        <f>IF(AND($I717="x",AND(MAX(CK717:CM717)=CK717,CK717&lt;&gt;"")),Data!$BI$2,"")</f>
        <v/>
      </c>
      <c r="CP717" s="197" t="str">
        <f>IF(AND($J717="x",AND(MAX(CK717:CM717)=CL717,CL717&lt;&gt;"")),Data!$BJ$2,"")</f>
        <v/>
      </c>
      <c r="CQ717" s="197" t="str">
        <f>IF(AND($K717="x",AND(MAX(CK717:CM717)=CM717,CM717&lt;&gt;"")),Data!$BK$2,"")</f>
        <v/>
      </c>
      <c r="CR717" s="197"/>
      <c r="CS717" s="197"/>
      <c r="CT717" s="328"/>
      <c r="CU717" s="255"/>
      <c r="CV717" s="209"/>
      <c r="CW717" s="227"/>
    </row>
    <row r="718" spans="1:101" x14ac:dyDescent="0.2">
      <c r="A718" s="227"/>
      <c r="B718" s="227"/>
      <c r="C718" s="168"/>
      <c r="D718" s="232"/>
      <c r="E718" s="134"/>
      <c r="F718" s="424"/>
      <c r="G718" s="428"/>
      <c r="H718" s="429"/>
      <c r="I718" s="138" t="str">
        <f t="shared" si="1052"/>
        <v/>
      </c>
      <c r="J718" s="344" t="str">
        <f t="shared" si="1053"/>
        <v/>
      </c>
      <c r="K718" s="345" t="str">
        <f t="shared" si="1054"/>
        <v/>
      </c>
      <c r="L718" s="258"/>
      <c r="M718" s="332"/>
      <c r="N718" s="336"/>
      <c r="O718" s="200"/>
      <c r="P718" s="200"/>
      <c r="Q718" s="436"/>
      <c r="R718" s="437"/>
      <c r="S718" s="438" t="str">
        <f t="shared" si="1055"/>
        <v/>
      </c>
      <c r="T718" s="328"/>
      <c r="U718" s="197" t="str">
        <f>IF(AND($I718="x",AND(MAX(Q718:S718)=Q718,Q718&gt;=0)),Data!$BI$2,"")</f>
        <v/>
      </c>
      <c r="V718" s="197" t="str">
        <f>IF(AND($J718="x",AND(MAX(Q718:S718)=R718,R718&gt;=0)),Data!$BJ$2,"")</f>
        <v/>
      </c>
      <c r="W718" s="197" t="str">
        <f>IF(AND($K718="x",AND(MAX(Q718:S718)=S718,S718&gt;=0)),Data!$BK$2,"")</f>
        <v/>
      </c>
      <c r="X718" s="197"/>
      <c r="Y718" s="328"/>
      <c r="Z718" s="451"/>
      <c r="AA718" s="452"/>
      <c r="AB718" s="438" t="str">
        <f t="shared" si="1056"/>
        <v/>
      </c>
      <c r="AC718" s="328"/>
      <c r="AD718" s="197" t="str">
        <f>IF(AND($I718="x",AND(MAX(Z718:AB718)=Z718,Z718&lt;&gt;"")),Data!$BI$2,"")</f>
        <v/>
      </c>
      <c r="AE718" s="197" t="str">
        <f>IF(AND($J718="x",AND(MAX(Z718:AB718)=AA718,AA718&lt;&gt;"")),Data!$BJ$2,"")</f>
        <v/>
      </c>
      <c r="AF718" s="197" t="str">
        <f>IF(AND($K718="x",AND(MAX(Z718:AB718)=AB718,AB718&lt;&gt;"")),Data!$BK$2,"")</f>
        <v/>
      </c>
      <c r="AG718" s="197"/>
      <c r="AH718" s="328"/>
      <c r="AI718" s="451"/>
      <c r="AJ718" s="452"/>
      <c r="AK718" s="438" t="str">
        <f t="shared" si="1057"/>
        <v/>
      </c>
      <c r="AL718" s="328"/>
      <c r="AM718" s="197" t="str">
        <f>IF(AND($I718="x",AND(MAX(AI718:AK718)=AI718,AI718&lt;&gt;"")),Data!$BI$2,"")</f>
        <v/>
      </c>
      <c r="AN718" s="197" t="str">
        <f>IF(AND($J718="x",AND(MAX(AI718:AK718)=AJ718,AJ718&lt;&gt;"")),Data!$BJ$2,"")</f>
        <v/>
      </c>
      <c r="AO718" s="197" t="str">
        <f>IF(AND($K718="x",AND(MAX(AI718:AK718)=AK718,AK718&lt;&gt;"")),Data!$BK$2,"")</f>
        <v/>
      </c>
      <c r="AP718" s="197"/>
      <c r="AQ718" s="328"/>
      <c r="AR718" s="451"/>
      <c r="AS718" s="452"/>
      <c r="AT718" s="438" t="str">
        <f t="shared" si="1058"/>
        <v/>
      </c>
      <c r="AU718" s="328"/>
      <c r="AV718" s="197" t="str">
        <f>IF(AND($I718="x",AND(MAX(AR718:AT718)=AR718,AR718&lt;&gt;"")),Data!$BI$2,"")</f>
        <v/>
      </c>
      <c r="AW718" s="197" t="str">
        <f>IF(AND($J718="x",AND(MAX(AR718:AT718)=AS718,AS718&lt;&gt;"")),Data!$BJ$2,"")</f>
        <v/>
      </c>
      <c r="AX718" s="197" t="str">
        <f>IF(AND($K718="x",AND(MAX(AR718:AT718)=AT718,AT718&lt;&gt;"")),Data!$BK$2,"")</f>
        <v/>
      </c>
      <c r="AY718" s="197"/>
      <c r="AZ718" s="328"/>
      <c r="BA718" s="451"/>
      <c r="BB718" s="452"/>
      <c r="BC718" s="438" t="str">
        <f t="shared" si="1059"/>
        <v/>
      </c>
      <c r="BD718" s="328"/>
      <c r="BE718" s="197" t="str">
        <f>IF(AND($I718="x",AND(MAX(BA718:BC718)=BA718,BA718&lt;&gt;"")),Data!$BI$2,"")</f>
        <v/>
      </c>
      <c r="BF718" s="197" t="str">
        <f>IF(AND($J718="x",AND(MAX(BA718:BC718)=BB718,BB718&lt;&gt;"")),Data!$BJ$2,"")</f>
        <v/>
      </c>
      <c r="BG718" s="197" t="str">
        <f>IF(AND($K718="x",AND(MAX(BA718:BC718)=BC718,BC718&lt;&gt;"")),Data!$BK$2,"")</f>
        <v/>
      </c>
      <c r="BH718" s="197"/>
      <c r="BI718" s="328"/>
      <c r="BJ718" s="451"/>
      <c r="BK718" s="452"/>
      <c r="BL718" s="438" t="str">
        <f t="shared" si="1060"/>
        <v/>
      </c>
      <c r="BM718" s="328"/>
      <c r="BN718" s="197" t="str">
        <f>IF(AND($I718="x",AND(MAX(BJ718:BL718)=BJ718,BJ718&lt;&gt;"")),Data!$BI$2,"")</f>
        <v/>
      </c>
      <c r="BO718" s="197" t="str">
        <f>IF(AND($J718="x",AND(MAX(BJ718:BL718)=BK718,BK718&lt;&gt;"")),Data!$BJ$2,"")</f>
        <v/>
      </c>
      <c r="BP718" s="197" t="str">
        <f>IF(AND($K718="x",AND(MAX(BJ718:BL718)=BL718,BL718&lt;&gt;"")),Data!$BK$2,"")</f>
        <v/>
      </c>
      <c r="BQ718" s="197"/>
      <c r="BR718" s="328"/>
      <c r="BS718" s="451"/>
      <c r="BT718" s="452"/>
      <c r="BU718" s="438" t="str">
        <f t="shared" si="1061"/>
        <v/>
      </c>
      <c r="BV718" s="328"/>
      <c r="BW718" s="197" t="str">
        <f>IF(AND($I718="x",AND(MAX(BS718:BU718)=BS718,BS718&lt;&gt;"")),Data!$BI$2,"")</f>
        <v/>
      </c>
      <c r="BX718" s="197" t="str">
        <f>IF(AND($J718="x",AND(MAX(BS718:BU718)=BT718,BT718&lt;&gt;"")),Data!$BJ$2,"")</f>
        <v/>
      </c>
      <c r="BY718" s="197" t="str">
        <f>IF(AND($K718="x",AND(MAX(BS718:BU718)=BU718,BU718&lt;&gt;"")),Data!$BK$2,"")</f>
        <v/>
      </c>
      <c r="BZ718" s="197"/>
      <c r="CA718" s="328"/>
      <c r="CB718" s="457" t="str">
        <f t="shared" si="1062"/>
        <v/>
      </c>
      <c r="CC718" s="458" t="str">
        <f t="shared" si="1063"/>
        <v/>
      </c>
      <c r="CD718" s="459" t="str">
        <f t="shared" si="1064"/>
        <v/>
      </c>
      <c r="CE718" s="328"/>
      <c r="CF718" s="197" t="str">
        <f>IF(AND($I718="x",AND(MAX(CB718:CD718)=CB718,CB718&lt;&gt;"")),Data!$BI$2,"")</f>
        <v/>
      </c>
      <c r="CG718" s="197" t="str">
        <f>IF(AND($J718="x",AND(MAX(CB718:CD718)=CC718,CC718&lt;&gt;"")),Data!$BJ$2,"")</f>
        <v/>
      </c>
      <c r="CH718" s="197" t="str">
        <f>IF(AND($K718="x",AND(MAX(CB718:CD718)=CD718,CD718&lt;&gt;"")),Data!$BK$2,"")</f>
        <v/>
      </c>
      <c r="CI718" s="197"/>
      <c r="CJ718" s="197"/>
      <c r="CK718" s="451"/>
      <c r="CL718" s="452"/>
      <c r="CM718" s="438" t="str">
        <f t="shared" si="1065"/>
        <v/>
      </c>
      <c r="CN718" s="328"/>
      <c r="CO718" s="197" t="str">
        <f>IF(AND($I718="x",AND(MAX(CK718:CM718)=CK718,CK718&lt;&gt;"")),Data!$BI$2,"")</f>
        <v/>
      </c>
      <c r="CP718" s="197" t="str">
        <f>IF(AND($J718="x",AND(MAX(CK718:CM718)=CL718,CL718&lt;&gt;"")),Data!$BJ$2,"")</f>
        <v/>
      </c>
      <c r="CQ718" s="197" t="str">
        <f>IF(AND($K718="x",AND(MAX(CK718:CM718)=CM718,CM718&lt;&gt;"")),Data!$BK$2,"")</f>
        <v/>
      </c>
      <c r="CR718" s="197"/>
      <c r="CS718" s="197"/>
      <c r="CT718" s="328"/>
      <c r="CU718" s="259"/>
      <c r="CV718" s="209"/>
      <c r="CW718" s="227"/>
    </row>
    <row r="719" spans="1:101" x14ac:dyDescent="0.2">
      <c r="A719" s="227"/>
      <c r="B719" s="227"/>
      <c r="C719" s="168"/>
      <c r="D719" s="232"/>
      <c r="E719" s="135"/>
      <c r="F719" s="425"/>
      <c r="G719" s="430"/>
      <c r="H719" s="431"/>
      <c r="I719" s="346" t="str">
        <f t="shared" si="1052"/>
        <v/>
      </c>
      <c r="J719" s="347" t="str">
        <f t="shared" si="1053"/>
        <v/>
      </c>
      <c r="K719" s="348" t="str">
        <f t="shared" si="1054"/>
        <v/>
      </c>
      <c r="L719" s="258"/>
      <c r="M719" s="332"/>
      <c r="N719" s="336"/>
      <c r="O719" s="200"/>
      <c r="P719" s="200"/>
      <c r="Q719" s="439"/>
      <c r="R719" s="440"/>
      <c r="S719" s="441" t="str">
        <f t="shared" si="1055"/>
        <v/>
      </c>
      <c r="T719" s="328"/>
      <c r="U719" s="197" t="str">
        <f>IF(AND($I719="x",AND(MAX(Q719:S719)=Q719,Q719&gt;=0)),Data!$BI$2,"")</f>
        <v/>
      </c>
      <c r="V719" s="197" t="str">
        <f>IF(AND($J719="x",AND(MAX(Q719:S719)=R719,R719&gt;=0)),Data!$BJ$2,"")</f>
        <v/>
      </c>
      <c r="W719" s="197" t="str">
        <f>IF(AND($K719="x",AND(MAX(Q719:S719)=S719,S719&gt;=0)),Data!$BK$2,"")</f>
        <v/>
      </c>
      <c r="X719" s="197"/>
      <c r="Y719" s="328"/>
      <c r="Z719" s="453"/>
      <c r="AA719" s="454"/>
      <c r="AB719" s="441" t="str">
        <f t="shared" si="1056"/>
        <v/>
      </c>
      <c r="AC719" s="328"/>
      <c r="AD719" s="197" t="str">
        <f>IF(AND($I719="x",AND(MAX(Z719:AB719)=Z719,Z719&lt;&gt;"")),Data!$BI$2,"")</f>
        <v/>
      </c>
      <c r="AE719" s="197" t="str">
        <f>IF(AND($J719="x",AND(MAX(Z719:AB719)=AA719,AA719&lt;&gt;"")),Data!$BJ$2,"")</f>
        <v/>
      </c>
      <c r="AF719" s="197" t="str">
        <f>IF(AND($K719="x",AND(MAX(Z719:AB719)=AB719,AB719&lt;&gt;"")),Data!$BK$2,"")</f>
        <v/>
      </c>
      <c r="AG719" s="197"/>
      <c r="AH719" s="328"/>
      <c r="AI719" s="453"/>
      <c r="AJ719" s="454"/>
      <c r="AK719" s="441" t="str">
        <f t="shared" si="1057"/>
        <v/>
      </c>
      <c r="AL719" s="328"/>
      <c r="AM719" s="197" t="str">
        <f>IF(AND($I719="x",AND(MAX(AI719:AK719)=AI719,AI719&lt;&gt;"")),Data!$BI$2,"")</f>
        <v/>
      </c>
      <c r="AN719" s="197" t="str">
        <f>IF(AND($J719="x",AND(MAX(AI719:AK719)=AJ719,AJ719&lt;&gt;"")),Data!$BJ$2,"")</f>
        <v/>
      </c>
      <c r="AO719" s="197" t="str">
        <f>IF(AND($K719="x",AND(MAX(AI719:AK719)=AK719,AK719&lt;&gt;"")),Data!$BK$2,"")</f>
        <v/>
      </c>
      <c r="AP719" s="197"/>
      <c r="AQ719" s="328"/>
      <c r="AR719" s="453"/>
      <c r="AS719" s="454"/>
      <c r="AT719" s="441" t="str">
        <f t="shared" si="1058"/>
        <v/>
      </c>
      <c r="AU719" s="328"/>
      <c r="AV719" s="197" t="str">
        <f>IF(AND($I719="x",AND(MAX(AR719:AT719)=AR719,AR719&lt;&gt;"")),Data!$BI$2,"")</f>
        <v/>
      </c>
      <c r="AW719" s="197" t="str">
        <f>IF(AND($J719="x",AND(MAX(AR719:AT719)=AS719,AS719&lt;&gt;"")),Data!$BJ$2,"")</f>
        <v/>
      </c>
      <c r="AX719" s="197" t="str">
        <f>IF(AND($K719="x",AND(MAX(AR719:AT719)=AT719,AT719&lt;&gt;"")),Data!$BK$2,"")</f>
        <v/>
      </c>
      <c r="AY719" s="197"/>
      <c r="AZ719" s="328"/>
      <c r="BA719" s="453"/>
      <c r="BB719" s="454"/>
      <c r="BC719" s="441" t="str">
        <f t="shared" si="1059"/>
        <v/>
      </c>
      <c r="BD719" s="328"/>
      <c r="BE719" s="197" t="str">
        <f>IF(AND($I719="x",AND(MAX(BA719:BC719)=BA719,BA719&lt;&gt;"")),Data!$BI$2,"")</f>
        <v/>
      </c>
      <c r="BF719" s="197" t="str">
        <f>IF(AND($J719="x",AND(MAX(BA719:BC719)=BB719,BB719&lt;&gt;"")),Data!$BJ$2,"")</f>
        <v/>
      </c>
      <c r="BG719" s="197" t="str">
        <f>IF(AND($K719="x",AND(MAX(BA719:BC719)=BC719,BC719&lt;&gt;"")),Data!$BK$2,"")</f>
        <v/>
      </c>
      <c r="BH719" s="197"/>
      <c r="BI719" s="328"/>
      <c r="BJ719" s="453"/>
      <c r="BK719" s="454"/>
      <c r="BL719" s="441" t="str">
        <f t="shared" si="1060"/>
        <v/>
      </c>
      <c r="BM719" s="328"/>
      <c r="BN719" s="197" t="str">
        <f>IF(AND($I719="x",AND(MAX(BJ719:BL719)=BJ719,BJ719&lt;&gt;"")),Data!$BI$2,"")</f>
        <v/>
      </c>
      <c r="BO719" s="197" t="str">
        <f>IF(AND($J719="x",AND(MAX(BJ719:BL719)=BK719,BK719&lt;&gt;"")),Data!$BJ$2,"")</f>
        <v/>
      </c>
      <c r="BP719" s="197" t="str">
        <f>IF(AND($K719="x",AND(MAX(BJ719:BL719)=BL719,BL719&lt;&gt;"")),Data!$BK$2,"")</f>
        <v/>
      </c>
      <c r="BQ719" s="197"/>
      <c r="BR719" s="328"/>
      <c r="BS719" s="453"/>
      <c r="BT719" s="454"/>
      <c r="BU719" s="441" t="str">
        <f t="shared" si="1061"/>
        <v/>
      </c>
      <c r="BV719" s="328"/>
      <c r="BW719" s="197" t="str">
        <f>IF(AND($I719="x",AND(MAX(BS719:BU719)=BS719,BS719&lt;&gt;"")),Data!$BI$2,"")</f>
        <v/>
      </c>
      <c r="BX719" s="197" t="str">
        <f>IF(AND($J719="x",AND(MAX(BS719:BU719)=BT719,BT719&lt;&gt;"")),Data!$BJ$2,"")</f>
        <v/>
      </c>
      <c r="BY719" s="197" t="str">
        <f>IF(AND($K719="x",AND(MAX(BS719:BU719)=BU719,BU719&lt;&gt;"")),Data!$BK$2,"")</f>
        <v/>
      </c>
      <c r="BZ719" s="197"/>
      <c r="CA719" s="328"/>
      <c r="CB719" s="460" t="str">
        <f t="shared" si="1062"/>
        <v/>
      </c>
      <c r="CC719" s="461" t="str">
        <f t="shared" si="1063"/>
        <v/>
      </c>
      <c r="CD719" s="462" t="str">
        <f t="shared" si="1064"/>
        <v/>
      </c>
      <c r="CE719" s="328"/>
      <c r="CF719" s="197" t="str">
        <f>IF(AND($I719="x",AND(MAX(CB719:CD719)=CB719,CB719&lt;&gt;"")),Data!$BI$2,"")</f>
        <v/>
      </c>
      <c r="CG719" s="197" t="str">
        <f>IF(AND($J719="x",AND(MAX(CB719:CD719)=CC719,CC719&lt;&gt;"")),Data!$BJ$2,"")</f>
        <v/>
      </c>
      <c r="CH719" s="197" t="str">
        <f>IF(AND($K719="x",AND(MAX(CB719:CD719)=CD719,CD719&lt;&gt;"")),Data!$BK$2,"")</f>
        <v/>
      </c>
      <c r="CI719" s="197"/>
      <c r="CJ719" s="197"/>
      <c r="CK719" s="453"/>
      <c r="CL719" s="454"/>
      <c r="CM719" s="441" t="str">
        <f t="shared" si="1065"/>
        <v/>
      </c>
      <c r="CN719" s="328"/>
      <c r="CO719" s="197" t="str">
        <f>IF(AND($I719="x",AND(MAX(CK719:CM719)=CK719,CK719&lt;&gt;"")),Data!$BI$2,"")</f>
        <v/>
      </c>
      <c r="CP719" s="197" t="str">
        <f>IF(AND($J719="x",AND(MAX(CK719:CM719)=CL719,CL719&lt;&gt;"")),Data!$BJ$2,"")</f>
        <v/>
      </c>
      <c r="CQ719" s="197" t="str">
        <f>IF(AND($K719="x",AND(MAX(CK719:CM719)=CM719,CM719&lt;&gt;"")),Data!$BK$2,"")</f>
        <v/>
      </c>
      <c r="CR719" s="197"/>
      <c r="CS719" s="197"/>
      <c r="CT719" s="328"/>
      <c r="CU719" s="259"/>
      <c r="CV719" s="209"/>
      <c r="CW719" s="227"/>
    </row>
    <row r="720" spans="1:101" x14ac:dyDescent="0.2">
      <c r="A720" s="227"/>
      <c r="B720" s="227"/>
      <c r="C720" s="168"/>
      <c r="D720" s="232"/>
      <c r="E720" s="136"/>
      <c r="F720" s="426"/>
      <c r="G720" s="432"/>
      <c r="H720" s="433"/>
      <c r="I720" s="349" t="str">
        <f t="shared" si="1052"/>
        <v/>
      </c>
      <c r="J720" s="350" t="str">
        <f t="shared" si="1053"/>
        <v/>
      </c>
      <c r="K720" s="351" t="str">
        <f t="shared" si="1054"/>
        <v/>
      </c>
      <c r="L720" s="258"/>
      <c r="M720" s="332"/>
      <c r="N720" s="336"/>
      <c r="O720" s="200"/>
      <c r="P720" s="200"/>
      <c r="Q720" s="445"/>
      <c r="R720" s="446"/>
      <c r="S720" s="447" t="str">
        <f t="shared" si="1055"/>
        <v/>
      </c>
      <c r="T720" s="328"/>
      <c r="U720" s="197" t="str">
        <f>IF(AND($I720="x",AND(MAX(Q720:S720)=Q720,Q720&gt;=0)),Data!$BI$2,"")</f>
        <v/>
      </c>
      <c r="V720" s="197" t="str">
        <f>IF(AND($J720="x",AND(MAX(Q720:S720)=R720,R720&gt;=0)),Data!$BJ$2,"")</f>
        <v/>
      </c>
      <c r="W720" s="197" t="str">
        <f>IF(AND($K720="x",AND(MAX(Q720:S720)=S720,S720&gt;=0)),Data!$BK$2,"")</f>
        <v/>
      </c>
      <c r="X720" s="197"/>
      <c r="Y720" s="328"/>
      <c r="Z720" s="455"/>
      <c r="AA720" s="456"/>
      <c r="AB720" s="447" t="str">
        <f t="shared" si="1056"/>
        <v/>
      </c>
      <c r="AC720" s="328"/>
      <c r="AD720" s="197" t="str">
        <f>IF(AND($I720="x",AND(MAX(Z720:AB720)=Z720,Z720&lt;&gt;"")),Data!$BI$2,"")</f>
        <v/>
      </c>
      <c r="AE720" s="197" t="str">
        <f>IF(AND($J720="x",AND(MAX(Z720:AB720)=AA720,AA720&lt;&gt;"")),Data!$BJ$2,"")</f>
        <v/>
      </c>
      <c r="AF720" s="197" t="str">
        <f>IF(AND($K720="x",AND(MAX(Z720:AB720)=AB720,AB720&lt;&gt;"")),Data!$BK$2,"")</f>
        <v/>
      </c>
      <c r="AG720" s="197"/>
      <c r="AH720" s="328"/>
      <c r="AI720" s="455"/>
      <c r="AJ720" s="456"/>
      <c r="AK720" s="447" t="str">
        <f t="shared" si="1057"/>
        <v/>
      </c>
      <c r="AL720" s="328"/>
      <c r="AM720" s="197" t="str">
        <f>IF(AND($I720="x",AND(MAX(AI720:AK720)=AI720,AI720&lt;&gt;"")),Data!$BI$2,"")</f>
        <v/>
      </c>
      <c r="AN720" s="197" t="str">
        <f>IF(AND($J720="x",AND(MAX(AI720:AK720)=AJ720,AJ720&lt;&gt;"")),Data!$BJ$2,"")</f>
        <v/>
      </c>
      <c r="AO720" s="197" t="str">
        <f>IF(AND($K720="x",AND(MAX(AI720:AK720)=AK720,AK720&lt;&gt;"")),Data!$BK$2,"")</f>
        <v/>
      </c>
      <c r="AP720" s="197"/>
      <c r="AQ720" s="328"/>
      <c r="AR720" s="455"/>
      <c r="AS720" s="456"/>
      <c r="AT720" s="447" t="str">
        <f t="shared" si="1058"/>
        <v/>
      </c>
      <c r="AU720" s="328"/>
      <c r="AV720" s="197" t="str">
        <f>IF(AND($I720="x",AND(MAX(AR720:AT720)=AR720,AR720&lt;&gt;"")),Data!$BI$2,"")</f>
        <v/>
      </c>
      <c r="AW720" s="197" t="str">
        <f>IF(AND($J720="x",AND(MAX(AR720:AT720)=AS720,AS720&lt;&gt;"")),Data!$BJ$2,"")</f>
        <v/>
      </c>
      <c r="AX720" s="197" t="str">
        <f>IF(AND($K720="x",AND(MAX(AR720:AT720)=AT720,AT720&lt;&gt;"")),Data!$BK$2,"")</f>
        <v/>
      </c>
      <c r="AY720" s="197"/>
      <c r="AZ720" s="328"/>
      <c r="BA720" s="455"/>
      <c r="BB720" s="456"/>
      <c r="BC720" s="447" t="str">
        <f t="shared" si="1059"/>
        <v/>
      </c>
      <c r="BD720" s="328"/>
      <c r="BE720" s="197" t="str">
        <f>IF(AND($I720="x",AND(MAX(BA720:BC720)=BA720,BA720&lt;&gt;"")),Data!$BI$2,"")</f>
        <v/>
      </c>
      <c r="BF720" s="197" t="str">
        <f>IF(AND($J720="x",AND(MAX(BA720:BC720)=BB720,BB720&lt;&gt;"")),Data!$BJ$2,"")</f>
        <v/>
      </c>
      <c r="BG720" s="197" t="str">
        <f>IF(AND($K720="x",AND(MAX(BA720:BC720)=BC720,BC720&lt;&gt;"")),Data!$BK$2,"")</f>
        <v/>
      </c>
      <c r="BH720" s="197"/>
      <c r="BI720" s="328"/>
      <c r="BJ720" s="455"/>
      <c r="BK720" s="456"/>
      <c r="BL720" s="447" t="str">
        <f t="shared" si="1060"/>
        <v/>
      </c>
      <c r="BM720" s="328"/>
      <c r="BN720" s="197" t="str">
        <f>IF(AND($I720="x",AND(MAX(BJ720:BL720)=BJ720,BJ720&lt;&gt;"")),Data!$BI$2,"")</f>
        <v/>
      </c>
      <c r="BO720" s="197" t="str">
        <f>IF(AND($J720="x",AND(MAX(BJ720:BL720)=BK720,BK720&lt;&gt;"")),Data!$BJ$2,"")</f>
        <v/>
      </c>
      <c r="BP720" s="197" t="str">
        <f>IF(AND($K720="x",AND(MAX(BJ720:BL720)=BL720,BL720&lt;&gt;"")),Data!$BK$2,"")</f>
        <v/>
      </c>
      <c r="BQ720" s="197"/>
      <c r="BR720" s="328"/>
      <c r="BS720" s="455"/>
      <c r="BT720" s="456"/>
      <c r="BU720" s="447" t="str">
        <f t="shared" si="1061"/>
        <v/>
      </c>
      <c r="BV720" s="328"/>
      <c r="BW720" s="197" t="str">
        <f>IF(AND($I720="x",AND(MAX(BS720:BU720)=BS720,BS720&lt;&gt;"")),Data!$BI$2,"")</f>
        <v/>
      </c>
      <c r="BX720" s="197" t="str">
        <f>IF(AND($J720="x",AND(MAX(BS720:BU720)=BT720,BT720&lt;&gt;"")),Data!$BJ$2,"")</f>
        <v/>
      </c>
      <c r="BY720" s="197" t="str">
        <f>IF(AND($K720="x",AND(MAX(BS720:BU720)=BU720,BU720&lt;&gt;"")),Data!$BK$2,"")</f>
        <v/>
      </c>
      <c r="BZ720" s="197"/>
      <c r="CA720" s="328"/>
      <c r="CB720" s="463" t="str">
        <f t="shared" si="1062"/>
        <v/>
      </c>
      <c r="CC720" s="464" t="str">
        <f t="shared" si="1063"/>
        <v/>
      </c>
      <c r="CD720" s="465" t="str">
        <f t="shared" si="1064"/>
        <v/>
      </c>
      <c r="CE720" s="328"/>
      <c r="CF720" s="197" t="str">
        <f>IF(AND($I720="x",AND(MAX(CB720:CD720)=CB720,CB720&lt;&gt;"")),Data!$BI$2,"")</f>
        <v/>
      </c>
      <c r="CG720" s="197" t="str">
        <f>IF(AND($J720="x",AND(MAX(CB720:CD720)=CC720,CC720&lt;&gt;"")),Data!$BJ$2,"")</f>
        <v/>
      </c>
      <c r="CH720" s="197" t="str">
        <f>IF(AND($K720="x",AND(MAX(CB720:CD720)=CD720,CD720&lt;&gt;"")),Data!$BK$2,"")</f>
        <v/>
      </c>
      <c r="CI720" s="197"/>
      <c r="CJ720" s="197"/>
      <c r="CK720" s="455"/>
      <c r="CL720" s="456"/>
      <c r="CM720" s="447" t="str">
        <f t="shared" si="1065"/>
        <v/>
      </c>
      <c r="CN720" s="328"/>
      <c r="CO720" s="197" t="str">
        <f>IF(AND($I720="x",AND(MAX(CK720:CM720)=CK720,CK720&lt;&gt;"")),Data!$BI$2,"")</f>
        <v/>
      </c>
      <c r="CP720" s="197" t="str">
        <f>IF(AND($J720="x",AND(MAX(CK720:CM720)=CL720,CL720&lt;&gt;"")),Data!$BJ$2,"")</f>
        <v/>
      </c>
      <c r="CQ720" s="197" t="str">
        <f>IF(AND($K720="x",AND(MAX(CK720:CM720)=CM720,CM720&lt;&gt;"")),Data!$BK$2,"")</f>
        <v/>
      </c>
      <c r="CR720" s="197"/>
      <c r="CS720" s="197"/>
      <c r="CT720" s="328"/>
      <c r="CU720" s="259"/>
      <c r="CV720" s="209"/>
      <c r="CW720" s="227"/>
    </row>
    <row r="721" spans="1:101" x14ac:dyDescent="0.2">
      <c r="A721" s="227"/>
      <c r="B721" s="227"/>
      <c r="C721" s="168"/>
      <c r="D721" s="232"/>
      <c r="E721" s="137"/>
      <c r="F721" s="427"/>
      <c r="G721" s="434"/>
      <c r="H721" s="435"/>
      <c r="I721" s="138" t="str">
        <f t="shared" si="1052"/>
        <v/>
      </c>
      <c r="J721" s="344" t="str">
        <f t="shared" si="1053"/>
        <v/>
      </c>
      <c r="K721" s="345" t="str">
        <f t="shared" si="1054"/>
        <v/>
      </c>
      <c r="L721" s="258"/>
      <c r="M721" s="332"/>
      <c r="N721" s="336"/>
      <c r="O721" s="200"/>
      <c r="P721" s="200"/>
      <c r="Q721" s="448"/>
      <c r="R721" s="449"/>
      <c r="S721" s="450" t="str">
        <f t="shared" si="1055"/>
        <v/>
      </c>
      <c r="T721" s="328"/>
      <c r="U721" s="197" t="str">
        <f>IF(AND($I721="x",AND(MAX(Q721:S721)=Q721,Q721&gt;=0)),Data!$BI$2,"")</f>
        <v/>
      </c>
      <c r="V721" s="197" t="str">
        <f>IF(AND($J721="x",AND(MAX(Q721:S721)=R721,R721&gt;=0)),Data!$BJ$2,"")</f>
        <v/>
      </c>
      <c r="W721" s="197" t="str">
        <f>IF(AND($K721="x",AND(MAX(Q721:S721)=S721,S721&gt;=0)),Data!$BK$2,"")</f>
        <v/>
      </c>
      <c r="X721" s="197"/>
      <c r="Y721" s="328"/>
      <c r="Z721" s="451"/>
      <c r="AA721" s="452"/>
      <c r="AB721" s="450" t="str">
        <f t="shared" si="1056"/>
        <v/>
      </c>
      <c r="AC721" s="328"/>
      <c r="AD721" s="197" t="str">
        <f>IF(AND($I721="x",AND(MAX(Z721:AB721)=Z721,Z721&lt;&gt;"")),Data!$BI$2,"")</f>
        <v/>
      </c>
      <c r="AE721" s="197" t="str">
        <f>IF(AND($J721="x",AND(MAX(Z721:AB721)=AA721,AA721&lt;&gt;"")),Data!$BJ$2,"")</f>
        <v/>
      </c>
      <c r="AF721" s="197" t="str">
        <f>IF(AND($K721="x",AND(MAX(Z721:AB721)=AB721,AB721&lt;&gt;"")),Data!$BK$2,"")</f>
        <v/>
      </c>
      <c r="AG721" s="197"/>
      <c r="AH721" s="328"/>
      <c r="AI721" s="451"/>
      <c r="AJ721" s="452"/>
      <c r="AK721" s="450" t="str">
        <f t="shared" si="1057"/>
        <v/>
      </c>
      <c r="AL721" s="328"/>
      <c r="AM721" s="197" t="str">
        <f>IF(AND($I721="x",AND(MAX(AI721:AK721)=AI721,AI721&lt;&gt;"")),Data!$BI$2,"")</f>
        <v/>
      </c>
      <c r="AN721" s="197" t="str">
        <f>IF(AND($J721="x",AND(MAX(AI721:AK721)=AJ721,AJ721&lt;&gt;"")),Data!$BJ$2,"")</f>
        <v/>
      </c>
      <c r="AO721" s="197" t="str">
        <f>IF(AND($K721="x",AND(MAX(AI721:AK721)=AK721,AK721&lt;&gt;"")),Data!$BK$2,"")</f>
        <v/>
      </c>
      <c r="AP721" s="197"/>
      <c r="AQ721" s="328"/>
      <c r="AR721" s="451"/>
      <c r="AS721" s="452"/>
      <c r="AT721" s="450" t="str">
        <f t="shared" si="1058"/>
        <v/>
      </c>
      <c r="AU721" s="328"/>
      <c r="AV721" s="197" t="str">
        <f>IF(AND($I721="x",AND(MAX(AR721:AT721)=AR721,AR721&lt;&gt;"")),Data!$BI$2,"")</f>
        <v/>
      </c>
      <c r="AW721" s="197" t="str">
        <f>IF(AND($J721="x",AND(MAX(AR721:AT721)=AS721,AS721&lt;&gt;"")),Data!$BJ$2,"")</f>
        <v/>
      </c>
      <c r="AX721" s="197" t="str">
        <f>IF(AND($K721="x",AND(MAX(AR721:AT721)=AT721,AT721&lt;&gt;"")),Data!$BK$2,"")</f>
        <v/>
      </c>
      <c r="AY721" s="197"/>
      <c r="AZ721" s="328"/>
      <c r="BA721" s="451"/>
      <c r="BB721" s="452"/>
      <c r="BC721" s="450" t="str">
        <f t="shared" si="1059"/>
        <v/>
      </c>
      <c r="BD721" s="328"/>
      <c r="BE721" s="197" t="str">
        <f>IF(AND($I721="x",AND(MAX(BA721:BC721)=BA721,BA721&lt;&gt;"")),Data!$BI$2,"")</f>
        <v/>
      </c>
      <c r="BF721" s="197" t="str">
        <f>IF(AND($J721="x",AND(MAX(BA721:BC721)=BB721,BB721&lt;&gt;"")),Data!$BJ$2,"")</f>
        <v/>
      </c>
      <c r="BG721" s="197" t="str">
        <f>IF(AND($K721="x",AND(MAX(BA721:BC721)=BC721,BC721&lt;&gt;"")),Data!$BK$2,"")</f>
        <v/>
      </c>
      <c r="BH721" s="197"/>
      <c r="BI721" s="328"/>
      <c r="BJ721" s="451"/>
      <c r="BK721" s="452"/>
      <c r="BL721" s="450" t="str">
        <f t="shared" si="1060"/>
        <v/>
      </c>
      <c r="BM721" s="328"/>
      <c r="BN721" s="197" t="str">
        <f>IF(AND($I721="x",AND(MAX(BJ721:BL721)=BJ721,BJ721&lt;&gt;"")),Data!$BI$2,"")</f>
        <v/>
      </c>
      <c r="BO721" s="197" t="str">
        <f>IF(AND($J721="x",AND(MAX(BJ721:BL721)=BK721,BK721&lt;&gt;"")),Data!$BJ$2,"")</f>
        <v/>
      </c>
      <c r="BP721" s="197" t="str">
        <f>IF(AND($K721="x",AND(MAX(BJ721:BL721)=BL721,BL721&lt;&gt;"")),Data!$BK$2,"")</f>
        <v/>
      </c>
      <c r="BQ721" s="197"/>
      <c r="BR721" s="328"/>
      <c r="BS721" s="451"/>
      <c r="BT721" s="452"/>
      <c r="BU721" s="450" t="str">
        <f t="shared" si="1061"/>
        <v/>
      </c>
      <c r="BV721" s="328"/>
      <c r="BW721" s="197" t="str">
        <f>IF(AND($I721="x",AND(MAX(BS721:BU721)=BS721,BS721&lt;&gt;"")),Data!$BI$2,"")</f>
        <v/>
      </c>
      <c r="BX721" s="197" t="str">
        <f>IF(AND($J721="x",AND(MAX(BS721:BU721)=BT721,BT721&lt;&gt;"")),Data!$BJ$2,"")</f>
        <v/>
      </c>
      <c r="BY721" s="197" t="str">
        <f>IF(AND($K721="x",AND(MAX(BS721:BU721)=BU721,BU721&lt;&gt;"")),Data!$BK$2,"")</f>
        <v/>
      </c>
      <c r="BZ721" s="197"/>
      <c r="CA721" s="328"/>
      <c r="CB721" s="457" t="str">
        <f t="shared" si="1062"/>
        <v/>
      </c>
      <c r="CC721" s="458" t="str">
        <f t="shared" si="1063"/>
        <v/>
      </c>
      <c r="CD721" s="459" t="str">
        <f t="shared" si="1064"/>
        <v/>
      </c>
      <c r="CE721" s="328"/>
      <c r="CF721" s="197" t="str">
        <f>IF(AND($I721="x",AND(MAX(CB721:CD721)=CB721,CB721&lt;&gt;"")),Data!$BI$2,"")</f>
        <v/>
      </c>
      <c r="CG721" s="197" t="str">
        <f>IF(AND($J721="x",AND(MAX(CB721:CD721)=CC721,CC721&lt;&gt;"")),Data!$BJ$2,"")</f>
        <v/>
      </c>
      <c r="CH721" s="197" t="str">
        <f>IF(AND($K721="x",AND(MAX(CB721:CD721)=CD721,CD721&lt;&gt;"")),Data!$BK$2,"")</f>
        <v/>
      </c>
      <c r="CI721" s="197"/>
      <c r="CJ721" s="197"/>
      <c r="CK721" s="451"/>
      <c r="CL721" s="452"/>
      <c r="CM721" s="450" t="str">
        <f t="shared" si="1065"/>
        <v/>
      </c>
      <c r="CN721" s="328"/>
      <c r="CO721" s="197" t="str">
        <f>IF(AND($I721="x",AND(MAX(CK721:CM721)=CK721,CK721&lt;&gt;"")),Data!$BI$2,"")</f>
        <v/>
      </c>
      <c r="CP721" s="197" t="str">
        <f>IF(AND($J721="x",AND(MAX(CK721:CM721)=CL721,CL721&lt;&gt;"")),Data!$BJ$2,"")</f>
        <v/>
      </c>
      <c r="CQ721" s="197" t="str">
        <f>IF(AND($K721="x",AND(MAX(CK721:CM721)=CM721,CM721&lt;&gt;"")),Data!$BK$2,"")</f>
        <v/>
      </c>
      <c r="CR721" s="197"/>
      <c r="CS721" s="197"/>
      <c r="CT721" s="328"/>
      <c r="CU721" s="259"/>
      <c r="CV721" s="209"/>
      <c r="CW721" s="227"/>
    </row>
    <row r="722" spans="1:101" x14ac:dyDescent="0.2">
      <c r="A722" s="227"/>
      <c r="B722" s="227"/>
      <c r="C722" s="168"/>
      <c r="D722" s="232"/>
      <c r="E722" s="135"/>
      <c r="F722" s="425"/>
      <c r="G722" s="430"/>
      <c r="H722" s="431"/>
      <c r="I722" s="346" t="str">
        <f t="shared" si="1052"/>
        <v/>
      </c>
      <c r="J722" s="347" t="str">
        <f t="shared" si="1053"/>
        <v/>
      </c>
      <c r="K722" s="348" t="str">
        <f t="shared" si="1054"/>
        <v/>
      </c>
      <c r="L722" s="258"/>
      <c r="M722" s="332"/>
      <c r="N722" s="336"/>
      <c r="O722" s="200"/>
      <c r="P722" s="200"/>
      <c r="Q722" s="439"/>
      <c r="R722" s="440"/>
      <c r="S722" s="441" t="str">
        <f t="shared" si="1055"/>
        <v/>
      </c>
      <c r="T722" s="328"/>
      <c r="U722" s="197" t="str">
        <f>IF(AND($I722="x",AND(MAX(Q722:S722)=Q722,Q722&gt;=0)),Data!$BI$2,"")</f>
        <v/>
      </c>
      <c r="V722" s="197" t="str">
        <f>IF(AND($J722="x",AND(MAX(Q722:S722)=R722,R722&gt;=0)),Data!$BJ$2,"")</f>
        <v/>
      </c>
      <c r="W722" s="197" t="str">
        <f>IF(AND($K722="x",AND(MAX(Q722:S722)=S722,S722&gt;=0)),Data!$BK$2,"")</f>
        <v/>
      </c>
      <c r="X722" s="197"/>
      <c r="Y722" s="328"/>
      <c r="Z722" s="453"/>
      <c r="AA722" s="454"/>
      <c r="AB722" s="441" t="str">
        <f t="shared" si="1056"/>
        <v/>
      </c>
      <c r="AC722" s="328"/>
      <c r="AD722" s="197" t="str">
        <f>IF(AND($I722="x",AND(MAX(Z722:AB722)=Z722,Z722&lt;&gt;"")),Data!$BI$2,"")</f>
        <v/>
      </c>
      <c r="AE722" s="197" t="str">
        <f>IF(AND($J722="x",AND(MAX(Z722:AB722)=AA722,AA722&lt;&gt;"")),Data!$BJ$2,"")</f>
        <v/>
      </c>
      <c r="AF722" s="197" t="str">
        <f>IF(AND($K722="x",AND(MAX(Z722:AB722)=AB722,AB722&lt;&gt;"")),Data!$BK$2,"")</f>
        <v/>
      </c>
      <c r="AG722" s="197"/>
      <c r="AH722" s="328"/>
      <c r="AI722" s="453"/>
      <c r="AJ722" s="454"/>
      <c r="AK722" s="441" t="str">
        <f t="shared" si="1057"/>
        <v/>
      </c>
      <c r="AL722" s="328"/>
      <c r="AM722" s="197" t="str">
        <f>IF(AND($I722="x",AND(MAX(AI722:AK722)=AI722,AI722&lt;&gt;"")),Data!$BI$2,"")</f>
        <v/>
      </c>
      <c r="AN722" s="197" t="str">
        <f>IF(AND($J722="x",AND(MAX(AI722:AK722)=AJ722,AJ722&lt;&gt;"")),Data!$BJ$2,"")</f>
        <v/>
      </c>
      <c r="AO722" s="197" t="str">
        <f>IF(AND($K722="x",AND(MAX(AI722:AK722)=AK722,AK722&lt;&gt;"")),Data!$BK$2,"")</f>
        <v/>
      </c>
      <c r="AP722" s="197"/>
      <c r="AQ722" s="328"/>
      <c r="AR722" s="453"/>
      <c r="AS722" s="454"/>
      <c r="AT722" s="441" t="str">
        <f t="shared" si="1058"/>
        <v/>
      </c>
      <c r="AU722" s="328"/>
      <c r="AV722" s="197" t="str">
        <f>IF(AND($I722="x",AND(MAX(AR722:AT722)=AR722,AR722&lt;&gt;"")),Data!$BI$2,"")</f>
        <v/>
      </c>
      <c r="AW722" s="197" t="str">
        <f>IF(AND($J722="x",AND(MAX(AR722:AT722)=AS722,AS722&lt;&gt;"")),Data!$BJ$2,"")</f>
        <v/>
      </c>
      <c r="AX722" s="197" t="str">
        <f>IF(AND($K722="x",AND(MAX(AR722:AT722)=AT722,AT722&lt;&gt;"")),Data!$BK$2,"")</f>
        <v/>
      </c>
      <c r="AY722" s="197"/>
      <c r="AZ722" s="328"/>
      <c r="BA722" s="453"/>
      <c r="BB722" s="454"/>
      <c r="BC722" s="441" t="str">
        <f t="shared" si="1059"/>
        <v/>
      </c>
      <c r="BD722" s="328"/>
      <c r="BE722" s="197" t="str">
        <f>IF(AND($I722="x",AND(MAX(BA722:BC722)=BA722,BA722&lt;&gt;"")),Data!$BI$2,"")</f>
        <v/>
      </c>
      <c r="BF722" s="197" t="str">
        <f>IF(AND($J722="x",AND(MAX(BA722:BC722)=BB722,BB722&lt;&gt;"")),Data!$BJ$2,"")</f>
        <v/>
      </c>
      <c r="BG722" s="197" t="str">
        <f>IF(AND($K722="x",AND(MAX(BA722:BC722)=BC722,BC722&lt;&gt;"")),Data!$BK$2,"")</f>
        <v/>
      </c>
      <c r="BH722" s="197"/>
      <c r="BI722" s="328"/>
      <c r="BJ722" s="453"/>
      <c r="BK722" s="454"/>
      <c r="BL722" s="441" t="str">
        <f t="shared" si="1060"/>
        <v/>
      </c>
      <c r="BM722" s="328"/>
      <c r="BN722" s="197" t="str">
        <f>IF(AND($I722="x",AND(MAX(BJ722:BL722)=BJ722,BJ722&lt;&gt;"")),Data!$BI$2,"")</f>
        <v/>
      </c>
      <c r="BO722" s="197" t="str">
        <f>IF(AND($J722="x",AND(MAX(BJ722:BL722)=BK722,BK722&lt;&gt;"")),Data!$BJ$2,"")</f>
        <v/>
      </c>
      <c r="BP722" s="197" t="str">
        <f>IF(AND($K722="x",AND(MAX(BJ722:BL722)=BL722,BL722&lt;&gt;"")),Data!$BK$2,"")</f>
        <v/>
      </c>
      <c r="BQ722" s="197"/>
      <c r="BR722" s="328"/>
      <c r="BS722" s="453"/>
      <c r="BT722" s="454"/>
      <c r="BU722" s="441" t="str">
        <f t="shared" si="1061"/>
        <v/>
      </c>
      <c r="BV722" s="328"/>
      <c r="BW722" s="197" t="str">
        <f>IF(AND($I722="x",AND(MAX(BS722:BU722)=BS722,BS722&lt;&gt;"")),Data!$BI$2,"")</f>
        <v/>
      </c>
      <c r="BX722" s="197" t="str">
        <f>IF(AND($J722="x",AND(MAX(BS722:BU722)=BT722,BT722&lt;&gt;"")),Data!$BJ$2,"")</f>
        <v/>
      </c>
      <c r="BY722" s="197" t="str">
        <f>IF(AND($K722="x",AND(MAX(BS722:BU722)=BU722,BU722&lt;&gt;"")),Data!$BK$2,"")</f>
        <v/>
      </c>
      <c r="BZ722" s="197"/>
      <c r="CA722" s="328"/>
      <c r="CB722" s="460" t="str">
        <f t="shared" si="1062"/>
        <v/>
      </c>
      <c r="CC722" s="461" t="str">
        <f t="shared" si="1063"/>
        <v/>
      </c>
      <c r="CD722" s="462" t="str">
        <f t="shared" si="1064"/>
        <v/>
      </c>
      <c r="CE722" s="328"/>
      <c r="CF722" s="197" t="str">
        <f>IF(AND($I722="x",AND(MAX(CB722:CD722)=CB722,CB722&lt;&gt;"")),Data!$BI$2,"")</f>
        <v/>
      </c>
      <c r="CG722" s="197" t="str">
        <f>IF(AND($J722="x",AND(MAX(CB722:CD722)=CC722,CC722&lt;&gt;"")),Data!$BJ$2,"")</f>
        <v/>
      </c>
      <c r="CH722" s="197" t="str">
        <f>IF(AND($K722="x",AND(MAX(CB722:CD722)=CD722,CD722&lt;&gt;"")),Data!$BK$2,"")</f>
        <v/>
      </c>
      <c r="CI722" s="197"/>
      <c r="CJ722" s="197"/>
      <c r="CK722" s="453"/>
      <c r="CL722" s="454"/>
      <c r="CM722" s="441" t="str">
        <f t="shared" si="1065"/>
        <v/>
      </c>
      <c r="CN722" s="328"/>
      <c r="CO722" s="197" t="str">
        <f>IF(AND($I722="x",AND(MAX(CK722:CM722)=CK722,CK722&lt;&gt;"")),Data!$BI$2,"")</f>
        <v/>
      </c>
      <c r="CP722" s="197" t="str">
        <f>IF(AND($J722="x",AND(MAX(CK722:CM722)=CL722,CL722&lt;&gt;"")),Data!$BJ$2,"")</f>
        <v/>
      </c>
      <c r="CQ722" s="197" t="str">
        <f>IF(AND($K722="x",AND(MAX(CK722:CM722)=CM722,CM722&lt;&gt;"")),Data!$BK$2,"")</f>
        <v/>
      </c>
      <c r="CR722" s="197"/>
      <c r="CS722" s="197"/>
      <c r="CT722" s="328"/>
      <c r="CU722" s="259"/>
      <c r="CV722" s="209"/>
      <c r="CW722" s="227"/>
    </row>
    <row r="723" spans="1:101" x14ac:dyDescent="0.2">
      <c r="A723" s="227"/>
      <c r="B723" s="227"/>
      <c r="C723" s="168"/>
      <c r="D723" s="232"/>
      <c r="E723" s="136"/>
      <c r="F723" s="426"/>
      <c r="G723" s="432"/>
      <c r="H723" s="433"/>
      <c r="I723" s="349" t="str">
        <f t="shared" si="1052"/>
        <v/>
      </c>
      <c r="J723" s="350" t="str">
        <f t="shared" si="1053"/>
        <v/>
      </c>
      <c r="K723" s="351" t="str">
        <f t="shared" si="1054"/>
        <v/>
      </c>
      <c r="L723" s="258"/>
      <c r="M723" s="332"/>
      <c r="N723" s="336"/>
      <c r="O723" s="200"/>
      <c r="P723" s="200"/>
      <c r="Q723" s="445"/>
      <c r="R723" s="446"/>
      <c r="S723" s="447" t="str">
        <f t="shared" si="1055"/>
        <v/>
      </c>
      <c r="T723" s="328"/>
      <c r="U723" s="197" t="str">
        <f>IF(AND($I723="x",AND(MAX(Q723:S723)=Q723,Q723&gt;=0)),Data!$BI$2,"")</f>
        <v/>
      </c>
      <c r="V723" s="197" t="str">
        <f>IF(AND($J723="x",AND(MAX(Q723:S723)=R723,R723&gt;=0)),Data!$BJ$2,"")</f>
        <v/>
      </c>
      <c r="W723" s="197" t="str">
        <f>IF(AND($K723="x",AND(MAX(Q723:S723)=S723,S723&gt;=0)),Data!$BK$2,"")</f>
        <v/>
      </c>
      <c r="X723" s="197"/>
      <c r="Y723" s="328"/>
      <c r="Z723" s="455"/>
      <c r="AA723" s="456"/>
      <c r="AB723" s="447" t="str">
        <f t="shared" si="1056"/>
        <v/>
      </c>
      <c r="AC723" s="328"/>
      <c r="AD723" s="197" t="str">
        <f>IF(AND($I723="x",AND(MAX(Z723:AB723)=Z723,Z723&lt;&gt;"")),Data!$BI$2,"")</f>
        <v/>
      </c>
      <c r="AE723" s="197" t="str">
        <f>IF(AND($J723="x",AND(MAX(Z723:AB723)=AA723,AA723&lt;&gt;"")),Data!$BJ$2,"")</f>
        <v/>
      </c>
      <c r="AF723" s="197" t="str">
        <f>IF(AND($K723="x",AND(MAX(Z723:AB723)=AB723,AB723&lt;&gt;"")),Data!$BK$2,"")</f>
        <v/>
      </c>
      <c r="AG723" s="197"/>
      <c r="AH723" s="328"/>
      <c r="AI723" s="455"/>
      <c r="AJ723" s="456"/>
      <c r="AK723" s="447" t="str">
        <f t="shared" si="1057"/>
        <v/>
      </c>
      <c r="AL723" s="328"/>
      <c r="AM723" s="197" t="str">
        <f>IF(AND($I723="x",AND(MAX(AI723:AK723)=AI723,AI723&lt;&gt;"")),Data!$BI$2,"")</f>
        <v/>
      </c>
      <c r="AN723" s="197" t="str">
        <f>IF(AND($J723="x",AND(MAX(AI723:AK723)=AJ723,AJ723&lt;&gt;"")),Data!$BJ$2,"")</f>
        <v/>
      </c>
      <c r="AO723" s="197" t="str">
        <f>IF(AND($K723="x",AND(MAX(AI723:AK723)=AK723,AK723&lt;&gt;"")),Data!$BK$2,"")</f>
        <v/>
      </c>
      <c r="AP723" s="197"/>
      <c r="AQ723" s="328"/>
      <c r="AR723" s="455"/>
      <c r="AS723" s="456"/>
      <c r="AT723" s="447" t="str">
        <f t="shared" si="1058"/>
        <v/>
      </c>
      <c r="AU723" s="328"/>
      <c r="AV723" s="197" t="str">
        <f>IF(AND($I723="x",AND(MAX(AR723:AT723)=AR723,AR723&lt;&gt;"")),Data!$BI$2,"")</f>
        <v/>
      </c>
      <c r="AW723" s="197" t="str">
        <f>IF(AND($J723="x",AND(MAX(AR723:AT723)=AS723,AS723&lt;&gt;"")),Data!$BJ$2,"")</f>
        <v/>
      </c>
      <c r="AX723" s="197" t="str">
        <f>IF(AND($K723="x",AND(MAX(AR723:AT723)=AT723,AT723&lt;&gt;"")),Data!$BK$2,"")</f>
        <v/>
      </c>
      <c r="AY723" s="197"/>
      <c r="AZ723" s="328"/>
      <c r="BA723" s="455"/>
      <c r="BB723" s="456"/>
      <c r="BC723" s="447" t="str">
        <f t="shared" si="1059"/>
        <v/>
      </c>
      <c r="BD723" s="328"/>
      <c r="BE723" s="197" t="str">
        <f>IF(AND($I723="x",AND(MAX(BA723:BC723)=BA723,BA723&lt;&gt;"")),Data!$BI$2,"")</f>
        <v/>
      </c>
      <c r="BF723" s="197" t="str">
        <f>IF(AND($J723="x",AND(MAX(BA723:BC723)=BB723,BB723&lt;&gt;"")),Data!$BJ$2,"")</f>
        <v/>
      </c>
      <c r="BG723" s="197" t="str">
        <f>IF(AND($K723="x",AND(MAX(BA723:BC723)=BC723,BC723&lt;&gt;"")),Data!$BK$2,"")</f>
        <v/>
      </c>
      <c r="BH723" s="197"/>
      <c r="BI723" s="328"/>
      <c r="BJ723" s="455"/>
      <c r="BK723" s="456"/>
      <c r="BL723" s="447" t="str">
        <f t="shared" si="1060"/>
        <v/>
      </c>
      <c r="BM723" s="328"/>
      <c r="BN723" s="197" t="str">
        <f>IF(AND($I723="x",AND(MAX(BJ723:BL723)=BJ723,BJ723&lt;&gt;"")),Data!$BI$2,"")</f>
        <v/>
      </c>
      <c r="BO723" s="197" t="str">
        <f>IF(AND($J723="x",AND(MAX(BJ723:BL723)=BK723,BK723&lt;&gt;"")),Data!$BJ$2,"")</f>
        <v/>
      </c>
      <c r="BP723" s="197" t="str">
        <f>IF(AND($K723="x",AND(MAX(BJ723:BL723)=BL723,BL723&lt;&gt;"")),Data!$BK$2,"")</f>
        <v/>
      </c>
      <c r="BQ723" s="197"/>
      <c r="BR723" s="328"/>
      <c r="BS723" s="455"/>
      <c r="BT723" s="456"/>
      <c r="BU723" s="447" t="str">
        <f t="shared" si="1061"/>
        <v/>
      </c>
      <c r="BV723" s="328"/>
      <c r="BW723" s="197" t="str">
        <f>IF(AND($I723="x",AND(MAX(BS723:BU723)=BS723,BS723&lt;&gt;"")),Data!$BI$2,"")</f>
        <v/>
      </c>
      <c r="BX723" s="197" t="str">
        <f>IF(AND($J723="x",AND(MAX(BS723:BU723)=BT723,BT723&lt;&gt;"")),Data!$BJ$2,"")</f>
        <v/>
      </c>
      <c r="BY723" s="197" t="str">
        <f>IF(AND($K723="x",AND(MAX(BS723:BU723)=BU723,BU723&lt;&gt;"")),Data!$BK$2,"")</f>
        <v/>
      </c>
      <c r="BZ723" s="197"/>
      <c r="CA723" s="328"/>
      <c r="CB723" s="463" t="str">
        <f t="shared" si="1062"/>
        <v/>
      </c>
      <c r="CC723" s="464" t="str">
        <f t="shared" si="1063"/>
        <v/>
      </c>
      <c r="CD723" s="465" t="str">
        <f t="shared" si="1064"/>
        <v/>
      </c>
      <c r="CE723" s="328"/>
      <c r="CF723" s="197" t="str">
        <f>IF(AND($I723="x",AND(MAX(CB723:CD723)=CB723,CB723&lt;&gt;"")),Data!$BI$2,"")</f>
        <v/>
      </c>
      <c r="CG723" s="197" t="str">
        <f>IF(AND($J723="x",AND(MAX(CB723:CD723)=CC723,CC723&lt;&gt;"")),Data!$BJ$2,"")</f>
        <v/>
      </c>
      <c r="CH723" s="197" t="str">
        <f>IF(AND($K723="x",AND(MAX(CB723:CD723)=CD723,CD723&lt;&gt;"")),Data!$BK$2,"")</f>
        <v/>
      </c>
      <c r="CI723" s="197"/>
      <c r="CJ723" s="197"/>
      <c r="CK723" s="455"/>
      <c r="CL723" s="456"/>
      <c r="CM723" s="447" t="str">
        <f t="shared" si="1065"/>
        <v/>
      </c>
      <c r="CN723" s="328"/>
      <c r="CO723" s="197" t="str">
        <f>IF(AND($I723="x",AND(MAX(CK723:CM723)=CK723,CK723&lt;&gt;"")),Data!$BI$2,"")</f>
        <v/>
      </c>
      <c r="CP723" s="197" t="str">
        <f>IF(AND($J723="x",AND(MAX(CK723:CM723)=CL723,CL723&lt;&gt;"")),Data!$BJ$2,"")</f>
        <v/>
      </c>
      <c r="CQ723" s="197" t="str">
        <f>IF(AND($K723="x",AND(MAX(CK723:CM723)=CM723,CM723&lt;&gt;"")),Data!$BK$2,"")</f>
        <v/>
      </c>
      <c r="CR723" s="197"/>
      <c r="CS723" s="197"/>
      <c r="CT723" s="328"/>
      <c r="CU723" s="259"/>
      <c r="CV723" s="209"/>
      <c r="CW723" s="227"/>
    </row>
    <row r="724" spans="1:101" x14ac:dyDescent="0.2">
      <c r="A724" s="227"/>
      <c r="B724" s="227"/>
      <c r="C724" s="168"/>
      <c r="D724" s="233"/>
      <c r="E724" s="199"/>
      <c r="F724" s="352" t="str">
        <f>IF(SUM(F712:F723)=0,"",SUM(F712:F723))</f>
        <v/>
      </c>
      <c r="G724" s="327" t="s">
        <v>51</v>
      </c>
      <c r="H724" s="353" t="str">
        <f>IF(SUM(H712:H723)=0,"",SUM(H712:H723))</f>
        <v/>
      </c>
      <c r="I724" s="354" t="str">
        <f>IF(COUNTIF(I712:I723,"=x")=0,"",COUNTIF(I712:I723,"=x"))</f>
        <v/>
      </c>
      <c r="J724" s="355" t="str">
        <f>IF(COUNTIF(J712:J723,"=x")=0,"",COUNTIF(J712:J723,"=x"))</f>
        <v/>
      </c>
      <c r="K724" s="356" t="str">
        <f>IF(COUNTIF(K712:K723,"=x")=0,"",COUNTIF(K712:K723,"=x"))</f>
        <v/>
      </c>
      <c r="L724" s="258"/>
      <c r="M724" s="332"/>
      <c r="N724" s="336"/>
      <c r="O724" s="200"/>
      <c r="P724" s="326"/>
      <c r="Q724" s="422">
        <f>SUM(U712:U723)</f>
        <v>0</v>
      </c>
      <c r="R724" s="422">
        <f t="shared" ref="R724:S724" si="1066">SUM(V712:V723)</f>
        <v>0</v>
      </c>
      <c r="S724" s="422">
        <f t="shared" si="1066"/>
        <v>0</v>
      </c>
      <c r="T724" s="325"/>
      <c r="U724" s="197">
        <f>SUM(U712:U723)</f>
        <v>0</v>
      </c>
      <c r="V724" s="197">
        <f t="shared" ref="V724:W724" si="1067">SUM(V712:V723)</f>
        <v>0</v>
      </c>
      <c r="W724" s="197">
        <f t="shared" si="1067"/>
        <v>0</v>
      </c>
      <c r="X724" s="197"/>
      <c r="Y724" s="324"/>
      <c r="Z724" s="422">
        <f>SUM(AD712:AD723)</f>
        <v>0</v>
      </c>
      <c r="AA724" s="422">
        <f t="shared" ref="AA724:AB724" si="1068">SUM(AE712:AE723)</f>
        <v>0</v>
      </c>
      <c r="AB724" s="422">
        <f t="shared" si="1068"/>
        <v>0</v>
      </c>
      <c r="AC724" s="325"/>
      <c r="AD724" s="197">
        <f>SUM(AD712:AD723)</f>
        <v>0</v>
      </c>
      <c r="AE724" s="197">
        <f t="shared" ref="AE724:AF724" si="1069">SUM(AE712:AE723)</f>
        <v>0</v>
      </c>
      <c r="AF724" s="197">
        <f t="shared" si="1069"/>
        <v>0</v>
      </c>
      <c r="AG724" s="197"/>
      <c r="AH724" s="324"/>
      <c r="AI724" s="422">
        <f>SUM(AM712:AM723)</f>
        <v>0</v>
      </c>
      <c r="AJ724" s="422">
        <f t="shared" ref="AJ724:AK724" si="1070">SUM(AN712:AN723)</f>
        <v>0</v>
      </c>
      <c r="AK724" s="422">
        <f t="shared" si="1070"/>
        <v>0</v>
      </c>
      <c r="AL724" s="325"/>
      <c r="AM724" s="197">
        <f>SUM(AM712:AM723)</f>
        <v>0</v>
      </c>
      <c r="AN724" s="197">
        <f t="shared" ref="AN724:AO724" si="1071">SUM(AN712:AN723)</f>
        <v>0</v>
      </c>
      <c r="AO724" s="197">
        <f t="shared" si="1071"/>
        <v>0</v>
      </c>
      <c r="AP724" s="197"/>
      <c r="AQ724" s="324"/>
      <c r="AR724" s="422">
        <f>SUM(AV712:AV723)</f>
        <v>0</v>
      </c>
      <c r="AS724" s="422">
        <f t="shared" ref="AS724:AT724" si="1072">SUM(AW712:AW723)</f>
        <v>0</v>
      </c>
      <c r="AT724" s="422">
        <f t="shared" si="1072"/>
        <v>0</v>
      </c>
      <c r="AU724" s="325"/>
      <c r="AV724" s="197">
        <f>SUM(AV712:AV723)</f>
        <v>0</v>
      </c>
      <c r="AW724" s="197">
        <f t="shared" ref="AW724:AX724" si="1073">SUM(AW712:AW723)</f>
        <v>0</v>
      </c>
      <c r="AX724" s="197">
        <f t="shared" si="1073"/>
        <v>0</v>
      </c>
      <c r="AY724" s="197"/>
      <c r="AZ724" s="324"/>
      <c r="BA724" s="422">
        <f>SUM(BE712:BE723)</f>
        <v>0</v>
      </c>
      <c r="BB724" s="422">
        <f t="shared" ref="BB724:BC724" si="1074">SUM(BF712:BF723)</f>
        <v>0</v>
      </c>
      <c r="BC724" s="422">
        <f t="shared" si="1074"/>
        <v>0</v>
      </c>
      <c r="BD724" s="325"/>
      <c r="BE724" s="197">
        <f>SUM(BE712:BE723)</f>
        <v>0</v>
      </c>
      <c r="BF724" s="197">
        <f t="shared" ref="BF724:BG724" si="1075">SUM(BF712:BF723)</f>
        <v>0</v>
      </c>
      <c r="BG724" s="197">
        <f t="shared" si="1075"/>
        <v>0</v>
      </c>
      <c r="BH724" s="197"/>
      <c r="BI724" s="324"/>
      <c r="BJ724" s="422">
        <f>SUM(BN712:BN723)</f>
        <v>0</v>
      </c>
      <c r="BK724" s="422">
        <f t="shared" ref="BK724" si="1076">SUM(BO712:BO723)</f>
        <v>0</v>
      </c>
      <c r="BL724" s="422">
        <f t="shared" ref="BL724" si="1077">SUM(BP712:BP723)</f>
        <v>0</v>
      </c>
      <c r="BM724" s="325"/>
      <c r="BN724" s="197">
        <f>SUM(BN712:BN723)</f>
        <v>0</v>
      </c>
      <c r="BO724" s="197">
        <f t="shared" ref="BO724:BP724" si="1078">SUM(BO712:BO723)</f>
        <v>0</v>
      </c>
      <c r="BP724" s="197">
        <f t="shared" si="1078"/>
        <v>0</v>
      </c>
      <c r="BQ724" s="197"/>
      <c r="BR724" s="324"/>
      <c r="BS724" s="422">
        <f>SUM(BW712:BW723)</f>
        <v>0</v>
      </c>
      <c r="BT724" s="422">
        <f t="shared" ref="BT724:BU724" si="1079">SUM(BX712:BX723)</f>
        <v>0</v>
      </c>
      <c r="BU724" s="422">
        <f t="shared" si="1079"/>
        <v>0</v>
      </c>
      <c r="BV724" s="325"/>
      <c r="BW724" s="197">
        <f>SUM(BW712:BW723)</f>
        <v>0</v>
      </c>
      <c r="BX724" s="197">
        <f t="shared" ref="BX724:BY724" si="1080">SUM(BX712:BX723)</f>
        <v>0</v>
      </c>
      <c r="BY724" s="197">
        <f t="shared" si="1080"/>
        <v>0</v>
      </c>
      <c r="BZ724" s="197"/>
      <c r="CA724" s="326"/>
      <c r="CB724" s="422">
        <f>SUM(CF712:CF723)</f>
        <v>0</v>
      </c>
      <c r="CC724" s="422">
        <f t="shared" ref="CC724:CD724" si="1081">SUM(CG712:CG723)</f>
        <v>0</v>
      </c>
      <c r="CD724" s="422">
        <f t="shared" si="1081"/>
        <v>0</v>
      </c>
      <c r="CE724" s="325"/>
      <c r="CF724" s="197">
        <f>SUM(CF712:CF723)</f>
        <v>0</v>
      </c>
      <c r="CG724" s="197">
        <f t="shared" ref="CG724:CH724" si="1082">SUM(CG712:CG723)</f>
        <v>0</v>
      </c>
      <c r="CH724" s="197">
        <f t="shared" si="1082"/>
        <v>0</v>
      </c>
      <c r="CI724" s="197"/>
      <c r="CJ724" s="197"/>
      <c r="CK724" s="422">
        <f>SUM(CO712:CO723)</f>
        <v>0</v>
      </c>
      <c r="CL724" s="422">
        <f t="shared" ref="CL724:CM724" si="1083">SUM(CP712:CP723)</f>
        <v>0</v>
      </c>
      <c r="CM724" s="422">
        <f t="shared" si="1083"/>
        <v>0</v>
      </c>
      <c r="CN724" s="325"/>
      <c r="CO724" s="197">
        <f>SUM(CO712:CO723)</f>
        <v>0</v>
      </c>
      <c r="CP724" s="197">
        <f t="shared" ref="CP724:CQ724" si="1084">SUM(CP712:CP723)</f>
        <v>0</v>
      </c>
      <c r="CQ724" s="197">
        <f t="shared" si="1084"/>
        <v>0</v>
      </c>
      <c r="CR724" s="197"/>
      <c r="CS724" s="197"/>
      <c r="CT724" s="197"/>
      <c r="CU724" s="259"/>
      <c r="CV724" s="209"/>
      <c r="CW724" s="228"/>
    </row>
    <row r="725" spans="1:101" x14ac:dyDescent="0.2">
      <c r="A725" s="227"/>
      <c r="B725" s="227"/>
      <c r="C725" s="168"/>
      <c r="D725" s="249"/>
      <c r="E725" s="242"/>
      <c r="F725" s="243"/>
      <c r="G725" s="242"/>
      <c r="H725" s="242"/>
      <c r="I725" s="242"/>
      <c r="J725" s="242"/>
      <c r="K725" s="242"/>
      <c r="L725" s="252"/>
      <c r="M725" s="260"/>
      <c r="N725" s="337"/>
      <c r="O725" s="333"/>
      <c r="P725" s="244"/>
      <c r="Q725" s="245"/>
      <c r="R725" s="245"/>
      <c r="S725" s="245"/>
      <c r="T725" s="246"/>
      <c r="U725" s="247"/>
      <c r="V725" s="247"/>
      <c r="W725" s="247"/>
      <c r="X725" s="247"/>
      <c r="Y725" s="244"/>
      <c r="Z725" s="245"/>
      <c r="AA725" s="245"/>
      <c r="AB725" s="245"/>
      <c r="AC725" s="246"/>
      <c r="AD725" s="247"/>
      <c r="AE725" s="247"/>
      <c r="AF725" s="247"/>
      <c r="AG725" s="247"/>
      <c r="AH725" s="244"/>
      <c r="AI725" s="245"/>
      <c r="AJ725" s="245"/>
      <c r="AK725" s="245"/>
      <c r="AL725" s="246"/>
      <c r="AM725" s="247"/>
      <c r="AN725" s="247"/>
      <c r="AO725" s="247"/>
      <c r="AP725" s="247"/>
      <c r="AQ725" s="244"/>
      <c r="AR725" s="245"/>
      <c r="AS725" s="245"/>
      <c r="AT725" s="245"/>
      <c r="AU725" s="246"/>
      <c r="AV725" s="247"/>
      <c r="AW725" s="247"/>
      <c r="AX725" s="247"/>
      <c r="AY725" s="247"/>
      <c r="AZ725" s="244"/>
      <c r="BA725" s="245"/>
      <c r="BB725" s="245"/>
      <c r="BC725" s="245"/>
      <c r="BD725" s="246"/>
      <c r="BE725" s="247"/>
      <c r="BF725" s="247"/>
      <c r="BG725" s="247"/>
      <c r="BH725" s="247"/>
      <c r="BI725" s="244"/>
      <c r="BJ725" s="244"/>
      <c r="BK725" s="244"/>
      <c r="BL725" s="244"/>
      <c r="BM725" s="244"/>
      <c r="BN725" s="247"/>
      <c r="BO725" s="247"/>
      <c r="BP725" s="247"/>
      <c r="BQ725" s="247"/>
      <c r="BR725" s="244"/>
      <c r="BS725" s="244"/>
      <c r="BT725" s="244"/>
      <c r="BU725" s="244"/>
      <c r="BV725" s="244"/>
      <c r="BW725" s="247"/>
      <c r="BX725" s="247"/>
      <c r="BY725" s="247"/>
      <c r="BZ725" s="247"/>
      <c r="CA725" s="244"/>
      <c r="CB725" s="244"/>
      <c r="CC725" s="244"/>
      <c r="CD725" s="244"/>
      <c r="CE725" s="244"/>
      <c r="CF725" s="247"/>
      <c r="CG725" s="247"/>
      <c r="CH725" s="247"/>
      <c r="CI725" s="247"/>
      <c r="CJ725" s="248"/>
      <c r="CK725" s="248"/>
      <c r="CL725" s="248"/>
      <c r="CM725" s="248"/>
      <c r="CN725" s="248"/>
      <c r="CO725" s="247"/>
      <c r="CP725" s="247"/>
      <c r="CQ725" s="247"/>
      <c r="CR725" s="247"/>
      <c r="CS725" s="248"/>
      <c r="CT725" s="242"/>
      <c r="CU725" s="253"/>
      <c r="CV725" s="209"/>
      <c r="CW725" s="228"/>
    </row>
    <row r="726" spans="1:101" x14ac:dyDescent="0.2">
      <c r="A726" s="219"/>
      <c r="B726" s="219"/>
      <c r="C726" s="175"/>
      <c r="D726" s="176"/>
      <c r="E726" s="210"/>
      <c r="F726" s="211"/>
      <c r="G726" s="210"/>
      <c r="H726" s="210"/>
      <c r="I726" s="210"/>
      <c r="J726" s="210"/>
      <c r="K726" s="210"/>
      <c r="L726" s="212"/>
      <c r="M726" s="213"/>
      <c r="N726" s="213"/>
      <c r="O726" s="213"/>
      <c r="P726" s="213"/>
      <c r="Q726" s="210"/>
      <c r="R726" s="210"/>
      <c r="S726" s="210"/>
      <c r="T726" s="214"/>
      <c r="U726" s="215"/>
      <c r="V726" s="215"/>
      <c r="W726" s="215"/>
      <c r="X726" s="215"/>
      <c r="Y726" s="213"/>
      <c r="Z726" s="210"/>
      <c r="AA726" s="210"/>
      <c r="AB726" s="210"/>
      <c r="AC726" s="214"/>
      <c r="AD726" s="215"/>
      <c r="AE726" s="215"/>
      <c r="AF726" s="215"/>
      <c r="AG726" s="215"/>
      <c r="AH726" s="213"/>
      <c r="AI726" s="210"/>
      <c r="AJ726" s="210"/>
      <c r="AK726" s="210"/>
      <c r="AL726" s="214"/>
      <c r="AM726" s="215"/>
      <c r="AN726" s="215"/>
      <c r="AO726" s="215"/>
      <c r="AP726" s="215"/>
      <c r="AQ726" s="213"/>
      <c r="AR726" s="210"/>
      <c r="AS726" s="210"/>
      <c r="AT726" s="210"/>
      <c r="AU726" s="214"/>
      <c r="AV726" s="215"/>
      <c r="AW726" s="215"/>
      <c r="AX726" s="215"/>
      <c r="AY726" s="215"/>
      <c r="AZ726" s="213"/>
      <c r="BA726" s="210"/>
      <c r="BB726" s="210"/>
      <c r="BC726" s="210"/>
      <c r="BD726" s="214"/>
      <c r="BE726" s="215"/>
      <c r="BF726" s="215"/>
      <c r="BG726" s="215"/>
      <c r="BH726" s="215"/>
      <c r="BI726" s="213"/>
      <c r="BJ726" s="210"/>
      <c r="BK726" s="210"/>
      <c r="BL726" s="210"/>
      <c r="BM726" s="214"/>
      <c r="BN726" s="215"/>
      <c r="BO726" s="215"/>
      <c r="BP726" s="215"/>
      <c r="BQ726" s="215"/>
      <c r="BR726" s="177"/>
      <c r="BS726" s="210"/>
      <c r="BT726" s="210"/>
      <c r="BU726" s="210"/>
      <c r="BV726" s="213"/>
      <c r="BW726" s="215"/>
      <c r="BX726" s="215"/>
      <c r="BY726" s="215"/>
      <c r="BZ726" s="215"/>
      <c r="CA726" s="210"/>
      <c r="CB726" s="216"/>
      <c r="CC726" s="216"/>
      <c r="CD726" s="216"/>
      <c r="CE726" s="216"/>
      <c r="CF726" s="215"/>
      <c r="CG726" s="215"/>
      <c r="CH726" s="215"/>
      <c r="CI726" s="215"/>
      <c r="CJ726" s="210"/>
      <c r="CK726" s="210"/>
      <c r="CL726" s="210"/>
      <c r="CM726" s="210"/>
      <c r="CN726" s="210"/>
      <c r="CO726" s="215"/>
      <c r="CP726" s="215"/>
      <c r="CQ726" s="215"/>
      <c r="CR726" s="215"/>
      <c r="CS726" s="210"/>
      <c r="CT726" s="210"/>
      <c r="CU726" s="210"/>
      <c r="CV726" s="217"/>
      <c r="CW726" s="218"/>
    </row>
    <row r="727" spans="1:101" ht="14.25" thickTop="1" thickBot="1" x14ac:dyDescent="0.25">
      <c r="A727" s="218"/>
      <c r="B727" s="218"/>
      <c r="C727" s="218"/>
      <c r="D727" s="218"/>
      <c r="E727" s="218"/>
      <c r="F727" s="218"/>
      <c r="G727" s="218"/>
      <c r="H727" s="218"/>
      <c r="I727" s="218"/>
      <c r="J727" s="218"/>
      <c r="K727" s="218"/>
      <c r="L727" s="218"/>
      <c r="M727" s="218"/>
      <c r="N727" s="218"/>
      <c r="O727" s="218"/>
      <c r="P727" s="218"/>
      <c r="Q727" s="218"/>
      <c r="R727" s="218"/>
      <c r="S727" s="218"/>
      <c r="T727" s="218"/>
      <c r="U727" s="218"/>
      <c r="V727" s="218"/>
      <c r="W727" s="218"/>
      <c r="X727" s="218"/>
      <c r="Y727" s="218"/>
      <c r="Z727" s="218"/>
      <c r="AA727" s="218"/>
      <c r="AB727" s="218"/>
      <c r="AC727" s="218"/>
      <c r="AD727" s="218"/>
      <c r="AE727" s="218"/>
      <c r="AF727" s="218"/>
      <c r="AG727" s="218"/>
      <c r="AH727" s="218"/>
      <c r="AI727" s="218"/>
      <c r="AJ727" s="218"/>
      <c r="AK727" s="218"/>
      <c r="AL727" s="218"/>
      <c r="AM727" s="218"/>
      <c r="AN727" s="218"/>
      <c r="AO727" s="218"/>
      <c r="AP727" s="218"/>
      <c r="AQ727" s="218"/>
      <c r="AR727" s="218"/>
      <c r="AS727" s="218"/>
      <c r="AT727" s="218"/>
      <c r="AU727" s="218"/>
      <c r="AV727" s="218"/>
      <c r="AW727" s="218"/>
      <c r="AX727" s="218"/>
      <c r="AY727" s="218"/>
      <c r="AZ727" s="218"/>
      <c r="BA727" s="218"/>
      <c r="BB727" s="218"/>
      <c r="BC727" s="218"/>
      <c r="BD727" s="218"/>
      <c r="BE727" s="218"/>
      <c r="BF727" s="218"/>
      <c r="BG727" s="218"/>
      <c r="BH727" s="218"/>
      <c r="BI727" s="218"/>
      <c r="BJ727" s="218"/>
      <c r="BK727" s="218"/>
      <c r="BL727" s="218"/>
      <c r="BM727" s="218"/>
      <c r="BN727" s="218"/>
      <c r="BO727" s="218"/>
      <c r="BP727" s="218"/>
      <c r="BQ727" s="218"/>
      <c r="BR727" s="218"/>
      <c r="BS727" s="218"/>
      <c r="BT727" s="218"/>
      <c r="BU727" s="218"/>
      <c r="BV727" s="218"/>
      <c r="BW727" s="218"/>
      <c r="BX727" s="218"/>
      <c r="BY727" s="218"/>
      <c r="BZ727" s="218"/>
      <c r="CA727" s="218"/>
      <c r="CB727" s="392"/>
      <c r="CC727" s="392"/>
      <c r="CD727" s="392"/>
      <c r="CE727" s="392"/>
      <c r="CF727" s="218"/>
      <c r="CG727" s="218"/>
      <c r="CH727" s="218"/>
      <c r="CI727" s="218"/>
      <c r="CJ727" s="218"/>
      <c r="CK727" s="218"/>
      <c r="CL727" s="218"/>
      <c r="CM727" s="218"/>
      <c r="CN727" s="218"/>
      <c r="CO727" s="218"/>
      <c r="CP727" s="218"/>
      <c r="CQ727" s="218"/>
      <c r="CR727" s="218"/>
      <c r="CS727" s="218"/>
      <c r="CT727" s="218"/>
      <c r="CU727" s="218"/>
      <c r="CV727" s="218"/>
      <c r="CW727" s="218"/>
    </row>
    <row r="728" spans="1:101" ht="21" thickTop="1" x14ac:dyDescent="0.3">
      <c r="A728" s="219"/>
      <c r="B728" s="219"/>
      <c r="C728" s="157"/>
      <c r="D728" s="158"/>
      <c r="E728" s="731" t="s">
        <v>44</v>
      </c>
      <c r="F728" s="229"/>
      <c r="G728" s="229"/>
      <c r="H728" s="229"/>
      <c r="I728" s="877" t="e" vm="1">
        <v>#VALUE!</v>
      </c>
      <c r="J728" s="877"/>
      <c r="K728" s="877"/>
      <c r="L728" s="877"/>
      <c r="M728" s="159"/>
      <c r="N728" s="159"/>
      <c r="O728" s="159"/>
      <c r="P728" s="160"/>
      <c r="Q728" s="159"/>
      <c r="R728" s="159"/>
      <c r="S728" s="159"/>
      <c r="T728" s="161"/>
      <c r="U728" s="162"/>
      <c r="V728" s="162"/>
      <c r="W728" s="162"/>
      <c r="X728" s="162"/>
      <c r="Y728" s="160"/>
      <c r="Z728" s="159"/>
      <c r="AA728" s="159"/>
      <c r="AB728" s="159"/>
      <c r="AC728" s="161"/>
      <c r="AD728" s="162"/>
      <c r="AE728" s="162"/>
      <c r="AF728" s="162"/>
      <c r="AG728" s="162"/>
      <c r="AH728" s="160"/>
      <c r="AI728" s="159"/>
      <c r="AJ728" s="201"/>
      <c r="AK728" s="201"/>
      <c r="AL728" s="164"/>
      <c r="AM728" s="162"/>
      <c r="AN728" s="162"/>
      <c r="AO728" s="162"/>
      <c r="AP728" s="162"/>
      <c r="AQ728" s="202"/>
      <c r="AR728" s="203"/>
      <c r="AS728" s="165"/>
      <c r="AT728" s="166"/>
      <c r="AU728" s="164"/>
      <c r="AV728" s="162"/>
      <c r="AW728" s="162"/>
      <c r="AX728" s="162"/>
      <c r="AY728" s="162"/>
      <c r="AZ728" s="202"/>
      <c r="BA728" s="203"/>
      <c r="BB728" s="166"/>
      <c r="BC728" s="201"/>
      <c r="BD728" s="204"/>
      <c r="BE728" s="162"/>
      <c r="BF728" s="162"/>
      <c r="BG728" s="162"/>
      <c r="BH728" s="162"/>
      <c r="BI728" s="205"/>
      <c r="BJ728" s="201"/>
      <c r="BK728" s="201"/>
      <c r="BL728" s="201"/>
      <c r="BM728" s="204"/>
      <c r="BN728" s="162"/>
      <c r="BO728" s="162"/>
      <c r="BP728" s="162"/>
      <c r="BQ728" s="162"/>
      <c r="BR728" s="167"/>
      <c r="BS728" s="201"/>
      <c r="BT728" s="201"/>
      <c r="BU728" s="201"/>
      <c r="BV728" s="205"/>
      <c r="BW728" s="162"/>
      <c r="BX728" s="162"/>
      <c r="BY728" s="162"/>
      <c r="BZ728" s="162"/>
      <c r="CA728" s="201"/>
      <c r="CB728" s="393"/>
      <c r="CC728" s="393"/>
      <c r="CD728" s="393"/>
      <c r="CE728" s="393"/>
      <c r="CF728" s="162"/>
      <c r="CG728" s="162"/>
      <c r="CH728" s="162"/>
      <c r="CI728" s="162"/>
      <c r="CJ728" s="163"/>
      <c r="CK728" s="163"/>
      <c r="CL728" s="163"/>
      <c r="CM728" s="163"/>
      <c r="CN728" s="163"/>
      <c r="CO728" s="162"/>
      <c r="CP728" s="162"/>
      <c r="CQ728" s="162"/>
      <c r="CR728" s="162"/>
      <c r="CS728" s="163"/>
      <c r="CT728" s="358"/>
      <c r="CU728" s="201"/>
      <c r="CV728" s="206"/>
      <c r="CW728" s="218"/>
    </row>
    <row r="729" spans="1:101" ht="15.75" thickBot="1" x14ac:dyDescent="0.25">
      <c r="A729" s="219"/>
      <c r="B729" s="219"/>
      <c r="C729" s="168"/>
      <c r="D729" s="785"/>
      <c r="E729" s="869" t="s">
        <v>45</v>
      </c>
      <c r="F729" s="363"/>
      <c r="G729" s="363"/>
      <c r="H729" s="363"/>
      <c r="I729" s="878"/>
      <c r="J729" s="878"/>
      <c r="K729" s="878"/>
      <c r="L729" s="878"/>
      <c r="M729" s="363"/>
      <c r="N729" s="363"/>
      <c r="O729" s="363"/>
      <c r="P729" s="363"/>
      <c r="Q729" s="363"/>
      <c r="R729" s="363"/>
      <c r="S729" s="363"/>
      <c r="T729" s="363"/>
      <c r="U729" s="363"/>
      <c r="V729" s="363"/>
      <c r="W729" s="363"/>
      <c r="X729" s="363"/>
      <c r="Y729" s="363"/>
      <c r="Z729" s="363"/>
      <c r="AA729" s="363"/>
      <c r="AB729" s="363"/>
      <c r="AC729" s="363"/>
      <c r="AD729" s="363"/>
      <c r="AE729" s="363"/>
      <c r="AF729" s="363"/>
      <c r="AG729" s="363"/>
      <c r="AH729" s="363"/>
      <c r="AI729" s="363"/>
      <c r="AJ729" s="363"/>
      <c r="AK729" s="363"/>
      <c r="AL729" s="363"/>
      <c r="AM729" s="363"/>
      <c r="AN729" s="363"/>
      <c r="AO729" s="363"/>
      <c r="AP729" s="363"/>
      <c r="AQ729" s="363"/>
      <c r="AR729" s="363"/>
      <c r="AS729" s="363"/>
      <c r="AT729" s="363"/>
      <c r="AU729" s="363"/>
      <c r="AV729" s="363"/>
      <c r="AW729" s="363"/>
      <c r="AX729" s="363"/>
      <c r="AY729" s="363"/>
      <c r="AZ729" s="363"/>
      <c r="BA729" s="363"/>
      <c r="BB729" s="363"/>
      <c r="BC729" s="363"/>
      <c r="BD729" s="363"/>
      <c r="BE729" s="363"/>
      <c r="BF729" s="363"/>
      <c r="BG729" s="363"/>
      <c r="BH729" s="363"/>
      <c r="BI729" s="363"/>
      <c r="BJ729" s="363"/>
      <c r="BK729" s="363"/>
      <c r="BL729" s="363"/>
      <c r="BM729" s="363"/>
      <c r="BN729" s="363"/>
      <c r="BO729" s="363"/>
      <c r="BP729" s="363"/>
      <c r="BQ729" s="363"/>
      <c r="BR729" s="363"/>
      <c r="BS729" s="363"/>
      <c r="BT729" s="363"/>
      <c r="BU729" s="363"/>
      <c r="BV729" s="363"/>
      <c r="BW729" s="363"/>
      <c r="BX729" s="363"/>
      <c r="BY729" s="363"/>
      <c r="BZ729" s="363"/>
      <c r="CA729" s="363"/>
      <c r="CB729" s="394"/>
      <c r="CC729" s="394"/>
      <c r="CD729" s="394"/>
      <c r="CE729" s="394"/>
      <c r="CF729" s="363"/>
      <c r="CG729" s="363"/>
      <c r="CH729" s="363"/>
      <c r="CI729" s="363"/>
      <c r="CJ729" s="363"/>
      <c r="CK729" s="363"/>
      <c r="CL729" s="363"/>
      <c r="CM729" s="363"/>
      <c r="CN729" s="323"/>
      <c r="CO729" s="363"/>
      <c r="CP729" s="363"/>
      <c r="CQ729" s="363"/>
      <c r="CR729" s="363"/>
      <c r="CS729" s="323"/>
      <c r="CT729" s="155"/>
      <c r="CU729" s="269"/>
      <c r="CV729" s="209"/>
      <c r="CW729" s="218"/>
    </row>
    <row r="730" spans="1:101" ht="18.75" thickTop="1" x14ac:dyDescent="0.2">
      <c r="A730" s="219"/>
      <c r="B730" s="219"/>
      <c r="C730" s="174"/>
      <c r="D730" s="778"/>
      <c r="E730" s="777"/>
      <c r="F730" s="235"/>
      <c r="G730" s="234"/>
      <c r="H730" s="234"/>
      <c r="I730" s="875">
        <f>WEEKNUM(E731)</f>
        <v>14</v>
      </c>
      <c r="J730" s="875"/>
      <c r="K730" s="875"/>
      <c r="L730" s="250"/>
      <c r="M730" s="261"/>
      <c r="N730" s="205"/>
      <c r="O730" s="236"/>
      <c r="P730" s="236"/>
      <c r="Q730" s="675" t="str">
        <f>IF($F734="","",SUM(Q746:S746)-S732)</f>
        <v/>
      </c>
      <c r="R730" s="675"/>
      <c r="S730" s="675"/>
      <c r="T730" s="237"/>
      <c r="U730" s="238"/>
      <c r="V730" s="238"/>
      <c r="W730" s="238"/>
      <c r="X730" s="238"/>
      <c r="Y730" s="236"/>
      <c r="Z730" s="675" t="str">
        <f>IF($F734="","",SUM(Z746:AB746)-AB732)</f>
        <v/>
      </c>
      <c r="AA730" s="675"/>
      <c r="AB730" s="675"/>
      <c r="AC730" s="237"/>
      <c r="AD730" s="238"/>
      <c r="AE730" s="238"/>
      <c r="AF730" s="238"/>
      <c r="AG730" s="238"/>
      <c r="AH730" s="236"/>
      <c r="AI730" s="675" t="str">
        <f>IF($F734="","",SUM(AI746:AK746)-AK732)</f>
        <v/>
      </c>
      <c r="AJ730" s="675"/>
      <c r="AK730" s="675"/>
      <c r="AL730" s="237"/>
      <c r="AM730" s="238"/>
      <c r="AN730" s="238"/>
      <c r="AO730" s="238"/>
      <c r="AP730" s="238"/>
      <c r="AQ730" s="236"/>
      <c r="AR730" s="675" t="str">
        <f>IF($F734="","",SUM(AR746:AT746)-AT732)</f>
        <v/>
      </c>
      <c r="AS730" s="675"/>
      <c r="AT730" s="675"/>
      <c r="AU730" s="239"/>
      <c r="AV730" s="238"/>
      <c r="AW730" s="238"/>
      <c r="AX730" s="238"/>
      <c r="AY730" s="238"/>
      <c r="AZ730" s="240"/>
      <c r="BA730" s="675" t="str">
        <f>IF($F734="","",SUM(BA746:BC746)-BC732)</f>
        <v/>
      </c>
      <c r="BB730" s="675"/>
      <c r="BC730" s="675"/>
      <c r="BD730" s="239"/>
      <c r="BE730" s="238"/>
      <c r="BF730" s="238"/>
      <c r="BG730" s="238"/>
      <c r="BH730" s="238"/>
      <c r="BI730" s="240"/>
      <c r="BJ730" s="675" t="str">
        <f>IF($F734="","",SUM(BJ746:BL746)-BL732)</f>
        <v/>
      </c>
      <c r="BK730" s="675"/>
      <c r="BL730" s="675"/>
      <c r="BM730" s="239"/>
      <c r="BN730" s="238"/>
      <c r="BO730" s="238"/>
      <c r="BP730" s="238"/>
      <c r="BQ730" s="238"/>
      <c r="BR730" s="241"/>
      <c r="BS730" s="675" t="str">
        <f>IF($F734="","",SUM(BS746:BU746)-BU732)</f>
        <v/>
      </c>
      <c r="BT730" s="675"/>
      <c r="BU730" s="675"/>
      <c r="BV730" s="240"/>
      <c r="BW730" s="238"/>
      <c r="BX730" s="238"/>
      <c r="BY730" s="238"/>
      <c r="BZ730" s="238"/>
      <c r="CA730" s="241"/>
      <c r="CB730" s="675" t="str">
        <f>IF($F734="","",SUM(CB746:CD746)-CD732)</f>
        <v/>
      </c>
      <c r="CC730" s="675"/>
      <c r="CD730" s="675"/>
      <c r="CE730" s="240"/>
      <c r="CF730" s="238"/>
      <c r="CG730" s="238"/>
      <c r="CH730" s="238"/>
      <c r="CI730" s="238"/>
      <c r="CJ730" s="234"/>
      <c r="CK730" s="675" t="str">
        <f>IF($F734="","",SUM(CK746:CM746))</f>
        <v/>
      </c>
      <c r="CL730" s="675"/>
      <c r="CM730" s="675"/>
      <c r="CN730" s="240"/>
      <c r="CO730" s="238"/>
      <c r="CP730" s="238"/>
      <c r="CQ730" s="238"/>
      <c r="CR730" s="238"/>
      <c r="CS730" s="234"/>
      <c r="CT730" s="234"/>
      <c r="CU730" s="251"/>
      <c r="CV730" s="209"/>
      <c r="CW730" s="218"/>
    </row>
    <row r="731" spans="1:101" x14ac:dyDescent="0.2">
      <c r="A731" s="219"/>
      <c r="B731" s="219"/>
      <c r="C731" s="174"/>
      <c r="D731" s="779"/>
      <c r="E731" s="543">
        <f>E709+7</f>
        <v>46480</v>
      </c>
      <c r="F731" s="178"/>
      <c r="G731" s="179"/>
      <c r="H731" s="179"/>
      <c r="I731" s="876"/>
      <c r="J731" s="876"/>
      <c r="K731" s="876"/>
      <c r="L731" s="254"/>
      <c r="M731" s="329"/>
      <c r="N731" s="208"/>
      <c r="O731" s="180"/>
      <c r="P731" s="180"/>
      <c r="Q731" s="584" t="str">
        <f>IF(Q730="","",Q730/Data!$X$1)</f>
        <v/>
      </c>
      <c r="R731" s="584"/>
      <c r="S731" s="585" t="str">
        <f>IF(SUM(X734:X745)=0,"",SUM(X734:X745))</f>
        <v/>
      </c>
      <c r="T731" s="181"/>
      <c r="U731" s="182"/>
      <c r="V731" s="182"/>
      <c r="W731" s="182"/>
      <c r="X731" s="182"/>
      <c r="Y731" s="180"/>
      <c r="Z731" s="584" t="str">
        <f>IF(Z730="","",Z730/Data!$X$1)</f>
        <v/>
      </c>
      <c r="AA731" s="584"/>
      <c r="AB731" s="585" t="str">
        <f>IF(SUM(AG734:AG745)=0,"",SUM(AG734:AG745))</f>
        <v/>
      </c>
      <c r="AC731" s="181"/>
      <c r="AD731" s="182"/>
      <c r="AE731" s="182"/>
      <c r="AF731" s="182"/>
      <c r="AG731" s="182"/>
      <c r="AH731" s="180"/>
      <c r="AI731" s="584" t="str">
        <f>IF(AI730="","",AI730/Data!$X$1)</f>
        <v/>
      </c>
      <c r="AJ731" s="584"/>
      <c r="AK731" s="585" t="str">
        <f>IF(SUM(AP734:AP745)=0,"",SUM(AP734:AP745))</f>
        <v/>
      </c>
      <c r="AL731" s="181"/>
      <c r="AM731" s="182"/>
      <c r="AN731" s="182"/>
      <c r="AO731" s="182"/>
      <c r="AP731" s="182"/>
      <c r="AQ731" s="180"/>
      <c r="AR731" s="584" t="str">
        <f>IF(AR730="","",AR730/Data!$X$1)</f>
        <v/>
      </c>
      <c r="AS731" s="584"/>
      <c r="AT731" s="585" t="str">
        <f>IF(SUM(AY734:AY745)=0,"",SUM(AY734:AY745))</f>
        <v/>
      </c>
      <c r="AU731" s="183"/>
      <c r="AV731" s="182"/>
      <c r="AW731" s="182"/>
      <c r="AX731" s="182"/>
      <c r="AY731" s="182"/>
      <c r="AZ731" s="184"/>
      <c r="BA731" s="584" t="str">
        <f>IF(BA730="","",BA730/Data!$X$1)</f>
        <v/>
      </c>
      <c r="BB731" s="584"/>
      <c r="BC731" s="585" t="str">
        <f>IF(SUM(BH734:BH745)=0,"",SUM(BH734:BH745))</f>
        <v/>
      </c>
      <c r="BD731" s="183"/>
      <c r="BE731" s="182"/>
      <c r="BF731" s="182"/>
      <c r="BG731" s="182"/>
      <c r="BH731" s="182"/>
      <c r="BI731" s="184"/>
      <c r="BJ731" s="584" t="str">
        <f>IF(BJ730="","",BJ730/Data!$X$1)</f>
        <v/>
      </c>
      <c r="BK731" s="584"/>
      <c r="BL731" s="585" t="str">
        <f>IF(SUM(BQ734:BQ745)=0,"",SUM(BQ734:BQ745))</f>
        <v/>
      </c>
      <c r="BM731" s="183"/>
      <c r="BN731" s="182"/>
      <c r="BO731" s="182"/>
      <c r="BP731" s="182"/>
      <c r="BQ731" s="182"/>
      <c r="BR731" s="185"/>
      <c r="BS731" s="584" t="str">
        <f>IF(BS730="","",BS730/Data!$X$1)</f>
        <v/>
      </c>
      <c r="BT731" s="584"/>
      <c r="BU731" s="585" t="str">
        <f>IF(SUM(BZ734:BZ745)=0,"",SUM(BZ734:BZ745))</f>
        <v/>
      </c>
      <c r="BV731" s="184"/>
      <c r="BW731" s="182"/>
      <c r="BX731" s="182"/>
      <c r="BY731" s="182"/>
      <c r="BZ731" s="182"/>
      <c r="CA731" s="185"/>
      <c r="CB731" s="584" t="str">
        <f>IF(CB730="","",CB730/Data!$X$1)</f>
        <v/>
      </c>
      <c r="CC731" s="584"/>
      <c r="CD731" s="585" t="str">
        <f>IF(SUM(CI734:CI745)=0,"",SUM(CI734:CI745))</f>
        <v/>
      </c>
      <c r="CE731" s="184"/>
      <c r="CF731" s="182"/>
      <c r="CG731" s="182"/>
      <c r="CH731" s="182"/>
      <c r="CI731" s="182"/>
      <c r="CJ731" s="182"/>
      <c r="CK731" s="584" t="str">
        <f>IF(CK730="","",CK730/Data!$X$1)</f>
        <v/>
      </c>
      <c r="CL731" s="584"/>
      <c r="CM731" s="585" t="str">
        <f>IF(SUM(CR734:CR745)=0,"",SUM(CR734:CR745))</f>
        <v/>
      </c>
      <c r="CN731" s="184"/>
      <c r="CO731" s="182"/>
      <c r="CP731" s="182"/>
      <c r="CQ731" s="182"/>
      <c r="CR731" s="182"/>
      <c r="CS731" s="182"/>
      <c r="CT731" s="182"/>
      <c r="CU731" s="255"/>
      <c r="CV731" s="209"/>
      <c r="CW731" s="218"/>
    </row>
    <row r="732" spans="1:101" ht="13.5" thickBot="1" x14ac:dyDescent="0.25">
      <c r="A732" s="219"/>
      <c r="B732" s="219"/>
      <c r="C732" s="174"/>
      <c r="D732" s="230"/>
      <c r="E732" s="359"/>
      <c r="F732" s="186"/>
      <c r="G732" s="187"/>
      <c r="H732" s="187"/>
      <c r="I732" s="673"/>
      <c r="J732" s="674"/>
      <c r="K732" s="674"/>
      <c r="L732" s="256"/>
      <c r="M732" s="330"/>
      <c r="N732" s="334"/>
      <c r="O732" s="187"/>
      <c r="P732" s="187"/>
      <c r="Q732" s="342" t="str">
        <f>Data!$E$11</f>
        <v>AHH</v>
      </c>
      <c r="R732" s="343" t="str">
        <f>IF($F745="","",RANK(Q730,$Q730:$CL730))</f>
        <v/>
      </c>
      <c r="S732" s="466"/>
      <c r="T732" s="181"/>
      <c r="U732" s="182"/>
      <c r="V732" s="182"/>
      <c r="W732" s="182"/>
      <c r="X732" s="197">
        <f>COUNTIF(U734:W745,"&gt;0")</f>
        <v>0</v>
      </c>
      <c r="Y732" s="180"/>
      <c r="Z732" s="342" t="str">
        <f>Data!$E$12</f>
        <v>RB</v>
      </c>
      <c r="AA732" s="343" t="str">
        <f>IF($F745="","",RANK(Z730,$Q730:$CL730))</f>
        <v/>
      </c>
      <c r="AB732" s="466"/>
      <c r="AC732" s="181"/>
      <c r="AD732" s="182"/>
      <c r="AE732" s="182"/>
      <c r="AF732" s="182"/>
      <c r="AG732" s="197">
        <f>COUNTIF(AD734:AF745,"&gt;0")</f>
        <v>0</v>
      </c>
      <c r="AH732" s="180"/>
      <c r="AI732" s="342" t="str">
        <f>Data!$E$13</f>
        <v>EB</v>
      </c>
      <c r="AJ732" s="343" t="str">
        <f>IF($F745="","",RANK(AI730,$Q730:$CL730))</f>
        <v/>
      </c>
      <c r="AK732" s="466"/>
      <c r="AL732" s="181"/>
      <c r="AM732" s="182"/>
      <c r="AN732" s="182"/>
      <c r="AO732" s="182"/>
      <c r="AP732" s="197">
        <f>COUNTIF(AM734:AO745,"&gt;0")</f>
        <v>0</v>
      </c>
      <c r="AQ732" s="180"/>
      <c r="AR732" s="305" t="str">
        <f>Data!$E$14</f>
        <v>KAF</v>
      </c>
      <c r="AS732" s="343" t="str">
        <f>IF($F745="","",RANK(AR730,$Q730:$CL730))</f>
        <v/>
      </c>
      <c r="AT732" s="466"/>
      <c r="AU732" s="181"/>
      <c r="AV732" s="182"/>
      <c r="AW732" s="182"/>
      <c r="AX732" s="182"/>
      <c r="AY732" s="197">
        <f>COUNTIF(AV734:AX745,"&gt;0")</f>
        <v>0</v>
      </c>
      <c r="AZ732" s="180"/>
      <c r="BA732" s="305" t="str">
        <f>Data!$E$15</f>
        <v>ØG</v>
      </c>
      <c r="BB732" s="343" t="str">
        <f>IF($F745="","",RANK(BA730,$Q730:$CL730))</f>
        <v/>
      </c>
      <c r="BC732" s="466"/>
      <c r="BD732" s="181"/>
      <c r="BE732" s="182"/>
      <c r="BF732" s="182"/>
      <c r="BG732" s="182"/>
      <c r="BH732" s="197">
        <f>COUNTIF(BE734:BG745,"&gt;0")</f>
        <v>0</v>
      </c>
      <c r="BI732" s="180"/>
      <c r="BJ732" s="305" t="str">
        <f>Data!$E$16</f>
        <v>JH</v>
      </c>
      <c r="BK732" s="343" t="str">
        <f>IF($F745="","",RANK(BJ730,$Q730:$CL730))</f>
        <v/>
      </c>
      <c r="BL732" s="466"/>
      <c r="BM732" s="181"/>
      <c r="BN732" s="182"/>
      <c r="BO732" s="182"/>
      <c r="BP732" s="182"/>
      <c r="BQ732" s="197">
        <f>COUNTIF(BN734:BP745,"&gt;0")</f>
        <v>0</v>
      </c>
      <c r="BR732" s="188"/>
      <c r="BS732" s="305" t="str">
        <f>Data!$E$17</f>
        <v>TOH</v>
      </c>
      <c r="BT732" s="343" t="str">
        <f>IF($F745="","",RANK(BS730,$Q730:$CL730))</f>
        <v/>
      </c>
      <c r="BU732" s="466"/>
      <c r="BV732" s="180"/>
      <c r="BW732" s="182"/>
      <c r="BX732" s="182"/>
      <c r="BY732" s="182"/>
      <c r="BZ732" s="197">
        <f>COUNTIF(BW734:BY745,"&gt;0")</f>
        <v>0</v>
      </c>
      <c r="CA732" s="188"/>
      <c r="CB732" s="305" t="s">
        <v>26</v>
      </c>
      <c r="CC732" s="343" t="str">
        <f>IF($F745="","",RANK(CB730,$Q730:$CM730))</f>
        <v/>
      </c>
      <c r="CD732" s="467"/>
      <c r="CE732" s="180"/>
      <c r="CF732" s="182"/>
      <c r="CG732" s="182"/>
      <c r="CH732" s="182"/>
      <c r="CI732" s="197">
        <f>COUNTIF(CF734:CH745,"&gt;0")</f>
        <v>0</v>
      </c>
      <c r="CJ732" s="182"/>
      <c r="CK732" s="305" t="s">
        <v>27</v>
      </c>
      <c r="CL732" s="343" t="str">
        <f>IF($F745="","",RANK(CK730,$Q730:$CM730))</f>
        <v/>
      </c>
      <c r="CM732" s="669"/>
      <c r="CN732" s="180"/>
      <c r="CO732" s="182"/>
      <c r="CP732" s="182"/>
      <c r="CQ732" s="182"/>
      <c r="CR732" s="197">
        <f>COUNTIF(CO734:CQ745,"&gt;0")</f>
        <v>0</v>
      </c>
      <c r="CS732" s="182"/>
      <c r="CT732" s="182"/>
      <c r="CU732" s="255"/>
      <c r="CV732" s="209"/>
      <c r="CW732" s="218"/>
    </row>
    <row r="733" spans="1:101" ht="13.5" thickBot="1" x14ac:dyDescent="0.25">
      <c r="A733" s="227"/>
      <c r="B733" s="227"/>
      <c r="C733" s="168"/>
      <c r="D733" s="231"/>
      <c r="E733" s="189"/>
      <c r="F733" s="190"/>
      <c r="G733" s="191"/>
      <c r="H733" s="191"/>
      <c r="I733" s="192" t="s">
        <v>47</v>
      </c>
      <c r="J733" s="193" t="s">
        <v>48</v>
      </c>
      <c r="K733" s="194" t="s">
        <v>49</v>
      </c>
      <c r="L733" s="257"/>
      <c r="M733" s="331"/>
      <c r="N733" s="335"/>
      <c r="O733" s="195"/>
      <c r="P733" s="195"/>
      <c r="Q733" s="192" t="s">
        <v>47</v>
      </c>
      <c r="R733" s="193" t="s">
        <v>48</v>
      </c>
      <c r="S733" s="194" t="s">
        <v>49</v>
      </c>
      <c r="T733" s="196"/>
      <c r="U733" s="197"/>
      <c r="V733" s="197"/>
      <c r="W733" s="197"/>
      <c r="X733" s="197"/>
      <c r="Y733" s="195"/>
      <c r="Z733" s="192" t="s">
        <v>47</v>
      </c>
      <c r="AA733" s="193" t="s">
        <v>48</v>
      </c>
      <c r="AB733" s="194" t="s">
        <v>49</v>
      </c>
      <c r="AC733" s="196"/>
      <c r="AD733" s="197"/>
      <c r="AE733" s="197"/>
      <c r="AF733" s="197"/>
      <c r="AG733" s="197"/>
      <c r="AH733" s="195"/>
      <c r="AI733" s="192" t="s">
        <v>47</v>
      </c>
      <c r="AJ733" s="193" t="s">
        <v>48</v>
      </c>
      <c r="AK733" s="194" t="s">
        <v>49</v>
      </c>
      <c r="AL733" s="196"/>
      <c r="AM733" s="197"/>
      <c r="AN733" s="197"/>
      <c r="AO733" s="197"/>
      <c r="AP733" s="197"/>
      <c r="AQ733" s="195"/>
      <c r="AR733" s="192" t="s">
        <v>47</v>
      </c>
      <c r="AS733" s="193" t="s">
        <v>48</v>
      </c>
      <c r="AT733" s="194" t="s">
        <v>49</v>
      </c>
      <c r="AU733" s="196"/>
      <c r="AV733" s="197"/>
      <c r="AW733" s="197"/>
      <c r="AX733" s="197"/>
      <c r="AY733" s="197"/>
      <c r="AZ733" s="195"/>
      <c r="BA733" s="192" t="s">
        <v>47</v>
      </c>
      <c r="BB733" s="193" t="s">
        <v>48</v>
      </c>
      <c r="BC733" s="194" t="s">
        <v>49</v>
      </c>
      <c r="BD733" s="196"/>
      <c r="BE733" s="197"/>
      <c r="BF733" s="197"/>
      <c r="BG733" s="197"/>
      <c r="BH733" s="197"/>
      <c r="BI733" s="195"/>
      <c r="BJ733" s="192" t="s">
        <v>47</v>
      </c>
      <c r="BK733" s="193" t="s">
        <v>48</v>
      </c>
      <c r="BL733" s="194" t="s">
        <v>49</v>
      </c>
      <c r="BM733" s="196"/>
      <c r="BN733" s="197"/>
      <c r="BO733" s="197"/>
      <c r="BP733" s="197"/>
      <c r="BQ733" s="197"/>
      <c r="BR733" s="195"/>
      <c r="BS733" s="192" t="s">
        <v>47</v>
      </c>
      <c r="BT733" s="193" t="s">
        <v>48</v>
      </c>
      <c r="BU733" s="194" t="s">
        <v>49</v>
      </c>
      <c r="BV733" s="196"/>
      <c r="BW733" s="197"/>
      <c r="BX733" s="197"/>
      <c r="BY733" s="197"/>
      <c r="BZ733" s="197"/>
      <c r="CA733" s="195"/>
      <c r="CB733" s="192" t="s">
        <v>47</v>
      </c>
      <c r="CC733" s="193" t="s">
        <v>48</v>
      </c>
      <c r="CD733" s="194" t="s">
        <v>49</v>
      </c>
      <c r="CE733" s="196"/>
      <c r="CF733" s="197"/>
      <c r="CG733" s="197"/>
      <c r="CH733" s="197"/>
      <c r="CI733" s="197"/>
      <c r="CJ733" s="197"/>
      <c r="CK733" s="192" t="s">
        <v>47</v>
      </c>
      <c r="CL733" s="193" t="s">
        <v>48</v>
      </c>
      <c r="CM733" s="194" t="s">
        <v>49</v>
      </c>
      <c r="CN733" s="196"/>
      <c r="CO733" s="197"/>
      <c r="CP733" s="197"/>
      <c r="CQ733" s="197"/>
      <c r="CR733" s="197"/>
      <c r="CS733" s="197"/>
      <c r="CT733" s="198"/>
      <c r="CU733" s="255"/>
      <c r="CV733" s="209"/>
      <c r="CW733" s="228"/>
    </row>
    <row r="734" spans="1:101" x14ac:dyDescent="0.2">
      <c r="A734" s="227"/>
      <c r="B734" s="227"/>
      <c r="C734" s="168"/>
      <c r="D734" s="232"/>
      <c r="E734" s="134"/>
      <c r="F734" s="424"/>
      <c r="G734" s="428"/>
      <c r="H734" s="429"/>
      <c r="I734" s="138" t="str">
        <f t="shared" ref="I734:I745" si="1085">IF($F734&gt;$H734,"x","")</f>
        <v/>
      </c>
      <c r="J734" s="344" t="str">
        <f t="shared" ref="J734:J745" si="1086">IF(F734&lt;&gt;"",IF(H734&lt;&gt;"",IF(F734=H734,"x",""),""),"")</f>
        <v/>
      </c>
      <c r="K734" s="345" t="str">
        <f t="shared" ref="K734:K745" si="1087">IF($F734&lt;$H734,"x","")</f>
        <v/>
      </c>
      <c r="L734" s="258"/>
      <c r="M734" s="332"/>
      <c r="N734" s="336"/>
      <c r="O734" s="200"/>
      <c r="P734" s="200"/>
      <c r="Q734" s="436"/>
      <c r="R734" s="437"/>
      <c r="S734" s="438" t="str">
        <f t="shared" ref="S734:S745" si="1088">IF(Q734="","",100-SUM(Q734:R734))</f>
        <v/>
      </c>
      <c r="T734" s="328"/>
      <c r="U734" s="197" t="str">
        <f>IF(AND($I734="x",AND(MAX(Q734:S734)=Q734,Q734&gt;=0)),Data!$BI$2,"")</f>
        <v/>
      </c>
      <c r="V734" s="197" t="str">
        <f>IF(AND($J734="x",AND(MAX(Q734:S734)=R734,R734&gt;=0)),Data!$BJ$2,"")</f>
        <v/>
      </c>
      <c r="W734" s="197" t="str">
        <f>IF(AND($K734="x",AND(MAX(Q734:S734)=S734,S734&gt;=0)),Data!$BK$2,"")</f>
        <v/>
      </c>
      <c r="X734" s="197"/>
      <c r="Y734" s="328"/>
      <c r="Z734" s="451"/>
      <c r="AA734" s="452"/>
      <c r="AB734" s="438" t="str">
        <f t="shared" ref="AB734:AB745" si="1089">IF(Z734="","",100-SUM(Z734:AA734))</f>
        <v/>
      </c>
      <c r="AC734" s="328"/>
      <c r="AD734" s="197" t="str">
        <f>IF(AND($I734="x",AND(MAX(Z734:AB734)=Z734,Z734&lt;&gt;"")),Data!$BI$2,"")</f>
        <v/>
      </c>
      <c r="AE734" s="197" t="str">
        <f>IF(AND($J734="x",AND(MAX(Z734:AB734)=AA734,AA734&lt;&gt;"")),Data!$BJ$2,"")</f>
        <v/>
      </c>
      <c r="AF734" s="197" t="str">
        <f>IF(AND($K734="x",AND(MAX(Z734:AB734)=AB734,AB734&lt;&gt;"")),Data!$BK$2,"")</f>
        <v/>
      </c>
      <c r="AG734" s="197"/>
      <c r="AH734" s="328"/>
      <c r="AI734" s="451"/>
      <c r="AJ734" s="452"/>
      <c r="AK734" s="438" t="str">
        <f t="shared" ref="AK734:AK745" si="1090">IF(AI734="","",100-SUM(AI734:AJ734))</f>
        <v/>
      </c>
      <c r="AL734" s="328"/>
      <c r="AM734" s="197" t="str">
        <f>IF(AND($I734="x",AND(MAX(AI734:AK734)=AI734,AI734&lt;&gt;"")),Data!$BI$2,"")</f>
        <v/>
      </c>
      <c r="AN734" s="197" t="str">
        <f>IF(AND($J734="x",AND(MAX(AI734:AK734)=AJ734,AJ734&lt;&gt;"")),Data!$BJ$2,"")</f>
        <v/>
      </c>
      <c r="AO734" s="197" t="str">
        <f>IF(AND($K734="x",AND(MAX(AI734:AK734)=AK734,AK734&lt;&gt;"")),Data!$BK$2,"")</f>
        <v/>
      </c>
      <c r="AP734" s="197"/>
      <c r="AQ734" s="328"/>
      <c r="AR734" s="451"/>
      <c r="AS734" s="452"/>
      <c r="AT734" s="438" t="str">
        <f t="shared" ref="AT734:AT745" si="1091">IF(AR734="","",100-SUM(AR734:AS734))</f>
        <v/>
      </c>
      <c r="AU734" s="328"/>
      <c r="AV734" s="197" t="str">
        <f>IF(AND($I734="x",AND(MAX(AR734:AT734)=AR734,AR734&lt;&gt;"")),Data!$BI$2,"")</f>
        <v/>
      </c>
      <c r="AW734" s="197" t="str">
        <f>IF(AND($J734="x",AND(MAX(AR734:AT734)=AS734,AS734&lt;&gt;"")),Data!$BJ$2,"")</f>
        <v/>
      </c>
      <c r="AX734" s="197" t="str">
        <f>IF(AND($K734="x",AND(MAX(AR734:AT734)=AT734,AT734&lt;&gt;"")),Data!$BK$2,"")</f>
        <v/>
      </c>
      <c r="AY734" s="197"/>
      <c r="AZ734" s="328"/>
      <c r="BA734" s="451"/>
      <c r="BB734" s="452"/>
      <c r="BC734" s="438" t="str">
        <f t="shared" ref="BC734:BC745" si="1092">IF(BA734="","",100-SUM(BA734:BB734))</f>
        <v/>
      </c>
      <c r="BD734" s="328"/>
      <c r="BE734" s="197" t="str">
        <f>IF(AND($I734="x",AND(MAX(BA734:BC734)=BA734,BA734&lt;&gt;"")),Data!$BI$2,"")</f>
        <v/>
      </c>
      <c r="BF734" s="197" t="str">
        <f>IF(AND($J734="x",AND(MAX(BA734:BC734)=BB734,BB734&lt;&gt;"")),Data!$BJ$2,"")</f>
        <v/>
      </c>
      <c r="BG734" s="197" t="str">
        <f>IF(AND($K734="x",AND(MAX(BA734:BC734)=BC734,BC734&lt;&gt;"")),Data!$BK$2,"")</f>
        <v/>
      </c>
      <c r="BH734" s="197"/>
      <c r="BI734" s="328"/>
      <c r="BJ734" s="451"/>
      <c r="BK734" s="452"/>
      <c r="BL734" s="438" t="str">
        <f t="shared" ref="BL734:BL745" si="1093">IF(BJ734="","",100-SUM(BJ734:BK734))</f>
        <v/>
      </c>
      <c r="BM734" s="328"/>
      <c r="BN734" s="197" t="str">
        <f>IF(AND($I734="x",AND(MAX(BJ734:BL734)=BJ734,BJ734&lt;&gt;"")),Data!$BI$2,"")</f>
        <v/>
      </c>
      <c r="BO734" s="197" t="str">
        <f>IF(AND($J734="x",AND(MAX(BJ734:BL734)=BK734,BK734&lt;&gt;"")),Data!$BJ$2,"")</f>
        <v/>
      </c>
      <c r="BP734" s="197" t="str">
        <f>IF(AND($K734="x",AND(MAX(BJ734:BL734)=BL734,BL734&lt;&gt;"")),Data!$BK$2,"")</f>
        <v/>
      </c>
      <c r="BQ734" s="197"/>
      <c r="BR734" s="328"/>
      <c r="BS734" s="451"/>
      <c r="BT734" s="452"/>
      <c r="BU734" s="438" t="str">
        <f t="shared" ref="BU734:BU745" si="1094">IF(BS734="","",100-SUM(BS734:BT734))</f>
        <v/>
      </c>
      <c r="BV734" s="328"/>
      <c r="BW734" s="197" t="str">
        <f>IF(AND($I734="x",AND(MAX(BS734:BU734)=BS734,BS734&lt;&gt;"")),Data!$BI$2,"")</f>
        <v/>
      </c>
      <c r="BX734" s="197" t="str">
        <f>IF(AND($J734="x",AND(MAX(BS734:BU734)=BT734,BT734&lt;&gt;"")),Data!$BJ$2,"")</f>
        <v/>
      </c>
      <c r="BY734" s="197" t="str">
        <f>IF(AND($K734="x",AND(MAX(BS734:BU734)=BU734,BU734&lt;&gt;"")),Data!$BK$2,"")</f>
        <v/>
      </c>
      <c r="BZ734" s="197"/>
      <c r="CA734" s="328"/>
      <c r="CB734" s="457" t="str">
        <f t="shared" ref="CB734:CB745" si="1095">IFERROR(ROUNDUP((SUM(Q734,Z734,AI734,AR734,BA734,BJ734,BS734)/SUM($Q734:$S734,$Z734:$AB734,$AI734:$AK734,$AR734:$AT734,$BA734:$BC734,$BJ734:$BL734,$BS734:$BU734))*100,-1),"")</f>
        <v/>
      </c>
      <c r="CC734" s="458" t="str">
        <f t="shared" ref="CC734:CC745" si="1096">IFERROR(ROUNDDOWN((SUM(R734,AA734,AJ734,AS734,BB734,BK734,BT734)/SUM($Q734:$S734,$Z734:$AB734,$AI734:$AK734,$AR734:$AT734,$BA734:$BC734,$BJ734:$BL734,$BS734:$BU734))*100,-1),"")</f>
        <v/>
      </c>
      <c r="CD734" s="459" t="str">
        <f t="shared" ref="CD734:CD745" si="1097">IF(CB734="","",100-SUM(CB734:CC734))</f>
        <v/>
      </c>
      <c r="CE734" s="328"/>
      <c r="CF734" s="197" t="str">
        <f>IF(AND($I734="x",AND(MAX(CB734:CD734)=CB734,CB734&lt;&gt;"")),Data!$BI$2,"")</f>
        <v/>
      </c>
      <c r="CG734" s="197" t="str">
        <f>IF(AND($J734="x",AND(MAX(CB734:CD734)=CC734,CC734&lt;&gt;"")),Data!$BJ$2,"")</f>
        <v/>
      </c>
      <c r="CH734" s="197" t="str">
        <f>IF(AND($K734="x",AND(MAX(CB734:CD734)=CD734,CD734&lt;&gt;"")),Data!$BK$2,"")</f>
        <v/>
      </c>
      <c r="CI734" s="197"/>
      <c r="CJ734" s="197"/>
      <c r="CK734" s="451"/>
      <c r="CL734" s="452"/>
      <c r="CM734" s="438" t="str">
        <f t="shared" ref="CM734:CM745" si="1098">IF(CK734="","",100-SUM(CK734:CL734))</f>
        <v/>
      </c>
      <c r="CN734" s="328"/>
      <c r="CO734" s="197" t="str">
        <f>IF(AND($I734="x",AND(MAX(CK734:CM734)=CK734,CK734&lt;&gt;"")),Data!$BI$2,"")</f>
        <v/>
      </c>
      <c r="CP734" s="197" t="str">
        <f>IF(AND($J734="x",AND(MAX(CK734:CM734)=CL734,CL734&lt;&gt;"")),Data!$BJ$2,"")</f>
        <v/>
      </c>
      <c r="CQ734" s="197" t="str">
        <f>IF(AND($K734="x",AND(MAX(CK734:CM734)=CM734,CM734&lt;&gt;"")),Data!$BK$2,"")</f>
        <v/>
      </c>
      <c r="CR734" s="197"/>
      <c r="CS734" s="197"/>
      <c r="CT734" s="328"/>
      <c r="CU734" s="255"/>
      <c r="CV734" s="209"/>
      <c r="CW734" s="227"/>
    </row>
    <row r="735" spans="1:101" x14ac:dyDescent="0.2">
      <c r="A735" s="227"/>
      <c r="B735" s="227"/>
      <c r="C735" s="168"/>
      <c r="D735" s="232"/>
      <c r="E735" s="135"/>
      <c r="F735" s="425"/>
      <c r="G735" s="430"/>
      <c r="H735" s="431"/>
      <c r="I735" s="346" t="str">
        <f t="shared" si="1085"/>
        <v/>
      </c>
      <c r="J735" s="347" t="str">
        <f t="shared" si="1086"/>
        <v/>
      </c>
      <c r="K735" s="348" t="str">
        <f t="shared" si="1087"/>
        <v/>
      </c>
      <c r="L735" s="258"/>
      <c r="M735" s="332"/>
      <c r="N735" s="336"/>
      <c r="O735" s="200"/>
      <c r="P735" s="200"/>
      <c r="Q735" s="439"/>
      <c r="R735" s="440"/>
      <c r="S735" s="441" t="str">
        <f t="shared" si="1088"/>
        <v/>
      </c>
      <c r="T735" s="328"/>
      <c r="U735" s="197" t="str">
        <f>IF(AND($I735="x",AND(MAX(Q735:S735)=Q735,Q735&gt;=0)),Data!$BI$2,"")</f>
        <v/>
      </c>
      <c r="V735" s="197" t="str">
        <f>IF(AND($J735="x",AND(MAX(Q735:S735)=R735,R735&gt;=0)),Data!$BJ$2,"")</f>
        <v/>
      </c>
      <c r="W735" s="197" t="str">
        <f>IF(AND($K735="x",AND(MAX(Q735:S735)=S735,S735&gt;=0)),Data!$BK$2,"")</f>
        <v/>
      </c>
      <c r="X735" s="197"/>
      <c r="Y735" s="328"/>
      <c r="Z735" s="453"/>
      <c r="AA735" s="454"/>
      <c r="AB735" s="441" t="str">
        <f t="shared" si="1089"/>
        <v/>
      </c>
      <c r="AC735" s="328"/>
      <c r="AD735" s="197" t="str">
        <f>IF(AND($I735="x",AND(MAX(Z735:AB735)=Z735,Z735&lt;&gt;"")),Data!$BI$2,"")</f>
        <v/>
      </c>
      <c r="AE735" s="197" t="str">
        <f>IF(AND($J735="x",AND(MAX(Z735:AB735)=AA735,AA735&lt;&gt;"")),Data!$BJ$2,"")</f>
        <v/>
      </c>
      <c r="AF735" s="197" t="str">
        <f>IF(AND($K735="x",AND(MAX(Z735:AB735)=AB735,AB735&lt;&gt;"")),Data!$BK$2,"")</f>
        <v/>
      </c>
      <c r="AG735" s="197"/>
      <c r="AH735" s="328"/>
      <c r="AI735" s="453"/>
      <c r="AJ735" s="454"/>
      <c r="AK735" s="441" t="str">
        <f t="shared" si="1090"/>
        <v/>
      </c>
      <c r="AL735" s="328"/>
      <c r="AM735" s="197" t="str">
        <f>IF(AND($I735="x",AND(MAX(AI735:AK735)=AI735,AI735&lt;&gt;"")),Data!$BI$2,"")</f>
        <v/>
      </c>
      <c r="AN735" s="197" t="str">
        <f>IF(AND($J735="x",AND(MAX(AI735:AK735)=AJ735,AJ735&lt;&gt;"")),Data!$BJ$2,"")</f>
        <v/>
      </c>
      <c r="AO735" s="197" t="str">
        <f>IF(AND($K735="x",AND(MAX(AI735:AK735)=AK735,AK735&lt;&gt;"")),Data!$BK$2,"")</f>
        <v/>
      </c>
      <c r="AP735" s="197"/>
      <c r="AQ735" s="328"/>
      <c r="AR735" s="453"/>
      <c r="AS735" s="454"/>
      <c r="AT735" s="441" t="str">
        <f t="shared" si="1091"/>
        <v/>
      </c>
      <c r="AU735" s="328"/>
      <c r="AV735" s="197" t="str">
        <f>IF(AND($I735="x",AND(MAX(AR735:AT735)=AR735,AR735&lt;&gt;"")),Data!$BI$2,"")</f>
        <v/>
      </c>
      <c r="AW735" s="197" t="str">
        <f>IF(AND($J735="x",AND(MAX(AR735:AT735)=AS735,AS735&lt;&gt;"")),Data!$BJ$2,"")</f>
        <v/>
      </c>
      <c r="AX735" s="197" t="str">
        <f>IF(AND($K735="x",AND(MAX(AR735:AT735)=AT735,AT735&lt;&gt;"")),Data!$BK$2,"")</f>
        <v/>
      </c>
      <c r="AY735" s="197"/>
      <c r="AZ735" s="328"/>
      <c r="BA735" s="453"/>
      <c r="BB735" s="454"/>
      <c r="BC735" s="441" t="str">
        <f t="shared" si="1092"/>
        <v/>
      </c>
      <c r="BD735" s="328"/>
      <c r="BE735" s="197" t="str">
        <f>IF(AND($I735="x",AND(MAX(BA735:BC735)=BA735,BA735&lt;&gt;"")),Data!$BI$2,"")</f>
        <v/>
      </c>
      <c r="BF735" s="197" t="str">
        <f>IF(AND($J735="x",AND(MAX(BA735:BC735)=BB735,BB735&lt;&gt;"")),Data!$BJ$2,"")</f>
        <v/>
      </c>
      <c r="BG735" s="197" t="str">
        <f>IF(AND($K735="x",AND(MAX(BA735:BC735)=BC735,BC735&lt;&gt;"")),Data!$BK$2,"")</f>
        <v/>
      </c>
      <c r="BH735" s="197"/>
      <c r="BI735" s="328"/>
      <c r="BJ735" s="453"/>
      <c r="BK735" s="454"/>
      <c r="BL735" s="441" t="str">
        <f t="shared" si="1093"/>
        <v/>
      </c>
      <c r="BM735" s="328"/>
      <c r="BN735" s="197" t="str">
        <f>IF(AND($I735="x",AND(MAX(BJ735:BL735)=BJ735,BJ735&lt;&gt;"")),Data!$BI$2,"")</f>
        <v/>
      </c>
      <c r="BO735" s="197" t="str">
        <f>IF(AND($J735="x",AND(MAX(BJ735:BL735)=BK735,BK735&lt;&gt;"")),Data!$BJ$2,"")</f>
        <v/>
      </c>
      <c r="BP735" s="197" t="str">
        <f>IF(AND($K735="x",AND(MAX(BJ735:BL735)=BL735,BL735&lt;&gt;"")),Data!$BK$2,"")</f>
        <v/>
      </c>
      <c r="BQ735" s="197"/>
      <c r="BR735" s="328"/>
      <c r="BS735" s="453"/>
      <c r="BT735" s="454"/>
      <c r="BU735" s="441" t="str">
        <f t="shared" si="1094"/>
        <v/>
      </c>
      <c r="BV735" s="328"/>
      <c r="BW735" s="197" t="str">
        <f>IF(AND($I735="x",AND(MAX(BS735:BU735)=BS735,BS735&lt;&gt;"")),Data!$BI$2,"")</f>
        <v/>
      </c>
      <c r="BX735" s="197" t="str">
        <f>IF(AND($J735="x",AND(MAX(BS735:BU735)=BT735,BT735&lt;&gt;"")),Data!$BJ$2,"")</f>
        <v/>
      </c>
      <c r="BY735" s="197" t="str">
        <f>IF(AND($K735="x",AND(MAX(BS735:BU735)=BU735,BU735&lt;&gt;"")),Data!$BK$2,"")</f>
        <v/>
      </c>
      <c r="BZ735" s="197"/>
      <c r="CA735" s="328"/>
      <c r="CB735" s="460" t="str">
        <f t="shared" si="1095"/>
        <v/>
      </c>
      <c r="CC735" s="461" t="str">
        <f t="shared" si="1096"/>
        <v/>
      </c>
      <c r="CD735" s="462" t="str">
        <f t="shared" si="1097"/>
        <v/>
      </c>
      <c r="CE735" s="328"/>
      <c r="CF735" s="197" t="str">
        <f>IF(AND($I735="x",AND(MAX(CB735:CD735)=CB735,CB735&lt;&gt;"")),Data!$BI$2,"")</f>
        <v/>
      </c>
      <c r="CG735" s="197" t="str">
        <f>IF(AND($J735="x",AND(MAX(CB735:CD735)=CC735,CC735&lt;&gt;"")),Data!$BJ$2,"")</f>
        <v/>
      </c>
      <c r="CH735" s="197" t="str">
        <f>IF(AND($K735="x",AND(MAX(CB735:CD735)=CD735,CD735&lt;&gt;"")),Data!$BK$2,"")</f>
        <v/>
      </c>
      <c r="CI735" s="197"/>
      <c r="CJ735" s="197"/>
      <c r="CK735" s="453"/>
      <c r="CL735" s="454"/>
      <c r="CM735" s="441" t="str">
        <f t="shared" si="1098"/>
        <v/>
      </c>
      <c r="CN735" s="328"/>
      <c r="CO735" s="197" t="str">
        <f>IF(AND($I735="x",AND(MAX(CK735:CM735)=CK735,CK735&lt;&gt;"")),Data!$BI$2,"")</f>
        <v/>
      </c>
      <c r="CP735" s="197" t="str">
        <f>IF(AND($J735="x",AND(MAX(CK735:CM735)=CL735,CL735&lt;&gt;"")),Data!$BJ$2,"")</f>
        <v/>
      </c>
      <c r="CQ735" s="197" t="str">
        <f>IF(AND($K735="x",AND(MAX(CK735:CM735)=CM735,CM735&lt;&gt;"")),Data!$BK$2,"")</f>
        <v/>
      </c>
      <c r="CR735" s="197"/>
      <c r="CS735" s="197"/>
      <c r="CT735" s="328"/>
      <c r="CU735" s="255"/>
      <c r="CV735" s="209"/>
      <c r="CW735" s="227"/>
    </row>
    <row r="736" spans="1:101" x14ac:dyDescent="0.2">
      <c r="A736" s="227"/>
      <c r="B736" s="227"/>
      <c r="C736" s="168"/>
      <c r="D736" s="232"/>
      <c r="E736" s="136"/>
      <c r="F736" s="426"/>
      <c r="G736" s="432"/>
      <c r="H736" s="433"/>
      <c r="I736" s="349" t="str">
        <f t="shared" si="1085"/>
        <v/>
      </c>
      <c r="J736" s="350" t="str">
        <f t="shared" si="1086"/>
        <v/>
      </c>
      <c r="K736" s="351" t="str">
        <f t="shared" si="1087"/>
        <v/>
      </c>
      <c r="L736" s="258"/>
      <c r="M736" s="332"/>
      <c r="N736" s="336"/>
      <c r="O736" s="200"/>
      <c r="P736" s="200"/>
      <c r="Q736" s="442"/>
      <c r="R736" s="443"/>
      <c r="S736" s="444" t="str">
        <f t="shared" si="1088"/>
        <v/>
      </c>
      <c r="T736" s="328"/>
      <c r="U736" s="197" t="str">
        <f>IF(AND($I736="x",AND(MAX(Q736:S736)=Q736,Q736&gt;=0)),Data!$BI$2,"")</f>
        <v/>
      </c>
      <c r="V736" s="197" t="str">
        <f>IF(AND($J736="x",AND(MAX(Q736:S736)=R736,R736&gt;=0)),Data!$BJ$2,"")</f>
        <v/>
      </c>
      <c r="W736" s="197" t="str">
        <f>IF(AND($K736="x",AND(MAX(Q736:S736)=S736,S736&gt;=0)),Data!$BK$2,"")</f>
        <v/>
      </c>
      <c r="X736" s="197"/>
      <c r="Y736" s="328"/>
      <c r="Z736" s="455"/>
      <c r="AA736" s="456"/>
      <c r="AB736" s="444" t="str">
        <f t="shared" si="1089"/>
        <v/>
      </c>
      <c r="AC736" s="328"/>
      <c r="AD736" s="197" t="str">
        <f>IF(AND($I736="x",AND(MAX(Z736:AB736)=Z736,Z736&lt;&gt;"")),Data!$BI$2,"")</f>
        <v/>
      </c>
      <c r="AE736" s="197" t="str">
        <f>IF(AND($J736="x",AND(MAX(Z736:AB736)=AA736,AA736&lt;&gt;"")),Data!$BJ$2,"")</f>
        <v/>
      </c>
      <c r="AF736" s="197" t="str">
        <f>IF(AND($K736="x",AND(MAX(Z736:AB736)=AB736,AB736&lt;&gt;"")),Data!$BK$2,"")</f>
        <v/>
      </c>
      <c r="AG736" s="197"/>
      <c r="AH736" s="328"/>
      <c r="AI736" s="455"/>
      <c r="AJ736" s="456"/>
      <c r="AK736" s="444" t="str">
        <f t="shared" si="1090"/>
        <v/>
      </c>
      <c r="AL736" s="328"/>
      <c r="AM736" s="197" t="str">
        <f>IF(AND($I736="x",AND(MAX(AI736:AK736)=AI736,AI736&lt;&gt;"")),Data!$BI$2,"")</f>
        <v/>
      </c>
      <c r="AN736" s="197" t="str">
        <f>IF(AND($J736="x",AND(MAX(AI736:AK736)=AJ736,AJ736&lt;&gt;"")),Data!$BJ$2,"")</f>
        <v/>
      </c>
      <c r="AO736" s="197" t="str">
        <f>IF(AND($K736="x",AND(MAX(AI736:AK736)=AK736,AK736&lt;&gt;"")),Data!$BK$2,"")</f>
        <v/>
      </c>
      <c r="AP736" s="197"/>
      <c r="AQ736" s="328"/>
      <c r="AR736" s="455"/>
      <c r="AS736" s="456"/>
      <c r="AT736" s="444" t="str">
        <f t="shared" si="1091"/>
        <v/>
      </c>
      <c r="AU736" s="328"/>
      <c r="AV736" s="197" t="str">
        <f>IF(AND($I736="x",AND(MAX(AR736:AT736)=AR736,AR736&lt;&gt;"")),Data!$BI$2,"")</f>
        <v/>
      </c>
      <c r="AW736" s="197" t="str">
        <f>IF(AND($J736="x",AND(MAX(AR736:AT736)=AS736,AS736&lt;&gt;"")),Data!$BJ$2,"")</f>
        <v/>
      </c>
      <c r="AX736" s="197" t="str">
        <f>IF(AND($K736="x",AND(MAX(AR736:AT736)=AT736,AT736&lt;&gt;"")),Data!$BK$2,"")</f>
        <v/>
      </c>
      <c r="AY736" s="197"/>
      <c r="AZ736" s="328"/>
      <c r="BA736" s="455"/>
      <c r="BB736" s="456"/>
      <c r="BC736" s="444" t="str">
        <f t="shared" si="1092"/>
        <v/>
      </c>
      <c r="BD736" s="328"/>
      <c r="BE736" s="197" t="str">
        <f>IF(AND($I736="x",AND(MAX(BA736:BC736)=BA736,BA736&lt;&gt;"")),Data!$BI$2,"")</f>
        <v/>
      </c>
      <c r="BF736" s="197" t="str">
        <f>IF(AND($J736="x",AND(MAX(BA736:BC736)=BB736,BB736&lt;&gt;"")),Data!$BJ$2,"")</f>
        <v/>
      </c>
      <c r="BG736" s="197" t="str">
        <f>IF(AND($K736="x",AND(MAX(BA736:BC736)=BC736,BC736&lt;&gt;"")),Data!$BK$2,"")</f>
        <v/>
      </c>
      <c r="BH736" s="197"/>
      <c r="BI736" s="328"/>
      <c r="BJ736" s="455"/>
      <c r="BK736" s="456"/>
      <c r="BL736" s="444" t="str">
        <f t="shared" si="1093"/>
        <v/>
      </c>
      <c r="BM736" s="328"/>
      <c r="BN736" s="197" t="str">
        <f>IF(AND($I736="x",AND(MAX(BJ736:BL736)=BJ736,BJ736&lt;&gt;"")),Data!$BI$2,"")</f>
        <v/>
      </c>
      <c r="BO736" s="197" t="str">
        <f>IF(AND($J736="x",AND(MAX(BJ736:BL736)=BK736,BK736&lt;&gt;"")),Data!$BJ$2,"")</f>
        <v/>
      </c>
      <c r="BP736" s="197" t="str">
        <f>IF(AND($K736="x",AND(MAX(BJ736:BL736)=BL736,BL736&lt;&gt;"")),Data!$BK$2,"")</f>
        <v/>
      </c>
      <c r="BQ736" s="197"/>
      <c r="BR736" s="328"/>
      <c r="BS736" s="455"/>
      <c r="BT736" s="456"/>
      <c r="BU736" s="444" t="str">
        <f t="shared" si="1094"/>
        <v/>
      </c>
      <c r="BV736" s="328"/>
      <c r="BW736" s="197" t="str">
        <f>IF(AND($I736="x",AND(MAX(BS736:BU736)=BS736,BS736&lt;&gt;"")),Data!$BI$2,"")</f>
        <v/>
      </c>
      <c r="BX736" s="197" t="str">
        <f>IF(AND($J736="x",AND(MAX(BS736:BU736)=BT736,BT736&lt;&gt;"")),Data!$BJ$2,"")</f>
        <v/>
      </c>
      <c r="BY736" s="197" t="str">
        <f>IF(AND($K736="x",AND(MAX(BS736:BU736)=BU736,BU736&lt;&gt;"")),Data!$BK$2,"")</f>
        <v/>
      </c>
      <c r="BZ736" s="197"/>
      <c r="CA736" s="328"/>
      <c r="CB736" s="463" t="str">
        <f t="shared" si="1095"/>
        <v/>
      </c>
      <c r="CC736" s="464" t="str">
        <f t="shared" si="1096"/>
        <v/>
      </c>
      <c r="CD736" s="465" t="str">
        <f t="shared" si="1097"/>
        <v/>
      </c>
      <c r="CE736" s="328"/>
      <c r="CF736" s="197" t="str">
        <f>IF(AND($I736="x",AND(MAX(CB736:CD736)=CB736,CB736&lt;&gt;"")),Data!$BI$2,"")</f>
        <v/>
      </c>
      <c r="CG736" s="197" t="str">
        <f>IF(AND($J736="x",AND(MAX(CB736:CD736)=CC736,CC736&lt;&gt;"")),Data!$BJ$2,"")</f>
        <v/>
      </c>
      <c r="CH736" s="197" t="str">
        <f>IF(AND($K736="x",AND(MAX(CB736:CD736)=CD736,CD736&lt;&gt;"")),Data!$BK$2,"")</f>
        <v/>
      </c>
      <c r="CI736" s="197"/>
      <c r="CJ736" s="197"/>
      <c r="CK736" s="455"/>
      <c r="CL736" s="456"/>
      <c r="CM736" s="444" t="str">
        <f t="shared" si="1098"/>
        <v/>
      </c>
      <c r="CN736" s="328"/>
      <c r="CO736" s="197" t="str">
        <f>IF(AND($I736="x",AND(MAX(CK736:CM736)=CK736,CK736&lt;&gt;"")),Data!$BI$2,"")</f>
        <v/>
      </c>
      <c r="CP736" s="197" t="str">
        <f>IF(AND($J736="x",AND(MAX(CK736:CM736)=CL736,CL736&lt;&gt;"")),Data!$BJ$2,"")</f>
        <v/>
      </c>
      <c r="CQ736" s="197" t="str">
        <f>IF(AND($K736="x",AND(MAX(CK736:CM736)=CM736,CM736&lt;&gt;"")),Data!$BK$2,"")</f>
        <v/>
      </c>
      <c r="CR736" s="197"/>
      <c r="CS736" s="197"/>
      <c r="CT736" s="328"/>
      <c r="CU736" s="255"/>
      <c r="CV736" s="209"/>
      <c r="CW736" s="227"/>
    </row>
    <row r="737" spans="1:101" x14ac:dyDescent="0.2">
      <c r="A737" s="227"/>
      <c r="B737" s="227"/>
      <c r="C737" s="168"/>
      <c r="D737" s="232"/>
      <c r="E737" s="134"/>
      <c r="F737" s="424"/>
      <c r="G737" s="428"/>
      <c r="H737" s="429"/>
      <c r="I737" s="138" t="str">
        <f t="shared" si="1085"/>
        <v/>
      </c>
      <c r="J737" s="344" t="str">
        <f t="shared" si="1086"/>
        <v/>
      </c>
      <c r="K737" s="345" t="str">
        <f t="shared" si="1087"/>
        <v/>
      </c>
      <c r="L737" s="258"/>
      <c r="M737" s="332"/>
      <c r="N737" s="336"/>
      <c r="O737" s="200"/>
      <c r="P737" s="200"/>
      <c r="Q737" s="436"/>
      <c r="R737" s="437"/>
      <c r="S737" s="438" t="str">
        <f t="shared" si="1088"/>
        <v/>
      </c>
      <c r="T737" s="328"/>
      <c r="U737" s="197" t="str">
        <f>IF(AND($I737="x",AND(MAX(Q737:S737)=Q737,Q737&gt;=0)),Data!$BI$2,"")</f>
        <v/>
      </c>
      <c r="V737" s="197" t="str">
        <f>IF(AND($J737="x",AND(MAX(Q737:S737)=R737,R737&gt;=0)),Data!$BJ$2,"")</f>
        <v/>
      </c>
      <c r="W737" s="197" t="str">
        <f>IF(AND($K737="x",AND(MAX(Q737:S737)=S737,S737&gt;=0)),Data!$BK$2,"")</f>
        <v/>
      </c>
      <c r="X737" s="197"/>
      <c r="Y737" s="328"/>
      <c r="Z737" s="451"/>
      <c r="AA737" s="452"/>
      <c r="AB737" s="438" t="str">
        <f t="shared" si="1089"/>
        <v/>
      </c>
      <c r="AC737" s="328"/>
      <c r="AD737" s="197" t="str">
        <f>IF(AND($I737="x",AND(MAX(Z737:AB737)=Z737,Z737&lt;&gt;"")),Data!$BI$2,"")</f>
        <v/>
      </c>
      <c r="AE737" s="197" t="str">
        <f>IF(AND($J737="x",AND(MAX(Z737:AB737)=AA737,AA737&lt;&gt;"")),Data!$BJ$2,"")</f>
        <v/>
      </c>
      <c r="AF737" s="197" t="str">
        <f>IF(AND($K737="x",AND(MAX(Z737:AB737)=AB737,AB737&lt;&gt;"")),Data!$BK$2,"")</f>
        <v/>
      </c>
      <c r="AG737" s="197"/>
      <c r="AH737" s="328"/>
      <c r="AI737" s="451"/>
      <c r="AJ737" s="452"/>
      <c r="AK737" s="438" t="str">
        <f t="shared" si="1090"/>
        <v/>
      </c>
      <c r="AL737" s="328"/>
      <c r="AM737" s="197" t="str">
        <f>IF(AND($I737="x",AND(MAX(AI737:AK737)=AI737,AI737&lt;&gt;"")),Data!$BI$2,"")</f>
        <v/>
      </c>
      <c r="AN737" s="197" t="str">
        <f>IF(AND($J737="x",AND(MAX(AI737:AK737)=AJ737,AJ737&lt;&gt;"")),Data!$BJ$2,"")</f>
        <v/>
      </c>
      <c r="AO737" s="197" t="str">
        <f>IF(AND($K737="x",AND(MAX(AI737:AK737)=AK737,AK737&lt;&gt;"")),Data!$BK$2,"")</f>
        <v/>
      </c>
      <c r="AP737" s="197"/>
      <c r="AQ737" s="328"/>
      <c r="AR737" s="451"/>
      <c r="AS737" s="452"/>
      <c r="AT737" s="438" t="str">
        <f t="shared" si="1091"/>
        <v/>
      </c>
      <c r="AU737" s="328"/>
      <c r="AV737" s="197" t="str">
        <f>IF(AND($I737="x",AND(MAX(AR737:AT737)=AR737,AR737&lt;&gt;"")),Data!$BI$2,"")</f>
        <v/>
      </c>
      <c r="AW737" s="197" t="str">
        <f>IF(AND($J737="x",AND(MAX(AR737:AT737)=AS737,AS737&lt;&gt;"")),Data!$BJ$2,"")</f>
        <v/>
      </c>
      <c r="AX737" s="197" t="str">
        <f>IF(AND($K737="x",AND(MAX(AR737:AT737)=AT737,AT737&lt;&gt;"")),Data!$BK$2,"")</f>
        <v/>
      </c>
      <c r="AY737" s="197"/>
      <c r="AZ737" s="328"/>
      <c r="BA737" s="451"/>
      <c r="BB737" s="452"/>
      <c r="BC737" s="438" t="str">
        <f t="shared" si="1092"/>
        <v/>
      </c>
      <c r="BD737" s="328"/>
      <c r="BE737" s="197" t="str">
        <f>IF(AND($I737="x",AND(MAX(BA737:BC737)=BA737,BA737&lt;&gt;"")),Data!$BI$2,"")</f>
        <v/>
      </c>
      <c r="BF737" s="197" t="str">
        <f>IF(AND($J737="x",AND(MAX(BA737:BC737)=BB737,BB737&lt;&gt;"")),Data!$BJ$2,"")</f>
        <v/>
      </c>
      <c r="BG737" s="197" t="str">
        <f>IF(AND($K737="x",AND(MAX(BA737:BC737)=BC737,BC737&lt;&gt;"")),Data!$BK$2,"")</f>
        <v/>
      </c>
      <c r="BH737" s="197"/>
      <c r="BI737" s="328"/>
      <c r="BJ737" s="451"/>
      <c r="BK737" s="452"/>
      <c r="BL737" s="438" t="str">
        <f t="shared" si="1093"/>
        <v/>
      </c>
      <c r="BM737" s="328"/>
      <c r="BN737" s="197" t="str">
        <f>IF(AND($I737="x",AND(MAX(BJ737:BL737)=BJ737,BJ737&lt;&gt;"")),Data!$BI$2,"")</f>
        <v/>
      </c>
      <c r="BO737" s="197" t="str">
        <f>IF(AND($J737="x",AND(MAX(BJ737:BL737)=BK737,BK737&lt;&gt;"")),Data!$BJ$2,"")</f>
        <v/>
      </c>
      <c r="BP737" s="197" t="str">
        <f>IF(AND($K737="x",AND(MAX(BJ737:BL737)=BL737,BL737&lt;&gt;"")),Data!$BK$2,"")</f>
        <v/>
      </c>
      <c r="BQ737" s="197"/>
      <c r="BR737" s="328"/>
      <c r="BS737" s="451"/>
      <c r="BT737" s="452"/>
      <c r="BU737" s="438" t="str">
        <f t="shared" si="1094"/>
        <v/>
      </c>
      <c r="BV737" s="328"/>
      <c r="BW737" s="197" t="str">
        <f>IF(AND($I737="x",AND(MAX(BS737:BU737)=BS737,BS737&lt;&gt;"")),Data!$BI$2,"")</f>
        <v/>
      </c>
      <c r="BX737" s="197" t="str">
        <f>IF(AND($J737="x",AND(MAX(BS737:BU737)=BT737,BT737&lt;&gt;"")),Data!$BJ$2,"")</f>
        <v/>
      </c>
      <c r="BY737" s="197" t="str">
        <f>IF(AND($K737="x",AND(MAX(BS737:BU737)=BU737,BU737&lt;&gt;"")),Data!$BK$2,"")</f>
        <v/>
      </c>
      <c r="BZ737" s="197"/>
      <c r="CA737" s="328"/>
      <c r="CB737" s="457" t="str">
        <f t="shared" si="1095"/>
        <v/>
      </c>
      <c r="CC737" s="458" t="str">
        <f t="shared" si="1096"/>
        <v/>
      </c>
      <c r="CD737" s="459" t="str">
        <f t="shared" si="1097"/>
        <v/>
      </c>
      <c r="CE737" s="328"/>
      <c r="CF737" s="197" t="str">
        <f>IF(AND($I737="x",AND(MAX(CB737:CD737)=CB737,CB737&lt;&gt;"")),Data!$BI$2,"")</f>
        <v/>
      </c>
      <c r="CG737" s="197" t="str">
        <f>IF(AND($J737="x",AND(MAX(CB737:CD737)=CC737,CC737&lt;&gt;"")),Data!$BJ$2,"")</f>
        <v/>
      </c>
      <c r="CH737" s="197" t="str">
        <f>IF(AND($K737="x",AND(MAX(CB737:CD737)=CD737,CD737&lt;&gt;"")),Data!$BK$2,"")</f>
        <v/>
      </c>
      <c r="CI737" s="197"/>
      <c r="CJ737" s="197"/>
      <c r="CK737" s="451"/>
      <c r="CL737" s="452"/>
      <c r="CM737" s="438" t="str">
        <f t="shared" si="1098"/>
        <v/>
      </c>
      <c r="CN737" s="328"/>
      <c r="CO737" s="197" t="str">
        <f>IF(AND($I737="x",AND(MAX(CK737:CM737)=CK737,CK737&lt;&gt;"")),Data!$BI$2,"")</f>
        <v/>
      </c>
      <c r="CP737" s="197" t="str">
        <f>IF(AND($J737="x",AND(MAX(CK737:CM737)=CL737,CL737&lt;&gt;"")),Data!$BJ$2,"")</f>
        <v/>
      </c>
      <c r="CQ737" s="197" t="str">
        <f>IF(AND($K737="x",AND(MAX(CK737:CM737)=CM737,CM737&lt;&gt;"")),Data!$BK$2,"")</f>
        <v/>
      </c>
      <c r="CR737" s="197"/>
      <c r="CS737" s="197"/>
      <c r="CT737" s="328"/>
      <c r="CU737" s="255"/>
      <c r="CV737" s="209"/>
      <c r="CW737" s="227"/>
    </row>
    <row r="738" spans="1:101" x14ac:dyDescent="0.2">
      <c r="A738" s="227"/>
      <c r="B738" s="227"/>
      <c r="C738" s="168"/>
      <c r="D738" s="232"/>
      <c r="E738" s="135"/>
      <c r="F738" s="425"/>
      <c r="G738" s="430"/>
      <c r="H738" s="431"/>
      <c r="I738" s="346" t="str">
        <f t="shared" si="1085"/>
        <v/>
      </c>
      <c r="J738" s="347" t="str">
        <f t="shared" si="1086"/>
        <v/>
      </c>
      <c r="K738" s="348" t="str">
        <f t="shared" si="1087"/>
        <v/>
      </c>
      <c r="L738" s="258"/>
      <c r="M738" s="332"/>
      <c r="N738" s="336"/>
      <c r="O738" s="200"/>
      <c r="P738" s="200"/>
      <c r="Q738" s="439"/>
      <c r="R738" s="440"/>
      <c r="S738" s="441" t="str">
        <f t="shared" si="1088"/>
        <v/>
      </c>
      <c r="T738" s="328"/>
      <c r="U738" s="197" t="str">
        <f>IF(AND($I738="x",AND(MAX(Q738:S738)=Q738,Q738&gt;=0)),Data!$BI$2,"")</f>
        <v/>
      </c>
      <c r="V738" s="197" t="str">
        <f>IF(AND($J738="x",AND(MAX(Q738:S738)=R738,R738&gt;=0)),Data!$BJ$2,"")</f>
        <v/>
      </c>
      <c r="W738" s="197" t="str">
        <f>IF(AND($K738="x",AND(MAX(Q738:S738)=S738,S738&gt;=0)),Data!$BK$2,"")</f>
        <v/>
      </c>
      <c r="X738" s="197"/>
      <c r="Y738" s="328"/>
      <c r="Z738" s="453"/>
      <c r="AA738" s="454"/>
      <c r="AB738" s="441" t="str">
        <f t="shared" si="1089"/>
        <v/>
      </c>
      <c r="AC738" s="328"/>
      <c r="AD738" s="197" t="str">
        <f>IF(AND($I738="x",AND(MAX(Z738:AB738)=Z738,Z738&lt;&gt;"")),Data!$BI$2,"")</f>
        <v/>
      </c>
      <c r="AE738" s="197" t="str">
        <f>IF(AND($J738="x",AND(MAX(Z738:AB738)=AA738,AA738&lt;&gt;"")),Data!$BJ$2,"")</f>
        <v/>
      </c>
      <c r="AF738" s="197" t="str">
        <f>IF(AND($K738="x",AND(MAX(Z738:AB738)=AB738,AB738&lt;&gt;"")),Data!$BK$2,"")</f>
        <v/>
      </c>
      <c r="AG738" s="197"/>
      <c r="AH738" s="328"/>
      <c r="AI738" s="453"/>
      <c r="AJ738" s="454"/>
      <c r="AK738" s="441" t="str">
        <f t="shared" si="1090"/>
        <v/>
      </c>
      <c r="AL738" s="328"/>
      <c r="AM738" s="197" t="str">
        <f>IF(AND($I738="x",AND(MAX(AI738:AK738)=AI738,AI738&lt;&gt;"")),Data!$BI$2,"")</f>
        <v/>
      </c>
      <c r="AN738" s="197" t="str">
        <f>IF(AND($J738="x",AND(MAX(AI738:AK738)=AJ738,AJ738&lt;&gt;"")),Data!$BJ$2,"")</f>
        <v/>
      </c>
      <c r="AO738" s="197" t="str">
        <f>IF(AND($K738="x",AND(MAX(AI738:AK738)=AK738,AK738&lt;&gt;"")),Data!$BK$2,"")</f>
        <v/>
      </c>
      <c r="AP738" s="197"/>
      <c r="AQ738" s="328"/>
      <c r="AR738" s="453"/>
      <c r="AS738" s="454"/>
      <c r="AT738" s="441" t="str">
        <f t="shared" si="1091"/>
        <v/>
      </c>
      <c r="AU738" s="328"/>
      <c r="AV738" s="197" t="str">
        <f>IF(AND($I738="x",AND(MAX(AR738:AT738)=AR738,AR738&lt;&gt;"")),Data!$BI$2,"")</f>
        <v/>
      </c>
      <c r="AW738" s="197" t="str">
        <f>IF(AND($J738="x",AND(MAX(AR738:AT738)=AS738,AS738&lt;&gt;"")),Data!$BJ$2,"")</f>
        <v/>
      </c>
      <c r="AX738" s="197" t="str">
        <f>IF(AND($K738="x",AND(MAX(AR738:AT738)=AT738,AT738&lt;&gt;"")),Data!$BK$2,"")</f>
        <v/>
      </c>
      <c r="AY738" s="197"/>
      <c r="AZ738" s="328"/>
      <c r="BA738" s="453"/>
      <c r="BB738" s="454"/>
      <c r="BC738" s="441" t="str">
        <f t="shared" si="1092"/>
        <v/>
      </c>
      <c r="BD738" s="328"/>
      <c r="BE738" s="197" t="str">
        <f>IF(AND($I738="x",AND(MAX(BA738:BC738)=BA738,BA738&lt;&gt;"")),Data!$BI$2,"")</f>
        <v/>
      </c>
      <c r="BF738" s="197" t="str">
        <f>IF(AND($J738="x",AND(MAX(BA738:BC738)=BB738,BB738&lt;&gt;"")),Data!$BJ$2,"")</f>
        <v/>
      </c>
      <c r="BG738" s="197" t="str">
        <f>IF(AND($K738="x",AND(MAX(BA738:BC738)=BC738,BC738&lt;&gt;"")),Data!$BK$2,"")</f>
        <v/>
      </c>
      <c r="BH738" s="197"/>
      <c r="BI738" s="328"/>
      <c r="BJ738" s="453"/>
      <c r="BK738" s="454"/>
      <c r="BL738" s="441" t="str">
        <f t="shared" si="1093"/>
        <v/>
      </c>
      <c r="BM738" s="328"/>
      <c r="BN738" s="197" t="str">
        <f>IF(AND($I738="x",AND(MAX(BJ738:BL738)=BJ738,BJ738&lt;&gt;"")),Data!$BI$2,"")</f>
        <v/>
      </c>
      <c r="BO738" s="197" t="str">
        <f>IF(AND($J738="x",AND(MAX(BJ738:BL738)=BK738,BK738&lt;&gt;"")),Data!$BJ$2,"")</f>
        <v/>
      </c>
      <c r="BP738" s="197" t="str">
        <f>IF(AND($K738="x",AND(MAX(BJ738:BL738)=BL738,BL738&lt;&gt;"")),Data!$BK$2,"")</f>
        <v/>
      </c>
      <c r="BQ738" s="197"/>
      <c r="BR738" s="328"/>
      <c r="BS738" s="453"/>
      <c r="BT738" s="454"/>
      <c r="BU738" s="441" t="str">
        <f t="shared" si="1094"/>
        <v/>
      </c>
      <c r="BV738" s="328"/>
      <c r="BW738" s="197" t="str">
        <f>IF(AND($I738="x",AND(MAX(BS738:BU738)=BS738,BS738&lt;&gt;"")),Data!$BI$2,"")</f>
        <v/>
      </c>
      <c r="BX738" s="197" t="str">
        <f>IF(AND($J738="x",AND(MAX(BS738:BU738)=BT738,BT738&lt;&gt;"")),Data!$BJ$2,"")</f>
        <v/>
      </c>
      <c r="BY738" s="197" t="str">
        <f>IF(AND($K738="x",AND(MAX(BS738:BU738)=BU738,BU738&lt;&gt;"")),Data!$BK$2,"")</f>
        <v/>
      </c>
      <c r="BZ738" s="197"/>
      <c r="CA738" s="328"/>
      <c r="CB738" s="460" t="str">
        <f t="shared" si="1095"/>
        <v/>
      </c>
      <c r="CC738" s="461" t="str">
        <f t="shared" si="1096"/>
        <v/>
      </c>
      <c r="CD738" s="462" t="str">
        <f t="shared" si="1097"/>
        <v/>
      </c>
      <c r="CE738" s="328"/>
      <c r="CF738" s="197" t="str">
        <f>IF(AND($I738="x",AND(MAX(CB738:CD738)=CB738,CB738&lt;&gt;"")),Data!$BI$2,"")</f>
        <v/>
      </c>
      <c r="CG738" s="197" t="str">
        <f>IF(AND($J738="x",AND(MAX(CB738:CD738)=CC738,CC738&lt;&gt;"")),Data!$BJ$2,"")</f>
        <v/>
      </c>
      <c r="CH738" s="197" t="str">
        <f>IF(AND($K738="x",AND(MAX(CB738:CD738)=CD738,CD738&lt;&gt;"")),Data!$BK$2,"")</f>
        <v/>
      </c>
      <c r="CI738" s="197"/>
      <c r="CJ738" s="197"/>
      <c r="CK738" s="453"/>
      <c r="CL738" s="454"/>
      <c r="CM738" s="441" t="str">
        <f t="shared" si="1098"/>
        <v/>
      </c>
      <c r="CN738" s="328"/>
      <c r="CO738" s="197" t="str">
        <f>IF(AND($I738="x",AND(MAX(CK738:CM738)=CK738,CK738&lt;&gt;"")),Data!$BI$2,"")</f>
        <v/>
      </c>
      <c r="CP738" s="197" t="str">
        <f>IF(AND($J738="x",AND(MAX(CK738:CM738)=CL738,CL738&lt;&gt;"")),Data!$BJ$2,"")</f>
        <v/>
      </c>
      <c r="CQ738" s="197" t="str">
        <f>IF(AND($K738="x",AND(MAX(CK738:CM738)=CM738,CM738&lt;&gt;"")),Data!$BK$2,"")</f>
        <v/>
      </c>
      <c r="CR738" s="197"/>
      <c r="CS738" s="197"/>
      <c r="CT738" s="328"/>
      <c r="CU738" s="255"/>
      <c r="CV738" s="209"/>
      <c r="CW738" s="227"/>
    </row>
    <row r="739" spans="1:101" x14ac:dyDescent="0.2">
      <c r="A739" s="227"/>
      <c r="B739" s="227"/>
      <c r="C739" s="168"/>
      <c r="D739" s="232"/>
      <c r="E739" s="136"/>
      <c r="F739" s="426"/>
      <c r="G739" s="432"/>
      <c r="H739" s="433"/>
      <c r="I739" s="349" t="str">
        <f t="shared" si="1085"/>
        <v/>
      </c>
      <c r="J739" s="350" t="str">
        <f t="shared" si="1086"/>
        <v/>
      </c>
      <c r="K739" s="351" t="str">
        <f t="shared" si="1087"/>
        <v/>
      </c>
      <c r="L739" s="258"/>
      <c r="M739" s="332"/>
      <c r="N739" s="336"/>
      <c r="O739" s="200"/>
      <c r="P739" s="200"/>
      <c r="Q739" s="445"/>
      <c r="R739" s="446"/>
      <c r="S739" s="447" t="str">
        <f t="shared" si="1088"/>
        <v/>
      </c>
      <c r="T739" s="328"/>
      <c r="U739" s="197" t="str">
        <f>IF(AND($I739="x",AND(MAX(Q739:S739)=Q739,Q739&gt;=0)),Data!$BI$2,"")</f>
        <v/>
      </c>
      <c r="V739" s="197" t="str">
        <f>IF(AND($J739="x",AND(MAX(Q739:S739)=R739,R739&gt;=0)),Data!$BJ$2,"")</f>
        <v/>
      </c>
      <c r="W739" s="197" t="str">
        <f>IF(AND($K739="x",AND(MAX(Q739:S739)=S739,S739&gt;=0)),Data!$BK$2,"")</f>
        <v/>
      </c>
      <c r="X739" s="197"/>
      <c r="Y739" s="328"/>
      <c r="Z739" s="455"/>
      <c r="AA739" s="456"/>
      <c r="AB739" s="447" t="str">
        <f t="shared" si="1089"/>
        <v/>
      </c>
      <c r="AC739" s="328"/>
      <c r="AD739" s="197" t="str">
        <f>IF(AND($I739="x",AND(MAX(Z739:AB739)=Z739,Z739&lt;&gt;"")),Data!$BI$2,"")</f>
        <v/>
      </c>
      <c r="AE739" s="197" t="str">
        <f>IF(AND($J739="x",AND(MAX(Z739:AB739)=AA739,AA739&lt;&gt;"")),Data!$BJ$2,"")</f>
        <v/>
      </c>
      <c r="AF739" s="197" t="str">
        <f>IF(AND($K739="x",AND(MAX(Z739:AB739)=AB739,AB739&lt;&gt;"")),Data!$BK$2,"")</f>
        <v/>
      </c>
      <c r="AG739" s="197"/>
      <c r="AH739" s="328"/>
      <c r="AI739" s="455"/>
      <c r="AJ739" s="456"/>
      <c r="AK739" s="447" t="str">
        <f t="shared" si="1090"/>
        <v/>
      </c>
      <c r="AL739" s="328"/>
      <c r="AM739" s="197" t="str">
        <f>IF(AND($I739="x",AND(MAX(AI739:AK739)=AI739,AI739&lt;&gt;"")),Data!$BI$2,"")</f>
        <v/>
      </c>
      <c r="AN739" s="197" t="str">
        <f>IF(AND($J739="x",AND(MAX(AI739:AK739)=AJ739,AJ739&lt;&gt;"")),Data!$BJ$2,"")</f>
        <v/>
      </c>
      <c r="AO739" s="197" t="str">
        <f>IF(AND($K739="x",AND(MAX(AI739:AK739)=AK739,AK739&lt;&gt;"")),Data!$BK$2,"")</f>
        <v/>
      </c>
      <c r="AP739" s="197"/>
      <c r="AQ739" s="328"/>
      <c r="AR739" s="455"/>
      <c r="AS739" s="456"/>
      <c r="AT739" s="447" t="str">
        <f t="shared" si="1091"/>
        <v/>
      </c>
      <c r="AU739" s="328"/>
      <c r="AV739" s="197" t="str">
        <f>IF(AND($I739="x",AND(MAX(AR739:AT739)=AR739,AR739&lt;&gt;"")),Data!$BI$2,"")</f>
        <v/>
      </c>
      <c r="AW739" s="197" t="str">
        <f>IF(AND($J739="x",AND(MAX(AR739:AT739)=AS739,AS739&lt;&gt;"")),Data!$BJ$2,"")</f>
        <v/>
      </c>
      <c r="AX739" s="197" t="str">
        <f>IF(AND($K739="x",AND(MAX(AR739:AT739)=AT739,AT739&lt;&gt;"")),Data!$BK$2,"")</f>
        <v/>
      </c>
      <c r="AY739" s="197"/>
      <c r="AZ739" s="328"/>
      <c r="BA739" s="455"/>
      <c r="BB739" s="456"/>
      <c r="BC739" s="447" t="str">
        <f>IF(BA739="","",100-SUM(BA739:BB739))</f>
        <v/>
      </c>
      <c r="BD739" s="328"/>
      <c r="BE739" s="197" t="str">
        <f>IF(AND($I739="x",AND(MAX(BA739:BC739)=BA739,BA739&lt;&gt;"")),Data!$BI$2,"")</f>
        <v/>
      </c>
      <c r="BF739" s="197" t="str">
        <f>IF(AND($J739="x",AND(MAX(BA739:BC739)=BB739,BB739&lt;&gt;"")),Data!$BJ$2,"")</f>
        <v/>
      </c>
      <c r="BG739" s="197" t="str">
        <f>IF(AND($K739="x",AND(MAX(BA739:BC739)=BC739,BC739&lt;&gt;"")),Data!$BK$2,"")</f>
        <v/>
      </c>
      <c r="BH739" s="197"/>
      <c r="BI739" s="328"/>
      <c r="BJ739" s="455"/>
      <c r="BK739" s="456"/>
      <c r="BL739" s="447" t="str">
        <f t="shared" si="1093"/>
        <v/>
      </c>
      <c r="BM739" s="328"/>
      <c r="BN739" s="197" t="str">
        <f>IF(AND($I739="x",AND(MAX(BJ739:BL739)=BJ739,BJ739&lt;&gt;"")),Data!$BI$2,"")</f>
        <v/>
      </c>
      <c r="BO739" s="197" t="str">
        <f>IF(AND($J739="x",AND(MAX(BJ739:BL739)=BK739,BK739&lt;&gt;"")),Data!$BJ$2,"")</f>
        <v/>
      </c>
      <c r="BP739" s="197" t="str">
        <f>IF(AND($K739="x",AND(MAX(BJ739:BL739)=BL739,BL739&lt;&gt;"")),Data!$BK$2,"")</f>
        <v/>
      </c>
      <c r="BQ739" s="197"/>
      <c r="BR739" s="328"/>
      <c r="BS739" s="455"/>
      <c r="BT739" s="456"/>
      <c r="BU739" s="447" t="str">
        <f t="shared" si="1094"/>
        <v/>
      </c>
      <c r="BV739" s="328"/>
      <c r="BW739" s="197" t="str">
        <f>IF(AND($I739="x",AND(MAX(BS739:BU739)=BS739,BS739&lt;&gt;"")),Data!$BI$2,"")</f>
        <v/>
      </c>
      <c r="BX739" s="197" t="str">
        <f>IF(AND($J739="x",AND(MAX(BS739:BU739)=BT739,BT739&lt;&gt;"")),Data!$BJ$2,"")</f>
        <v/>
      </c>
      <c r="BY739" s="197" t="str">
        <f>IF(AND($K739="x",AND(MAX(BS739:BU739)=BU739,BU739&lt;&gt;"")),Data!$BK$2,"")</f>
        <v/>
      </c>
      <c r="BZ739" s="197"/>
      <c r="CA739" s="328"/>
      <c r="CB739" s="463" t="str">
        <f t="shared" si="1095"/>
        <v/>
      </c>
      <c r="CC739" s="464" t="str">
        <f t="shared" si="1096"/>
        <v/>
      </c>
      <c r="CD739" s="465" t="str">
        <f t="shared" si="1097"/>
        <v/>
      </c>
      <c r="CE739" s="328"/>
      <c r="CF739" s="197" t="str">
        <f>IF(AND($I739="x",AND(MAX(CB739:CD739)=CB739,CB739&lt;&gt;"")),Data!$BI$2,"")</f>
        <v/>
      </c>
      <c r="CG739" s="197" t="str">
        <f>IF(AND($J739="x",AND(MAX(CB739:CD739)=CC739,CC739&lt;&gt;"")),Data!$BJ$2,"")</f>
        <v/>
      </c>
      <c r="CH739" s="197" t="str">
        <f>IF(AND($K739="x",AND(MAX(CB739:CD739)=CD739,CD739&lt;&gt;"")),Data!$BK$2,"")</f>
        <v/>
      </c>
      <c r="CI739" s="197"/>
      <c r="CJ739" s="197"/>
      <c r="CK739" s="455"/>
      <c r="CL739" s="456"/>
      <c r="CM739" s="447" t="str">
        <f t="shared" si="1098"/>
        <v/>
      </c>
      <c r="CN739" s="328"/>
      <c r="CO739" s="197" t="str">
        <f>IF(AND($I739="x",AND(MAX(CK739:CM739)=CK739,CK739&lt;&gt;"")),Data!$BI$2,"")</f>
        <v/>
      </c>
      <c r="CP739" s="197" t="str">
        <f>IF(AND($J739="x",AND(MAX(CK739:CM739)=CL739,CL739&lt;&gt;"")),Data!$BJ$2,"")</f>
        <v/>
      </c>
      <c r="CQ739" s="197" t="str">
        <f>IF(AND($K739="x",AND(MAX(CK739:CM739)=CM739,CM739&lt;&gt;"")),Data!$BK$2,"")</f>
        <v/>
      </c>
      <c r="CR739" s="197"/>
      <c r="CS739" s="197"/>
      <c r="CT739" s="328"/>
      <c r="CU739" s="255"/>
      <c r="CV739" s="209"/>
      <c r="CW739" s="227"/>
    </row>
    <row r="740" spans="1:101" x14ac:dyDescent="0.2">
      <c r="A740" s="227"/>
      <c r="B740" s="227"/>
      <c r="C740" s="168"/>
      <c r="D740" s="232"/>
      <c r="E740" s="134"/>
      <c r="F740" s="424"/>
      <c r="G740" s="428"/>
      <c r="H740" s="429"/>
      <c r="I740" s="138" t="str">
        <f t="shared" si="1085"/>
        <v/>
      </c>
      <c r="J740" s="344" t="str">
        <f t="shared" si="1086"/>
        <v/>
      </c>
      <c r="K740" s="345" t="str">
        <f t="shared" si="1087"/>
        <v/>
      </c>
      <c r="L740" s="258"/>
      <c r="M740" s="332"/>
      <c r="N740" s="336"/>
      <c r="O740" s="200"/>
      <c r="P740" s="200"/>
      <c r="Q740" s="436"/>
      <c r="R740" s="437"/>
      <c r="S740" s="438" t="str">
        <f t="shared" si="1088"/>
        <v/>
      </c>
      <c r="T740" s="328"/>
      <c r="U740" s="197" t="str">
        <f>IF(AND($I740="x",AND(MAX(Q740:S740)=Q740,Q740&gt;=0)),Data!$BI$2,"")</f>
        <v/>
      </c>
      <c r="V740" s="197" t="str">
        <f>IF(AND($J740="x",AND(MAX(Q740:S740)=R740,R740&gt;=0)),Data!$BJ$2,"")</f>
        <v/>
      </c>
      <c r="W740" s="197" t="str">
        <f>IF(AND($K740="x",AND(MAX(Q740:S740)=S740,S740&gt;=0)),Data!$BK$2,"")</f>
        <v/>
      </c>
      <c r="X740" s="197"/>
      <c r="Y740" s="328"/>
      <c r="Z740" s="451"/>
      <c r="AA740" s="452"/>
      <c r="AB740" s="438" t="str">
        <f t="shared" si="1089"/>
        <v/>
      </c>
      <c r="AC740" s="328"/>
      <c r="AD740" s="197" t="str">
        <f>IF(AND($I740="x",AND(MAX(Z740:AB740)=Z740,Z740&lt;&gt;"")),Data!$BI$2,"")</f>
        <v/>
      </c>
      <c r="AE740" s="197" t="str">
        <f>IF(AND($J740="x",AND(MAX(Z740:AB740)=AA740,AA740&lt;&gt;"")),Data!$BJ$2,"")</f>
        <v/>
      </c>
      <c r="AF740" s="197" t="str">
        <f>IF(AND($K740="x",AND(MAX(Z740:AB740)=AB740,AB740&lt;&gt;"")),Data!$BK$2,"")</f>
        <v/>
      </c>
      <c r="AG740" s="197"/>
      <c r="AH740" s="328"/>
      <c r="AI740" s="451"/>
      <c r="AJ740" s="452"/>
      <c r="AK740" s="438" t="str">
        <f t="shared" si="1090"/>
        <v/>
      </c>
      <c r="AL740" s="328"/>
      <c r="AM740" s="197" t="str">
        <f>IF(AND($I740="x",AND(MAX(AI740:AK740)=AI740,AI740&lt;&gt;"")),Data!$BI$2,"")</f>
        <v/>
      </c>
      <c r="AN740" s="197" t="str">
        <f>IF(AND($J740="x",AND(MAX(AI740:AK740)=AJ740,AJ740&lt;&gt;"")),Data!$BJ$2,"")</f>
        <v/>
      </c>
      <c r="AO740" s="197" t="str">
        <f>IF(AND($K740="x",AND(MAX(AI740:AK740)=AK740,AK740&lt;&gt;"")),Data!$BK$2,"")</f>
        <v/>
      </c>
      <c r="AP740" s="197"/>
      <c r="AQ740" s="328"/>
      <c r="AR740" s="451"/>
      <c r="AS740" s="452"/>
      <c r="AT740" s="438" t="str">
        <f t="shared" si="1091"/>
        <v/>
      </c>
      <c r="AU740" s="328"/>
      <c r="AV740" s="197" t="str">
        <f>IF(AND($I740="x",AND(MAX(AR740:AT740)=AR740,AR740&lt;&gt;"")),Data!$BI$2,"")</f>
        <v/>
      </c>
      <c r="AW740" s="197" t="str">
        <f>IF(AND($J740="x",AND(MAX(AR740:AT740)=AS740,AS740&lt;&gt;"")),Data!$BJ$2,"")</f>
        <v/>
      </c>
      <c r="AX740" s="197" t="str">
        <f>IF(AND($K740="x",AND(MAX(AR740:AT740)=AT740,AT740&lt;&gt;"")),Data!$BK$2,"")</f>
        <v/>
      </c>
      <c r="AY740" s="197"/>
      <c r="AZ740" s="328"/>
      <c r="BA740" s="451"/>
      <c r="BB740" s="452"/>
      <c r="BC740" s="438" t="str">
        <f t="shared" si="1092"/>
        <v/>
      </c>
      <c r="BD740" s="328"/>
      <c r="BE740" s="197" t="str">
        <f>IF(AND($I740="x",AND(MAX(BA740:BC740)=BA740,BA740&lt;&gt;"")),Data!$BI$2,"")</f>
        <v/>
      </c>
      <c r="BF740" s="197" t="str">
        <f>IF(AND($J740="x",AND(MAX(BA740:BC740)=BB740,BB740&lt;&gt;"")),Data!$BJ$2,"")</f>
        <v/>
      </c>
      <c r="BG740" s="197" t="str">
        <f>IF(AND($K740="x",AND(MAX(BA740:BC740)=BC740,BC740&lt;&gt;"")),Data!$BK$2,"")</f>
        <v/>
      </c>
      <c r="BH740" s="197"/>
      <c r="BI740" s="328"/>
      <c r="BJ740" s="451"/>
      <c r="BK740" s="452"/>
      <c r="BL740" s="438" t="str">
        <f t="shared" si="1093"/>
        <v/>
      </c>
      <c r="BM740" s="328"/>
      <c r="BN740" s="197" t="str">
        <f>IF(AND($I740="x",AND(MAX(BJ740:BL740)=BJ740,BJ740&lt;&gt;"")),Data!$BI$2,"")</f>
        <v/>
      </c>
      <c r="BO740" s="197" t="str">
        <f>IF(AND($J740="x",AND(MAX(BJ740:BL740)=BK740,BK740&lt;&gt;"")),Data!$BJ$2,"")</f>
        <v/>
      </c>
      <c r="BP740" s="197" t="str">
        <f>IF(AND($K740="x",AND(MAX(BJ740:BL740)=BL740,BL740&lt;&gt;"")),Data!$BK$2,"")</f>
        <v/>
      </c>
      <c r="BQ740" s="197"/>
      <c r="BR740" s="328"/>
      <c r="BS740" s="451"/>
      <c r="BT740" s="452"/>
      <c r="BU740" s="438" t="str">
        <f t="shared" si="1094"/>
        <v/>
      </c>
      <c r="BV740" s="328"/>
      <c r="BW740" s="197" t="str">
        <f>IF(AND($I740="x",AND(MAX(BS740:BU740)=BS740,BS740&lt;&gt;"")),Data!$BI$2,"")</f>
        <v/>
      </c>
      <c r="BX740" s="197" t="str">
        <f>IF(AND($J740="x",AND(MAX(BS740:BU740)=BT740,BT740&lt;&gt;"")),Data!$BJ$2,"")</f>
        <v/>
      </c>
      <c r="BY740" s="197" t="str">
        <f>IF(AND($K740="x",AND(MAX(BS740:BU740)=BU740,BU740&lt;&gt;"")),Data!$BK$2,"")</f>
        <v/>
      </c>
      <c r="BZ740" s="197"/>
      <c r="CA740" s="328"/>
      <c r="CB740" s="457" t="str">
        <f t="shared" si="1095"/>
        <v/>
      </c>
      <c r="CC740" s="458" t="str">
        <f t="shared" si="1096"/>
        <v/>
      </c>
      <c r="CD740" s="459" t="str">
        <f t="shared" si="1097"/>
        <v/>
      </c>
      <c r="CE740" s="328"/>
      <c r="CF740" s="197" t="str">
        <f>IF(AND($I740="x",AND(MAX(CB740:CD740)=CB740,CB740&lt;&gt;"")),Data!$BI$2,"")</f>
        <v/>
      </c>
      <c r="CG740" s="197" t="str">
        <f>IF(AND($J740="x",AND(MAX(CB740:CD740)=CC740,CC740&lt;&gt;"")),Data!$BJ$2,"")</f>
        <v/>
      </c>
      <c r="CH740" s="197" t="str">
        <f>IF(AND($K740="x",AND(MAX(CB740:CD740)=CD740,CD740&lt;&gt;"")),Data!$BK$2,"")</f>
        <v/>
      </c>
      <c r="CI740" s="197"/>
      <c r="CJ740" s="197"/>
      <c r="CK740" s="451"/>
      <c r="CL740" s="452"/>
      <c r="CM740" s="438" t="str">
        <f t="shared" si="1098"/>
        <v/>
      </c>
      <c r="CN740" s="328"/>
      <c r="CO740" s="197" t="str">
        <f>IF(AND($I740="x",AND(MAX(CK740:CM740)=CK740,CK740&lt;&gt;"")),Data!$BI$2,"")</f>
        <v/>
      </c>
      <c r="CP740" s="197" t="str">
        <f>IF(AND($J740="x",AND(MAX(CK740:CM740)=CL740,CL740&lt;&gt;"")),Data!$BJ$2,"")</f>
        <v/>
      </c>
      <c r="CQ740" s="197" t="str">
        <f>IF(AND($K740="x",AND(MAX(CK740:CM740)=CM740,CM740&lt;&gt;"")),Data!$BK$2,"")</f>
        <v/>
      </c>
      <c r="CR740" s="197"/>
      <c r="CS740" s="197"/>
      <c r="CT740" s="328"/>
      <c r="CU740" s="259"/>
      <c r="CV740" s="209"/>
      <c r="CW740" s="227"/>
    </row>
    <row r="741" spans="1:101" x14ac:dyDescent="0.2">
      <c r="A741" s="227"/>
      <c r="B741" s="227"/>
      <c r="C741" s="168"/>
      <c r="D741" s="232"/>
      <c r="E741" s="135"/>
      <c r="F741" s="425"/>
      <c r="G741" s="430"/>
      <c r="H741" s="431"/>
      <c r="I741" s="346" t="str">
        <f t="shared" si="1085"/>
        <v/>
      </c>
      <c r="J741" s="347" t="str">
        <f t="shared" si="1086"/>
        <v/>
      </c>
      <c r="K741" s="348" t="str">
        <f t="shared" si="1087"/>
        <v/>
      </c>
      <c r="L741" s="258"/>
      <c r="M741" s="332"/>
      <c r="N741" s="336"/>
      <c r="O741" s="200"/>
      <c r="P741" s="200"/>
      <c r="Q741" s="439"/>
      <c r="R741" s="440"/>
      <c r="S741" s="441" t="str">
        <f t="shared" si="1088"/>
        <v/>
      </c>
      <c r="T741" s="328"/>
      <c r="U741" s="197" t="str">
        <f>IF(AND($I741="x",AND(MAX(Q741:S741)=Q741,Q741&gt;=0)),Data!$BI$2,"")</f>
        <v/>
      </c>
      <c r="V741" s="197" t="str">
        <f>IF(AND($J741="x",AND(MAX(Q741:S741)=R741,R741&gt;=0)),Data!$BJ$2,"")</f>
        <v/>
      </c>
      <c r="W741" s="197" t="str">
        <f>IF(AND($K741="x",AND(MAX(Q741:S741)=S741,S741&gt;=0)),Data!$BK$2,"")</f>
        <v/>
      </c>
      <c r="X741" s="197"/>
      <c r="Y741" s="328"/>
      <c r="Z741" s="453"/>
      <c r="AA741" s="454"/>
      <c r="AB741" s="441" t="str">
        <f t="shared" si="1089"/>
        <v/>
      </c>
      <c r="AC741" s="328"/>
      <c r="AD741" s="197" t="str">
        <f>IF(AND($I741="x",AND(MAX(Z741:AB741)=Z741,Z741&lt;&gt;"")),Data!$BI$2,"")</f>
        <v/>
      </c>
      <c r="AE741" s="197" t="str">
        <f>IF(AND($J741="x",AND(MAX(Z741:AB741)=AA741,AA741&lt;&gt;"")),Data!$BJ$2,"")</f>
        <v/>
      </c>
      <c r="AF741" s="197" t="str">
        <f>IF(AND($K741="x",AND(MAX(Z741:AB741)=AB741,AB741&lt;&gt;"")),Data!$BK$2,"")</f>
        <v/>
      </c>
      <c r="AG741" s="197"/>
      <c r="AH741" s="328"/>
      <c r="AI741" s="453"/>
      <c r="AJ741" s="454"/>
      <c r="AK741" s="441" t="str">
        <f t="shared" si="1090"/>
        <v/>
      </c>
      <c r="AL741" s="328"/>
      <c r="AM741" s="197" t="str">
        <f>IF(AND($I741="x",AND(MAX(AI741:AK741)=AI741,AI741&lt;&gt;"")),Data!$BI$2,"")</f>
        <v/>
      </c>
      <c r="AN741" s="197" t="str">
        <f>IF(AND($J741="x",AND(MAX(AI741:AK741)=AJ741,AJ741&lt;&gt;"")),Data!$BJ$2,"")</f>
        <v/>
      </c>
      <c r="AO741" s="197" t="str">
        <f>IF(AND($K741="x",AND(MAX(AI741:AK741)=AK741,AK741&lt;&gt;"")),Data!$BK$2,"")</f>
        <v/>
      </c>
      <c r="AP741" s="197"/>
      <c r="AQ741" s="328"/>
      <c r="AR741" s="453"/>
      <c r="AS741" s="454"/>
      <c r="AT741" s="441" t="str">
        <f t="shared" si="1091"/>
        <v/>
      </c>
      <c r="AU741" s="328"/>
      <c r="AV741" s="197" t="str">
        <f>IF(AND($I741="x",AND(MAX(AR741:AT741)=AR741,AR741&lt;&gt;"")),Data!$BI$2,"")</f>
        <v/>
      </c>
      <c r="AW741" s="197" t="str">
        <f>IF(AND($J741="x",AND(MAX(AR741:AT741)=AS741,AS741&lt;&gt;"")),Data!$BJ$2,"")</f>
        <v/>
      </c>
      <c r="AX741" s="197" t="str">
        <f>IF(AND($K741="x",AND(MAX(AR741:AT741)=AT741,AT741&lt;&gt;"")),Data!$BK$2,"")</f>
        <v/>
      </c>
      <c r="AY741" s="197"/>
      <c r="AZ741" s="328"/>
      <c r="BA741" s="453"/>
      <c r="BB741" s="454"/>
      <c r="BC741" s="441" t="str">
        <f t="shared" si="1092"/>
        <v/>
      </c>
      <c r="BD741" s="328"/>
      <c r="BE741" s="197" t="str">
        <f>IF(AND($I741="x",AND(MAX(BA741:BC741)=BA741,BA741&lt;&gt;"")),Data!$BI$2,"")</f>
        <v/>
      </c>
      <c r="BF741" s="197" t="str">
        <f>IF(AND($J741="x",AND(MAX(BA741:BC741)=BB741,BB741&lt;&gt;"")),Data!$BJ$2,"")</f>
        <v/>
      </c>
      <c r="BG741" s="197" t="str">
        <f>IF(AND($K741="x",AND(MAX(BA741:BC741)=BC741,BC741&lt;&gt;"")),Data!$BK$2,"")</f>
        <v/>
      </c>
      <c r="BH741" s="197"/>
      <c r="BI741" s="328"/>
      <c r="BJ741" s="453"/>
      <c r="BK741" s="454"/>
      <c r="BL741" s="441" t="str">
        <f t="shared" si="1093"/>
        <v/>
      </c>
      <c r="BM741" s="328"/>
      <c r="BN741" s="197" t="str">
        <f>IF(AND($I741="x",AND(MAX(BJ741:BL741)=BJ741,BJ741&lt;&gt;"")),Data!$BI$2,"")</f>
        <v/>
      </c>
      <c r="BO741" s="197" t="str">
        <f>IF(AND($J741="x",AND(MAX(BJ741:BL741)=BK741,BK741&lt;&gt;"")),Data!$BJ$2,"")</f>
        <v/>
      </c>
      <c r="BP741" s="197" t="str">
        <f>IF(AND($K741="x",AND(MAX(BJ741:BL741)=BL741,BL741&lt;&gt;"")),Data!$BK$2,"")</f>
        <v/>
      </c>
      <c r="BQ741" s="197"/>
      <c r="BR741" s="328"/>
      <c r="BS741" s="453"/>
      <c r="BT741" s="454"/>
      <c r="BU741" s="441" t="str">
        <f t="shared" si="1094"/>
        <v/>
      </c>
      <c r="BV741" s="328"/>
      <c r="BW741" s="197" t="str">
        <f>IF(AND($I741="x",AND(MAX(BS741:BU741)=BS741,BS741&lt;&gt;"")),Data!$BI$2,"")</f>
        <v/>
      </c>
      <c r="BX741" s="197" t="str">
        <f>IF(AND($J741="x",AND(MAX(BS741:BU741)=BT741,BT741&lt;&gt;"")),Data!$BJ$2,"")</f>
        <v/>
      </c>
      <c r="BY741" s="197" t="str">
        <f>IF(AND($K741="x",AND(MAX(BS741:BU741)=BU741,BU741&lt;&gt;"")),Data!$BK$2,"")</f>
        <v/>
      </c>
      <c r="BZ741" s="197"/>
      <c r="CA741" s="328"/>
      <c r="CB741" s="460" t="str">
        <f t="shared" si="1095"/>
        <v/>
      </c>
      <c r="CC741" s="461" t="str">
        <f t="shared" si="1096"/>
        <v/>
      </c>
      <c r="CD741" s="462" t="str">
        <f t="shared" si="1097"/>
        <v/>
      </c>
      <c r="CE741" s="328"/>
      <c r="CF741" s="197" t="str">
        <f>IF(AND($I741="x",AND(MAX(CB741:CD741)=CB741,CB741&lt;&gt;"")),Data!$BI$2,"")</f>
        <v/>
      </c>
      <c r="CG741" s="197" t="str">
        <f>IF(AND($J741="x",AND(MAX(CB741:CD741)=CC741,CC741&lt;&gt;"")),Data!$BJ$2,"")</f>
        <v/>
      </c>
      <c r="CH741" s="197" t="str">
        <f>IF(AND($K741="x",AND(MAX(CB741:CD741)=CD741,CD741&lt;&gt;"")),Data!$BK$2,"")</f>
        <v/>
      </c>
      <c r="CI741" s="197"/>
      <c r="CJ741" s="197"/>
      <c r="CK741" s="453"/>
      <c r="CL741" s="454"/>
      <c r="CM741" s="441" t="str">
        <f t="shared" si="1098"/>
        <v/>
      </c>
      <c r="CN741" s="328"/>
      <c r="CO741" s="197" t="str">
        <f>IF(AND($I741="x",AND(MAX(CK741:CM741)=CK741,CK741&lt;&gt;"")),Data!$BI$2,"")</f>
        <v/>
      </c>
      <c r="CP741" s="197" t="str">
        <f>IF(AND($J741="x",AND(MAX(CK741:CM741)=CL741,CL741&lt;&gt;"")),Data!$BJ$2,"")</f>
        <v/>
      </c>
      <c r="CQ741" s="197" t="str">
        <f>IF(AND($K741="x",AND(MAX(CK741:CM741)=CM741,CM741&lt;&gt;"")),Data!$BK$2,"")</f>
        <v/>
      </c>
      <c r="CR741" s="197"/>
      <c r="CS741" s="197"/>
      <c r="CT741" s="328"/>
      <c r="CU741" s="259"/>
      <c r="CV741" s="209"/>
      <c r="CW741" s="227"/>
    </row>
    <row r="742" spans="1:101" x14ac:dyDescent="0.2">
      <c r="A742" s="227"/>
      <c r="B742" s="227"/>
      <c r="C742" s="168"/>
      <c r="D742" s="232"/>
      <c r="E742" s="136"/>
      <c r="F742" s="426"/>
      <c r="G742" s="432"/>
      <c r="H742" s="433"/>
      <c r="I742" s="349" t="str">
        <f t="shared" si="1085"/>
        <v/>
      </c>
      <c r="J742" s="350" t="str">
        <f t="shared" si="1086"/>
        <v/>
      </c>
      <c r="K742" s="351" t="str">
        <f t="shared" si="1087"/>
        <v/>
      </c>
      <c r="L742" s="258"/>
      <c r="M742" s="332"/>
      <c r="N742" s="336"/>
      <c r="O742" s="200"/>
      <c r="P742" s="200"/>
      <c r="Q742" s="445"/>
      <c r="R742" s="446"/>
      <c r="S742" s="447" t="str">
        <f t="shared" si="1088"/>
        <v/>
      </c>
      <c r="T742" s="328"/>
      <c r="U742" s="197" t="str">
        <f>IF(AND($I742="x",AND(MAX(Q742:S742)=Q742,Q742&gt;=0)),Data!$BI$2,"")</f>
        <v/>
      </c>
      <c r="V742" s="197" t="str">
        <f>IF(AND($J742="x",AND(MAX(Q742:S742)=R742,R742&gt;=0)),Data!$BJ$2,"")</f>
        <v/>
      </c>
      <c r="W742" s="197" t="str">
        <f>IF(AND($K742="x",AND(MAX(Q742:S742)=S742,S742&gt;=0)),Data!$BK$2,"")</f>
        <v/>
      </c>
      <c r="X742" s="197"/>
      <c r="Y742" s="328"/>
      <c r="Z742" s="455"/>
      <c r="AA742" s="456"/>
      <c r="AB742" s="447" t="str">
        <f t="shared" si="1089"/>
        <v/>
      </c>
      <c r="AC742" s="328"/>
      <c r="AD742" s="197" t="str">
        <f>IF(AND($I742="x",AND(MAX(Z742:AB742)=Z742,Z742&lt;&gt;"")),Data!$BI$2,"")</f>
        <v/>
      </c>
      <c r="AE742" s="197" t="str">
        <f>IF(AND($J742="x",AND(MAX(Z742:AB742)=AA742,AA742&lt;&gt;"")),Data!$BJ$2,"")</f>
        <v/>
      </c>
      <c r="AF742" s="197" t="str">
        <f>IF(AND($K742="x",AND(MAX(Z742:AB742)=AB742,AB742&lt;&gt;"")),Data!$BK$2,"")</f>
        <v/>
      </c>
      <c r="AG742" s="197"/>
      <c r="AH742" s="328"/>
      <c r="AI742" s="455"/>
      <c r="AJ742" s="456"/>
      <c r="AK742" s="447" t="str">
        <f t="shared" si="1090"/>
        <v/>
      </c>
      <c r="AL742" s="328"/>
      <c r="AM742" s="197" t="str">
        <f>IF(AND($I742="x",AND(MAX(AI742:AK742)=AI742,AI742&lt;&gt;"")),Data!$BI$2,"")</f>
        <v/>
      </c>
      <c r="AN742" s="197" t="str">
        <f>IF(AND($J742="x",AND(MAX(AI742:AK742)=AJ742,AJ742&lt;&gt;"")),Data!$BJ$2,"")</f>
        <v/>
      </c>
      <c r="AO742" s="197" t="str">
        <f>IF(AND($K742="x",AND(MAX(AI742:AK742)=AK742,AK742&lt;&gt;"")),Data!$BK$2,"")</f>
        <v/>
      </c>
      <c r="AP742" s="197"/>
      <c r="AQ742" s="328"/>
      <c r="AR742" s="455"/>
      <c r="AS742" s="456"/>
      <c r="AT742" s="447" t="str">
        <f t="shared" si="1091"/>
        <v/>
      </c>
      <c r="AU742" s="328"/>
      <c r="AV742" s="197" t="str">
        <f>IF(AND($I742="x",AND(MAX(AR742:AT742)=AR742,AR742&lt;&gt;"")),Data!$BI$2,"")</f>
        <v/>
      </c>
      <c r="AW742" s="197" t="str">
        <f>IF(AND($J742="x",AND(MAX(AR742:AT742)=AS742,AS742&lt;&gt;"")),Data!$BJ$2,"")</f>
        <v/>
      </c>
      <c r="AX742" s="197" t="str">
        <f>IF(AND($K742="x",AND(MAX(AR742:AT742)=AT742,AT742&lt;&gt;"")),Data!$BK$2,"")</f>
        <v/>
      </c>
      <c r="AY742" s="197"/>
      <c r="AZ742" s="328"/>
      <c r="BA742" s="455"/>
      <c r="BB742" s="456"/>
      <c r="BC742" s="447" t="str">
        <f t="shared" si="1092"/>
        <v/>
      </c>
      <c r="BD742" s="328"/>
      <c r="BE742" s="197" t="str">
        <f>IF(AND($I742="x",AND(MAX(BA742:BC742)=BA742,BA742&lt;&gt;"")),Data!$BI$2,"")</f>
        <v/>
      </c>
      <c r="BF742" s="197" t="str">
        <f>IF(AND($J742="x",AND(MAX(BA742:BC742)=BB742,BB742&lt;&gt;"")),Data!$BJ$2,"")</f>
        <v/>
      </c>
      <c r="BG742" s="197" t="str">
        <f>IF(AND($K742="x",AND(MAX(BA742:BC742)=BC742,BC742&lt;&gt;"")),Data!$BK$2,"")</f>
        <v/>
      </c>
      <c r="BH742" s="197"/>
      <c r="BI742" s="328"/>
      <c r="BJ742" s="455"/>
      <c r="BK742" s="456"/>
      <c r="BL742" s="447" t="str">
        <f t="shared" si="1093"/>
        <v/>
      </c>
      <c r="BM742" s="328"/>
      <c r="BN742" s="197" t="str">
        <f>IF(AND($I742="x",AND(MAX(BJ742:BL742)=BJ742,BJ742&lt;&gt;"")),Data!$BI$2,"")</f>
        <v/>
      </c>
      <c r="BO742" s="197" t="str">
        <f>IF(AND($J742="x",AND(MAX(BJ742:BL742)=BK742,BK742&lt;&gt;"")),Data!$BJ$2,"")</f>
        <v/>
      </c>
      <c r="BP742" s="197" t="str">
        <f>IF(AND($K742="x",AND(MAX(BJ742:BL742)=BL742,BL742&lt;&gt;"")),Data!$BK$2,"")</f>
        <v/>
      </c>
      <c r="BQ742" s="197"/>
      <c r="BR742" s="328"/>
      <c r="BS742" s="455"/>
      <c r="BT742" s="456"/>
      <c r="BU742" s="447" t="str">
        <f t="shared" si="1094"/>
        <v/>
      </c>
      <c r="BV742" s="328"/>
      <c r="BW742" s="197" t="str">
        <f>IF(AND($I742="x",AND(MAX(BS742:BU742)=BS742,BS742&lt;&gt;"")),Data!$BI$2,"")</f>
        <v/>
      </c>
      <c r="BX742" s="197" t="str">
        <f>IF(AND($J742="x",AND(MAX(BS742:BU742)=BT742,BT742&lt;&gt;"")),Data!$BJ$2,"")</f>
        <v/>
      </c>
      <c r="BY742" s="197" t="str">
        <f>IF(AND($K742="x",AND(MAX(BS742:BU742)=BU742,BU742&lt;&gt;"")),Data!$BK$2,"")</f>
        <v/>
      </c>
      <c r="BZ742" s="197"/>
      <c r="CA742" s="328"/>
      <c r="CB742" s="463" t="str">
        <f t="shared" si="1095"/>
        <v/>
      </c>
      <c r="CC742" s="464" t="str">
        <f t="shared" si="1096"/>
        <v/>
      </c>
      <c r="CD742" s="465" t="str">
        <f t="shared" si="1097"/>
        <v/>
      </c>
      <c r="CE742" s="328"/>
      <c r="CF742" s="197" t="str">
        <f>IF(AND($I742="x",AND(MAX(CB742:CD742)=CB742,CB742&lt;&gt;"")),Data!$BI$2,"")</f>
        <v/>
      </c>
      <c r="CG742" s="197" t="str">
        <f>IF(AND($J742="x",AND(MAX(CB742:CD742)=CC742,CC742&lt;&gt;"")),Data!$BJ$2,"")</f>
        <v/>
      </c>
      <c r="CH742" s="197" t="str">
        <f>IF(AND($K742="x",AND(MAX(CB742:CD742)=CD742,CD742&lt;&gt;"")),Data!$BK$2,"")</f>
        <v/>
      </c>
      <c r="CI742" s="197"/>
      <c r="CJ742" s="197"/>
      <c r="CK742" s="455"/>
      <c r="CL742" s="456"/>
      <c r="CM742" s="447" t="str">
        <f t="shared" si="1098"/>
        <v/>
      </c>
      <c r="CN742" s="328"/>
      <c r="CO742" s="197" t="str">
        <f>IF(AND($I742="x",AND(MAX(CK742:CM742)=CK742,CK742&lt;&gt;"")),Data!$BI$2,"")</f>
        <v/>
      </c>
      <c r="CP742" s="197" t="str">
        <f>IF(AND($J742="x",AND(MAX(CK742:CM742)=CL742,CL742&lt;&gt;"")),Data!$BJ$2,"")</f>
        <v/>
      </c>
      <c r="CQ742" s="197" t="str">
        <f>IF(AND($K742="x",AND(MAX(CK742:CM742)=CM742,CM742&lt;&gt;"")),Data!$BK$2,"")</f>
        <v/>
      </c>
      <c r="CR742" s="197"/>
      <c r="CS742" s="197"/>
      <c r="CT742" s="328"/>
      <c r="CU742" s="259"/>
      <c r="CV742" s="209"/>
      <c r="CW742" s="227"/>
    </row>
    <row r="743" spans="1:101" x14ac:dyDescent="0.2">
      <c r="A743" s="227"/>
      <c r="B743" s="227"/>
      <c r="C743" s="168"/>
      <c r="D743" s="232"/>
      <c r="E743" s="137"/>
      <c r="F743" s="427"/>
      <c r="G743" s="434"/>
      <c r="H743" s="435"/>
      <c r="I743" s="138" t="str">
        <f t="shared" si="1085"/>
        <v/>
      </c>
      <c r="J743" s="344" t="str">
        <f t="shared" si="1086"/>
        <v/>
      </c>
      <c r="K743" s="345" t="str">
        <f t="shared" si="1087"/>
        <v/>
      </c>
      <c r="L743" s="258"/>
      <c r="M743" s="332"/>
      <c r="N743" s="336"/>
      <c r="O743" s="200"/>
      <c r="P743" s="200"/>
      <c r="Q743" s="448"/>
      <c r="R743" s="449"/>
      <c r="S743" s="450" t="str">
        <f t="shared" si="1088"/>
        <v/>
      </c>
      <c r="T743" s="328"/>
      <c r="U743" s="197" t="str">
        <f>IF(AND($I743="x",AND(MAX(Q743:S743)=Q743,Q743&gt;=0)),Data!$BI$2,"")</f>
        <v/>
      </c>
      <c r="V743" s="197" t="str">
        <f>IF(AND($J743="x",AND(MAX(Q743:S743)=R743,R743&gt;=0)),Data!$BJ$2,"")</f>
        <v/>
      </c>
      <c r="W743" s="197" t="str">
        <f>IF(AND($K743="x",AND(MAX(Q743:S743)=S743,S743&gt;=0)),Data!$BK$2,"")</f>
        <v/>
      </c>
      <c r="X743" s="197"/>
      <c r="Y743" s="328"/>
      <c r="Z743" s="451"/>
      <c r="AA743" s="452"/>
      <c r="AB743" s="450" t="str">
        <f t="shared" si="1089"/>
        <v/>
      </c>
      <c r="AC743" s="328"/>
      <c r="AD743" s="197" t="str">
        <f>IF(AND($I743="x",AND(MAX(Z743:AB743)=Z743,Z743&lt;&gt;"")),Data!$BI$2,"")</f>
        <v/>
      </c>
      <c r="AE743" s="197" t="str">
        <f>IF(AND($J743="x",AND(MAX(Z743:AB743)=AA743,AA743&lt;&gt;"")),Data!$BJ$2,"")</f>
        <v/>
      </c>
      <c r="AF743" s="197" t="str">
        <f>IF(AND($K743="x",AND(MAX(Z743:AB743)=AB743,AB743&lt;&gt;"")),Data!$BK$2,"")</f>
        <v/>
      </c>
      <c r="AG743" s="197"/>
      <c r="AH743" s="328"/>
      <c r="AI743" s="451"/>
      <c r="AJ743" s="452"/>
      <c r="AK743" s="450" t="str">
        <f t="shared" si="1090"/>
        <v/>
      </c>
      <c r="AL743" s="328"/>
      <c r="AM743" s="197" t="str">
        <f>IF(AND($I743="x",AND(MAX(AI743:AK743)=AI743,AI743&lt;&gt;"")),Data!$BI$2,"")</f>
        <v/>
      </c>
      <c r="AN743" s="197" t="str">
        <f>IF(AND($J743="x",AND(MAX(AI743:AK743)=AJ743,AJ743&lt;&gt;"")),Data!$BJ$2,"")</f>
        <v/>
      </c>
      <c r="AO743" s="197" t="str">
        <f>IF(AND($K743="x",AND(MAX(AI743:AK743)=AK743,AK743&lt;&gt;"")),Data!$BK$2,"")</f>
        <v/>
      </c>
      <c r="AP743" s="197"/>
      <c r="AQ743" s="328"/>
      <c r="AR743" s="451"/>
      <c r="AS743" s="452"/>
      <c r="AT743" s="450" t="str">
        <f t="shared" si="1091"/>
        <v/>
      </c>
      <c r="AU743" s="328"/>
      <c r="AV743" s="197" t="str">
        <f>IF(AND($I743="x",AND(MAX(AR743:AT743)=AR743,AR743&lt;&gt;"")),Data!$BI$2,"")</f>
        <v/>
      </c>
      <c r="AW743" s="197" t="str">
        <f>IF(AND($J743="x",AND(MAX(AR743:AT743)=AS743,AS743&lt;&gt;"")),Data!$BJ$2,"")</f>
        <v/>
      </c>
      <c r="AX743" s="197" t="str">
        <f>IF(AND($K743="x",AND(MAX(AR743:AT743)=AT743,AT743&lt;&gt;"")),Data!$BK$2,"")</f>
        <v/>
      </c>
      <c r="AY743" s="197"/>
      <c r="AZ743" s="328"/>
      <c r="BA743" s="451"/>
      <c r="BB743" s="452"/>
      <c r="BC743" s="450" t="str">
        <f>IF(BA743="","",100-SUM(BA743:BB743))</f>
        <v/>
      </c>
      <c r="BD743" s="328"/>
      <c r="BE743" s="197" t="str">
        <f>IF(AND($I743="x",AND(MAX(BA743:BC743)=BA743,BA743&lt;&gt;"")),Data!$BI$2,"")</f>
        <v/>
      </c>
      <c r="BF743" s="197" t="str">
        <f>IF(AND($J743="x",AND(MAX(BA743:BC743)=BB743,BB743&lt;&gt;"")),Data!$BJ$2,"")</f>
        <v/>
      </c>
      <c r="BG743" s="197" t="str">
        <f>IF(AND($K743="x",AND(MAX(BA743:BC743)=BC743,BC743&lt;&gt;"")),Data!$BK$2,"")</f>
        <v/>
      </c>
      <c r="BH743" s="197"/>
      <c r="BI743" s="328"/>
      <c r="BJ743" s="451"/>
      <c r="BK743" s="452"/>
      <c r="BL743" s="450" t="str">
        <f t="shared" si="1093"/>
        <v/>
      </c>
      <c r="BM743" s="328"/>
      <c r="BN743" s="197" t="str">
        <f>IF(AND($I743="x",AND(MAX(BJ743:BL743)=BJ743,BJ743&lt;&gt;"")),Data!$BI$2,"")</f>
        <v/>
      </c>
      <c r="BO743" s="197" t="str">
        <f>IF(AND($J743="x",AND(MAX(BJ743:BL743)=BK743,BK743&lt;&gt;"")),Data!$BJ$2,"")</f>
        <v/>
      </c>
      <c r="BP743" s="197" t="str">
        <f>IF(AND($K743="x",AND(MAX(BJ743:BL743)=BL743,BL743&lt;&gt;"")),Data!$BK$2,"")</f>
        <v/>
      </c>
      <c r="BQ743" s="197"/>
      <c r="BR743" s="328"/>
      <c r="BS743" s="451"/>
      <c r="BT743" s="452"/>
      <c r="BU743" s="450" t="str">
        <f t="shared" si="1094"/>
        <v/>
      </c>
      <c r="BV743" s="328"/>
      <c r="BW743" s="197" t="str">
        <f>IF(AND($I743="x",AND(MAX(BS743:BU743)=BS743,BS743&lt;&gt;"")),Data!$BI$2,"")</f>
        <v/>
      </c>
      <c r="BX743" s="197" t="str">
        <f>IF(AND($J743="x",AND(MAX(BS743:BU743)=BT743,BT743&lt;&gt;"")),Data!$BJ$2,"")</f>
        <v/>
      </c>
      <c r="BY743" s="197" t="str">
        <f>IF(AND($K743="x",AND(MAX(BS743:BU743)=BU743,BU743&lt;&gt;"")),Data!$BK$2,"")</f>
        <v/>
      </c>
      <c r="BZ743" s="197"/>
      <c r="CA743" s="328"/>
      <c r="CB743" s="457" t="str">
        <f t="shared" si="1095"/>
        <v/>
      </c>
      <c r="CC743" s="458" t="str">
        <f t="shared" si="1096"/>
        <v/>
      </c>
      <c r="CD743" s="459" t="str">
        <f t="shared" si="1097"/>
        <v/>
      </c>
      <c r="CE743" s="328"/>
      <c r="CF743" s="197" t="str">
        <f>IF(AND($I743="x",AND(MAX(CB743:CD743)=CB743,CB743&lt;&gt;"")),Data!$BI$2,"")</f>
        <v/>
      </c>
      <c r="CG743" s="197" t="str">
        <f>IF(AND($J743="x",AND(MAX(CB743:CD743)=CC743,CC743&lt;&gt;"")),Data!$BJ$2,"")</f>
        <v/>
      </c>
      <c r="CH743" s="197" t="str">
        <f>IF(AND($K743="x",AND(MAX(CB743:CD743)=CD743,CD743&lt;&gt;"")),Data!$BK$2,"")</f>
        <v/>
      </c>
      <c r="CI743" s="197"/>
      <c r="CJ743" s="197"/>
      <c r="CK743" s="451"/>
      <c r="CL743" s="452"/>
      <c r="CM743" s="450" t="str">
        <f t="shared" si="1098"/>
        <v/>
      </c>
      <c r="CN743" s="328"/>
      <c r="CO743" s="197" t="str">
        <f>IF(AND($I743="x",AND(MAX(CK743:CM743)=CK743,CK743&lt;&gt;"")),Data!$BI$2,"")</f>
        <v/>
      </c>
      <c r="CP743" s="197" t="str">
        <f>IF(AND($J743="x",AND(MAX(CK743:CM743)=CL743,CL743&lt;&gt;"")),Data!$BJ$2,"")</f>
        <v/>
      </c>
      <c r="CQ743" s="197" t="str">
        <f>IF(AND($K743="x",AND(MAX(CK743:CM743)=CM743,CM743&lt;&gt;"")),Data!$BK$2,"")</f>
        <v/>
      </c>
      <c r="CR743" s="197"/>
      <c r="CS743" s="197"/>
      <c r="CT743" s="328"/>
      <c r="CU743" s="259"/>
      <c r="CV743" s="209"/>
      <c r="CW743" s="227"/>
    </row>
    <row r="744" spans="1:101" x14ac:dyDescent="0.2">
      <c r="A744" s="227"/>
      <c r="B744" s="227"/>
      <c r="C744" s="168"/>
      <c r="D744" s="232"/>
      <c r="E744" s="135"/>
      <c r="F744" s="425"/>
      <c r="G744" s="430"/>
      <c r="H744" s="431"/>
      <c r="I744" s="346" t="str">
        <f t="shared" si="1085"/>
        <v/>
      </c>
      <c r="J744" s="347" t="str">
        <f t="shared" si="1086"/>
        <v/>
      </c>
      <c r="K744" s="348" t="str">
        <f t="shared" si="1087"/>
        <v/>
      </c>
      <c r="L744" s="258"/>
      <c r="M744" s="332"/>
      <c r="N744" s="336"/>
      <c r="O744" s="200"/>
      <c r="P744" s="200"/>
      <c r="Q744" s="439"/>
      <c r="R744" s="440"/>
      <c r="S744" s="441" t="str">
        <f t="shared" si="1088"/>
        <v/>
      </c>
      <c r="T744" s="328"/>
      <c r="U744" s="197" t="str">
        <f>IF(AND($I744="x",AND(MAX(Q744:S744)=Q744,Q744&gt;=0)),Data!$BI$2,"")</f>
        <v/>
      </c>
      <c r="V744" s="197" t="str">
        <f>IF(AND($J744="x",AND(MAX(Q744:S744)=R744,R744&gt;=0)),Data!$BJ$2,"")</f>
        <v/>
      </c>
      <c r="W744" s="197" t="str">
        <f>IF(AND($K744="x",AND(MAX(Q744:S744)=S744,S744&gt;=0)),Data!$BK$2,"")</f>
        <v/>
      </c>
      <c r="X744" s="197"/>
      <c r="Y744" s="328"/>
      <c r="Z744" s="453"/>
      <c r="AA744" s="454"/>
      <c r="AB744" s="441" t="str">
        <f t="shared" si="1089"/>
        <v/>
      </c>
      <c r="AC744" s="328"/>
      <c r="AD744" s="197" t="str">
        <f>IF(AND($I744="x",AND(MAX(Z744:AB744)=Z744,Z744&lt;&gt;"")),Data!$BI$2,"")</f>
        <v/>
      </c>
      <c r="AE744" s="197" t="str">
        <f>IF(AND($J744="x",AND(MAX(Z744:AB744)=AA744,AA744&lt;&gt;"")),Data!$BJ$2,"")</f>
        <v/>
      </c>
      <c r="AF744" s="197" t="str">
        <f>IF(AND($K744="x",AND(MAX(Z744:AB744)=AB744,AB744&lt;&gt;"")),Data!$BK$2,"")</f>
        <v/>
      </c>
      <c r="AG744" s="197"/>
      <c r="AH744" s="328"/>
      <c r="AI744" s="453"/>
      <c r="AJ744" s="454"/>
      <c r="AK744" s="441" t="str">
        <f t="shared" si="1090"/>
        <v/>
      </c>
      <c r="AL744" s="328"/>
      <c r="AM744" s="197" t="str">
        <f>IF(AND($I744="x",AND(MAX(AI744:AK744)=AI744,AI744&lt;&gt;"")),Data!$BI$2,"")</f>
        <v/>
      </c>
      <c r="AN744" s="197" t="str">
        <f>IF(AND($J744="x",AND(MAX(AI744:AK744)=AJ744,AJ744&lt;&gt;"")),Data!$BJ$2,"")</f>
        <v/>
      </c>
      <c r="AO744" s="197" t="str">
        <f>IF(AND($K744="x",AND(MAX(AI744:AK744)=AK744,AK744&lt;&gt;"")),Data!$BK$2,"")</f>
        <v/>
      </c>
      <c r="AP744" s="197"/>
      <c r="AQ744" s="328"/>
      <c r="AR744" s="453"/>
      <c r="AS744" s="454"/>
      <c r="AT744" s="441" t="str">
        <f t="shared" si="1091"/>
        <v/>
      </c>
      <c r="AU744" s="328"/>
      <c r="AV744" s="197" t="str">
        <f>IF(AND($I744="x",AND(MAX(AR744:AT744)=AR744,AR744&lt;&gt;"")),Data!$BI$2,"")</f>
        <v/>
      </c>
      <c r="AW744" s="197" t="str">
        <f>IF(AND($J744="x",AND(MAX(AR744:AT744)=AS744,AS744&lt;&gt;"")),Data!$BJ$2,"")</f>
        <v/>
      </c>
      <c r="AX744" s="197" t="str">
        <f>IF(AND($K744="x",AND(MAX(AR744:AT744)=AT744,AT744&lt;&gt;"")),Data!$BK$2,"")</f>
        <v/>
      </c>
      <c r="AY744" s="197"/>
      <c r="AZ744" s="328"/>
      <c r="BA744" s="453"/>
      <c r="BB744" s="454"/>
      <c r="BC744" s="441" t="str">
        <f t="shared" si="1092"/>
        <v/>
      </c>
      <c r="BD744" s="328"/>
      <c r="BE744" s="197" t="str">
        <f>IF(AND($I744="x",AND(MAX(BA744:BC744)=BA744,BA744&lt;&gt;"")),Data!$BI$2,"")</f>
        <v/>
      </c>
      <c r="BF744" s="197" t="str">
        <f>IF(AND($J744="x",AND(MAX(BA744:BC744)=BB744,BB744&lt;&gt;"")),Data!$BJ$2,"")</f>
        <v/>
      </c>
      <c r="BG744" s="197" t="str">
        <f>IF(AND($K744="x",AND(MAX(BA744:BC744)=BC744,BC744&lt;&gt;"")),Data!$BK$2,"")</f>
        <v/>
      </c>
      <c r="BH744" s="197"/>
      <c r="BI744" s="328"/>
      <c r="BJ744" s="453"/>
      <c r="BK744" s="454"/>
      <c r="BL744" s="441" t="str">
        <f t="shared" si="1093"/>
        <v/>
      </c>
      <c r="BM744" s="328"/>
      <c r="BN744" s="197" t="str">
        <f>IF(AND($I744="x",AND(MAX(BJ744:BL744)=BJ744,BJ744&lt;&gt;"")),Data!$BI$2,"")</f>
        <v/>
      </c>
      <c r="BO744" s="197" t="str">
        <f>IF(AND($J744="x",AND(MAX(BJ744:BL744)=BK744,BK744&lt;&gt;"")),Data!$BJ$2,"")</f>
        <v/>
      </c>
      <c r="BP744" s="197" t="str">
        <f>IF(AND($K744="x",AND(MAX(BJ744:BL744)=BL744,BL744&lt;&gt;"")),Data!$BK$2,"")</f>
        <v/>
      </c>
      <c r="BQ744" s="197"/>
      <c r="BR744" s="328"/>
      <c r="BS744" s="453"/>
      <c r="BT744" s="454"/>
      <c r="BU744" s="441" t="str">
        <f t="shared" si="1094"/>
        <v/>
      </c>
      <c r="BV744" s="328"/>
      <c r="BW744" s="197" t="str">
        <f>IF(AND($I744="x",AND(MAX(BS744:BU744)=BS744,BS744&lt;&gt;"")),Data!$BI$2,"")</f>
        <v/>
      </c>
      <c r="BX744" s="197" t="str">
        <f>IF(AND($J744="x",AND(MAX(BS744:BU744)=BT744,BT744&lt;&gt;"")),Data!$BJ$2,"")</f>
        <v/>
      </c>
      <c r="BY744" s="197" t="str">
        <f>IF(AND($K744="x",AND(MAX(BS744:BU744)=BU744,BU744&lt;&gt;"")),Data!$BK$2,"")</f>
        <v/>
      </c>
      <c r="BZ744" s="197"/>
      <c r="CA744" s="328"/>
      <c r="CB744" s="460" t="str">
        <f t="shared" si="1095"/>
        <v/>
      </c>
      <c r="CC744" s="461" t="str">
        <f t="shared" si="1096"/>
        <v/>
      </c>
      <c r="CD744" s="462" t="str">
        <f t="shared" si="1097"/>
        <v/>
      </c>
      <c r="CE744" s="328"/>
      <c r="CF744" s="197" t="str">
        <f>IF(AND($I744="x",AND(MAX(CB744:CD744)=CB744,CB744&lt;&gt;"")),Data!$BI$2,"")</f>
        <v/>
      </c>
      <c r="CG744" s="197" t="str">
        <f>IF(AND($J744="x",AND(MAX(CB744:CD744)=CC744,CC744&lt;&gt;"")),Data!$BJ$2,"")</f>
        <v/>
      </c>
      <c r="CH744" s="197" t="str">
        <f>IF(AND($K744="x",AND(MAX(CB744:CD744)=CD744,CD744&lt;&gt;"")),Data!$BK$2,"")</f>
        <v/>
      </c>
      <c r="CI744" s="197"/>
      <c r="CJ744" s="197"/>
      <c r="CK744" s="453"/>
      <c r="CL744" s="454"/>
      <c r="CM744" s="441" t="str">
        <f t="shared" si="1098"/>
        <v/>
      </c>
      <c r="CN744" s="328"/>
      <c r="CO744" s="197" t="str">
        <f>IF(AND($I744="x",AND(MAX(CK744:CM744)=CK744,CK744&lt;&gt;"")),Data!$BI$2,"")</f>
        <v/>
      </c>
      <c r="CP744" s="197" t="str">
        <f>IF(AND($J744="x",AND(MAX(CK744:CM744)=CL744,CL744&lt;&gt;"")),Data!$BJ$2,"")</f>
        <v/>
      </c>
      <c r="CQ744" s="197" t="str">
        <f>IF(AND($K744="x",AND(MAX(CK744:CM744)=CM744,CM744&lt;&gt;"")),Data!$BK$2,"")</f>
        <v/>
      </c>
      <c r="CR744" s="197"/>
      <c r="CS744" s="197"/>
      <c r="CT744" s="328"/>
      <c r="CU744" s="259"/>
      <c r="CV744" s="209"/>
      <c r="CW744" s="227"/>
    </row>
    <row r="745" spans="1:101" x14ac:dyDescent="0.2">
      <c r="A745" s="227"/>
      <c r="B745" s="227"/>
      <c r="C745" s="168"/>
      <c r="D745" s="232"/>
      <c r="E745" s="136"/>
      <c r="F745" s="426"/>
      <c r="G745" s="432"/>
      <c r="H745" s="433"/>
      <c r="I745" s="349" t="str">
        <f t="shared" si="1085"/>
        <v/>
      </c>
      <c r="J745" s="350" t="str">
        <f t="shared" si="1086"/>
        <v/>
      </c>
      <c r="K745" s="351" t="str">
        <f t="shared" si="1087"/>
        <v/>
      </c>
      <c r="L745" s="258"/>
      <c r="M745" s="332"/>
      <c r="N745" s="336"/>
      <c r="O745" s="200"/>
      <c r="P745" s="200"/>
      <c r="Q745" s="445"/>
      <c r="R745" s="446"/>
      <c r="S745" s="447" t="str">
        <f t="shared" si="1088"/>
        <v/>
      </c>
      <c r="T745" s="328"/>
      <c r="U745" s="197" t="str">
        <f>IF(AND($I745="x",AND(MAX(Q745:S745)=Q745,Q745&gt;=0)),Data!$BI$2,"")</f>
        <v/>
      </c>
      <c r="V745" s="197" t="str">
        <f>IF(AND($J745="x",AND(MAX(Q745:S745)=R745,R745&gt;=0)),Data!$BJ$2,"")</f>
        <v/>
      </c>
      <c r="W745" s="197" t="str">
        <f>IF(AND($K745="x",AND(MAX(Q745:S745)=S745,S745&gt;=0)),Data!$BK$2,"")</f>
        <v/>
      </c>
      <c r="X745" s="197"/>
      <c r="Y745" s="328"/>
      <c r="Z745" s="455"/>
      <c r="AA745" s="456"/>
      <c r="AB745" s="447" t="str">
        <f t="shared" si="1089"/>
        <v/>
      </c>
      <c r="AC745" s="328"/>
      <c r="AD745" s="197" t="str">
        <f>IF(AND($I745="x",AND(MAX(Z745:AB745)=Z745,Z745&lt;&gt;"")),Data!$BI$2,"")</f>
        <v/>
      </c>
      <c r="AE745" s="197" t="str">
        <f>IF(AND($J745="x",AND(MAX(Z745:AB745)=AA745,AA745&lt;&gt;"")),Data!$BJ$2,"")</f>
        <v/>
      </c>
      <c r="AF745" s="197" t="str">
        <f>IF(AND($K745="x",AND(MAX(Z745:AB745)=AB745,AB745&lt;&gt;"")),Data!$BK$2,"")</f>
        <v/>
      </c>
      <c r="AG745" s="197"/>
      <c r="AH745" s="328"/>
      <c r="AI745" s="455"/>
      <c r="AJ745" s="456"/>
      <c r="AK745" s="447" t="str">
        <f t="shared" si="1090"/>
        <v/>
      </c>
      <c r="AL745" s="328"/>
      <c r="AM745" s="197" t="str">
        <f>IF(AND($I745="x",AND(MAX(AI745:AK745)=AI745,AI745&lt;&gt;"")),Data!$BI$2,"")</f>
        <v/>
      </c>
      <c r="AN745" s="197" t="str">
        <f>IF(AND($J745="x",AND(MAX(AI745:AK745)=AJ745,AJ745&lt;&gt;"")),Data!$BJ$2,"")</f>
        <v/>
      </c>
      <c r="AO745" s="197" t="str">
        <f>IF(AND($K745="x",AND(MAX(AI745:AK745)=AK745,AK745&lt;&gt;"")),Data!$BK$2,"")</f>
        <v/>
      </c>
      <c r="AP745" s="197"/>
      <c r="AQ745" s="328"/>
      <c r="AR745" s="455"/>
      <c r="AS745" s="456"/>
      <c r="AT745" s="447" t="str">
        <f t="shared" si="1091"/>
        <v/>
      </c>
      <c r="AU745" s="328"/>
      <c r="AV745" s="197" t="str">
        <f>IF(AND($I745="x",AND(MAX(AR745:AT745)=AR745,AR745&lt;&gt;"")),Data!$BI$2,"")</f>
        <v/>
      </c>
      <c r="AW745" s="197" t="str">
        <f>IF(AND($J745="x",AND(MAX(AR745:AT745)=AS745,AS745&lt;&gt;"")),Data!$BJ$2,"")</f>
        <v/>
      </c>
      <c r="AX745" s="197" t="str">
        <f>IF(AND($K745="x",AND(MAX(AR745:AT745)=AT745,AT745&lt;&gt;"")),Data!$BK$2,"")</f>
        <v/>
      </c>
      <c r="AY745" s="197"/>
      <c r="AZ745" s="328"/>
      <c r="BA745" s="455"/>
      <c r="BB745" s="456"/>
      <c r="BC745" s="447" t="str">
        <f t="shared" si="1092"/>
        <v/>
      </c>
      <c r="BD745" s="328"/>
      <c r="BE745" s="197" t="str">
        <f>IF(AND($I745="x",AND(MAX(BA745:BC745)=BA745,BA745&lt;&gt;"")),Data!$BI$2,"")</f>
        <v/>
      </c>
      <c r="BF745" s="197" t="str">
        <f>IF(AND($J745="x",AND(MAX(BA745:BC745)=BB745,BB745&lt;&gt;"")),Data!$BJ$2,"")</f>
        <v/>
      </c>
      <c r="BG745" s="197" t="str">
        <f>IF(AND($K745="x",AND(MAX(BA745:BC745)=BC745,BC745&lt;&gt;"")),Data!$BK$2,"")</f>
        <v/>
      </c>
      <c r="BH745" s="197"/>
      <c r="BI745" s="328"/>
      <c r="BJ745" s="455"/>
      <c r="BK745" s="456"/>
      <c r="BL745" s="447" t="str">
        <f t="shared" si="1093"/>
        <v/>
      </c>
      <c r="BM745" s="328"/>
      <c r="BN745" s="197" t="str">
        <f>IF(AND($I745="x",AND(MAX(BJ745:BL745)=BJ745,BJ745&lt;&gt;"")),Data!$BI$2,"")</f>
        <v/>
      </c>
      <c r="BO745" s="197" t="str">
        <f>IF(AND($J745="x",AND(MAX(BJ745:BL745)=BK745,BK745&lt;&gt;"")),Data!$BJ$2,"")</f>
        <v/>
      </c>
      <c r="BP745" s="197" t="str">
        <f>IF(AND($K745="x",AND(MAX(BJ745:BL745)=BL745,BL745&lt;&gt;"")),Data!$BK$2,"")</f>
        <v/>
      </c>
      <c r="BQ745" s="197"/>
      <c r="BR745" s="328"/>
      <c r="BS745" s="455"/>
      <c r="BT745" s="456"/>
      <c r="BU745" s="447" t="str">
        <f t="shared" si="1094"/>
        <v/>
      </c>
      <c r="BV745" s="328"/>
      <c r="BW745" s="197" t="str">
        <f>IF(AND($I745="x",AND(MAX(BS745:BU745)=BS745,BS745&lt;&gt;"")),Data!$BI$2,"")</f>
        <v/>
      </c>
      <c r="BX745" s="197" t="str">
        <f>IF(AND($J745="x",AND(MAX(BS745:BU745)=BT745,BT745&lt;&gt;"")),Data!$BJ$2,"")</f>
        <v/>
      </c>
      <c r="BY745" s="197" t="str">
        <f>IF(AND($K745="x",AND(MAX(BS745:BU745)=BU745,BU745&lt;&gt;"")),Data!$BK$2,"")</f>
        <v/>
      </c>
      <c r="BZ745" s="197"/>
      <c r="CA745" s="328"/>
      <c r="CB745" s="463" t="str">
        <f t="shared" si="1095"/>
        <v/>
      </c>
      <c r="CC745" s="464" t="str">
        <f t="shared" si="1096"/>
        <v/>
      </c>
      <c r="CD745" s="465" t="str">
        <f t="shared" si="1097"/>
        <v/>
      </c>
      <c r="CE745" s="328"/>
      <c r="CF745" s="197" t="str">
        <f>IF(AND($I745="x",AND(MAX(CB745:CD745)=CB745,CB745&lt;&gt;"")),Data!$BI$2,"")</f>
        <v/>
      </c>
      <c r="CG745" s="197" t="str">
        <f>IF(AND($J745="x",AND(MAX(CB745:CD745)=CC745,CC745&lt;&gt;"")),Data!$BJ$2,"")</f>
        <v/>
      </c>
      <c r="CH745" s="197" t="str">
        <f>IF(AND($K745="x",AND(MAX(CB745:CD745)=CD745,CD745&lt;&gt;"")),Data!$BK$2,"")</f>
        <v/>
      </c>
      <c r="CI745" s="197"/>
      <c r="CJ745" s="197"/>
      <c r="CK745" s="455"/>
      <c r="CL745" s="456"/>
      <c r="CM745" s="447" t="str">
        <f t="shared" si="1098"/>
        <v/>
      </c>
      <c r="CN745" s="328"/>
      <c r="CO745" s="197" t="str">
        <f>IF(AND($I745="x",AND(MAX(CK745:CM745)=CK745,CK745&lt;&gt;"")),Data!$BI$2,"")</f>
        <v/>
      </c>
      <c r="CP745" s="197" t="str">
        <f>IF(AND($J745="x",AND(MAX(CK745:CM745)=CL745,CL745&lt;&gt;"")),Data!$BJ$2,"")</f>
        <v/>
      </c>
      <c r="CQ745" s="197" t="str">
        <f>IF(AND($K745="x",AND(MAX(CK745:CM745)=CM745,CM745&lt;&gt;"")),Data!$BK$2,"")</f>
        <v/>
      </c>
      <c r="CR745" s="197"/>
      <c r="CS745" s="197"/>
      <c r="CT745" s="328"/>
      <c r="CU745" s="259"/>
      <c r="CV745" s="209"/>
      <c r="CW745" s="227"/>
    </row>
    <row r="746" spans="1:101" x14ac:dyDescent="0.2">
      <c r="A746" s="227"/>
      <c r="B746" s="227"/>
      <c r="C746" s="168"/>
      <c r="D746" s="233"/>
      <c r="E746" s="199"/>
      <c r="F746" s="352" t="str">
        <f>IF(SUM(F734:F745)=0,"",SUM(F734:F745))</f>
        <v/>
      </c>
      <c r="G746" s="327" t="s">
        <v>51</v>
      </c>
      <c r="H746" s="353" t="str">
        <f>IF(SUM(H734:H745)=0,"",SUM(H734:H745))</f>
        <v/>
      </c>
      <c r="I746" s="354" t="str">
        <f>IF(COUNTIF(I734:I745,"=x")=0,"",COUNTIF(I734:I745,"=x"))</f>
        <v/>
      </c>
      <c r="J746" s="355" t="str">
        <f>IF(COUNTIF(J734:J745,"=x")=0,"",COUNTIF(J734:J745,"=x"))</f>
        <v/>
      </c>
      <c r="K746" s="356" t="str">
        <f>IF(COUNTIF(K734:K745,"=x")=0,"",COUNTIF(K734:K745,"=x"))</f>
        <v/>
      </c>
      <c r="L746" s="258"/>
      <c r="M746" s="332"/>
      <c r="N746" s="336"/>
      <c r="O746" s="200"/>
      <c r="P746" s="326"/>
      <c r="Q746" s="422">
        <f>SUM(U734:U745)</f>
        <v>0</v>
      </c>
      <c r="R746" s="422">
        <f t="shared" ref="R746:S746" si="1099">SUM(V734:V745)</f>
        <v>0</v>
      </c>
      <c r="S746" s="422">
        <f t="shared" si="1099"/>
        <v>0</v>
      </c>
      <c r="T746" s="325"/>
      <c r="U746" s="197">
        <f>SUM(U734:U745)</f>
        <v>0</v>
      </c>
      <c r="V746" s="197">
        <f t="shared" ref="V746:W746" si="1100">SUM(V734:V745)</f>
        <v>0</v>
      </c>
      <c r="W746" s="197">
        <f t="shared" si="1100"/>
        <v>0</v>
      </c>
      <c r="X746" s="197"/>
      <c r="Y746" s="324"/>
      <c r="Z746" s="422">
        <f>SUM(AD734:AD745)</f>
        <v>0</v>
      </c>
      <c r="AA746" s="422">
        <f t="shared" ref="AA746:AB746" si="1101">SUM(AE734:AE745)</f>
        <v>0</v>
      </c>
      <c r="AB746" s="422">
        <f t="shared" si="1101"/>
        <v>0</v>
      </c>
      <c r="AC746" s="325"/>
      <c r="AD746" s="197">
        <f>SUM(AD734:AD745)</f>
        <v>0</v>
      </c>
      <c r="AE746" s="197">
        <f t="shared" ref="AE746:AF746" si="1102">SUM(AE734:AE745)</f>
        <v>0</v>
      </c>
      <c r="AF746" s="197">
        <f t="shared" si="1102"/>
        <v>0</v>
      </c>
      <c r="AG746" s="197"/>
      <c r="AH746" s="324"/>
      <c r="AI746" s="422">
        <f>SUM(AM734:AM745)</f>
        <v>0</v>
      </c>
      <c r="AJ746" s="422">
        <f t="shared" ref="AJ746:AK746" si="1103">SUM(AN734:AN745)</f>
        <v>0</v>
      </c>
      <c r="AK746" s="422">
        <f t="shared" si="1103"/>
        <v>0</v>
      </c>
      <c r="AL746" s="325"/>
      <c r="AM746" s="197">
        <f>SUM(AM734:AM745)</f>
        <v>0</v>
      </c>
      <c r="AN746" s="197">
        <f t="shared" ref="AN746:AO746" si="1104">SUM(AN734:AN745)</f>
        <v>0</v>
      </c>
      <c r="AO746" s="197">
        <f t="shared" si="1104"/>
        <v>0</v>
      </c>
      <c r="AP746" s="197"/>
      <c r="AQ746" s="324"/>
      <c r="AR746" s="422">
        <f>SUM(AV734:AV745)</f>
        <v>0</v>
      </c>
      <c r="AS746" s="422">
        <f t="shared" ref="AS746:AT746" si="1105">SUM(AW734:AW745)</f>
        <v>0</v>
      </c>
      <c r="AT746" s="422">
        <f t="shared" si="1105"/>
        <v>0</v>
      </c>
      <c r="AU746" s="325"/>
      <c r="AV746" s="197">
        <f>SUM(AV734:AV745)</f>
        <v>0</v>
      </c>
      <c r="AW746" s="197">
        <f t="shared" ref="AW746:AX746" si="1106">SUM(AW734:AW745)</f>
        <v>0</v>
      </c>
      <c r="AX746" s="197">
        <f t="shared" si="1106"/>
        <v>0</v>
      </c>
      <c r="AY746" s="197"/>
      <c r="AZ746" s="324"/>
      <c r="BA746" s="422">
        <f>SUM(BE734:BE745)</f>
        <v>0</v>
      </c>
      <c r="BB746" s="422">
        <f t="shared" ref="BB746:BC746" si="1107">SUM(BF734:BF745)</f>
        <v>0</v>
      </c>
      <c r="BC746" s="422">
        <f t="shared" si="1107"/>
        <v>0</v>
      </c>
      <c r="BD746" s="325"/>
      <c r="BE746" s="197">
        <f>SUM(BE734:BE745)</f>
        <v>0</v>
      </c>
      <c r="BF746" s="197">
        <f t="shared" ref="BF746:BG746" si="1108">SUM(BF734:BF745)</f>
        <v>0</v>
      </c>
      <c r="BG746" s="197">
        <f t="shared" si="1108"/>
        <v>0</v>
      </c>
      <c r="BH746" s="197"/>
      <c r="BI746" s="324"/>
      <c r="BJ746" s="422">
        <f>SUM(BN734:BN745)</f>
        <v>0</v>
      </c>
      <c r="BK746" s="422">
        <f t="shared" ref="BK746" si="1109">SUM(BO734:BO745)</f>
        <v>0</v>
      </c>
      <c r="BL746" s="422">
        <f t="shared" ref="BL746" si="1110">SUM(BP734:BP745)</f>
        <v>0</v>
      </c>
      <c r="BM746" s="325"/>
      <c r="BN746" s="197">
        <f>SUM(BN734:BN745)</f>
        <v>0</v>
      </c>
      <c r="BO746" s="197">
        <f t="shared" ref="BO746:BP746" si="1111">SUM(BO734:BO745)</f>
        <v>0</v>
      </c>
      <c r="BP746" s="197">
        <f t="shared" si="1111"/>
        <v>0</v>
      </c>
      <c r="BQ746" s="197"/>
      <c r="BR746" s="324"/>
      <c r="BS746" s="422">
        <f>SUM(BW734:BW745)</f>
        <v>0</v>
      </c>
      <c r="BT746" s="422">
        <f t="shared" ref="BT746:BU746" si="1112">SUM(BX734:BX745)</f>
        <v>0</v>
      </c>
      <c r="BU746" s="422">
        <f t="shared" si="1112"/>
        <v>0</v>
      </c>
      <c r="BV746" s="325"/>
      <c r="BW746" s="197">
        <f>SUM(BW734:BW745)</f>
        <v>0</v>
      </c>
      <c r="BX746" s="197">
        <f t="shared" ref="BX746:BY746" si="1113">SUM(BX734:BX745)</f>
        <v>0</v>
      </c>
      <c r="BY746" s="197">
        <f t="shared" si="1113"/>
        <v>0</v>
      </c>
      <c r="BZ746" s="197"/>
      <c r="CA746" s="326"/>
      <c r="CB746" s="422">
        <f>SUM(CF734:CF745)</f>
        <v>0</v>
      </c>
      <c r="CC746" s="422">
        <f t="shared" ref="CC746:CD746" si="1114">SUM(CG734:CG745)</f>
        <v>0</v>
      </c>
      <c r="CD746" s="422">
        <f t="shared" si="1114"/>
        <v>0</v>
      </c>
      <c r="CE746" s="325"/>
      <c r="CF746" s="197">
        <f>SUM(CF734:CF745)</f>
        <v>0</v>
      </c>
      <c r="CG746" s="197">
        <f t="shared" ref="CG746:CH746" si="1115">SUM(CG734:CG745)</f>
        <v>0</v>
      </c>
      <c r="CH746" s="197">
        <f t="shared" si="1115"/>
        <v>0</v>
      </c>
      <c r="CI746" s="197"/>
      <c r="CJ746" s="197"/>
      <c r="CK746" s="422">
        <f>SUM(CO734:CO745)</f>
        <v>0</v>
      </c>
      <c r="CL746" s="422">
        <f t="shared" ref="CL746:CM746" si="1116">SUM(CP734:CP745)</f>
        <v>0</v>
      </c>
      <c r="CM746" s="422">
        <f t="shared" si="1116"/>
        <v>0</v>
      </c>
      <c r="CN746" s="325"/>
      <c r="CO746" s="197">
        <f>SUM(CO734:CO745)</f>
        <v>0</v>
      </c>
      <c r="CP746" s="197">
        <f t="shared" ref="CP746:CQ746" si="1117">SUM(CP734:CP745)</f>
        <v>0</v>
      </c>
      <c r="CQ746" s="197">
        <f t="shared" si="1117"/>
        <v>0</v>
      </c>
      <c r="CR746" s="197"/>
      <c r="CS746" s="197"/>
      <c r="CT746" s="197"/>
      <c r="CU746" s="259"/>
      <c r="CV746" s="209"/>
      <c r="CW746" s="228"/>
    </row>
    <row r="747" spans="1:101" x14ac:dyDescent="0.2">
      <c r="A747" s="227"/>
      <c r="B747" s="227"/>
      <c r="C747" s="168"/>
      <c r="D747" s="249"/>
      <c r="E747" s="242"/>
      <c r="F747" s="243"/>
      <c r="G747" s="242"/>
      <c r="H747" s="242"/>
      <c r="I747" s="242"/>
      <c r="J747" s="242"/>
      <c r="K747" s="242"/>
      <c r="L747" s="252"/>
      <c r="M747" s="260"/>
      <c r="N747" s="337"/>
      <c r="O747" s="333"/>
      <c r="P747" s="244"/>
      <c r="Q747" s="245"/>
      <c r="R747" s="245"/>
      <c r="S747" s="245"/>
      <c r="T747" s="246"/>
      <c r="U747" s="247"/>
      <c r="V747" s="247"/>
      <c r="W747" s="247"/>
      <c r="X747" s="247"/>
      <c r="Y747" s="244"/>
      <c r="Z747" s="245"/>
      <c r="AA747" s="245"/>
      <c r="AB747" s="245"/>
      <c r="AC747" s="246"/>
      <c r="AD747" s="247"/>
      <c r="AE747" s="247"/>
      <c r="AF747" s="247"/>
      <c r="AG747" s="247"/>
      <c r="AH747" s="244"/>
      <c r="AI747" s="245"/>
      <c r="AJ747" s="245"/>
      <c r="AK747" s="245"/>
      <c r="AL747" s="246"/>
      <c r="AM747" s="247"/>
      <c r="AN747" s="247"/>
      <c r="AO747" s="247"/>
      <c r="AP747" s="247"/>
      <c r="AQ747" s="244"/>
      <c r="AR747" s="245"/>
      <c r="AS747" s="245"/>
      <c r="AT747" s="245"/>
      <c r="AU747" s="246"/>
      <c r="AV747" s="247"/>
      <c r="AW747" s="247"/>
      <c r="AX747" s="247"/>
      <c r="AY747" s="247"/>
      <c r="AZ747" s="244"/>
      <c r="BA747" s="245"/>
      <c r="BB747" s="245"/>
      <c r="BC747" s="245"/>
      <c r="BD747" s="246"/>
      <c r="BE747" s="247"/>
      <c r="BF747" s="247"/>
      <c r="BG747" s="247"/>
      <c r="BH747" s="247"/>
      <c r="BI747" s="244"/>
      <c r="BJ747" s="244"/>
      <c r="BK747" s="244"/>
      <c r="BL747" s="244"/>
      <c r="BM747" s="244"/>
      <c r="BN747" s="247"/>
      <c r="BO747" s="247"/>
      <c r="BP747" s="247"/>
      <c r="BQ747" s="247"/>
      <c r="BR747" s="244"/>
      <c r="BS747" s="244"/>
      <c r="BT747" s="244"/>
      <c r="BU747" s="244"/>
      <c r="BV747" s="244"/>
      <c r="BW747" s="247"/>
      <c r="BX747" s="247"/>
      <c r="BY747" s="247"/>
      <c r="BZ747" s="247"/>
      <c r="CA747" s="244"/>
      <c r="CB747" s="244"/>
      <c r="CC747" s="244"/>
      <c r="CD747" s="244"/>
      <c r="CE747" s="244"/>
      <c r="CF747" s="247"/>
      <c r="CG747" s="247"/>
      <c r="CH747" s="247"/>
      <c r="CI747" s="247"/>
      <c r="CJ747" s="248"/>
      <c r="CK747" s="248"/>
      <c r="CL747" s="248"/>
      <c r="CM747" s="248"/>
      <c r="CN747" s="248"/>
      <c r="CO747" s="247"/>
      <c r="CP747" s="247"/>
      <c r="CQ747" s="247"/>
      <c r="CR747" s="247"/>
      <c r="CS747" s="248"/>
      <c r="CT747" s="242"/>
      <c r="CU747" s="253"/>
      <c r="CV747" s="209"/>
      <c r="CW747" s="228"/>
    </row>
    <row r="748" spans="1:101" x14ac:dyDescent="0.2">
      <c r="A748" s="219"/>
      <c r="B748" s="219"/>
      <c r="C748" s="175"/>
      <c r="D748" s="176"/>
      <c r="E748" s="210"/>
      <c r="F748" s="211"/>
      <c r="G748" s="210"/>
      <c r="H748" s="210"/>
      <c r="I748" s="210"/>
      <c r="J748" s="210"/>
      <c r="K748" s="210"/>
      <c r="L748" s="212"/>
      <c r="M748" s="213"/>
      <c r="N748" s="213"/>
      <c r="O748" s="213"/>
      <c r="P748" s="213"/>
      <c r="Q748" s="210"/>
      <c r="R748" s="210"/>
      <c r="S748" s="210"/>
      <c r="T748" s="214"/>
      <c r="U748" s="215"/>
      <c r="V748" s="215"/>
      <c r="W748" s="215"/>
      <c r="X748" s="215"/>
      <c r="Y748" s="213"/>
      <c r="Z748" s="210"/>
      <c r="AA748" s="210"/>
      <c r="AB748" s="210"/>
      <c r="AC748" s="214"/>
      <c r="AD748" s="215"/>
      <c r="AE748" s="215"/>
      <c r="AF748" s="215"/>
      <c r="AG748" s="215"/>
      <c r="AH748" s="213"/>
      <c r="AI748" s="210"/>
      <c r="AJ748" s="210"/>
      <c r="AK748" s="210"/>
      <c r="AL748" s="214"/>
      <c r="AM748" s="215"/>
      <c r="AN748" s="215"/>
      <c r="AO748" s="215"/>
      <c r="AP748" s="215"/>
      <c r="AQ748" s="213"/>
      <c r="AR748" s="210"/>
      <c r="AS748" s="210"/>
      <c r="AT748" s="210"/>
      <c r="AU748" s="214"/>
      <c r="AV748" s="215"/>
      <c r="AW748" s="215"/>
      <c r="AX748" s="215"/>
      <c r="AY748" s="215"/>
      <c r="AZ748" s="213"/>
      <c r="BA748" s="210"/>
      <c r="BB748" s="210"/>
      <c r="BC748" s="210"/>
      <c r="BD748" s="214"/>
      <c r="BE748" s="215"/>
      <c r="BF748" s="215"/>
      <c r="BG748" s="215"/>
      <c r="BH748" s="215"/>
      <c r="BI748" s="213"/>
      <c r="BJ748" s="210"/>
      <c r="BK748" s="210"/>
      <c r="BL748" s="210"/>
      <c r="BM748" s="214"/>
      <c r="BN748" s="215"/>
      <c r="BO748" s="215"/>
      <c r="BP748" s="215"/>
      <c r="BQ748" s="215"/>
      <c r="BR748" s="177"/>
      <c r="BS748" s="210"/>
      <c r="BT748" s="210"/>
      <c r="BU748" s="210"/>
      <c r="BV748" s="213"/>
      <c r="BW748" s="215"/>
      <c r="BX748" s="215"/>
      <c r="BY748" s="215"/>
      <c r="BZ748" s="215"/>
      <c r="CA748" s="210"/>
      <c r="CB748" s="216"/>
      <c r="CC748" s="216"/>
      <c r="CD748" s="216"/>
      <c r="CE748" s="216"/>
      <c r="CF748" s="215"/>
      <c r="CG748" s="215"/>
      <c r="CH748" s="215"/>
      <c r="CI748" s="215"/>
      <c r="CJ748" s="210"/>
      <c r="CK748" s="210"/>
      <c r="CL748" s="210"/>
      <c r="CM748" s="210"/>
      <c r="CN748" s="210"/>
      <c r="CO748" s="215"/>
      <c r="CP748" s="215"/>
      <c r="CQ748" s="215"/>
      <c r="CR748" s="215"/>
      <c r="CS748" s="210"/>
      <c r="CT748" s="210"/>
      <c r="CU748" s="210"/>
      <c r="CV748" s="217"/>
      <c r="CW748" s="218"/>
    </row>
    <row r="749" spans="1:101" ht="14.25" thickTop="1" thickBot="1" x14ac:dyDescent="0.25">
      <c r="A749" s="218"/>
      <c r="B749" s="218"/>
      <c r="C749" s="218"/>
      <c r="D749" s="218"/>
      <c r="E749" s="218"/>
      <c r="F749" s="218"/>
      <c r="G749" s="218"/>
      <c r="H749" s="218"/>
      <c r="I749" s="218"/>
      <c r="J749" s="218"/>
      <c r="K749" s="218"/>
      <c r="L749" s="218"/>
      <c r="M749" s="218"/>
      <c r="N749" s="218"/>
      <c r="O749" s="218"/>
      <c r="P749" s="218"/>
      <c r="Q749" s="218"/>
      <c r="R749" s="218"/>
      <c r="S749" s="218"/>
      <c r="T749" s="218"/>
      <c r="U749" s="218"/>
      <c r="V749" s="218"/>
      <c r="W749" s="218"/>
      <c r="X749" s="218"/>
      <c r="Y749" s="218"/>
      <c r="Z749" s="218"/>
      <c r="AA749" s="218"/>
      <c r="AB749" s="218"/>
      <c r="AC749" s="218"/>
      <c r="AD749" s="218"/>
      <c r="AE749" s="218"/>
      <c r="AF749" s="218"/>
      <c r="AG749" s="218"/>
      <c r="AH749" s="218"/>
      <c r="AI749" s="218"/>
      <c r="AJ749" s="218"/>
      <c r="AK749" s="218"/>
      <c r="AL749" s="218"/>
      <c r="AM749" s="218"/>
      <c r="AN749" s="218"/>
      <c r="AO749" s="218"/>
      <c r="AP749" s="218"/>
      <c r="AQ749" s="218"/>
      <c r="AR749" s="218"/>
      <c r="AS749" s="218"/>
      <c r="AT749" s="218"/>
      <c r="AU749" s="218"/>
      <c r="AV749" s="218"/>
      <c r="AW749" s="218"/>
      <c r="AX749" s="218"/>
      <c r="AY749" s="218"/>
      <c r="AZ749" s="218"/>
      <c r="BA749" s="218"/>
      <c r="BB749" s="218"/>
      <c r="BC749" s="218"/>
      <c r="BD749" s="218"/>
      <c r="BE749" s="218"/>
      <c r="BF749" s="218"/>
      <c r="BG749" s="218"/>
      <c r="BH749" s="218"/>
      <c r="BI749" s="218"/>
      <c r="BJ749" s="218"/>
      <c r="BK749" s="218"/>
      <c r="BL749" s="218"/>
      <c r="BM749" s="218"/>
      <c r="BN749" s="218"/>
      <c r="BO749" s="218"/>
      <c r="BP749" s="218"/>
      <c r="BQ749" s="218"/>
      <c r="BR749" s="218"/>
      <c r="BS749" s="218"/>
      <c r="BT749" s="218"/>
      <c r="BU749" s="218"/>
      <c r="BV749" s="218"/>
      <c r="BW749" s="218"/>
      <c r="BX749" s="218"/>
      <c r="BY749" s="218"/>
      <c r="BZ749" s="218"/>
      <c r="CA749" s="218"/>
      <c r="CB749" s="392"/>
      <c r="CC749" s="392"/>
      <c r="CD749" s="392"/>
      <c r="CE749" s="392"/>
      <c r="CF749" s="218"/>
      <c r="CG749" s="218"/>
      <c r="CH749" s="218"/>
      <c r="CI749" s="218"/>
      <c r="CJ749" s="218"/>
      <c r="CK749" s="218"/>
      <c r="CL749" s="218"/>
      <c r="CM749" s="218"/>
      <c r="CN749" s="218"/>
      <c r="CO749" s="218"/>
      <c r="CP749" s="218"/>
      <c r="CQ749" s="218"/>
      <c r="CR749" s="218"/>
      <c r="CS749" s="218"/>
      <c r="CT749" s="218"/>
      <c r="CU749" s="218"/>
      <c r="CV749" s="218"/>
      <c r="CW749" s="218"/>
    </row>
    <row r="750" spans="1:101" ht="21" thickTop="1" x14ac:dyDescent="0.3">
      <c r="A750" s="219"/>
      <c r="B750" s="219"/>
      <c r="C750" s="157"/>
      <c r="D750" s="158"/>
      <c r="E750" s="731" t="s">
        <v>44</v>
      </c>
      <c r="F750" s="229"/>
      <c r="G750" s="229"/>
      <c r="H750" s="229"/>
      <c r="I750" s="877" t="e" vm="1">
        <v>#VALUE!</v>
      </c>
      <c r="J750" s="877"/>
      <c r="K750" s="877"/>
      <c r="L750" s="877"/>
      <c r="M750" s="159"/>
      <c r="N750" s="159"/>
      <c r="O750" s="159"/>
      <c r="P750" s="160"/>
      <c r="Q750" s="159"/>
      <c r="R750" s="159"/>
      <c r="S750" s="159"/>
      <c r="T750" s="161"/>
      <c r="U750" s="162"/>
      <c r="V750" s="162"/>
      <c r="W750" s="162"/>
      <c r="X750" s="162"/>
      <c r="Y750" s="160"/>
      <c r="Z750" s="159"/>
      <c r="AA750" s="159"/>
      <c r="AB750" s="159"/>
      <c r="AC750" s="161"/>
      <c r="AD750" s="162"/>
      <c r="AE750" s="162"/>
      <c r="AF750" s="162"/>
      <c r="AG750" s="162"/>
      <c r="AH750" s="160"/>
      <c r="AI750" s="159"/>
      <c r="AJ750" s="201"/>
      <c r="AK750" s="201"/>
      <c r="AL750" s="164"/>
      <c r="AM750" s="162"/>
      <c r="AN750" s="162"/>
      <c r="AO750" s="162"/>
      <c r="AP750" s="162"/>
      <c r="AQ750" s="202"/>
      <c r="AR750" s="203"/>
      <c r="AS750" s="165"/>
      <c r="AT750" s="166"/>
      <c r="AU750" s="164"/>
      <c r="AV750" s="162"/>
      <c r="AW750" s="162"/>
      <c r="AX750" s="162"/>
      <c r="AY750" s="162"/>
      <c r="AZ750" s="202"/>
      <c r="BA750" s="203"/>
      <c r="BB750" s="166"/>
      <c r="BC750" s="201"/>
      <c r="BD750" s="204"/>
      <c r="BE750" s="162"/>
      <c r="BF750" s="162"/>
      <c r="BG750" s="162"/>
      <c r="BH750" s="162"/>
      <c r="BI750" s="205"/>
      <c r="BJ750" s="201"/>
      <c r="BK750" s="201"/>
      <c r="BL750" s="201"/>
      <c r="BM750" s="204"/>
      <c r="BN750" s="162"/>
      <c r="BO750" s="162"/>
      <c r="BP750" s="162"/>
      <c r="BQ750" s="162"/>
      <c r="BR750" s="167"/>
      <c r="BS750" s="201"/>
      <c r="BT750" s="201"/>
      <c r="BU750" s="201"/>
      <c r="BV750" s="205"/>
      <c r="BW750" s="162"/>
      <c r="BX750" s="162"/>
      <c r="BY750" s="162"/>
      <c r="BZ750" s="162"/>
      <c r="CA750" s="201"/>
      <c r="CB750" s="393"/>
      <c r="CC750" s="393"/>
      <c r="CD750" s="393"/>
      <c r="CE750" s="393"/>
      <c r="CF750" s="162"/>
      <c r="CG750" s="162"/>
      <c r="CH750" s="162"/>
      <c r="CI750" s="162"/>
      <c r="CJ750" s="163"/>
      <c r="CK750" s="163"/>
      <c r="CL750" s="163"/>
      <c r="CM750" s="163"/>
      <c r="CN750" s="163"/>
      <c r="CO750" s="162"/>
      <c r="CP750" s="162"/>
      <c r="CQ750" s="162"/>
      <c r="CR750" s="162"/>
      <c r="CS750" s="163"/>
      <c r="CT750" s="358"/>
      <c r="CU750" s="201"/>
      <c r="CV750" s="206"/>
      <c r="CW750" s="218"/>
    </row>
    <row r="751" spans="1:101" ht="15.75" thickBot="1" x14ac:dyDescent="0.25">
      <c r="A751" s="219"/>
      <c r="B751" s="219"/>
      <c r="C751" s="168"/>
      <c r="D751" s="785"/>
      <c r="E751" s="869" t="s">
        <v>45</v>
      </c>
      <c r="F751" s="363"/>
      <c r="G751" s="363"/>
      <c r="H751" s="363"/>
      <c r="I751" s="878"/>
      <c r="J751" s="878"/>
      <c r="K751" s="878"/>
      <c r="L751" s="878"/>
      <c r="M751" s="363"/>
      <c r="N751" s="363"/>
      <c r="O751" s="363"/>
      <c r="P751" s="363"/>
      <c r="Q751" s="363"/>
      <c r="R751" s="363"/>
      <c r="S751" s="363"/>
      <c r="T751" s="363"/>
      <c r="U751" s="363"/>
      <c r="V751" s="363"/>
      <c r="W751" s="363"/>
      <c r="X751" s="363"/>
      <c r="Y751" s="363"/>
      <c r="Z751" s="363"/>
      <c r="AA751" s="363"/>
      <c r="AB751" s="363"/>
      <c r="AC751" s="363"/>
      <c r="AD751" s="363"/>
      <c r="AE751" s="363"/>
      <c r="AF751" s="363"/>
      <c r="AG751" s="363"/>
      <c r="AH751" s="363"/>
      <c r="AI751" s="363"/>
      <c r="AJ751" s="363"/>
      <c r="AK751" s="363"/>
      <c r="AL751" s="363"/>
      <c r="AM751" s="363"/>
      <c r="AN751" s="363"/>
      <c r="AO751" s="363"/>
      <c r="AP751" s="363"/>
      <c r="AQ751" s="363"/>
      <c r="AR751" s="363"/>
      <c r="AS751" s="363"/>
      <c r="AT751" s="363"/>
      <c r="AU751" s="363"/>
      <c r="AV751" s="363"/>
      <c r="AW751" s="363"/>
      <c r="AX751" s="363"/>
      <c r="AY751" s="363"/>
      <c r="AZ751" s="363"/>
      <c r="BA751" s="363"/>
      <c r="BB751" s="363"/>
      <c r="BC751" s="363"/>
      <c r="BD751" s="363"/>
      <c r="BE751" s="363"/>
      <c r="BF751" s="363"/>
      <c r="BG751" s="363"/>
      <c r="BH751" s="363"/>
      <c r="BI751" s="363"/>
      <c r="BJ751" s="363"/>
      <c r="BK751" s="363"/>
      <c r="BL751" s="363"/>
      <c r="BM751" s="363"/>
      <c r="BN751" s="363"/>
      <c r="BO751" s="363"/>
      <c r="BP751" s="363"/>
      <c r="BQ751" s="363"/>
      <c r="BR751" s="363"/>
      <c r="BS751" s="363"/>
      <c r="BT751" s="363"/>
      <c r="BU751" s="363"/>
      <c r="BV751" s="363"/>
      <c r="BW751" s="363"/>
      <c r="BX751" s="363"/>
      <c r="BY751" s="363"/>
      <c r="BZ751" s="363"/>
      <c r="CA751" s="363"/>
      <c r="CB751" s="394"/>
      <c r="CC751" s="394"/>
      <c r="CD751" s="394"/>
      <c r="CE751" s="394"/>
      <c r="CF751" s="363"/>
      <c r="CG751" s="363"/>
      <c r="CH751" s="363"/>
      <c r="CI751" s="363"/>
      <c r="CJ751" s="363"/>
      <c r="CK751" s="363"/>
      <c r="CL751" s="363"/>
      <c r="CM751" s="363"/>
      <c r="CN751" s="323"/>
      <c r="CO751" s="363"/>
      <c r="CP751" s="363"/>
      <c r="CQ751" s="363"/>
      <c r="CR751" s="363"/>
      <c r="CS751" s="323"/>
      <c r="CT751" s="155"/>
      <c r="CU751" s="269"/>
      <c r="CV751" s="209"/>
      <c r="CW751" s="218"/>
    </row>
    <row r="752" spans="1:101" ht="18.75" thickTop="1" x14ac:dyDescent="0.2">
      <c r="A752" s="219"/>
      <c r="B752" s="219"/>
      <c r="C752" s="174"/>
      <c r="D752" s="778"/>
      <c r="E752" s="777"/>
      <c r="F752" s="235"/>
      <c r="G752" s="234"/>
      <c r="H752" s="234"/>
      <c r="I752" s="875">
        <f>WEEKNUM(E753)</f>
        <v>15</v>
      </c>
      <c r="J752" s="875"/>
      <c r="K752" s="875"/>
      <c r="L752" s="250"/>
      <c r="M752" s="261"/>
      <c r="N752" s="205"/>
      <c r="O752" s="236"/>
      <c r="P752" s="236"/>
      <c r="Q752" s="675" t="str">
        <f>IF($F756="","",SUM(Q768:S768)-S754)</f>
        <v/>
      </c>
      <c r="R752" s="675"/>
      <c r="S752" s="675"/>
      <c r="T752" s="237"/>
      <c r="U752" s="238"/>
      <c r="V752" s="238"/>
      <c r="W752" s="238"/>
      <c r="X752" s="238"/>
      <c r="Y752" s="236"/>
      <c r="Z752" s="675" t="str">
        <f>IF($F756="","",SUM(Z768:AB768)-AB754)</f>
        <v/>
      </c>
      <c r="AA752" s="675"/>
      <c r="AB752" s="675"/>
      <c r="AC752" s="237"/>
      <c r="AD752" s="238"/>
      <c r="AE752" s="238"/>
      <c r="AF752" s="238"/>
      <c r="AG752" s="238"/>
      <c r="AH752" s="236"/>
      <c r="AI752" s="675" t="str">
        <f>IF($F756="","",SUM(AI768:AK768)-AK754)</f>
        <v/>
      </c>
      <c r="AJ752" s="675"/>
      <c r="AK752" s="675"/>
      <c r="AL752" s="237"/>
      <c r="AM752" s="238"/>
      <c r="AN752" s="238"/>
      <c r="AO752" s="238"/>
      <c r="AP752" s="238"/>
      <c r="AQ752" s="236"/>
      <c r="AR752" s="675" t="str">
        <f>IF($F756="","",SUM(AR768:AT768)-AT754)</f>
        <v/>
      </c>
      <c r="AS752" s="675"/>
      <c r="AT752" s="675"/>
      <c r="AU752" s="239"/>
      <c r="AV752" s="238"/>
      <c r="AW752" s="238"/>
      <c r="AX752" s="238"/>
      <c r="AY752" s="238"/>
      <c r="AZ752" s="240"/>
      <c r="BA752" s="675" t="str">
        <f>IF($F756="","",SUM(BA768:BC768)-BC754)</f>
        <v/>
      </c>
      <c r="BB752" s="675"/>
      <c r="BC752" s="675"/>
      <c r="BD752" s="239"/>
      <c r="BE752" s="238"/>
      <c r="BF752" s="238"/>
      <c r="BG752" s="238"/>
      <c r="BH752" s="238"/>
      <c r="BI752" s="240"/>
      <c r="BJ752" s="675" t="str">
        <f>IF($F756="","",SUM(BJ768:BL768)-BL754)</f>
        <v/>
      </c>
      <c r="BK752" s="675"/>
      <c r="BL752" s="675"/>
      <c r="BM752" s="239"/>
      <c r="BN752" s="238"/>
      <c r="BO752" s="238"/>
      <c r="BP752" s="238"/>
      <c r="BQ752" s="238"/>
      <c r="BR752" s="241"/>
      <c r="BS752" s="675" t="str">
        <f>IF($F756="","",SUM(BS768:BU768)-BU754)</f>
        <v/>
      </c>
      <c r="BT752" s="675"/>
      <c r="BU752" s="675"/>
      <c r="BV752" s="240"/>
      <c r="BW752" s="238"/>
      <c r="BX752" s="238"/>
      <c r="BY752" s="238"/>
      <c r="BZ752" s="238"/>
      <c r="CA752" s="241"/>
      <c r="CB752" s="675" t="str">
        <f>IF($F756="","",SUM(CB768:CD768)-CD754)</f>
        <v/>
      </c>
      <c r="CC752" s="675"/>
      <c r="CD752" s="675"/>
      <c r="CE752" s="240"/>
      <c r="CF752" s="238"/>
      <c r="CG752" s="238"/>
      <c r="CH752" s="238"/>
      <c r="CI752" s="238"/>
      <c r="CJ752" s="234"/>
      <c r="CK752" s="675" t="str">
        <f>IF($F756="","",SUM(CK768:CM768))</f>
        <v/>
      </c>
      <c r="CL752" s="675"/>
      <c r="CM752" s="675"/>
      <c r="CN752" s="240"/>
      <c r="CO752" s="238"/>
      <c r="CP752" s="238"/>
      <c r="CQ752" s="238"/>
      <c r="CR752" s="238"/>
      <c r="CS752" s="234"/>
      <c r="CT752" s="234"/>
      <c r="CU752" s="251"/>
      <c r="CV752" s="209"/>
      <c r="CW752" s="218"/>
    </row>
    <row r="753" spans="1:101" x14ac:dyDescent="0.2">
      <c r="A753" s="219"/>
      <c r="B753" s="219"/>
      <c r="C753" s="174"/>
      <c r="D753" s="779"/>
      <c r="E753" s="543">
        <f>E731+7</f>
        <v>46487</v>
      </c>
      <c r="F753" s="178"/>
      <c r="G753" s="179"/>
      <c r="H753" s="179"/>
      <c r="I753" s="876"/>
      <c r="J753" s="876"/>
      <c r="K753" s="876"/>
      <c r="L753" s="254"/>
      <c r="M753" s="329"/>
      <c r="N753" s="208"/>
      <c r="O753" s="180"/>
      <c r="P753" s="180"/>
      <c r="Q753" s="584" t="str">
        <f>IF(Q752="","",Q752/Data!$X$1)</f>
        <v/>
      </c>
      <c r="R753" s="584"/>
      <c r="S753" s="585" t="str">
        <f>IF(SUM(X756:X767)=0,"",SUM(X756:X767))</f>
        <v/>
      </c>
      <c r="T753" s="181"/>
      <c r="U753" s="182"/>
      <c r="V753" s="182"/>
      <c r="W753" s="182"/>
      <c r="X753" s="182"/>
      <c r="Y753" s="180"/>
      <c r="Z753" s="584" t="str">
        <f>IF(Z752="","",Z752/Data!$X$1)</f>
        <v/>
      </c>
      <c r="AA753" s="584"/>
      <c r="AB753" s="585" t="str">
        <f>IF(SUM(AG756:AG767)=0,"",SUM(AG756:AG767))</f>
        <v/>
      </c>
      <c r="AC753" s="181"/>
      <c r="AD753" s="182"/>
      <c r="AE753" s="182"/>
      <c r="AF753" s="182"/>
      <c r="AG753" s="182"/>
      <c r="AH753" s="180"/>
      <c r="AI753" s="584" t="str">
        <f>IF(AI752="","",AI752/Data!$X$1)</f>
        <v/>
      </c>
      <c r="AJ753" s="584"/>
      <c r="AK753" s="585" t="str">
        <f>IF(SUM(AP756:AP767)=0,"",SUM(AP756:AP767))</f>
        <v/>
      </c>
      <c r="AL753" s="181"/>
      <c r="AM753" s="182"/>
      <c r="AN753" s="182"/>
      <c r="AO753" s="182"/>
      <c r="AP753" s="182"/>
      <c r="AQ753" s="180"/>
      <c r="AR753" s="584" t="str">
        <f>IF(AR752="","",AR752/Data!$X$1)</f>
        <v/>
      </c>
      <c r="AS753" s="584"/>
      <c r="AT753" s="585" t="str">
        <f>IF(SUM(AY756:AY767)=0,"",SUM(AY756:AY767))</f>
        <v/>
      </c>
      <c r="AU753" s="183"/>
      <c r="AV753" s="182"/>
      <c r="AW753" s="182"/>
      <c r="AX753" s="182"/>
      <c r="AY753" s="182"/>
      <c r="AZ753" s="184"/>
      <c r="BA753" s="584" t="str">
        <f>IF(BA752="","",BA752/Data!$X$1)</f>
        <v/>
      </c>
      <c r="BB753" s="584"/>
      <c r="BC753" s="585" t="str">
        <f>IF(SUM(BH756:BH767)=0,"",SUM(BH756:BH767))</f>
        <v/>
      </c>
      <c r="BD753" s="183"/>
      <c r="BE753" s="182"/>
      <c r="BF753" s="182"/>
      <c r="BG753" s="182"/>
      <c r="BH753" s="182"/>
      <c r="BI753" s="184"/>
      <c r="BJ753" s="584" t="str">
        <f>IF(BJ752="","",BJ752/Data!$X$1)</f>
        <v/>
      </c>
      <c r="BK753" s="584"/>
      <c r="BL753" s="585" t="str">
        <f>IF(SUM(BQ756:BQ767)=0,"",SUM(BQ756:BQ767))</f>
        <v/>
      </c>
      <c r="BM753" s="183"/>
      <c r="BN753" s="182"/>
      <c r="BO753" s="182"/>
      <c r="BP753" s="182"/>
      <c r="BQ753" s="182"/>
      <c r="BR753" s="185"/>
      <c r="BS753" s="584" t="str">
        <f>IF(BS752="","",BS752/Data!$X$1)</f>
        <v/>
      </c>
      <c r="BT753" s="584"/>
      <c r="BU753" s="585" t="str">
        <f>IF(SUM(BZ756:BZ767)=0,"",SUM(BZ756:BZ767))</f>
        <v/>
      </c>
      <c r="BV753" s="184"/>
      <c r="BW753" s="182"/>
      <c r="BX753" s="182"/>
      <c r="BY753" s="182"/>
      <c r="BZ753" s="182"/>
      <c r="CA753" s="185"/>
      <c r="CB753" s="584" t="str">
        <f>IF(CB752="","",CB752/Data!$X$1)</f>
        <v/>
      </c>
      <c r="CC753" s="584"/>
      <c r="CD753" s="585" t="str">
        <f>IF(SUM(CI756:CI767)=0,"",SUM(CI756:CI767))</f>
        <v/>
      </c>
      <c r="CE753" s="184"/>
      <c r="CF753" s="182"/>
      <c r="CG753" s="182"/>
      <c r="CH753" s="182"/>
      <c r="CI753" s="182"/>
      <c r="CJ753" s="182"/>
      <c r="CK753" s="584" t="str">
        <f>IF(CK752="","",CK752/Data!$X$1)</f>
        <v/>
      </c>
      <c r="CL753" s="584"/>
      <c r="CM753" s="585" t="str">
        <f>IF(SUM(CR756:CR767)=0,"",SUM(CR756:CR767))</f>
        <v/>
      </c>
      <c r="CN753" s="184"/>
      <c r="CO753" s="182"/>
      <c r="CP753" s="182"/>
      <c r="CQ753" s="182"/>
      <c r="CR753" s="182"/>
      <c r="CS753" s="182"/>
      <c r="CT753" s="182"/>
      <c r="CU753" s="255"/>
      <c r="CV753" s="209"/>
      <c r="CW753" s="218"/>
    </row>
    <row r="754" spans="1:101" ht="13.5" thickBot="1" x14ac:dyDescent="0.25">
      <c r="A754" s="219"/>
      <c r="B754" s="219"/>
      <c r="C754" s="174"/>
      <c r="D754" s="230"/>
      <c r="E754" s="359"/>
      <c r="F754" s="186"/>
      <c r="G754" s="187"/>
      <c r="H754" s="187"/>
      <c r="I754" s="673"/>
      <c r="J754" s="674"/>
      <c r="K754" s="674"/>
      <c r="L754" s="256"/>
      <c r="M754" s="330"/>
      <c r="N754" s="334"/>
      <c r="O754" s="187"/>
      <c r="P754" s="187"/>
      <c r="Q754" s="342" t="str">
        <f>Data!$E$11</f>
        <v>AHH</v>
      </c>
      <c r="R754" s="343" t="str">
        <f>IF($F767="","",RANK(Q752,$Q752:$CL752))</f>
        <v/>
      </c>
      <c r="S754" s="466"/>
      <c r="T754" s="181"/>
      <c r="U754" s="182"/>
      <c r="V754" s="182"/>
      <c r="W754" s="182"/>
      <c r="X754" s="197">
        <f>COUNTIF(U756:W767,"&gt;0")</f>
        <v>0</v>
      </c>
      <c r="Y754" s="180"/>
      <c r="Z754" s="342" t="str">
        <f>Data!$E$12</f>
        <v>RB</v>
      </c>
      <c r="AA754" s="343" t="str">
        <f>IF($F767="","",RANK(Z752,$Q752:$CL752))</f>
        <v/>
      </c>
      <c r="AB754" s="466"/>
      <c r="AC754" s="181"/>
      <c r="AD754" s="182"/>
      <c r="AE754" s="182"/>
      <c r="AF754" s="182"/>
      <c r="AG754" s="197">
        <f>COUNTIF(AD756:AF767,"&gt;0")</f>
        <v>0</v>
      </c>
      <c r="AH754" s="180"/>
      <c r="AI754" s="342" t="str">
        <f>Data!$E$13</f>
        <v>EB</v>
      </c>
      <c r="AJ754" s="343" t="str">
        <f>IF($F767="","",RANK(AI752,$Q752:$CL752))</f>
        <v/>
      </c>
      <c r="AK754" s="466"/>
      <c r="AL754" s="181"/>
      <c r="AM754" s="182"/>
      <c r="AN754" s="182"/>
      <c r="AO754" s="182"/>
      <c r="AP754" s="197">
        <f>COUNTIF(AM756:AO767,"&gt;0")</f>
        <v>0</v>
      </c>
      <c r="AQ754" s="180"/>
      <c r="AR754" s="305" t="str">
        <f>Data!$E$14</f>
        <v>KAF</v>
      </c>
      <c r="AS754" s="343" t="str">
        <f>IF($F767="","",RANK(AR752,$Q752:$CL752))</f>
        <v/>
      </c>
      <c r="AT754" s="466"/>
      <c r="AU754" s="181"/>
      <c r="AV754" s="182"/>
      <c r="AW754" s="182"/>
      <c r="AX754" s="182"/>
      <c r="AY754" s="197">
        <f>COUNTIF(AV756:AX767,"&gt;0")</f>
        <v>0</v>
      </c>
      <c r="AZ754" s="180"/>
      <c r="BA754" s="305" t="str">
        <f>Data!$E$15</f>
        <v>ØG</v>
      </c>
      <c r="BB754" s="343" t="str">
        <f>IF($F767="","",RANK(BA752,$Q752:$CL752))</f>
        <v/>
      </c>
      <c r="BC754" s="466"/>
      <c r="BD754" s="181"/>
      <c r="BE754" s="182"/>
      <c r="BF754" s="182"/>
      <c r="BG754" s="182"/>
      <c r="BH754" s="197">
        <f>COUNTIF(BE756:BG767,"&gt;0")</f>
        <v>0</v>
      </c>
      <c r="BI754" s="180"/>
      <c r="BJ754" s="305" t="str">
        <f>Data!$E$16</f>
        <v>JH</v>
      </c>
      <c r="BK754" s="343" t="str">
        <f>IF($F767="","",RANK(BJ752,$Q752:$CL752))</f>
        <v/>
      </c>
      <c r="BL754" s="466"/>
      <c r="BM754" s="181"/>
      <c r="BN754" s="182"/>
      <c r="BO754" s="182"/>
      <c r="BP754" s="182"/>
      <c r="BQ754" s="197">
        <f>COUNTIF(BN756:BP767,"&gt;0")</f>
        <v>0</v>
      </c>
      <c r="BR754" s="188"/>
      <c r="BS754" s="305" t="str">
        <f>Data!$E$17</f>
        <v>TOH</v>
      </c>
      <c r="BT754" s="343" t="str">
        <f>IF($F767="","",RANK(BS752,$Q752:$CL752))</f>
        <v/>
      </c>
      <c r="BU754" s="466"/>
      <c r="BV754" s="180"/>
      <c r="BW754" s="182"/>
      <c r="BX754" s="182"/>
      <c r="BY754" s="182"/>
      <c r="BZ754" s="197">
        <f>COUNTIF(BW756:BY767,"&gt;0")</f>
        <v>0</v>
      </c>
      <c r="CA754" s="188"/>
      <c r="CB754" s="305" t="s">
        <v>26</v>
      </c>
      <c r="CC754" s="343" t="str">
        <f>IF($F767="","",RANK(CB752,$Q752:$CM752))</f>
        <v/>
      </c>
      <c r="CD754" s="467"/>
      <c r="CE754" s="180"/>
      <c r="CF754" s="182"/>
      <c r="CG754" s="182"/>
      <c r="CH754" s="182"/>
      <c r="CI754" s="197">
        <f>COUNTIF(CF756:CH767,"&gt;0")</f>
        <v>0</v>
      </c>
      <c r="CJ754" s="182"/>
      <c r="CK754" s="305" t="s">
        <v>27</v>
      </c>
      <c r="CL754" s="343" t="str">
        <f>IF($F767="","",RANK(CK752,$Q752:$CM752))</f>
        <v/>
      </c>
      <c r="CM754" s="669"/>
      <c r="CN754" s="180"/>
      <c r="CO754" s="182"/>
      <c r="CP754" s="182"/>
      <c r="CQ754" s="182"/>
      <c r="CR754" s="197">
        <f>COUNTIF(CO756:CQ767,"&gt;0")</f>
        <v>0</v>
      </c>
      <c r="CS754" s="182"/>
      <c r="CT754" s="182"/>
      <c r="CU754" s="255"/>
      <c r="CV754" s="209"/>
      <c r="CW754" s="218"/>
    </row>
    <row r="755" spans="1:101" ht="13.5" thickBot="1" x14ac:dyDescent="0.25">
      <c r="A755" s="227"/>
      <c r="B755" s="227"/>
      <c r="C755" s="168"/>
      <c r="D755" s="231"/>
      <c r="E755" s="189"/>
      <c r="F755" s="190"/>
      <c r="G755" s="191"/>
      <c r="H755" s="191"/>
      <c r="I755" s="192" t="s">
        <v>47</v>
      </c>
      <c r="J755" s="193" t="s">
        <v>48</v>
      </c>
      <c r="K755" s="194" t="s">
        <v>49</v>
      </c>
      <c r="L755" s="257"/>
      <c r="M755" s="331"/>
      <c r="N755" s="335"/>
      <c r="O755" s="195"/>
      <c r="P755" s="195"/>
      <c r="Q755" s="192" t="s">
        <v>47</v>
      </c>
      <c r="R755" s="193" t="s">
        <v>48</v>
      </c>
      <c r="S755" s="194" t="s">
        <v>49</v>
      </c>
      <c r="T755" s="196"/>
      <c r="U755" s="197"/>
      <c r="V755" s="197"/>
      <c r="W755" s="197"/>
      <c r="X755" s="197"/>
      <c r="Y755" s="195"/>
      <c r="Z755" s="192" t="s">
        <v>47</v>
      </c>
      <c r="AA755" s="193" t="s">
        <v>48</v>
      </c>
      <c r="AB755" s="194" t="s">
        <v>49</v>
      </c>
      <c r="AC755" s="196"/>
      <c r="AD755" s="197"/>
      <c r="AE755" s="197"/>
      <c r="AF755" s="197"/>
      <c r="AG755" s="197"/>
      <c r="AH755" s="195"/>
      <c r="AI755" s="192" t="s">
        <v>47</v>
      </c>
      <c r="AJ755" s="193" t="s">
        <v>48</v>
      </c>
      <c r="AK755" s="194" t="s">
        <v>49</v>
      </c>
      <c r="AL755" s="196"/>
      <c r="AM755" s="197"/>
      <c r="AN755" s="197"/>
      <c r="AO755" s="197"/>
      <c r="AP755" s="197"/>
      <c r="AQ755" s="195"/>
      <c r="AR755" s="192" t="s">
        <v>47</v>
      </c>
      <c r="AS755" s="193" t="s">
        <v>48</v>
      </c>
      <c r="AT755" s="194" t="s">
        <v>49</v>
      </c>
      <c r="AU755" s="196"/>
      <c r="AV755" s="197"/>
      <c r="AW755" s="197"/>
      <c r="AX755" s="197"/>
      <c r="AY755" s="197"/>
      <c r="AZ755" s="195"/>
      <c r="BA755" s="192" t="s">
        <v>47</v>
      </c>
      <c r="BB755" s="193" t="s">
        <v>48</v>
      </c>
      <c r="BC755" s="194" t="s">
        <v>49</v>
      </c>
      <c r="BD755" s="196"/>
      <c r="BE755" s="197"/>
      <c r="BF755" s="197"/>
      <c r="BG755" s="197"/>
      <c r="BH755" s="197"/>
      <c r="BI755" s="195"/>
      <c r="BJ755" s="192" t="s">
        <v>47</v>
      </c>
      <c r="BK755" s="193" t="s">
        <v>48</v>
      </c>
      <c r="BL755" s="194" t="s">
        <v>49</v>
      </c>
      <c r="BM755" s="196"/>
      <c r="BN755" s="197"/>
      <c r="BO755" s="197"/>
      <c r="BP755" s="197"/>
      <c r="BQ755" s="197"/>
      <c r="BR755" s="195"/>
      <c r="BS755" s="192" t="s">
        <v>47</v>
      </c>
      <c r="BT755" s="193" t="s">
        <v>48</v>
      </c>
      <c r="BU755" s="194" t="s">
        <v>49</v>
      </c>
      <c r="BV755" s="196"/>
      <c r="BW755" s="197"/>
      <c r="BX755" s="197"/>
      <c r="BY755" s="197"/>
      <c r="BZ755" s="197"/>
      <c r="CA755" s="195"/>
      <c r="CB755" s="192" t="s">
        <v>47</v>
      </c>
      <c r="CC755" s="193" t="s">
        <v>48</v>
      </c>
      <c r="CD755" s="194" t="s">
        <v>49</v>
      </c>
      <c r="CE755" s="196"/>
      <c r="CF755" s="197"/>
      <c r="CG755" s="197"/>
      <c r="CH755" s="197"/>
      <c r="CI755" s="197"/>
      <c r="CJ755" s="197"/>
      <c r="CK755" s="192" t="s">
        <v>47</v>
      </c>
      <c r="CL755" s="193" t="s">
        <v>48</v>
      </c>
      <c r="CM755" s="194" t="s">
        <v>49</v>
      </c>
      <c r="CN755" s="196"/>
      <c r="CO755" s="197"/>
      <c r="CP755" s="197"/>
      <c r="CQ755" s="197"/>
      <c r="CR755" s="197"/>
      <c r="CS755" s="197"/>
      <c r="CT755" s="198"/>
      <c r="CU755" s="255"/>
      <c r="CV755" s="209"/>
      <c r="CW755" s="228"/>
    </row>
    <row r="756" spans="1:101" x14ac:dyDescent="0.2">
      <c r="A756" s="227"/>
      <c r="B756" s="227"/>
      <c r="C756" s="168"/>
      <c r="D756" s="232"/>
      <c r="E756" s="134"/>
      <c r="F756" s="424"/>
      <c r="G756" s="428"/>
      <c r="H756" s="429"/>
      <c r="I756" s="138" t="str">
        <f t="shared" ref="I756:I767" si="1118">IF($F756&gt;$H756,"x","")</f>
        <v/>
      </c>
      <c r="J756" s="344" t="str">
        <f t="shared" ref="J756:J767" si="1119">IF(F756&lt;&gt;"",IF(H756&lt;&gt;"",IF(F756=H756,"x",""),""),"")</f>
        <v/>
      </c>
      <c r="K756" s="345" t="str">
        <f t="shared" ref="K756:K767" si="1120">IF($F756&lt;$H756,"x","")</f>
        <v/>
      </c>
      <c r="L756" s="765"/>
      <c r="M756" s="332"/>
      <c r="N756" s="336"/>
      <c r="O756" s="200"/>
      <c r="P756" s="200"/>
      <c r="Q756" s="436"/>
      <c r="R756" s="437"/>
      <c r="S756" s="438" t="str">
        <f t="shared" ref="S756:S767" si="1121">IF(Q756="","",100-SUM(Q756:R756))</f>
        <v/>
      </c>
      <c r="T756" s="328"/>
      <c r="U756" s="197" t="str">
        <f>IF(AND($I756="x",AND(MAX(Q756:S756)=Q756,Q756&gt;=0)),Data!$BI$2,"")</f>
        <v/>
      </c>
      <c r="V756" s="197" t="str">
        <f>IF(AND($J756="x",AND(MAX(Q756:S756)=R756,R756&gt;=0)),Data!$BJ$2,"")</f>
        <v/>
      </c>
      <c r="W756" s="197" t="str">
        <f>IF(AND($K756="x",AND(MAX(Q756:S756)=S756,S756&gt;=0)),Data!$BK$2,"")</f>
        <v/>
      </c>
      <c r="X756" s="197"/>
      <c r="Y756" s="328"/>
      <c r="Z756" s="451"/>
      <c r="AA756" s="452"/>
      <c r="AB756" s="438" t="str">
        <f t="shared" ref="AB756:AB767" si="1122">IF(Z756="","",100-SUM(Z756:AA756))</f>
        <v/>
      </c>
      <c r="AC756" s="328"/>
      <c r="AD756" s="197" t="str">
        <f>IF(AND($I756="x",AND(MAX(Z756:AB756)=Z756,Z756&lt;&gt;"")),Data!$BI$2,"")</f>
        <v/>
      </c>
      <c r="AE756" s="197" t="str">
        <f>IF(AND($J756="x",AND(MAX(Z756:AB756)=AA756,AA756&lt;&gt;"")),Data!$BJ$2,"")</f>
        <v/>
      </c>
      <c r="AF756" s="197" t="str">
        <f>IF(AND($K756="x",AND(MAX(Z756:AB756)=AB756,AB756&lt;&gt;"")),Data!$BK$2,"")</f>
        <v/>
      </c>
      <c r="AG756" s="197"/>
      <c r="AH756" s="328"/>
      <c r="AI756" s="451"/>
      <c r="AJ756" s="452"/>
      <c r="AK756" s="438" t="str">
        <f t="shared" ref="AK756:AK767" si="1123">IF(AI756="","",100-SUM(AI756:AJ756))</f>
        <v/>
      </c>
      <c r="AL756" s="328"/>
      <c r="AM756" s="197" t="str">
        <f>IF(AND($I756="x",AND(MAX(AI756:AK756)=AI756,AI756&lt;&gt;"")),Data!$BI$2,"")</f>
        <v/>
      </c>
      <c r="AN756" s="197" t="str">
        <f>IF(AND($J756="x",AND(MAX(AI756:AK756)=AJ756,AJ756&lt;&gt;"")),Data!$BJ$2,"")</f>
        <v/>
      </c>
      <c r="AO756" s="197" t="str">
        <f>IF(AND($K756="x",AND(MAX(AI756:AK756)=AK756,AK756&lt;&gt;"")),Data!$BK$2,"")</f>
        <v/>
      </c>
      <c r="AP756" s="197"/>
      <c r="AQ756" s="328"/>
      <c r="AR756" s="451"/>
      <c r="AS756" s="452"/>
      <c r="AT756" s="438" t="str">
        <f t="shared" ref="AT756:AT767" si="1124">IF(AR756="","",100-SUM(AR756:AS756))</f>
        <v/>
      </c>
      <c r="AU756" s="328"/>
      <c r="AV756" s="197" t="str">
        <f>IF(AND($I756="x",AND(MAX(AR756:AT756)=AR756,AR756&lt;&gt;"")),Data!$BI$2,"")</f>
        <v/>
      </c>
      <c r="AW756" s="197" t="str">
        <f>IF(AND($J756="x",AND(MAX(AR756:AT756)=AS756,AS756&lt;&gt;"")),Data!$BJ$2,"")</f>
        <v/>
      </c>
      <c r="AX756" s="197" t="str">
        <f>IF(AND($K756="x",AND(MAX(AR756:AT756)=AT756,AT756&lt;&gt;"")),Data!$BK$2,"")</f>
        <v/>
      </c>
      <c r="AY756" s="197"/>
      <c r="AZ756" s="328"/>
      <c r="BA756" s="451"/>
      <c r="BB756" s="452"/>
      <c r="BC756" s="438" t="str">
        <f t="shared" ref="BC756:BC767" si="1125">IF(BA756="","",100-SUM(BA756:BB756))</f>
        <v/>
      </c>
      <c r="BD756" s="328"/>
      <c r="BE756" s="197" t="str">
        <f>IF(AND($I756="x",AND(MAX(BA756:BC756)=BA756,BA756&lt;&gt;"")),Data!$BI$2,"")</f>
        <v/>
      </c>
      <c r="BF756" s="197" t="str">
        <f>IF(AND($J756="x",AND(MAX(BA756:BC756)=BB756,BB756&lt;&gt;"")),Data!$BJ$2,"")</f>
        <v/>
      </c>
      <c r="BG756" s="197" t="str">
        <f>IF(AND($K756="x",AND(MAX(BA756:BC756)=BC756,BC756&lt;&gt;"")),Data!$BK$2,"")</f>
        <v/>
      </c>
      <c r="BH756" s="197"/>
      <c r="BI756" s="328"/>
      <c r="BJ756" s="451"/>
      <c r="BK756" s="452"/>
      <c r="BL756" s="438" t="str">
        <f t="shared" ref="BL756:BL767" si="1126">IF(BJ756="","",100-SUM(BJ756:BK756))</f>
        <v/>
      </c>
      <c r="BM756" s="328"/>
      <c r="BN756" s="197" t="str">
        <f>IF(AND($I756="x",AND(MAX(BJ756:BL756)=BJ756,BJ756&lt;&gt;"")),Data!$BI$2,"")</f>
        <v/>
      </c>
      <c r="BO756" s="197" t="str">
        <f>IF(AND($J756="x",AND(MAX(BJ756:BL756)=BK756,BK756&lt;&gt;"")),Data!$BJ$2,"")</f>
        <v/>
      </c>
      <c r="BP756" s="197" t="str">
        <f>IF(AND($K756="x",AND(MAX(BJ756:BL756)=BL756,BL756&lt;&gt;"")),Data!$BK$2,"")</f>
        <v/>
      </c>
      <c r="BQ756" s="197"/>
      <c r="BR756" s="328"/>
      <c r="BS756" s="451"/>
      <c r="BT756" s="452"/>
      <c r="BU756" s="438" t="str">
        <f t="shared" ref="BU756:BU767" si="1127">IF(BS756="","",100-SUM(BS756:BT756))</f>
        <v/>
      </c>
      <c r="BV756" s="328"/>
      <c r="BW756" s="197" t="str">
        <f>IF(AND($I756="x",AND(MAX(BS756:BU756)=BS756,BS756&lt;&gt;"")),Data!$BI$2,"")</f>
        <v/>
      </c>
      <c r="BX756" s="197" t="str">
        <f>IF(AND($J756="x",AND(MAX(BS756:BU756)=BT756,BT756&lt;&gt;"")),Data!$BJ$2,"")</f>
        <v/>
      </c>
      <c r="BY756" s="197" t="str">
        <f>IF(AND($K756="x",AND(MAX(BS756:BU756)=BU756,BU756&lt;&gt;"")),Data!$BK$2,"")</f>
        <v/>
      </c>
      <c r="BZ756" s="197"/>
      <c r="CA756" s="328"/>
      <c r="CB756" s="457" t="str">
        <f t="shared" ref="CB756:CB767" si="1128">IFERROR(ROUNDUP((SUM(Q756,Z756,AI756,AR756,BA756,BJ756,BS756)/SUM($Q756:$S756,$Z756:$AB756,$AI756:$AK756,$AR756:$AT756,$BA756:$BC756,$BJ756:$BL756,$BS756:$BU756))*100,-1),"")</f>
        <v/>
      </c>
      <c r="CC756" s="458" t="str">
        <f t="shared" ref="CC756:CC767" si="1129">IFERROR(ROUNDDOWN((SUM(R756,AA756,AJ756,AS756,BB756,BK756,BT756)/SUM($Q756:$S756,$Z756:$AB756,$AI756:$AK756,$AR756:$AT756,$BA756:$BC756,$BJ756:$BL756,$BS756:$BU756))*100,-1),"")</f>
        <v/>
      </c>
      <c r="CD756" s="459" t="str">
        <f t="shared" ref="CD756:CD767" si="1130">IF(CB756="","",100-SUM(CB756:CC756))</f>
        <v/>
      </c>
      <c r="CE756" s="328"/>
      <c r="CF756" s="197" t="str">
        <f>IF(AND($I756="x",AND(MAX(CB756:CD756)=CB756,CB756&lt;&gt;"")),Data!$BI$2,"")</f>
        <v/>
      </c>
      <c r="CG756" s="197" t="str">
        <f>IF(AND($J756="x",AND(MAX(CB756:CD756)=CC756,CC756&lt;&gt;"")),Data!$BJ$2,"")</f>
        <v/>
      </c>
      <c r="CH756" s="197" t="str">
        <f>IF(AND($K756="x",AND(MAX(CB756:CD756)=CD756,CD756&lt;&gt;"")),Data!$BK$2,"")</f>
        <v/>
      </c>
      <c r="CI756" s="197"/>
      <c r="CJ756" s="197"/>
      <c r="CK756" s="451"/>
      <c r="CL756" s="452"/>
      <c r="CM756" s="438" t="str">
        <f t="shared" ref="CM756:CM767" si="1131">IF(CK756="","",100-SUM(CK756:CL756))</f>
        <v/>
      </c>
      <c r="CN756" s="328"/>
      <c r="CO756" s="197" t="str">
        <f>IF(AND($I756="x",AND(MAX(CK756:CM756)=CK756,CK756&lt;&gt;"")),Data!$BI$2,"")</f>
        <v/>
      </c>
      <c r="CP756" s="197" t="str">
        <f>IF(AND($J756="x",AND(MAX(CK756:CM756)=CL756,CL756&lt;&gt;"")),Data!$BJ$2,"")</f>
        <v/>
      </c>
      <c r="CQ756" s="197" t="str">
        <f>IF(AND($K756="x",AND(MAX(CK756:CM756)=CM756,CM756&lt;&gt;"")),Data!$BK$2,"")</f>
        <v/>
      </c>
      <c r="CR756" s="197"/>
      <c r="CS756" s="197"/>
      <c r="CT756" s="328"/>
      <c r="CU756" s="255"/>
      <c r="CV756" s="209"/>
      <c r="CW756" s="227"/>
    </row>
    <row r="757" spans="1:101" x14ac:dyDescent="0.2">
      <c r="A757" s="227"/>
      <c r="B757" s="227"/>
      <c r="C757" s="168"/>
      <c r="D757" s="232"/>
      <c r="E757" s="135"/>
      <c r="F757" s="425"/>
      <c r="G757" s="430"/>
      <c r="H757" s="431"/>
      <c r="I757" s="346" t="str">
        <f t="shared" si="1118"/>
        <v/>
      </c>
      <c r="J757" s="347" t="str">
        <f t="shared" si="1119"/>
        <v/>
      </c>
      <c r="K757" s="348" t="str">
        <f t="shared" si="1120"/>
        <v/>
      </c>
      <c r="L757" s="765"/>
      <c r="M757" s="332"/>
      <c r="N757" s="336"/>
      <c r="O757" s="200"/>
      <c r="P757" s="200"/>
      <c r="Q757" s="439"/>
      <c r="R757" s="440"/>
      <c r="S757" s="441" t="str">
        <f t="shared" si="1121"/>
        <v/>
      </c>
      <c r="T757" s="328"/>
      <c r="U757" s="197" t="str">
        <f>IF(AND($I757="x",AND(MAX(Q757:S757)=Q757,Q757&gt;=0)),Data!$BI$2,"")</f>
        <v/>
      </c>
      <c r="V757" s="197" t="str">
        <f>IF(AND($J757="x",AND(MAX(Q757:S757)=R757,R757&gt;=0)),Data!$BJ$2,"")</f>
        <v/>
      </c>
      <c r="W757" s="197" t="str">
        <f>IF(AND($K757="x",AND(MAX(Q757:S757)=S757,S757&gt;=0)),Data!$BK$2,"")</f>
        <v/>
      </c>
      <c r="X757" s="197"/>
      <c r="Y757" s="328"/>
      <c r="Z757" s="453"/>
      <c r="AA757" s="454"/>
      <c r="AB757" s="441" t="str">
        <f t="shared" si="1122"/>
        <v/>
      </c>
      <c r="AC757" s="328"/>
      <c r="AD757" s="197" t="str">
        <f>IF(AND($I757="x",AND(MAX(Z757:AB757)=Z757,Z757&lt;&gt;"")),Data!$BI$2,"")</f>
        <v/>
      </c>
      <c r="AE757" s="197" t="str">
        <f>IF(AND($J757="x",AND(MAX(Z757:AB757)=AA757,AA757&lt;&gt;"")),Data!$BJ$2,"")</f>
        <v/>
      </c>
      <c r="AF757" s="197" t="str">
        <f>IF(AND($K757="x",AND(MAX(Z757:AB757)=AB757,AB757&lt;&gt;"")),Data!$BK$2,"")</f>
        <v/>
      </c>
      <c r="AG757" s="197"/>
      <c r="AH757" s="328"/>
      <c r="AI757" s="453"/>
      <c r="AJ757" s="454"/>
      <c r="AK757" s="441" t="str">
        <f t="shared" si="1123"/>
        <v/>
      </c>
      <c r="AL757" s="328"/>
      <c r="AM757" s="197" t="str">
        <f>IF(AND($I757="x",AND(MAX(AI757:AK757)=AI757,AI757&lt;&gt;"")),Data!$BI$2,"")</f>
        <v/>
      </c>
      <c r="AN757" s="197" t="str">
        <f>IF(AND($J757="x",AND(MAX(AI757:AK757)=AJ757,AJ757&lt;&gt;"")),Data!$BJ$2,"")</f>
        <v/>
      </c>
      <c r="AO757" s="197" t="str">
        <f>IF(AND($K757="x",AND(MAX(AI757:AK757)=AK757,AK757&lt;&gt;"")),Data!$BK$2,"")</f>
        <v/>
      </c>
      <c r="AP757" s="197"/>
      <c r="AQ757" s="328"/>
      <c r="AR757" s="453"/>
      <c r="AS757" s="454"/>
      <c r="AT757" s="441" t="str">
        <f t="shared" si="1124"/>
        <v/>
      </c>
      <c r="AU757" s="328"/>
      <c r="AV757" s="197" t="str">
        <f>IF(AND($I757="x",AND(MAX(AR757:AT757)=AR757,AR757&lt;&gt;"")),Data!$BI$2,"")</f>
        <v/>
      </c>
      <c r="AW757" s="197" t="str">
        <f>IF(AND($J757="x",AND(MAX(AR757:AT757)=AS757,AS757&lt;&gt;"")),Data!$BJ$2,"")</f>
        <v/>
      </c>
      <c r="AX757" s="197" t="str">
        <f>IF(AND($K757="x",AND(MAX(AR757:AT757)=AT757,AT757&lt;&gt;"")),Data!$BK$2,"")</f>
        <v/>
      </c>
      <c r="AY757" s="197"/>
      <c r="AZ757" s="328"/>
      <c r="BA757" s="453"/>
      <c r="BB757" s="454"/>
      <c r="BC757" s="441" t="str">
        <f t="shared" si="1125"/>
        <v/>
      </c>
      <c r="BD757" s="328"/>
      <c r="BE757" s="197" t="str">
        <f>IF(AND($I757="x",AND(MAX(BA757:BC757)=BA757,BA757&lt;&gt;"")),Data!$BI$2,"")</f>
        <v/>
      </c>
      <c r="BF757" s="197" t="str">
        <f>IF(AND($J757="x",AND(MAX(BA757:BC757)=BB757,BB757&lt;&gt;"")),Data!$BJ$2,"")</f>
        <v/>
      </c>
      <c r="BG757" s="197" t="str">
        <f>IF(AND($K757="x",AND(MAX(BA757:BC757)=BC757,BC757&lt;&gt;"")),Data!$BK$2,"")</f>
        <v/>
      </c>
      <c r="BH757" s="197"/>
      <c r="BI757" s="328"/>
      <c r="BJ757" s="453"/>
      <c r="BK757" s="454"/>
      <c r="BL757" s="441" t="str">
        <f t="shared" si="1126"/>
        <v/>
      </c>
      <c r="BM757" s="328"/>
      <c r="BN757" s="197" t="str">
        <f>IF(AND($I757="x",AND(MAX(BJ757:BL757)=BJ757,BJ757&lt;&gt;"")),Data!$BI$2,"")</f>
        <v/>
      </c>
      <c r="BO757" s="197" t="str">
        <f>IF(AND($J757="x",AND(MAX(BJ757:BL757)=BK757,BK757&lt;&gt;"")),Data!$BJ$2,"")</f>
        <v/>
      </c>
      <c r="BP757" s="197" t="str">
        <f>IF(AND($K757="x",AND(MAX(BJ757:BL757)=BL757,BL757&lt;&gt;"")),Data!$BK$2,"")</f>
        <v/>
      </c>
      <c r="BQ757" s="197"/>
      <c r="BR757" s="328"/>
      <c r="BS757" s="453"/>
      <c r="BT757" s="454"/>
      <c r="BU757" s="441" t="str">
        <f t="shared" si="1127"/>
        <v/>
      </c>
      <c r="BV757" s="328"/>
      <c r="BW757" s="197" t="str">
        <f>IF(AND($I757="x",AND(MAX(BS757:BU757)=BS757,BS757&lt;&gt;"")),Data!$BI$2,"")</f>
        <v/>
      </c>
      <c r="BX757" s="197" t="str">
        <f>IF(AND($J757="x",AND(MAX(BS757:BU757)=BT757,BT757&lt;&gt;"")),Data!$BJ$2,"")</f>
        <v/>
      </c>
      <c r="BY757" s="197" t="str">
        <f>IF(AND($K757="x",AND(MAX(BS757:BU757)=BU757,BU757&lt;&gt;"")),Data!$BK$2,"")</f>
        <v/>
      </c>
      <c r="BZ757" s="197"/>
      <c r="CA757" s="328"/>
      <c r="CB757" s="460" t="str">
        <f t="shared" si="1128"/>
        <v/>
      </c>
      <c r="CC757" s="461" t="str">
        <f t="shared" si="1129"/>
        <v/>
      </c>
      <c r="CD757" s="462" t="str">
        <f t="shared" si="1130"/>
        <v/>
      </c>
      <c r="CE757" s="328"/>
      <c r="CF757" s="197" t="str">
        <f>IF(AND($I757="x",AND(MAX(CB757:CD757)=CB757,CB757&lt;&gt;"")),Data!$BI$2,"")</f>
        <v/>
      </c>
      <c r="CG757" s="197" t="str">
        <f>IF(AND($J757="x",AND(MAX(CB757:CD757)=CC757,CC757&lt;&gt;"")),Data!$BJ$2,"")</f>
        <v/>
      </c>
      <c r="CH757" s="197" t="str">
        <f>IF(AND($K757="x",AND(MAX(CB757:CD757)=CD757,CD757&lt;&gt;"")),Data!$BK$2,"")</f>
        <v/>
      </c>
      <c r="CI757" s="197"/>
      <c r="CJ757" s="197"/>
      <c r="CK757" s="453"/>
      <c r="CL757" s="454"/>
      <c r="CM757" s="441" t="str">
        <f t="shared" si="1131"/>
        <v/>
      </c>
      <c r="CN757" s="328"/>
      <c r="CO757" s="197" t="str">
        <f>IF(AND($I757="x",AND(MAX(CK757:CM757)=CK757,CK757&lt;&gt;"")),Data!$BI$2,"")</f>
        <v/>
      </c>
      <c r="CP757" s="197" t="str">
        <f>IF(AND($J757="x",AND(MAX(CK757:CM757)=CL757,CL757&lt;&gt;"")),Data!$BJ$2,"")</f>
        <v/>
      </c>
      <c r="CQ757" s="197" t="str">
        <f>IF(AND($K757="x",AND(MAX(CK757:CM757)=CM757,CM757&lt;&gt;"")),Data!$BK$2,"")</f>
        <v/>
      </c>
      <c r="CR757" s="197"/>
      <c r="CS757" s="197"/>
      <c r="CT757" s="328"/>
      <c r="CU757" s="255"/>
      <c r="CV757" s="209"/>
      <c r="CW757" s="227"/>
    </row>
    <row r="758" spans="1:101" x14ac:dyDescent="0.2">
      <c r="A758" s="227"/>
      <c r="B758" s="227"/>
      <c r="C758" s="168"/>
      <c r="D758" s="232"/>
      <c r="E758" s="136"/>
      <c r="F758" s="426"/>
      <c r="G758" s="432"/>
      <c r="H758" s="433"/>
      <c r="I758" s="349" t="str">
        <f t="shared" si="1118"/>
        <v/>
      </c>
      <c r="J758" s="350" t="str">
        <f t="shared" si="1119"/>
        <v/>
      </c>
      <c r="K758" s="351" t="str">
        <f t="shared" si="1120"/>
        <v/>
      </c>
      <c r="L758" s="765"/>
      <c r="M758" s="332"/>
      <c r="N758" s="336"/>
      <c r="O758" s="200"/>
      <c r="P758" s="200"/>
      <c r="Q758" s="442"/>
      <c r="R758" s="443"/>
      <c r="S758" s="444" t="str">
        <f t="shared" si="1121"/>
        <v/>
      </c>
      <c r="T758" s="328"/>
      <c r="U758" s="197" t="str">
        <f>IF(AND($I758="x",AND(MAX(Q758:S758)=Q758,Q758&gt;=0)),Data!$BI$2,"")</f>
        <v/>
      </c>
      <c r="V758" s="197" t="str">
        <f>IF(AND($J758="x",AND(MAX(Q758:S758)=R758,R758&gt;=0)),Data!$BJ$2,"")</f>
        <v/>
      </c>
      <c r="W758" s="197" t="str">
        <f>IF(AND($K758="x",AND(MAX(Q758:S758)=S758,S758&gt;=0)),Data!$BK$2,"")</f>
        <v/>
      </c>
      <c r="X758" s="197"/>
      <c r="Y758" s="328"/>
      <c r="Z758" s="455"/>
      <c r="AA758" s="456"/>
      <c r="AB758" s="444" t="str">
        <f t="shared" si="1122"/>
        <v/>
      </c>
      <c r="AC758" s="328"/>
      <c r="AD758" s="197" t="str">
        <f>IF(AND($I758="x",AND(MAX(Z758:AB758)=Z758,Z758&lt;&gt;"")),Data!$BI$2,"")</f>
        <v/>
      </c>
      <c r="AE758" s="197" t="str">
        <f>IF(AND($J758="x",AND(MAX(Z758:AB758)=AA758,AA758&lt;&gt;"")),Data!$BJ$2,"")</f>
        <v/>
      </c>
      <c r="AF758" s="197" t="str">
        <f>IF(AND($K758="x",AND(MAX(Z758:AB758)=AB758,AB758&lt;&gt;"")),Data!$BK$2,"")</f>
        <v/>
      </c>
      <c r="AG758" s="197"/>
      <c r="AH758" s="328"/>
      <c r="AI758" s="455"/>
      <c r="AJ758" s="456"/>
      <c r="AK758" s="444" t="str">
        <f t="shared" si="1123"/>
        <v/>
      </c>
      <c r="AL758" s="328"/>
      <c r="AM758" s="197" t="str">
        <f>IF(AND($I758="x",AND(MAX(AI758:AK758)=AI758,AI758&lt;&gt;"")),Data!$BI$2,"")</f>
        <v/>
      </c>
      <c r="AN758" s="197" t="str">
        <f>IF(AND($J758="x",AND(MAX(AI758:AK758)=AJ758,AJ758&lt;&gt;"")),Data!$BJ$2,"")</f>
        <v/>
      </c>
      <c r="AO758" s="197" t="str">
        <f>IF(AND($K758="x",AND(MAX(AI758:AK758)=AK758,AK758&lt;&gt;"")),Data!$BK$2,"")</f>
        <v/>
      </c>
      <c r="AP758" s="197"/>
      <c r="AQ758" s="328"/>
      <c r="AR758" s="455"/>
      <c r="AS758" s="456"/>
      <c r="AT758" s="444" t="str">
        <f t="shared" si="1124"/>
        <v/>
      </c>
      <c r="AU758" s="328"/>
      <c r="AV758" s="197" t="str">
        <f>IF(AND($I758="x",AND(MAX(AR758:AT758)=AR758,AR758&lt;&gt;"")),Data!$BI$2,"")</f>
        <v/>
      </c>
      <c r="AW758" s="197" t="str">
        <f>IF(AND($J758="x",AND(MAX(AR758:AT758)=AS758,AS758&lt;&gt;"")),Data!$BJ$2,"")</f>
        <v/>
      </c>
      <c r="AX758" s="197" t="str">
        <f>IF(AND($K758="x",AND(MAX(AR758:AT758)=AT758,AT758&lt;&gt;"")),Data!$BK$2,"")</f>
        <v/>
      </c>
      <c r="AY758" s="197"/>
      <c r="AZ758" s="328"/>
      <c r="BA758" s="455"/>
      <c r="BB758" s="456"/>
      <c r="BC758" s="444" t="str">
        <f t="shared" si="1125"/>
        <v/>
      </c>
      <c r="BD758" s="328"/>
      <c r="BE758" s="197" t="str">
        <f>IF(AND($I758="x",AND(MAX(BA758:BC758)=BA758,BA758&lt;&gt;"")),Data!$BI$2,"")</f>
        <v/>
      </c>
      <c r="BF758" s="197" t="str">
        <f>IF(AND($J758="x",AND(MAX(BA758:BC758)=BB758,BB758&lt;&gt;"")),Data!$BJ$2,"")</f>
        <v/>
      </c>
      <c r="BG758" s="197" t="str">
        <f>IF(AND($K758="x",AND(MAX(BA758:BC758)=BC758,BC758&lt;&gt;"")),Data!$BK$2,"")</f>
        <v/>
      </c>
      <c r="BH758" s="197"/>
      <c r="BI758" s="328"/>
      <c r="BJ758" s="455"/>
      <c r="BK758" s="456"/>
      <c r="BL758" s="444" t="str">
        <f t="shared" si="1126"/>
        <v/>
      </c>
      <c r="BM758" s="328"/>
      <c r="BN758" s="197" t="str">
        <f>IF(AND($I758="x",AND(MAX(BJ758:BL758)=BJ758,BJ758&lt;&gt;"")),Data!$BI$2,"")</f>
        <v/>
      </c>
      <c r="BO758" s="197" t="str">
        <f>IF(AND($J758="x",AND(MAX(BJ758:BL758)=BK758,BK758&lt;&gt;"")),Data!$BJ$2,"")</f>
        <v/>
      </c>
      <c r="BP758" s="197" t="str">
        <f>IF(AND($K758="x",AND(MAX(BJ758:BL758)=BL758,BL758&lt;&gt;"")),Data!$BK$2,"")</f>
        <v/>
      </c>
      <c r="BQ758" s="197"/>
      <c r="BR758" s="328"/>
      <c r="BS758" s="455"/>
      <c r="BT758" s="456"/>
      <c r="BU758" s="444" t="str">
        <f t="shared" si="1127"/>
        <v/>
      </c>
      <c r="BV758" s="328"/>
      <c r="BW758" s="197" t="str">
        <f>IF(AND($I758="x",AND(MAX(BS758:BU758)=BS758,BS758&lt;&gt;"")),Data!$BI$2,"")</f>
        <v/>
      </c>
      <c r="BX758" s="197" t="str">
        <f>IF(AND($J758="x",AND(MAX(BS758:BU758)=BT758,BT758&lt;&gt;"")),Data!$BJ$2,"")</f>
        <v/>
      </c>
      <c r="BY758" s="197" t="str">
        <f>IF(AND($K758="x",AND(MAX(BS758:BU758)=BU758,BU758&lt;&gt;"")),Data!$BK$2,"")</f>
        <v/>
      </c>
      <c r="BZ758" s="197"/>
      <c r="CA758" s="328"/>
      <c r="CB758" s="463" t="str">
        <f t="shared" si="1128"/>
        <v/>
      </c>
      <c r="CC758" s="464" t="str">
        <f t="shared" si="1129"/>
        <v/>
      </c>
      <c r="CD758" s="465" t="str">
        <f t="shared" si="1130"/>
        <v/>
      </c>
      <c r="CE758" s="328"/>
      <c r="CF758" s="197" t="str">
        <f>IF(AND($I758="x",AND(MAX(CB758:CD758)=CB758,CB758&lt;&gt;"")),Data!$BI$2,"")</f>
        <v/>
      </c>
      <c r="CG758" s="197" t="str">
        <f>IF(AND($J758="x",AND(MAX(CB758:CD758)=CC758,CC758&lt;&gt;"")),Data!$BJ$2,"")</f>
        <v/>
      </c>
      <c r="CH758" s="197" t="str">
        <f>IF(AND($K758="x",AND(MAX(CB758:CD758)=CD758,CD758&lt;&gt;"")),Data!$BK$2,"")</f>
        <v/>
      </c>
      <c r="CI758" s="197"/>
      <c r="CJ758" s="197"/>
      <c r="CK758" s="455"/>
      <c r="CL758" s="456"/>
      <c r="CM758" s="444" t="str">
        <f t="shared" si="1131"/>
        <v/>
      </c>
      <c r="CN758" s="328"/>
      <c r="CO758" s="197" t="str">
        <f>IF(AND($I758="x",AND(MAX(CK758:CM758)=CK758,CK758&lt;&gt;"")),Data!$BI$2,"")</f>
        <v/>
      </c>
      <c r="CP758" s="197" t="str">
        <f>IF(AND($J758="x",AND(MAX(CK758:CM758)=CL758,CL758&lt;&gt;"")),Data!$BJ$2,"")</f>
        <v/>
      </c>
      <c r="CQ758" s="197" t="str">
        <f>IF(AND($K758="x",AND(MAX(CK758:CM758)=CM758,CM758&lt;&gt;"")),Data!$BK$2,"")</f>
        <v/>
      </c>
      <c r="CR758" s="197"/>
      <c r="CS758" s="197"/>
      <c r="CT758" s="328"/>
      <c r="CU758" s="255"/>
      <c r="CV758" s="209"/>
      <c r="CW758" s="227"/>
    </row>
    <row r="759" spans="1:101" x14ac:dyDescent="0.2">
      <c r="A759" s="227"/>
      <c r="B759" s="227"/>
      <c r="C759" s="168"/>
      <c r="D759" s="232"/>
      <c r="E759" s="134"/>
      <c r="F759" s="424"/>
      <c r="G759" s="428"/>
      <c r="H759" s="429"/>
      <c r="I759" s="138" t="str">
        <f t="shared" si="1118"/>
        <v/>
      </c>
      <c r="J759" s="344" t="str">
        <f t="shared" si="1119"/>
        <v/>
      </c>
      <c r="K759" s="345" t="str">
        <f t="shared" si="1120"/>
        <v/>
      </c>
      <c r="L759" s="765"/>
      <c r="M759" s="332"/>
      <c r="N759" s="336"/>
      <c r="O759" s="200"/>
      <c r="P759" s="200"/>
      <c r="Q759" s="436"/>
      <c r="R759" s="437"/>
      <c r="S759" s="438" t="str">
        <f t="shared" si="1121"/>
        <v/>
      </c>
      <c r="T759" s="328"/>
      <c r="U759" s="197" t="str">
        <f>IF(AND($I759="x",AND(MAX(Q759:S759)=Q759,Q759&gt;=0)),Data!$BI$2,"")</f>
        <v/>
      </c>
      <c r="V759" s="197" t="str">
        <f>IF(AND($J759="x",AND(MAX(Q759:S759)=R759,R759&gt;=0)),Data!$BJ$2,"")</f>
        <v/>
      </c>
      <c r="W759" s="197" t="str">
        <f>IF(AND($K759="x",AND(MAX(Q759:S759)=S759,S759&gt;=0)),Data!$BK$2,"")</f>
        <v/>
      </c>
      <c r="X759" s="197"/>
      <c r="Y759" s="328"/>
      <c r="Z759" s="451"/>
      <c r="AA759" s="452"/>
      <c r="AB759" s="438" t="str">
        <f t="shared" si="1122"/>
        <v/>
      </c>
      <c r="AC759" s="328"/>
      <c r="AD759" s="197" t="str">
        <f>IF(AND($I759="x",AND(MAX(Z759:AB759)=Z759,Z759&lt;&gt;"")),Data!$BI$2,"")</f>
        <v/>
      </c>
      <c r="AE759" s="197" t="str">
        <f>IF(AND($J759="x",AND(MAX(Z759:AB759)=AA759,AA759&lt;&gt;"")),Data!$BJ$2,"")</f>
        <v/>
      </c>
      <c r="AF759" s="197" t="str">
        <f>IF(AND($K759="x",AND(MAX(Z759:AB759)=AB759,AB759&lt;&gt;"")),Data!$BK$2,"")</f>
        <v/>
      </c>
      <c r="AG759" s="197"/>
      <c r="AH759" s="328"/>
      <c r="AI759" s="451"/>
      <c r="AJ759" s="452"/>
      <c r="AK759" s="438" t="str">
        <f t="shared" si="1123"/>
        <v/>
      </c>
      <c r="AL759" s="328"/>
      <c r="AM759" s="197" t="str">
        <f>IF(AND($I759="x",AND(MAX(AI759:AK759)=AI759,AI759&lt;&gt;"")),Data!$BI$2,"")</f>
        <v/>
      </c>
      <c r="AN759" s="197" t="str">
        <f>IF(AND($J759="x",AND(MAX(AI759:AK759)=AJ759,AJ759&lt;&gt;"")),Data!$BJ$2,"")</f>
        <v/>
      </c>
      <c r="AO759" s="197" t="str">
        <f>IF(AND($K759="x",AND(MAX(AI759:AK759)=AK759,AK759&lt;&gt;"")),Data!$BK$2,"")</f>
        <v/>
      </c>
      <c r="AP759" s="197"/>
      <c r="AQ759" s="328"/>
      <c r="AR759" s="451"/>
      <c r="AS759" s="452"/>
      <c r="AT759" s="438" t="str">
        <f t="shared" si="1124"/>
        <v/>
      </c>
      <c r="AU759" s="328"/>
      <c r="AV759" s="197" t="str">
        <f>IF(AND($I759="x",AND(MAX(AR759:AT759)=AR759,AR759&lt;&gt;"")),Data!$BI$2,"")</f>
        <v/>
      </c>
      <c r="AW759" s="197" t="str">
        <f>IF(AND($J759="x",AND(MAX(AR759:AT759)=AS759,AS759&lt;&gt;"")),Data!$BJ$2,"")</f>
        <v/>
      </c>
      <c r="AX759" s="197" t="str">
        <f>IF(AND($K759="x",AND(MAX(AR759:AT759)=AT759,AT759&lt;&gt;"")),Data!$BK$2,"")</f>
        <v/>
      </c>
      <c r="AY759" s="197"/>
      <c r="AZ759" s="328"/>
      <c r="BA759" s="451"/>
      <c r="BB759" s="452"/>
      <c r="BC759" s="438" t="str">
        <f t="shared" si="1125"/>
        <v/>
      </c>
      <c r="BD759" s="328"/>
      <c r="BE759" s="197" t="str">
        <f>IF(AND($I759="x",AND(MAX(BA759:BC759)=BA759,BA759&lt;&gt;"")),Data!$BI$2,"")</f>
        <v/>
      </c>
      <c r="BF759" s="197" t="str">
        <f>IF(AND($J759="x",AND(MAX(BA759:BC759)=BB759,BB759&lt;&gt;"")),Data!$BJ$2,"")</f>
        <v/>
      </c>
      <c r="BG759" s="197" t="str">
        <f>IF(AND($K759="x",AND(MAX(BA759:BC759)=BC759,BC759&lt;&gt;"")),Data!$BK$2,"")</f>
        <v/>
      </c>
      <c r="BH759" s="197"/>
      <c r="BI759" s="328"/>
      <c r="BJ759" s="451"/>
      <c r="BK759" s="452"/>
      <c r="BL759" s="438" t="str">
        <f t="shared" si="1126"/>
        <v/>
      </c>
      <c r="BM759" s="328"/>
      <c r="BN759" s="197" t="str">
        <f>IF(AND($I759="x",AND(MAX(BJ759:BL759)=BJ759,BJ759&lt;&gt;"")),Data!$BI$2,"")</f>
        <v/>
      </c>
      <c r="BO759" s="197" t="str">
        <f>IF(AND($J759="x",AND(MAX(BJ759:BL759)=BK759,BK759&lt;&gt;"")),Data!$BJ$2,"")</f>
        <v/>
      </c>
      <c r="BP759" s="197" t="str">
        <f>IF(AND($K759="x",AND(MAX(BJ759:BL759)=BL759,BL759&lt;&gt;"")),Data!$BK$2,"")</f>
        <v/>
      </c>
      <c r="BQ759" s="197"/>
      <c r="BR759" s="328"/>
      <c r="BS759" s="451"/>
      <c r="BT759" s="452"/>
      <c r="BU759" s="438" t="str">
        <f t="shared" si="1127"/>
        <v/>
      </c>
      <c r="BV759" s="328"/>
      <c r="BW759" s="197" t="str">
        <f>IF(AND($I759="x",AND(MAX(BS759:BU759)=BS759,BS759&lt;&gt;"")),Data!$BI$2,"")</f>
        <v/>
      </c>
      <c r="BX759" s="197" t="str">
        <f>IF(AND($J759="x",AND(MAX(BS759:BU759)=BT759,BT759&lt;&gt;"")),Data!$BJ$2,"")</f>
        <v/>
      </c>
      <c r="BY759" s="197" t="str">
        <f>IF(AND($K759="x",AND(MAX(BS759:BU759)=BU759,BU759&lt;&gt;"")),Data!$BK$2,"")</f>
        <v/>
      </c>
      <c r="BZ759" s="197"/>
      <c r="CA759" s="328"/>
      <c r="CB759" s="457" t="str">
        <f t="shared" si="1128"/>
        <v/>
      </c>
      <c r="CC759" s="458" t="str">
        <f t="shared" si="1129"/>
        <v/>
      </c>
      <c r="CD759" s="459" t="str">
        <f t="shared" si="1130"/>
        <v/>
      </c>
      <c r="CE759" s="328"/>
      <c r="CF759" s="197" t="str">
        <f>IF(AND($I759="x",AND(MAX(CB759:CD759)=CB759,CB759&lt;&gt;"")),Data!$BI$2,"")</f>
        <v/>
      </c>
      <c r="CG759" s="197" t="str">
        <f>IF(AND($J759="x",AND(MAX(CB759:CD759)=CC759,CC759&lt;&gt;"")),Data!$BJ$2,"")</f>
        <v/>
      </c>
      <c r="CH759" s="197" t="str">
        <f>IF(AND($K759="x",AND(MAX(CB759:CD759)=CD759,CD759&lt;&gt;"")),Data!$BK$2,"")</f>
        <v/>
      </c>
      <c r="CI759" s="197"/>
      <c r="CJ759" s="197"/>
      <c r="CK759" s="451"/>
      <c r="CL759" s="452"/>
      <c r="CM759" s="438" t="str">
        <f t="shared" si="1131"/>
        <v/>
      </c>
      <c r="CN759" s="328"/>
      <c r="CO759" s="197" t="str">
        <f>IF(AND($I759="x",AND(MAX(CK759:CM759)=CK759,CK759&lt;&gt;"")),Data!$BI$2,"")</f>
        <v/>
      </c>
      <c r="CP759" s="197" t="str">
        <f>IF(AND($J759="x",AND(MAX(CK759:CM759)=CL759,CL759&lt;&gt;"")),Data!$BJ$2,"")</f>
        <v/>
      </c>
      <c r="CQ759" s="197" t="str">
        <f>IF(AND($K759="x",AND(MAX(CK759:CM759)=CM759,CM759&lt;&gt;"")),Data!$BK$2,"")</f>
        <v/>
      </c>
      <c r="CR759" s="197"/>
      <c r="CS759" s="197"/>
      <c r="CT759" s="328"/>
      <c r="CU759" s="255"/>
      <c r="CV759" s="209"/>
      <c r="CW759" s="227"/>
    </row>
    <row r="760" spans="1:101" x14ac:dyDescent="0.2">
      <c r="A760" s="227"/>
      <c r="B760" s="227"/>
      <c r="C760" s="168"/>
      <c r="D760" s="232"/>
      <c r="E760" s="135"/>
      <c r="F760" s="425"/>
      <c r="G760" s="430"/>
      <c r="H760" s="431"/>
      <c r="I760" s="346" t="str">
        <f t="shared" si="1118"/>
        <v/>
      </c>
      <c r="J760" s="347" t="str">
        <f t="shared" si="1119"/>
        <v/>
      </c>
      <c r="K760" s="348" t="str">
        <f t="shared" si="1120"/>
        <v/>
      </c>
      <c r="L760" s="765"/>
      <c r="M760" s="332"/>
      <c r="N760" s="336"/>
      <c r="O760" s="200"/>
      <c r="P760" s="200"/>
      <c r="Q760" s="439"/>
      <c r="R760" s="440"/>
      <c r="S760" s="441" t="str">
        <f t="shared" si="1121"/>
        <v/>
      </c>
      <c r="T760" s="328"/>
      <c r="U760" s="197" t="str">
        <f>IF(AND($I760="x",AND(MAX(Q760:S760)=Q760,Q760&gt;=0)),Data!$BI$2,"")</f>
        <v/>
      </c>
      <c r="V760" s="197" t="str">
        <f>IF(AND($J760="x",AND(MAX(Q760:S760)=R760,R760&gt;=0)),Data!$BJ$2,"")</f>
        <v/>
      </c>
      <c r="W760" s="197" t="str">
        <f>IF(AND($K760="x",AND(MAX(Q760:S760)=S760,S760&gt;=0)),Data!$BK$2,"")</f>
        <v/>
      </c>
      <c r="X760" s="197"/>
      <c r="Y760" s="328"/>
      <c r="Z760" s="453"/>
      <c r="AA760" s="454"/>
      <c r="AB760" s="441" t="str">
        <f t="shared" si="1122"/>
        <v/>
      </c>
      <c r="AC760" s="328"/>
      <c r="AD760" s="197" t="str">
        <f>IF(AND($I760="x",AND(MAX(Z760:AB760)=Z760,Z760&lt;&gt;"")),Data!$BI$2,"")</f>
        <v/>
      </c>
      <c r="AE760" s="197" t="str">
        <f>IF(AND($J760="x",AND(MAX(Z760:AB760)=AA760,AA760&lt;&gt;"")),Data!$BJ$2,"")</f>
        <v/>
      </c>
      <c r="AF760" s="197" t="str">
        <f>IF(AND($K760="x",AND(MAX(Z760:AB760)=AB760,AB760&lt;&gt;"")),Data!$BK$2,"")</f>
        <v/>
      </c>
      <c r="AG760" s="197"/>
      <c r="AH760" s="328"/>
      <c r="AI760" s="453"/>
      <c r="AJ760" s="454"/>
      <c r="AK760" s="441" t="str">
        <f t="shared" si="1123"/>
        <v/>
      </c>
      <c r="AL760" s="328"/>
      <c r="AM760" s="197" t="str">
        <f>IF(AND($I760="x",AND(MAX(AI760:AK760)=AI760,AI760&lt;&gt;"")),Data!$BI$2,"")</f>
        <v/>
      </c>
      <c r="AN760" s="197" t="str">
        <f>IF(AND($J760="x",AND(MAX(AI760:AK760)=AJ760,AJ760&lt;&gt;"")),Data!$BJ$2,"")</f>
        <v/>
      </c>
      <c r="AO760" s="197" t="str">
        <f>IF(AND($K760="x",AND(MAX(AI760:AK760)=AK760,AK760&lt;&gt;"")),Data!$BK$2,"")</f>
        <v/>
      </c>
      <c r="AP760" s="197"/>
      <c r="AQ760" s="328"/>
      <c r="AR760" s="453"/>
      <c r="AS760" s="454"/>
      <c r="AT760" s="441" t="str">
        <f t="shared" si="1124"/>
        <v/>
      </c>
      <c r="AU760" s="328"/>
      <c r="AV760" s="197" t="str">
        <f>IF(AND($I760="x",AND(MAX(AR760:AT760)=AR760,AR760&lt;&gt;"")),Data!$BI$2,"")</f>
        <v/>
      </c>
      <c r="AW760" s="197" t="str">
        <f>IF(AND($J760="x",AND(MAX(AR760:AT760)=AS760,AS760&lt;&gt;"")),Data!$BJ$2,"")</f>
        <v/>
      </c>
      <c r="AX760" s="197" t="str">
        <f>IF(AND($K760="x",AND(MAX(AR760:AT760)=AT760,AT760&lt;&gt;"")),Data!$BK$2,"")</f>
        <v/>
      </c>
      <c r="AY760" s="197"/>
      <c r="AZ760" s="328"/>
      <c r="BA760" s="453"/>
      <c r="BB760" s="454"/>
      <c r="BC760" s="441" t="str">
        <f t="shared" si="1125"/>
        <v/>
      </c>
      <c r="BD760" s="328"/>
      <c r="BE760" s="197" t="str">
        <f>IF(AND($I760="x",AND(MAX(BA760:BC760)=BA760,BA760&lt;&gt;"")),Data!$BI$2,"")</f>
        <v/>
      </c>
      <c r="BF760" s="197" t="str">
        <f>IF(AND($J760="x",AND(MAX(BA760:BC760)=BB760,BB760&lt;&gt;"")),Data!$BJ$2,"")</f>
        <v/>
      </c>
      <c r="BG760" s="197" t="str">
        <f>IF(AND($K760="x",AND(MAX(BA760:BC760)=BC760,BC760&lt;&gt;"")),Data!$BK$2,"")</f>
        <v/>
      </c>
      <c r="BH760" s="197"/>
      <c r="BI760" s="328"/>
      <c r="BJ760" s="453"/>
      <c r="BK760" s="454"/>
      <c r="BL760" s="441" t="str">
        <f t="shared" si="1126"/>
        <v/>
      </c>
      <c r="BM760" s="328"/>
      <c r="BN760" s="197" t="str">
        <f>IF(AND($I760="x",AND(MAX(BJ760:BL760)=BJ760,BJ760&lt;&gt;"")),Data!$BI$2,"")</f>
        <v/>
      </c>
      <c r="BO760" s="197" t="str">
        <f>IF(AND($J760="x",AND(MAX(BJ760:BL760)=BK760,BK760&lt;&gt;"")),Data!$BJ$2,"")</f>
        <v/>
      </c>
      <c r="BP760" s="197" t="str">
        <f>IF(AND($K760="x",AND(MAX(BJ760:BL760)=BL760,BL760&lt;&gt;"")),Data!$BK$2,"")</f>
        <v/>
      </c>
      <c r="BQ760" s="197"/>
      <c r="BR760" s="328"/>
      <c r="BS760" s="453"/>
      <c r="BT760" s="454"/>
      <c r="BU760" s="441" t="str">
        <f t="shared" si="1127"/>
        <v/>
      </c>
      <c r="BV760" s="328"/>
      <c r="BW760" s="197" t="str">
        <f>IF(AND($I760="x",AND(MAX(BS760:BU760)=BS760,BS760&lt;&gt;"")),Data!$BI$2,"")</f>
        <v/>
      </c>
      <c r="BX760" s="197" t="str">
        <f>IF(AND($J760="x",AND(MAX(BS760:BU760)=BT760,BT760&lt;&gt;"")),Data!$BJ$2,"")</f>
        <v/>
      </c>
      <c r="BY760" s="197" t="str">
        <f>IF(AND($K760="x",AND(MAX(BS760:BU760)=BU760,BU760&lt;&gt;"")),Data!$BK$2,"")</f>
        <v/>
      </c>
      <c r="BZ760" s="197"/>
      <c r="CA760" s="328"/>
      <c r="CB760" s="460" t="str">
        <f t="shared" si="1128"/>
        <v/>
      </c>
      <c r="CC760" s="461" t="str">
        <f t="shared" si="1129"/>
        <v/>
      </c>
      <c r="CD760" s="462" t="str">
        <f t="shared" si="1130"/>
        <v/>
      </c>
      <c r="CE760" s="328"/>
      <c r="CF760" s="197" t="str">
        <f>IF(AND($I760="x",AND(MAX(CB760:CD760)=CB760,CB760&lt;&gt;"")),Data!$BI$2,"")</f>
        <v/>
      </c>
      <c r="CG760" s="197" t="str">
        <f>IF(AND($J760="x",AND(MAX(CB760:CD760)=CC760,CC760&lt;&gt;"")),Data!$BJ$2,"")</f>
        <v/>
      </c>
      <c r="CH760" s="197" t="str">
        <f>IF(AND($K760="x",AND(MAX(CB760:CD760)=CD760,CD760&lt;&gt;"")),Data!$BK$2,"")</f>
        <v/>
      </c>
      <c r="CI760" s="197"/>
      <c r="CJ760" s="197"/>
      <c r="CK760" s="453"/>
      <c r="CL760" s="454"/>
      <c r="CM760" s="441" t="str">
        <f t="shared" si="1131"/>
        <v/>
      </c>
      <c r="CN760" s="328"/>
      <c r="CO760" s="197" t="str">
        <f>IF(AND($I760="x",AND(MAX(CK760:CM760)=CK760,CK760&lt;&gt;"")),Data!$BI$2,"")</f>
        <v/>
      </c>
      <c r="CP760" s="197" t="str">
        <f>IF(AND($J760="x",AND(MAX(CK760:CM760)=CL760,CL760&lt;&gt;"")),Data!$BJ$2,"")</f>
        <v/>
      </c>
      <c r="CQ760" s="197" t="str">
        <f>IF(AND($K760="x",AND(MAX(CK760:CM760)=CM760,CM760&lt;&gt;"")),Data!$BK$2,"")</f>
        <v/>
      </c>
      <c r="CR760" s="197"/>
      <c r="CS760" s="197"/>
      <c r="CT760" s="328"/>
      <c r="CU760" s="255"/>
      <c r="CV760" s="209"/>
      <c r="CW760" s="227"/>
    </row>
    <row r="761" spans="1:101" x14ac:dyDescent="0.2">
      <c r="A761" s="227"/>
      <c r="B761" s="227"/>
      <c r="C761" s="168"/>
      <c r="D761" s="232"/>
      <c r="E761" s="136"/>
      <c r="F761" s="426"/>
      <c r="G761" s="432"/>
      <c r="H761" s="433"/>
      <c r="I761" s="349" t="str">
        <f t="shared" si="1118"/>
        <v/>
      </c>
      <c r="J761" s="350" t="str">
        <f t="shared" si="1119"/>
        <v/>
      </c>
      <c r="K761" s="351" t="str">
        <f t="shared" si="1120"/>
        <v/>
      </c>
      <c r="L761" s="765"/>
      <c r="M761" s="332"/>
      <c r="N761" s="336"/>
      <c r="O761" s="200"/>
      <c r="P761" s="200"/>
      <c r="Q761" s="445"/>
      <c r="R761" s="446"/>
      <c r="S761" s="447" t="str">
        <f t="shared" si="1121"/>
        <v/>
      </c>
      <c r="T761" s="328"/>
      <c r="U761" s="197" t="str">
        <f>IF(AND($I761="x",AND(MAX(Q761:S761)=Q761,Q761&gt;=0)),Data!$BI$2,"")</f>
        <v/>
      </c>
      <c r="V761" s="197" t="str">
        <f>IF(AND($J761="x",AND(MAX(Q761:S761)=R761,R761&gt;=0)),Data!$BJ$2,"")</f>
        <v/>
      </c>
      <c r="W761" s="197" t="str">
        <f>IF(AND($K761="x",AND(MAX(Q761:S761)=S761,S761&gt;=0)),Data!$BK$2,"")</f>
        <v/>
      </c>
      <c r="X761" s="197"/>
      <c r="Y761" s="328"/>
      <c r="Z761" s="455"/>
      <c r="AA761" s="456"/>
      <c r="AB761" s="447" t="str">
        <f t="shared" si="1122"/>
        <v/>
      </c>
      <c r="AC761" s="328"/>
      <c r="AD761" s="197" t="str">
        <f>IF(AND($I761="x",AND(MAX(Z761:AB761)=Z761,Z761&lt;&gt;"")),Data!$BI$2,"")</f>
        <v/>
      </c>
      <c r="AE761" s="197" t="str">
        <f>IF(AND($J761="x",AND(MAX(Z761:AB761)=AA761,AA761&lt;&gt;"")),Data!$BJ$2,"")</f>
        <v/>
      </c>
      <c r="AF761" s="197" t="str">
        <f>IF(AND($K761="x",AND(MAX(Z761:AB761)=AB761,AB761&lt;&gt;"")),Data!$BK$2,"")</f>
        <v/>
      </c>
      <c r="AG761" s="197"/>
      <c r="AH761" s="328"/>
      <c r="AI761" s="455"/>
      <c r="AJ761" s="456"/>
      <c r="AK761" s="447" t="str">
        <f t="shared" si="1123"/>
        <v/>
      </c>
      <c r="AL761" s="328"/>
      <c r="AM761" s="197" t="str">
        <f>IF(AND($I761="x",AND(MAX(AI761:AK761)=AI761,AI761&lt;&gt;"")),Data!$BI$2,"")</f>
        <v/>
      </c>
      <c r="AN761" s="197" t="str">
        <f>IF(AND($J761="x",AND(MAX(AI761:AK761)=AJ761,AJ761&lt;&gt;"")),Data!$BJ$2,"")</f>
        <v/>
      </c>
      <c r="AO761" s="197" t="str">
        <f>IF(AND($K761="x",AND(MAX(AI761:AK761)=AK761,AK761&lt;&gt;"")),Data!$BK$2,"")</f>
        <v/>
      </c>
      <c r="AP761" s="197"/>
      <c r="AQ761" s="328"/>
      <c r="AR761" s="455"/>
      <c r="AS761" s="456"/>
      <c r="AT761" s="447" t="str">
        <f t="shared" si="1124"/>
        <v/>
      </c>
      <c r="AU761" s="328"/>
      <c r="AV761" s="197" t="str">
        <f>IF(AND($I761="x",AND(MAX(AR761:AT761)=AR761,AR761&lt;&gt;"")),Data!$BI$2,"")</f>
        <v/>
      </c>
      <c r="AW761" s="197" t="str">
        <f>IF(AND($J761="x",AND(MAX(AR761:AT761)=AS761,AS761&lt;&gt;"")),Data!$BJ$2,"")</f>
        <v/>
      </c>
      <c r="AX761" s="197" t="str">
        <f>IF(AND($K761="x",AND(MAX(AR761:AT761)=AT761,AT761&lt;&gt;"")),Data!$BK$2,"")</f>
        <v/>
      </c>
      <c r="AY761" s="197"/>
      <c r="AZ761" s="328"/>
      <c r="BA761" s="455"/>
      <c r="BB761" s="456"/>
      <c r="BC761" s="447" t="str">
        <f t="shared" si="1125"/>
        <v/>
      </c>
      <c r="BD761" s="328"/>
      <c r="BE761" s="197" t="str">
        <f>IF(AND($I761="x",AND(MAX(BA761:BC761)=BA761,BA761&lt;&gt;"")),Data!$BI$2,"")</f>
        <v/>
      </c>
      <c r="BF761" s="197" t="str">
        <f>IF(AND($J761="x",AND(MAX(BA761:BC761)=BB761,BB761&lt;&gt;"")),Data!$BJ$2,"")</f>
        <v/>
      </c>
      <c r="BG761" s="197" t="str">
        <f>IF(AND($K761="x",AND(MAX(BA761:BC761)=BC761,BC761&lt;&gt;"")),Data!$BK$2,"")</f>
        <v/>
      </c>
      <c r="BH761" s="197"/>
      <c r="BI761" s="328"/>
      <c r="BJ761" s="455"/>
      <c r="BK761" s="456"/>
      <c r="BL761" s="447" t="str">
        <f t="shared" si="1126"/>
        <v/>
      </c>
      <c r="BM761" s="328"/>
      <c r="BN761" s="197" t="str">
        <f>IF(AND($I761="x",AND(MAX(BJ761:BL761)=BJ761,BJ761&lt;&gt;"")),Data!$BI$2,"")</f>
        <v/>
      </c>
      <c r="BO761" s="197" t="str">
        <f>IF(AND($J761="x",AND(MAX(BJ761:BL761)=BK761,BK761&lt;&gt;"")),Data!$BJ$2,"")</f>
        <v/>
      </c>
      <c r="BP761" s="197" t="str">
        <f>IF(AND($K761="x",AND(MAX(BJ761:BL761)=BL761,BL761&lt;&gt;"")),Data!$BK$2,"")</f>
        <v/>
      </c>
      <c r="BQ761" s="197"/>
      <c r="BR761" s="328"/>
      <c r="BS761" s="455"/>
      <c r="BT761" s="456"/>
      <c r="BU761" s="447" t="str">
        <f t="shared" si="1127"/>
        <v/>
      </c>
      <c r="BV761" s="328"/>
      <c r="BW761" s="197" t="str">
        <f>IF(AND($I761="x",AND(MAX(BS761:BU761)=BS761,BS761&lt;&gt;"")),Data!$BI$2,"")</f>
        <v/>
      </c>
      <c r="BX761" s="197" t="str">
        <f>IF(AND($J761="x",AND(MAX(BS761:BU761)=BT761,BT761&lt;&gt;"")),Data!$BJ$2,"")</f>
        <v/>
      </c>
      <c r="BY761" s="197" t="str">
        <f>IF(AND($K761="x",AND(MAX(BS761:BU761)=BU761,BU761&lt;&gt;"")),Data!$BK$2,"")</f>
        <v/>
      </c>
      <c r="BZ761" s="197"/>
      <c r="CA761" s="328"/>
      <c r="CB761" s="463" t="str">
        <f t="shared" si="1128"/>
        <v/>
      </c>
      <c r="CC761" s="464" t="str">
        <f t="shared" si="1129"/>
        <v/>
      </c>
      <c r="CD761" s="465" t="str">
        <f t="shared" si="1130"/>
        <v/>
      </c>
      <c r="CE761" s="328"/>
      <c r="CF761" s="197" t="str">
        <f>IF(AND($I761="x",AND(MAX(CB761:CD761)=CB761,CB761&lt;&gt;"")),Data!$BI$2,"")</f>
        <v/>
      </c>
      <c r="CG761" s="197" t="str">
        <f>IF(AND($J761="x",AND(MAX(CB761:CD761)=CC761,CC761&lt;&gt;"")),Data!$BJ$2,"")</f>
        <v/>
      </c>
      <c r="CH761" s="197" t="str">
        <f>IF(AND($K761="x",AND(MAX(CB761:CD761)=CD761,CD761&lt;&gt;"")),Data!$BK$2,"")</f>
        <v/>
      </c>
      <c r="CI761" s="197"/>
      <c r="CJ761" s="197"/>
      <c r="CK761" s="455"/>
      <c r="CL761" s="456"/>
      <c r="CM761" s="447" t="str">
        <f t="shared" si="1131"/>
        <v/>
      </c>
      <c r="CN761" s="328"/>
      <c r="CO761" s="197" t="str">
        <f>IF(AND($I761="x",AND(MAX(CK761:CM761)=CK761,CK761&lt;&gt;"")),Data!$BI$2,"")</f>
        <v/>
      </c>
      <c r="CP761" s="197" t="str">
        <f>IF(AND($J761="x",AND(MAX(CK761:CM761)=CL761,CL761&lt;&gt;"")),Data!$BJ$2,"")</f>
        <v/>
      </c>
      <c r="CQ761" s="197" t="str">
        <f>IF(AND($K761="x",AND(MAX(CK761:CM761)=CM761,CM761&lt;&gt;"")),Data!$BK$2,"")</f>
        <v/>
      </c>
      <c r="CR761" s="197"/>
      <c r="CS761" s="197"/>
      <c r="CT761" s="328"/>
      <c r="CU761" s="255"/>
      <c r="CV761" s="209"/>
      <c r="CW761" s="227"/>
    </row>
    <row r="762" spans="1:101" x14ac:dyDescent="0.2">
      <c r="A762" s="227"/>
      <c r="B762" s="227"/>
      <c r="C762" s="168"/>
      <c r="D762" s="232"/>
      <c r="E762" s="134"/>
      <c r="F762" s="424"/>
      <c r="G762" s="428"/>
      <c r="H762" s="429"/>
      <c r="I762" s="138" t="str">
        <f t="shared" si="1118"/>
        <v/>
      </c>
      <c r="J762" s="344" t="str">
        <f t="shared" si="1119"/>
        <v/>
      </c>
      <c r="K762" s="345" t="str">
        <f t="shared" si="1120"/>
        <v/>
      </c>
      <c r="L762" s="765"/>
      <c r="M762" s="332"/>
      <c r="N762" s="336"/>
      <c r="O762" s="200"/>
      <c r="P762" s="200"/>
      <c r="Q762" s="436"/>
      <c r="R762" s="437"/>
      <c r="S762" s="438" t="str">
        <f t="shared" si="1121"/>
        <v/>
      </c>
      <c r="T762" s="328"/>
      <c r="U762" s="197" t="str">
        <f>IF(AND($I762="x",AND(MAX(Q762:S762)=Q762,Q762&gt;=0)),Data!$BI$2,"")</f>
        <v/>
      </c>
      <c r="V762" s="197" t="str">
        <f>IF(AND($J762="x",AND(MAX(Q762:S762)=R762,R762&gt;=0)),Data!$BJ$2,"")</f>
        <v/>
      </c>
      <c r="W762" s="197" t="str">
        <f>IF(AND($K762="x",AND(MAX(Q762:S762)=S762,S762&gt;=0)),Data!$BK$2,"")</f>
        <v/>
      </c>
      <c r="X762" s="197"/>
      <c r="Y762" s="328"/>
      <c r="Z762" s="451"/>
      <c r="AA762" s="452"/>
      <c r="AB762" s="438" t="str">
        <f t="shared" si="1122"/>
        <v/>
      </c>
      <c r="AC762" s="328"/>
      <c r="AD762" s="197" t="str">
        <f>IF(AND($I762="x",AND(MAX(Z762:AB762)=Z762,Z762&lt;&gt;"")),Data!$BI$2,"")</f>
        <v/>
      </c>
      <c r="AE762" s="197" t="str">
        <f>IF(AND($J762="x",AND(MAX(Z762:AB762)=AA762,AA762&lt;&gt;"")),Data!$BJ$2,"")</f>
        <v/>
      </c>
      <c r="AF762" s="197" t="str">
        <f>IF(AND($K762="x",AND(MAX(Z762:AB762)=AB762,AB762&lt;&gt;"")),Data!$BK$2,"")</f>
        <v/>
      </c>
      <c r="AG762" s="197"/>
      <c r="AH762" s="328"/>
      <c r="AI762" s="451"/>
      <c r="AJ762" s="452"/>
      <c r="AK762" s="438" t="str">
        <f t="shared" si="1123"/>
        <v/>
      </c>
      <c r="AL762" s="328"/>
      <c r="AM762" s="197" t="str">
        <f>IF(AND($I762="x",AND(MAX(AI762:AK762)=AI762,AI762&lt;&gt;"")),Data!$BI$2,"")</f>
        <v/>
      </c>
      <c r="AN762" s="197" t="str">
        <f>IF(AND($J762="x",AND(MAX(AI762:AK762)=AJ762,AJ762&lt;&gt;"")),Data!$BJ$2,"")</f>
        <v/>
      </c>
      <c r="AO762" s="197" t="str">
        <f>IF(AND($K762="x",AND(MAX(AI762:AK762)=AK762,AK762&lt;&gt;"")),Data!$BK$2,"")</f>
        <v/>
      </c>
      <c r="AP762" s="197"/>
      <c r="AQ762" s="328"/>
      <c r="AR762" s="451"/>
      <c r="AS762" s="452"/>
      <c r="AT762" s="438" t="str">
        <f t="shared" si="1124"/>
        <v/>
      </c>
      <c r="AU762" s="328"/>
      <c r="AV762" s="197" t="str">
        <f>IF(AND($I762="x",AND(MAX(AR762:AT762)=AR762,AR762&lt;&gt;"")),Data!$BI$2,"")</f>
        <v/>
      </c>
      <c r="AW762" s="197" t="str">
        <f>IF(AND($J762="x",AND(MAX(AR762:AT762)=AS762,AS762&lt;&gt;"")),Data!$BJ$2,"")</f>
        <v/>
      </c>
      <c r="AX762" s="197" t="str">
        <f>IF(AND($K762="x",AND(MAX(AR762:AT762)=AT762,AT762&lt;&gt;"")),Data!$BK$2,"")</f>
        <v/>
      </c>
      <c r="AY762" s="197"/>
      <c r="AZ762" s="328"/>
      <c r="BA762" s="451"/>
      <c r="BB762" s="452"/>
      <c r="BC762" s="438" t="str">
        <f t="shared" si="1125"/>
        <v/>
      </c>
      <c r="BD762" s="328"/>
      <c r="BE762" s="197" t="str">
        <f>IF(AND($I762="x",AND(MAX(BA762:BC762)=BA762,BA762&lt;&gt;"")),Data!$BI$2,"")</f>
        <v/>
      </c>
      <c r="BF762" s="197" t="str">
        <f>IF(AND($J762="x",AND(MAX(BA762:BC762)=BB762,BB762&lt;&gt;"")),Data!$BJ$2,"")</f>
        <v/>
      </c>
      <c r="BG762" s="197" t="str">
        <f>IF(AND($K762="x",AND(MAX(BA762:BC762)=BC762,BC762&lt;&gt;"")),Data!$BK$2,"")</f>
        <v/>
      </c>
      <c r="BH762" s="197"/>
      <c r="BI762" s="328"/>
      <c r="BJ762" s="451"/>
      <c r="BK762" s="452"/>
      <c r="BL762" s="438" t="str">
        <f t="shared" si="1126"/>
        <v/>
      </c>
      <c r="BM762" s="328"/>
      <c r="BN762" s="197" t="str">
        <f>IF(AND($I762="x",AND(MAX(BJ762:BL762)=BJ762,BJ762&lt;&gt;"")),Data!$BI$2,"")</f>
        <v/>
      </c>
      <c r="BO762" s="197" t="str">
        <f>IF(AND($J762="x",AND(MAX(BJ762:BL762)=BK762,BK762&lt;&gt;"")),Data!$BJ$2,"")</f>
        <v/>
      </c>
      <c r="BP762" s="197" t="str">
        <f>IF(AND($K762="x",AND(MAX(BJ762:BL762)=BL762,BL762&lt;&gt;"")),Data!$BK$2,"")</f>
        <v/>
      </c>
      <c r="BQ762" s="197"/>
      <c r="BR762" s="328"/>
      <c r="BS762" s="451"/>
      <c r="BT762" s="452"/>
      <c r="BU762" s="438" t="str">
        <f t="shared" si="1127"/>
        <v/>
      </c>
      <c r="BV762" s="328"/>
      <c r="BW762" s="197" t="str">
        <f>IF(AND($I762="x",AND(MAX(BS762:BU762)=BS762,BS762&lt;&gt;"")),Data!$BI$2,"")</f>
        <v/>
      </c>
      <c r="BX762" s="197" t="str">
        <f>IF(AND($J762="x",AND(MAX(BS762:BU762)=BT762,BT762&lt;&gt;"")),Data!$BJ$2,"")</f>
        <v/>
      </c>
      <c r="BY762" s="197" t="str">
        <f>IF(AND($K762="x",AND(MAX(BS762:BU762)=BU762,BU762&lt;&gt;"")),Data!$BK$2,"")</f>
        <v/>
      </c>
      <c r="BZ762" s="197"/>
      <c r="CA762" s="328"/>
      <c r="CB762" s="457" t="str">
        <f t="shared" si="1128"/>
        <v/>
      </c>
      <c r="CC762" s="458" t="str">
        <f t="shared" si="1129"/>
        <v/>
      </c>
      <c r="CD762" s="459" t="str">
        <f t="shared" si="1130"/>
        <v/>
      </c>
      <c r="CE762" s="328"/>
      <c r="CF762" s="197" t="str">
        <f>IF(AND($I762="x",AND(MAX(CB762:CD762)=CB762,CB762&lt;&gt;"")),Data!$BI$2,"")</f>
        <v/>
      </c>
      <c r="CG762" s="197" t="str">
        <f>IF(AND($J762="x",AND(MAX(CB762:CD762)=CC762,CC762&lt;&gt;"")),Data!$BJ$2,"")</f>
        <v/>
      </c>
      <c r="CH762" s="197" t="str">
        <f>IF(AND($K762="x",AND(MAX(CB762:CD762)=CD762,CD762&lt;&gt;"")),Data!$BK$2,"")</f>
        <v/>
      </c>
      <c r="CI762" s="197"/>
      <c r="CJ762" s="197"/>
      <c r="CK762" s="451"/>
      <c r="CL762" s="452"/>
      <c r="CM762" s="438" t="str">
        <f t="shared" si="1131"/>
        <v/>
      </c>
      <c r="CN762" s="328"/>
      <c r="CO762" s="197" t="str">
        <f>IF(AND($I762="x",AND(MAX(CK762:CM762)=CK762,CK762&lt;&gt;"")),Data!$BI$2,"")</f>
        <v/>
      </c>
      <c r="CP762" s="197" t="str">
        <f>IF(AND($J762="x",AND(MAX(CK762:CM762)=CL762,CL762&lt;&gt;"")),Data!$BJ$2,"")</f>
        <v/>
      </c>
      <c r="CQ762" s="197" t="str">
        <f>IF(AND($K762="x",AND(MAX(CK762:CM762)=CM762,CM762&lt;&gt;"")),Data!$BK$2,"")</f>
        <v/>
      </c>
      <c r="CR762" s="197"/>
      <c r="CS762" s="197"/>
      <c r="CT762" s="328"/>
      <c r="CU762" s="259"/>
      <c r="CV762" s="209"/>
      <c r="CW762" s="227"/>
    </row>
    <row r="763" spans="1:101" x14ac:dyDescent="0.2">
      <c r="A763" s="227"/>
      <c r="B763" s="227"/>
      <c r="C763" s="168"/>
      <c r="D763" s="232"/>
      <c r="E763" s="135"/>
      <c r="F763" s="425"/>
      <c r="G763" s="430"/>
      <c r="H763" s="431"/>
      <c r="I763" s="346" t="str">
        <f t="shared" si="1118"/>
        <v/>
      </c>
      <c r="J763" s="347" t="str">
        <f t="shared" si="1119"/>
        <v/>
      </c>
      <c r="K763" s="348" t="str">
        <f t="shared" si="1120"/>
        <v/>
      </c>
      <c r="L763" s="765"/>
      <c r="M763" s="332"/>
      <c r="N763" s="336"/>
      <c r="O763" s="200"/>
      <c r="P763" s="200"/>
      <c r="Q763" s="439"/>
      <c r="R763" s="440"/>
      <c r="S763" s="441" t="str">
        <f t="shared" si="1121"/>
        <v/>
      </c>
      <c r="T763" s="328"/>
      <c r="U763" s="197" t="str">
        <f>IF(AND($I763="x",AND(MAX(Q763:S763)=Q763,Q763&gt;=0)),Data!$BI$2,"")</f>
        <v/>
      </c>
      <c r="V763" s="197" t="str">
        <f>IF(AND($J763="x",AND(MAX(Q763:S763)=R763,R763&gt;=0)),Data!$BJ$2,"")</f>
        <v/>
      </c>
      <c r="W763" s="197" t="str">
        <f>IF(AND($K763="x",AND(MAX(Q763:S763)=S763,S763&gt;=0)),Data!$BK$2,"")</f>
        <v/>
      </c>
      <c r="X763" s="197"/>
      <c r="Y763" s="328"/>
      <c r="Z763" s="453"/>
      <c r="AA763" s="454"/>
      <c r="AB763" s="441" t="str">
        <f t="shared" si="1122"/>
        <v/>
      </c>
      <c r="AC763" s="328"/>
      <c r="AD763" s="197" t="str">
        <f>IF(AND($I763="x",AND(MAX(Z763:AB763)=Z763,Z763&lt;&gt;"")),Data!$BI$2,"")</f>
        <v/>
      </c>
      <c r="AE763" s="197" t="str">
        <f>IF(AND($J763="x",AND(MAX(Z763:AB763)=AA763,AA763&lt;&gt;"")),Data!$BJ$2,"")</f>
        <v/>
      </c>
      <c r="AF763" s="197" t="str">
        <f>IF(AND($K763="x",AND(MAX(Z763:AB763)=AB763,AB763&lt;&gt;"")),Data!$BK$2,"")</f>
        <v/>
      </c>
      <c r="AG763" s="197"/>
      <c r="AH763" s="328"/>
      <c r="AI763" s="453"/>
      <c r="AJ763" s="454"/>
      <c r="AK763" s="441" t="str">
        <f t="shared" si="1123"/>
        <v/>
      </c>
      <c r="AL763" s="328"/>
      <c r="AM763" s="197" t="str">
        <f>IF(AND($I763="x",AND(MAX(AI763:AK763)=AI763,AI763&lt;&gt;"")),Data!$BI$2,"")</f>
        <v/>
      </c>
      <c r="AN763" s="197" t="str">
        <f>IF(AND($J763="x",AND(MAX(AI763:AK763)=AJ763,AJ763&lt;&gt;"")),Data!$BJ$2,"")</f>
        <v/>
      </c>
      <c r="AO763" s="197" t="str">
        <f>IF(AND($K763="x",AND(MAX(AI763:AK763)=AK763,AK763&lt;&gt;"")),Data!$BK$2,"")</f>
        <v/>
      </c>
      <c r="AP763" s="197"/>
      <c r="AQ763" s="328"/>
      <c r="AR763" s="453"/>
      <c r="AS763" s="454"/>
      <c r="AT763" s="441" t="str">
        <f t="shared" si="1124"/>
        <v/>
      </c>
      <c r="AU763" s="328"/>
      <c r="AV763" s="197" t="str">
        <f>IF(AND($I763="x",AND(MAX(AR763:AT763)=AR763,AR763&lt;&gt;"")),Data!$BI$2,"")</f>
        <v/>
      </c>
      <c r="AW763" s="197" t="str">
        <f>IF(AND($J763="x",AND(MAX(AR763:AT763)=AS763,AS763&lt;&gt;"")),Data!$BJ$2,"")</f>
        <v/>
      </c>
      <c r="AX763" s="197" t="str">
        <f>IF(AND($K763="x",AND(MAX(AR763:AT763)=AT763,AT763&lt;&gt;"")),Data!$BK$2,"")</f>
        <v/>
      </c>
      <c r="AY763" s="197"/>
      <c r="AZ763" s="328"/>
      <c r="BA763" s="453"/>
      <c r="BB763" s="454"/>
      <c r="BC763" s="441" t="str">
        <f t="shared" si="1125"/>
        <v/>
      </c>
      <c r="BD763" s="328"/>
      <c r="BE763" s="197" t="str">
        <f>IF(AND($I763="x",AND(MAX(BA763:BC763)=BA763,BA763&lt;&gt;"")),Data!$BI$2,"")</f>
        <v/>
      </c>
      <c r="BF763" s="197" t="str">
        <f>IF(AND($J763="x",AND(MAX(BA763:BC763)=BB763,BB763&lt;&gt;"")),Data!$BJ$2,"")</f>
        <v/>
      </c>
      <c r="BG763" s="197" t="str">
        <f>IF(AND($K763="x",AND(MAX(BA763:BC763)=BC763,BC763&lt;&gt;"")),Data!$BK$2,"")</f>
        <v/>
      </c>
      <c r="BH763" s="197"/>
      <c r="BI763" s="328"/>
      <c r="BJ763" s="453"/>
      <c r="BK763" s="454"/>
      <c r="BL763" s="441" t="str">
        <f t="shared" si="1126"/>
        <v/>
      </c>
      <c r="BM763" s="328"/>
      <c r="BN763" s="197" t="str">
        <f>IF(AND($I763="x",AND(MAX(BJ763:BL763)=BJ763,BJ763&lt;&gt;"")),Data!$BI$2,"")</f>
        <v/>
      </c>
      <c r="BO763" s="197" t="str">
        <f>IF(AND($J763="x",AND(MAX(BJ763:BL763)=BK763,BK763&lt;&gt;"")),Data!$BJ$2,"")</f>
        <v/>
      </c>
      <c r="BP763" s="197" t="str">
        <f>IF(AND($K763="x",AND(MAX(BJ763:BL763)=BL763,BL763&lt;&gt;"")),Data!$BK$2,"")</f>
        <v/>
      </c>
      <c r="BQ763" s="197"/>
      <c r="BR763" s="328"/>
      <c r="BS763" s="453"/>
      <c r="BT763" s="454"/>
      <c r="BU763" s="441" t="str">
        <f t="shared" si="1127"/>
        <v/>
      </c>
      <c r="BV763" s="328"/>
      <c r="BW763" s="197" t="str">
        <f>IF(AND($I763="x",AND(MAX(BS763:BU763)=BS763,BS763&lt;&gt;"")),Data!$BI$2,"")</f>
        <v/>
      </c>
      <c r="BX763" s="197" t="str">
        <f>IF(AND($J763="x",AND(MAX(BS763:BU763)=BT763,BT763&lt;&gt;"")),Data!$BJ$2,"")</f>
        <v/>
      </c>
      <c r="BY763" s="197" t="str">
        <f>IF(AND($K763="x",AND(MAX(BS763:BU763)=BU763,BU763&lt;&gt;"")),Data!$BK$2,"")</f>
        <v/>
      </c>
      <c r="BZ763" s="197"/>
      <c r="CA763" s="328"/>
      <c r="CB763" s="460" t="str">
        <f t="shared" si="1128"/>
        <v/>
      </c>
      <c r="CC763" s="461" t="str">
        <f t="shared" si="1129"/>
        <v/>
      </c>
      <c r="CD763" s="462" t="str">
        <f t="shared" si="1130"/>
        <v/>
      </c>
      <c r="CE763" s="328"/>
      <c r="CF763" s="197" t="str">
        <f>IF(AND($I763="x",AND(MAX(CB763:CD763)=CB763,CB763&lt;&gt;"")),Data!$BI$2,"")</f>
        <v/>
      </c>
      <c r="CG763" s="197" t="str">
        <f>IF(AND($J763="x",AND(MAX(CB763:CD763)=CC763,CC763&lt;&gt;"")),Data!$BJ$2,"")</f>
        <v/>
      </c>
      <c r="CH763" s="197" t="str">
        <f>IF(AND($K763="x",AND(MAX(CB763:CD763)=CD763,CD763&lt;&gt;"")),Data!$BK$2,"")</f>
        <v/>
      </c>
      <c r="CI763" s="197"/>
      <c r="CJ763" s="197"/>
      <c r="CK763" s="453"/>
      <c r="CL763" s="454"/>
      <c r="CM763" s="441" t="str">
        <f t="shared" si="1131"/>
        <v/>
      </c>
      <c r="CN763" s="328"/>
      <c r="CO763" s="197" t="str">
        <f>IF(AND($I763="x",AND(MAX(CK763:CM763)=CK763,CK763&lt;&gt;"")),Data!$BI$2,"")</f>
        <v/>
      </c>
      <c r="CP763" s="197" t="str">
        <f>IF(AND($J763="x",AND(MAX(CK763:CM763)=CL763,CL763&lt;&gt;"")),Data!$BJ$2,"")</f>
        <v/>
      </c>
      <c r="CQ763" s="197" t="str">
        <f>IF(AND($K763="x",AND(MAX(CK763:CM763)=CM763,CM763&lt;&gt;"")),Data!$BK$2,"")</f>
        <v/>
      </c>
      <c r="CR763" s="197"/>
      <c r="CS763" s="197"/>
      <c r="CT763" s="328"/>
      <c r="CU763" s="259"/>
      <c r="CV763" s="209"/>
      <c r="CW763" s="227"/>
    </row>
    <row r="764" spans="1:101" x14ac:dyDescent="0.2">
      <c r="A764" s="227"/>
      <c r="B764" s="227"/>
      <c r="C764" s="168"/>
      <c r="D764" s="232"/>
      <c r="E764" s="136"/>
      <c r="F764" s="426"/>
      <c r="G764" s="432"/>
      <c r="H764" s="433"/>
      <c r="I764" s="349" t="str">
        <f t="shared" si="1118"/>
        <v/>
      </c>
      <c r="J764" s="350" t="str">
        <f t="shared" si="1119"/>
        <v/>
      </c>
      <c r="K764" s="351" t="str">
        <f t="shared" si="1120"/>
        <v/>
      </c>
      <c r="L764" s="765"/>
      <c r="M764" s="332"/>
      <c r="N764" s="336"/>
      <c r="O764" s="200"/>
      <c r="P764" s="200"/>
      <c r="Q764" s="445"/>
      <c r="R764" s="446"/>
      <c r="S764" s="447" t="str">
        <f t="shared" si="1121"/>
        <v/>
      </c>
      <c r="T764" s="328"/>
      <c r="U764" s="197" t="str">
        <f>IF(AND($I764="x",AND(MAX(Q764:S764)=Q764,Q764&gt;=0)),Data!$BI$2,"")</f>
        <v/>
      </c>
      <c r="V764" s="197" t="str">
        <f>IF(AND($J764="x",AND(MAX(Q764:S764)=R764,R764&gt;=0)),Data!$BJ$2,"")</f>
        <v/>
      </c>
      <c r="W764" s="197" t="str">
        <f>IF(AND($K764="x",AND(MAX(Q764:S764)=S764,S764&gt;=0)),Data!$BK$2,"")</f>
        <v/>
      </c>
      <c r="X764" s="197"/>
      <c r="Y764" s="328"/>
      <c r="Z764" s="455"/>
      <c r="AA764" s="456"/>
      <c r="AB764" s="447" t="str">
        <f t="shared" si="1122"/>
        <v/>
      </c>
      <c r="AC764" s="328"/>
      <c r="AD764" s="197" t="str">
        <f>IF(AND($I764="x",AND(MAX(Z764:AB764)=Z764,Z764&lt;&gt;"")),Data!$BI$2,"")</f>
        <v/>
      </c>
      <c r="AE764" s="197" t="str">
        <f>IF(AND($J764="x",AND(MAX(Z764:AB764)=AA764,AA764&lt;&gt;"")),Data!$BJ$2,"")</f>
        <v/>
      </c>
      <c r="AF764" s="197" t="str">
        <f>IF(AND($K764="x",AND(MAX(Z764:AB764)=AB764,AB764&lt;&gt;"")),Data!$BK$2,"")</f>
        <v/>
      </c>
      <c r="AG764" s="197"/>
      <c r="AH764" s="328"/>
      <c r="AI764" s="455"/>
      <c r="AJ764" s="456"/>
      <c r="AK764" s="447" t="str">
        <f t="shared" si="1123"/>
        <v/>
      </c>
      <c r="AL764" s="328"/>
      <c r="AM764" s="197" t="str">
        <f>IF(AND($I764="x",AND(MAX(AI764:AK764)=AI764,AI764&lt;&gt;"")),Data!$BI$2,"")</f>
        <v/>
      </c>
      <c r="AN764" s="197" t="str">
        <f>IF(AND($J764="x",AND(MAX(AI764:AK764)=AJ764,AJ764&lt;&gt;"")),Data!$BJ$2,"")</f>
        <v/>
      </c>
      <c r="AO764" s="197" t="str">
        <f>IF(AND($K764="x",AND(MAX(AI764:AK764)=AK764,AK764&lt;&gt;"")),Data!$BK$2,"")</f>
        <v/>
      </c>
      <c r="AP764" s="197"/>
      <c r="AQ764" s="328"/>
      <c r="AR764" s="455"/>
      <c r="AS764" s="456"/>
      <c r="AT764" s="447" t="str">
        <f t="shared" si="1124"/>
        <v/>
      </c>
      <c r="AU764" s="328"/>
      <c r="AV764" s="197" t="str">
        <f>IF(AND($I764="x",AND(MAX(AR764:AT764)=AR764,AR764&lt;&gt;"")),Data!$BI$2,"")</f>
        <v/>
      </c>
      <c r="AW764" s="197" t="str">
        <f>IF(AND($J764="x",AND(MAX(AR764:AT764)=AS764,AS764&lt;&gt;"")),Data!$BJ$2,"")</f>
        <v/>
      </c>
      <c r="AX764" s="197" t="str">
        <f>IF(AND($K764="x",AND(MAX(AR764:AT764)=AT764,AT764&lt;&gt;"")),Data!$BK$2,"")</f>
        <v/>
      </c>
      <c r="AY764" s="197"/>
      <c r="AZ764" s="328"/>
      <c r="BA764" s="455"/>
      <c r="BB764" s="456"/>
      <c r="BC764" s="447" t="str">
        <f t="shared" si="1125"/>
        <v/>
      </c>
      <c r="BD764" s="328"/>
      <c r="BE764" s="197" t="str">
        <f>IF(AND($I764="x",AND(MAX(BA764:BC764)=BA764,BA764&lt;&gt;"")),Data!$BI$2,"")</f>
        <v/>
      </c>
      <c r="BF764" s="197" t="str">
        <f>IF(AND($J764="x",AND(MAX(BA764:BC764)=BB764,BB764&lt;&gt;"")),Data!$BJ$2,"")</f>
        <v/>
      </c>
      <c r="BG764" s="197" t="str">
        <f>IF(AND($K764="x",AND(MAX(BA764:BC764)=BC764,BC764&lt;&gt;"")),Data!$BK$2,"")</f>
        <v/>
      </c>
      <c r="BH764" s="197"/>
      <c r="BI764" s="328"/>
      <c r="BJ764" s="455"/>
      <c r="BK764" s="456"/>
      <c r="BL764" s="447" t="str">
        <f t="shared" si="1126"/>
        <v/>
      </c>
      <c r="BM764" s="328"/>
      <c r="BN764" s="197" t="str">
        <f>IF(AND($I764="x",AND(MAX(BJ764:BL764)=BJ764,BJ764&lt;&gt;"")),Data!$BI$2,"")</f>
        <v/>
      </c>
      <c r="BO764" s="197" t="str">
        <f>IF(AND($J764="x",AND(MAX(BJ764:BL764)=BK764,BK764&lt;&gt;"")),Data!$BJ$2,"")</f>
        <v/>
      </c>
      <c r="BP764" s="197" t="str">
        <f>IF(AND($K764="x",AND(MAX(BJ764:BL764)=BL764,BL764&lt;&gt;"")),Data!$BK$2,"")</f>
        <v/>
      </c>
      <c r="BQ764" s="197"/>
      <c r="BR764" s="328"/>
      <c r="BS764" s="455"/>
      <c r="BT764" s="456"/>
      <c r="BU764" s="447" t="str">
        <f t="shared" si="1127"/>
        <v/>
      </c>
      <c r="BV764" s="328"/>
      <c r="BW764" s="197" t="str">
        <f>IF(AND($I764="x",AND(MAX(BS764:BU764)=BS764,BS764&lt;&gt;"")),Data!$BI$2,"")</f>
        <v/>
      </c>
      <c r="BX764" s="197" t="str">
        <f>IF(AND($J764="x",AND(MAX(BS764:BU764)=BT764,BT764&lt;&gt;"")),Data!$BJ$2,"")</f>
        <v/>
      </c>
      <c r="BY764" s="197" t="str">
        <f>IF(AND($K764="x",AND(MAX(BS764:BU764)=BU764,BU764&lt;&gt;"")),Data!$BK$2,"")</f>
        <v/>
      </c>
      <c r="BZ764" s="197"/>
      <c r="CA764" s="328"/>
      <c r="CB764" s="463" t="str">
        <f t="shared" si="1128"/>
        <v/>
      </c>
      <c r="CC764" s="464" t="str">
        <f t="shared" si="1129"/>
        <v/>
      </c>
      <c r="CD764" s="465" t="str">
        <f t="shared" si="1130"/>
        <v/>
      </c>
      <c r="CE764" s="328"/>
      <c r="CF764" s="197" t="str">
        <f>IF(AND($I764="x",AND(MAX(CB764:CD764)=CB764,CB764&lt;&gt;"")),Data!$BI$2,"")</f>
        <v/>
      </c>
      <c r="CG764" s="197" t="str">
        <f>IF(AND($J764="x",AND(MAX(CB764:CD764)=CC764,CC764&lt;&gt;"")),Data!$BJ$2,"")</f>
        <v/>
      </c>
      <c r="CH764" s="197" t="str">
        <f>IF(AND($K764="x",AND(MAX(CB764:CD764)=CD764,CD764&lt;&gt;"")),Data!$BK$2,"")</f>
        <v/>
      </c>
      <c r="CI764" s="197"/>
      <c r="CJ764" s="197"/>
      <c r="CK764" s="455"/>
      <c r="CL764" s="456"/>
      <c r="CM764" s="447" t="str">
        <f t="shared" si="1131"/>
        <v/>
      </c>
      <c r="CN764" s="328"/>
      <c r="CO764" s="197" t="str">
        <f>IF(AND($I764="x",AND(MAX(CK764:CM764)=CK764,CK764&lt;&gt;"")),Data!$BI$2,"")</f>
        <v/>
      </c>
      <c r="CP764" s="197" t="str">
        <f>IF(AND($J764="x",AND(MAX(CK764:CM764)=CL764,CL764&lt;&gt;"")),Data!$BJ$2,"")</f>
        <v/>
      </c>
      <c r="CQ764" s="197" t="str">
        <f>IF(AND($K764="x",AND(MAX(CK764:CM764)=CM764,CM764&lt;&gt;"")),Data!$BK$2,"")</f>
        <v/>
      </c>
      <c r="CR764" s="197"/>
      <c r="CS764" s="197"/>
      <c r="CT764" s="328"/>
      <c r="CU764" s="259"/>
      <c r="CV764" s="209"/>
      <c r="CW764" s="227"/>
    </row>
    <row r="765" spans="1:101" x14ac:dyDescent="0.2">
      <c r="A765" s="227"/>
      <c r="B765" s="227"/>
      <c r="C765" s="168"/>
      <c r="D765" s="232"/>
      <c r="E765" s="137"/>
      <c r="F765" s="427"/>
      <c r="G765" s="434"/>
      <c r="H765" s="435"/>
      <c r="I765" s="138" t="str">
        <f t="shared" si="1118"/>
        <v/>
      </c>
      <c r="J765" s="344" t="str">
        <f t="shared" si="1119"/>
        <v/>
      </c>
      <c r="K765" s="345" t="str">
        <f t="shared" si="1120"/>
        <v/>
      </c>
      <c r="L765" s="765"/>
      <c r="M765" s="332"/>
      <c r="N765" s="336"/>
      <c r="O765" s="200"/>
      <c r="P765" s="200"/>
      <c r="Q765" s="448"/>
      <c r="R765" s="449"/>
      <c r="S765" s="450" t="str">
        <f t="shared" si="1121"/>
        <v/>
      </c>
      <c r="T765" s="328"/>
      <c r="U765" s="197" t="str">
        <f>IF(AND($I765="x",AND(MAX(Q765:S765)=Q765,Q765&gt;=0)),Data!$BI$2,"")</f>
        <v/>
      </c>
      <c r="V765" s="197" t="str">
        <f>IF(AND($J765="x",AND(MAX(Q765:S765)=R765,R765&gt;=0)),Data!$BJ$2,"")</f>
        <v/>
      </c>
      <c r="W765" s="197" t="str">
        <f>IF(AND($K765="x",AND(MAX(Q765:S765)=S765,S765&gt;=0)),Data!$BK$2,"")</f>
        <v/>
      </c>
      <c r="X765" s="197"/>
      <c r="Y765" s="328"/>
      <c r="Z765" s="451"/>
      <c r="AA765" s="452"/>
      <c r="AB765" s="450" t="str">
        <f t="shared" si="1122"/>
        <v/>
      </c>
      <c r="AC765" s="328"/>
      <c r="AD765" s="197" t="str">
        <f>IF(AND($I765="x",AND(MAX(Z765:AB765)=Z765,Z765&lt;&gt;"")),Data!$BI$2,"")</f>
        <v/>
      </c>
      <c r="AE765" s="197" t="str">
        <f>IF(AND($J765="x",AND(MAX(Z765:AB765)=AA765,AA765&lt;&gt;"")),Data!$BJ$2,"")</f>
        <v/>
      </c>
      <c r="AF765" s="197" t="str">
        <f>IF(AND($K765="x",AND(MAX(Z765:AB765)=AB765,AB765&lt;&gt;"")),Data!$BK$2,"")</f>
        <v/>
      </c>
      <c r="AG765" s="197"/>
      <c r="AH765" s="328"/>
      <c r="AI765" s="451"/>
      <c r="AJ765" s="452"/>
      <c r="AK765" s="450" t="str">
        <f t="shared" si="1123"/>
        <v/>
      </c>
      <c r="AL765" s="328"/>
      <c r="AM765" s="197" t="str">
        <f>IF(AND($I765="x",AND(MAX(AI765:AK765)=AI765,AI765&lt;&gt;"")),Data!$BI$2,"")</f>
        <v/>
      </c>
      <c r="AN765" s="197" t="str">
        <f>IF(AND($J765="x",AND(MAX(AI765:AK765)=AJ765,AJ765&lt;&gt;"")),Data!$BJ$2,"")</f>
        <v/>
      </c>
      <c r="AO765" s="197" t="str">
        <f>IF(AND($K765="x",AND(MAX(AI765:AK765)=AK765,AK765&lt;&gt;"")),Data!$BK$2,"")</f>
        <v/>
      </c>
      <c r="AP765" s="197"/>
      <c r="AQ765" s="328"/>
      <c r="AR765" s="451"/>
      <c r="AS765" s="452"/>
      <c r="AT765" s="450" t="str">
        <f t="shared" si="1124"/>
        <v/>
      </c>
      <c r="AU765" s="328"/>
      <c r="AV765" s="197" t="str">
        <f>IF(AND($I765="x",AND(MAX(AR765:AT765)=AR765,AR765&lt;&gt;"")),Data!$BI$2,"")</f>
        <v/>
      </c>
      <c r="AW765" s="197" t="str">
        <f>IF(AND($J765="x",AND(MAX(AR765:AT765)=AS765,AS765&lt;&gt;"")),Data!$BJ$2,"")</f>
        <v/>
      </c>
      <c r="AX765" s="197" t="str">
        <f>IF(AND($K765="x",AND(MAX(AR765:AT765)=AT765,AT765&lt;&gt;"")),Data!$BK$2,"")</f>
        <v/>
      </c>
      <c r="AY765" s="197"/>
      <c r="AZ765" s="328"/>
      <c r="BA765" s="451"/>
      <c r="BB765" s="452"/>
      <c r="BC765" s="450" t="str">
        <f t="shared" si="1125"/>
        <v/>
      </c>
      <c r="BD765" s="328"/>
      <c r="BE765" s="197" t="str">
        <f>IF(AND($I765="x",AND(MAX(BA765:BC765)=BA765,BA765&lt;&gt;"")),Data!$BI$2,"")</f>
        <v/>
      </c>
      <c r="BF765" s="197" t="str">
        <f>IF(AND($J765="x",AND(MAX(BA765:BC765)=BB765,BB765&lt;&gt;"")),Data!$BJ$2,"")</f>
        <v/>
      </c>
      <c r="BG765" s="197" t="str">
        <f>IF(AND($K765="x",AND(MAX(BA765:BC765)=BC765,BC765&lt;&gt;"")),Data!$BK$2,"")</f>
        <v/>
      </c>
      <c r="BH765" s="197"/>
      <c r="BI765" s="328"/>
      <c r="BJ765" s="451"/>
      <c r="BK765" s="452"/>
      <c r="BL765" s="450" t="str">
        <f t="shared" si="1126"/>
        <v/>
      </c>
      <c r="BM765" s="328"/>
      <c r="BN765" s="197" t="str">
        <f>IF(AND($I765="x",AND(MAX(BJ765:BL765)=BJ765,BJ765&lt;&gt;"")),Data!$BI$2,"")</f>
        <v/>
      </c>
      <c r="BO765" s="197" t="str">
        <f>IF(AND($J765="x",AND(MAX(BJ765:BL765)=BK765,BK765&lt;&gt;"")),Data!$BJ$2,"")</f>
        <v/>
      </c>
      <c r="BP765" s="197" t="str">
        <f>IF(AND($K765="x",AND(MAX(BJ765:BL765)=BL765,BL765&lt;&gt;"")),Data!$BK$2,"")</f>
        <v/>
      </c>
      <c r="BQ765" s="197"/>
      <c r="BR765" s="328"/>
      <c r="BS765" s="451"/>
      <c r="BT765" s="452"/>
      <c r="BU765" s="450" t="str">
        <f t="shared" si="1127"/>
        <v/>
      </c>
      <c r="BV765" s="328"/>
      <c r="BW765" s="197" t="str">
        <f>IF(AND($I765="x",AND(MAX(BS765:BU765)=BS765,BS765&lt;&gt;"")),Data!$BI$2,"")</f>
        <v/>
      </c>
      <c r="BX765" s="197" t="str">
        <f>IF(AND($J765="x",AND(MAX(BS765:BU765)=BT765,BT765&lt;&gt;"")),Data!$BJ$2,"")</f>
        <v/>
      </c>
      <c r="BY765" s="197" t="str">
        <f>IF(AND($K765="x",AND(MAX(BS765:BU765)=BU765,BU765&lt;&gt;"")),Data!$BK$2,"")</f>
        <v/>
      </c>
      <c r="BZ765" s="197"/>
      <c r="CA765" s="328"/>
      <c r="CB765" s="457" t="str">
        <f t="shared" si="1128"/>
        <v/>
      </c>
      <c r="CC765" s="458" t="str">
        <f t="shared" si="1129"/>
        <v/>
      </c>
      <c r="CD765" s="459" t="str">
        <f t="shared" si="1130"/>
        <v/>
      </c>
      <c r="CE765" s="328"/>
      <c r="CF765" s="197" t="str">
        <f>IF(AND($I765="x",AND(MAX(CB765:CD765)=CB765,CB765&lt;&gt;"")),Data!$BI$2,"")</f>
        <v/>
      </c>
      <c r="CG765" s="197" t="str">
        <f>IF(AND($J765="x",AND(MAX(CB765:CD765)=CC765,CC765&lt;&gt;"")),Data!$BJ$2,"")</f>
        <v/>
      </c>
      <c r="CH765" s="197" t="str">
        <f>IF(AND($K765="x",AND(MAX(CB765:CD765)=CD765,CD765&lt;&gt;"")),Data!$BK$2,"")</f>
        <v/>
      </c>
      <c r="CI765" s="197"/>
      <c r="CJ765" s="197"/>
      <c r="CK765" s="451"/>
      <c r="CL765" s="452"/>
      <c r="CM765" s="450" t="str">
        <f t="shared" si="1131"/>
        <v/>
      </c>
      <c r="CN765" s="328"/>
      <c r="CO765" s="197" t="str">
        <f>IF(AND($I765="x",AND(MAX(CK765:CM765)=CK765,CK765&lt;&gt;"")),Data!$BI$2,"")</f>
        <v/>
      </c>
      <c r="CP765" s="197" t="str">
        <f>IF(AND($J765="x",AND(MAX(CK765:CM765)=CL765,CL765&lt;&gt;"")),Data!$BJ$2,"")</f>
        <v/>
      </c>
      <c r="CQ765" s="197" t="str">
        <f>IF(AND($K765="x",AND(MAX(CK765:CM765)=CM765,CM765&lt;&gt;"")),Data!$BK$2,"")</f>
        <v/>
      </c>
      <c r="CR765" s="197"/>
      <c r="CS765" s="197"/>
      <c r="CT765" s="328"/>
      <c r="CU765" s="259"/>
      <c r="CV765" s="209"/>
      <c r="CW765" s="227"/>
    </row>
    <row r="766" spans="1:101" x14ac:dyDescent="0.2">
      <c r="A766" s="227"/>
      <c r="B766" s="227"/>
      <c r="C766" s="168"/>
      <c r="D766" s="232"/>
      <c r="E766" s="135"/>
      <c r="F766" s="425"/>
      <c r="G766" s="430"/>
      <c r="H766" s="431"/>
      <c r="I766" s="346" t="str">
        <f t="shared" si="1118"/>
        <v/>
      </c>
      <c r="J766" s="347" t="str">
        <f t="shared" si="1119"/>
        <v/>
      </c>
      <c r="K766" s="348" t="str">
        <f t="shared" si="1120"/>
        <v/>
      </c>
      <c r="L766" s="765"/>
      <c r="M766" s="332"/>
      <c r="N766" s="336"/>
      <c r="O766" s="200"/>
      <c r="P766" s="200"/>
      <c r="Q766" s="439"/>
      <c r="R766" s="440"/>
      <c r="S766" s="441" t="str">
        <f t="shared" si="1121"/>
        <v/>
      </c>
      <c r="T766" s="328"/>
      <c r="U766" s="197" t="str">
        <f>IF(AND($I766="x",AND(MAX(Q766:S766)=Q766,Q766&gt;=0)),Data!$BI$2,"")</f>
        <v/>
      </c>
      <c r="V766" s="197" t="str">
        <f>IF(AND($J766="x",AND(MAX(Q766:S766)=R766,R766&gt;=0)),Data!$BJ$2,"")</f>
        <v/>
      </c>
      <c r="W766" s="197" t="str">
        <f>IF(AND($K766="x",AND(MAX(Q766:S766)=S766,S766&gt;=0)),Data!$BK$2,"")</f>
        <v/>
      </c>
      <c r="X766" s="197"/>
      <c r="Y766" s="328"/>
      <c r="Z766" s="453"/>
      <c r="AA766" s="454"/>
      <c r="AB766" s="441" t="str">
        <f t="shared" si="1122"/>
        <v/>
      </c>
      <c r="AC766" s="328"/>
      <c r="AD766" s="197" t="str">
        <f>IF(AND($I766="x",AND(MAX(Z766:AB766)=Z766,Z766&lt;&gt;"")),Data!$BI$2,"")</f>
        <v/>
      </c>
      <c r="AE766" s="197" t="str">
        <f>IF(AND($J766="x",AND(MAX(Z766:AB766)=AA766,AA766&lt;&gt;"")),Data!$BJ$2,"")</f>
        <v/>
      </c>
      <c r="AF766" s="197" t="str">
        <f>IF(AND($K766="x",AND(MAX(Z766:AB766)=AB766,AB766&lt;&gt;"")),Data!$BK$2,"")</f>
        <v/>
      </c>
      <c r="AG766" s="197"/>
      <c r="AH766" s="328"/>
      <c r="AI766" s="453"/>
      <c r="AJ766" s="454"/>
      <c r="AK766" s="441" t="str">
        <f t="shared" si="1123"/>
        <v/>
      </c>
      <c r="AL766" s="328"/>
      <c r="AM766" s="197" t="str">
        <f>IF(AND($I766="x",AND(MAX(AI766:AK766)=AI766,AI766&lt;&gt;"")),Data!$BI$2,"")</f>
        <v/>
      </c>
      <c r="AN766" s="197" t="str">
        <f>IF(AND($J766="x",AND(MAX(AI766:AK766)=AJ766,AJ766&lt;&gt;"")),Data!$BJ$2,"")</f>
        <v/>
      </c>
      <c r="AO766" s="197" t="str">
        <f>IF(AND($K766="x",AND(MAX(AI766:AK766)=AK766,AK766&lt;&gt;"")),Data!$BK$2,"")</f>
        <v/>
      </c>
      <c r="AP766" s="197"/>
      <c r="AQ766" s="328"/>
      <c r="AR766" s="453"/>
      <c r="AS766" s="454"/>
      <c r="AT766" s="441" t="str">
        <f t="shared" si="1124"/>
        <v/>
      </c>
      <c r="AU766" s="328"/>
      <c r="AV766" s="197" t="str">
        <f>IF(AND($I766="x",AND(MAX(AR766:AT766)=AR766,AR766&lt;&gt;"")),Data!$BI$2,"")</f>
        <v/>
      </c>
      <c r="AW766" s="197" t="str">
        <f>IF(AND($J766="x",AND(MAX(AR766:AT766)=AS766,AS766&lt;&gt;"")),Data!$BJ$2,"")</f>
        <v/>
      </c>
      <c r="AX766" s="197" t="str">
        <f>IF(AND($K766="x",AND(MAX(AR766:AT766)=AT766,AT766&lt;&gt;"")),Data!$BK$2,"")</f>
        <v/>
      </c>
      <c r="AY766" s="197"/>
      <c r="AZ766" s="328"/>
      <c r="BA766" s="453"/>
      <c r="BB766" s="454"/>
      <c r="BC766" s="441" t="str">
        <f t="shared" si="1125"/>
        <v/>
      </c>
      <c r="BD766" s="328"/>
      <c r="BE766" s="197" t="str">
        <f>IF(AND($I766="x",AND(MAX(BA766:BC766)=BA766,BA766&lt;&gt;"")),Data!$BI$2,"")</f>
        <v/>
      </c>
      <c r="BF766" s="197" t="str">
        <f>IF(AND($J766="x",AND(MAX(BA766:BC766)=BB766,BB766&lt;&gt;"")),Data!$BJ$2,"")</f>
        <v/>
      </c>
      <c r="BG766" s="197" t="str">
        <f>IF(AND($K766="x",AND(MAX(BA766:BC766)=BC766,BC766&lt;&gt;"")),Data!$BK$2,"")</f>
        <v/>
      </c>
      <c r="BH766" s="197"/>
      <c r="BI766" s="328"/>
      <c r="BJ766" s="453"/>
      <c r="BK766" s="454"/>
      <c r="BL766" s="441" t="str">
        <f t="shared" si="1126"/>
        <v/>
      </c>
      <c r="BM766" s="328"/>
      <c r="BN766" s="197" t="str">
        <f>IF(AND($I766="x",AND(MAX(BJ766:BL766)=BJ766,BJ766&lt;&gt;"")),Data!$BI$2,"")</f>
        <v/>
      </c>
      <c r="BO766" s="197" t="str">
        <f>IF(AND($J766="x",AND(MAX(BJ766:BL766)=BK766,BK766&lt;&gt;"")),Data!$BJ$2,"")</f>
        <v/>
      </c>
      <c r="BP766" s="197" t="str">
        <f>IF(AND($K766="x",AND(MAX(BJ766:BL766)=BL766,BL766&lt;&gt;"")),Data!$BK$2,"")</f>
        <v/>
      </c>
      <c r="BQ766" s="197"/>
      <c r="BR766" s="328"/>
      <c r="BS766" s="453"/>
      <c r="BT766" s="454"/>
      <c r="BU766" s="441" t="str">
        <f t="shared" si="1127"/>
        <v/>
      </c>
      <c r="BV766" s="328"/>
      <c r="BW766" s="197" t="str">
        <f>IF(AND($I766="x",AND(MAX(BS766:BU766)=BS766,BS766&lt;&gt;"")),Data!$BI$2,"")</f>
        <v/>
      </c>
      <c r="BX766" s="197" t="str">
        <f>IF(AND($J766="x",AND(MAX(BS766:BU766)=BT766,BT766&lt;&gt;"")),Data!$BJ$2,"")</f>
        <v/>
      </c>
      <c r="BY766" s="197" t="str">
        <f>IF(AND($K766="x",AND(MAX(BS766:BU766)=BU766,BU766&lt;&gt;"")),Data!$BK$2,"")</f>
        <v/>
      </c>
      <c r="BZ766" s="197"/>
      <c r="CA766" s="328"/>
      <c r="CB766" s="460" t="str">
        <f t="shared" si="1128"/>
        <v/>
      </c>
      <c r="CC766" s="461" t="str">
        <f t="shared" si="1129"/>
        <v/>
      </c>
      <c r="CD766" s="462" t="str">
        <f t="shared" si="1130"/>
        <v/>
      </c>
      <c r="CE766" s="328"/>
      <c r="CF766" s="197" t="str">
        <f>IF(AND($I766="x",AND(MAX(CB766:CD766)=CB766,CB766&lt;&gt;"")),Data!$BI$2,"")</f>
        <v/>
      </c>
      <c r="CG766" s="197" t="str">
        <f>IF(AND($J766="x",AND(MAX(CB766:CD766)=CC766,CC766&lt;&gt;"")),Data!$BJ$2,"")</f>
        <v/>
      </c>
      <c r="CH766" s="197" t="str">
        <f>IF(AND($K766="x",AND(MAX(CB766:CD766)=CD766,CD766&lt;&gt;"")),Data!$BK$2,"")</f>
        <v/>
      </c>
      <c r="CI766" s="197"/>
      <c r="CJ766" s="197"/>
      <c r="CK766" s="453"/>
      <c r="CL766" s="454"/>
      <c r="CM766" s="441" t="str">
        <f t="shared" si="1131"/>
        <v/>
      </c>
      <c r="CN766" s="328"/>
      <c r="CO766" s="197" t="str">
        <f>IF(AND($I766="x",AND(MAX(CK766:CM766)=CK766,CK766&lt;&gt;"")),Data!$BI$2,"")</f>
        <v/>
      </c>
      <c r="CP766" s="197" t="str">
        <f>IF(AND($J766="x",AND(MAX(CK766:CM766)=CL766,CL766&lt;&gt;"")),Data!$BJ$2,"")</f>
        <v/>
      </c>
      <c r="CQ766" s="197" t="str">
        <f>IF(AND($K766="x",AND(MAX(CK766:CM766)=CM766,CM766&lt;&gt;"")),Data!$BK$2,"")</f>
        <v/>
      </c>
      <c r="CR766" s="197"/>
      <c r="CS766" s="197"/>
      <c r="CT766" s="328"/>
      <c r="CU766" s="259"/>
      <c r="CV766" s="209"/>
      <c r="CW766" s="227"/>
    </row>
    <row r="767" spans="1:101" x14ac:dyDescent="0.2">
      <c r="A767" s="227"/>
      <c r="B767" s="227"/>
      <c r="C767" s="168"/>
      <c r="D767" s="232"/>
      <c r="E767" s="136"/>
      <c r="F767" s="426"/>
      <c r="G767" s="432"/>
      <c r="H767" s="433"/>
      <c r="I767" s="349" t="str">
        <f t="shared" si="1118"/>
        <v/>
      </c>
      <c r="J767" s="350" t="str">
        <f t="shared" si="1119"/>
        <v/>
      </c>
      <c r="K767" s="351" t="str">
        <f t="shared" si="1120"/>
        <v/>
      </c>
      <c r="L767" s="765"/>
      <c r="M767" s="332"/>
      <c r="N767" s="336"/>
      <c r="O767" s="200"/>
      <c r="P767" s="200"/>
      <c r="Q767" s="445"/>
      <c r="R767" s="446"/>
      <c r="S767" s="447" t="str">
        <f t="shared" si="1121"/>
        <v/>
      </c>
      <c r="T767" s="328"/>
      <c r="U767" s="197" t="str">
        <f>IF(AND($I767="x",AND(MAX(Q767:S767)=Q767,Q767&gt;=0)),Data!$BI$2,"")</f>
        <v/>
      </c>
      <c r="V767" s="197" t="str">
        <f>IF(AND($J767="x",AND(MAX(Q767:S767)=R767,R767&gt;=0)),Data!$BJ$2,"")</f>
        <v/>
      </c>
      <c r="W767" s="197" t="str">
        <f>IF(AND($K767="x",AND(MAX(Q767:S767)=S767,S767&gt;=0)),Data!$BK$2,"")</f>
        <v/>
      </c>
      <c r="X767" s="197"/>
      <c r="Y767" s="328"/>
      <c r="Z767" s="455"/>
      <c r="AA767" s="456"/>
      <c r="AB767" s="447" t="str">
        <f t="shared" si="1122"/>
        <v/>
      </c>
      <c r="AC767" s="328"/>
      <c r="AD767" s="197" t="str">
        <f>IF(AND($I767="x",AND(MAX(Z767:AB767)=Z767,Z767&lt;&gt;"")),Data!$BI$2,"")</f>
        <v/>
      </c>
      <c r="AE767" s="197" t="str">
        <f>IF(AND($J767="x",AND(MAX(Z767:AB767)=AA767,AA767&lt;&gt;"")),Data!$BJ$2,"")</f>
        <v/>
      </c>
      <c r="AF767" s="197" t="str">
        <f>IF(AND($K767="x",AND(MAX(Z767:AB767)=AB767,AB767&lt;&gt;"")),Data!$BK$2,"")</f>
        <v/>
      </c>
      <c r="AG767" s="197"/>
      <c r="AH767" s="328"/>
      <c r="AI767" s="455"/>
      <c r="AJ767" s="456"/>
      <c r="AK767" s="447" t="str">
        <f t="shared" si="1123"/>
        <v/>
      </c>
      <c r="AL767" s="328"/>
      <c r="AM767" s="197" t="str">
        <f>IF(AND($I767="x",AND(MAX(AI767:AK767)=AI767,AI767&lt;&gt;"")),Data!$BI$2,"")</f>
        <v/>
      </c>
      <c r="AN767" s="197" t="str">
        <f>IF(AND($J767="x",AND(MAX(AI767:AK767)=AJ767,AJ767&lt;&gt;"")),Data!$BJ$2,"")</f>
        <v/>
      </c>
      <c r="AO767" s="197" t="str">
        <f>IF(AND($K767="x",AND(MAX(AI767:AK767)=AK767,AK767&lt;&gt;"")),Data!$BK$2,"")</f>
        <v/>
      </c>
      <c r="AP767" s="197"/>
      <c r="AQ767" s="328"/>
      <c r="AR767" s="455"/>
      <c r="AS767" s="456"/>
      <c r="AT767" s="447" t="str">
        <f t="shared" si="1124"/>
        <v/>
      </c>
      <c r="AU767" s="328"/>
      <c r="AV767" s="197" t="str">
        <f>IF(AND($I767="x",AND(MAX(AR767:AT767)=AR767,AR767&lt;&gt;"")),Data!$BI$2,"")</f>
        <v/>
      </c>
      <c r="AW767" s="197" t="str">
        <f>IF(AND($J767="x",AND(MAX(AR767:AT767)=AS767,AS767&lt;&gt;"")),Data!$BJ$2,"")</f>
        <v/>
      </c>
      <c r="AX767" s="197" t="str">
        <f>IF(AND($K767="x",AND(MAX(AR767:AT767)=AT767,AT767&lt;&gt;"")),Data!$BK$2,"")</f>
        <v/>
      </c>
      <c r="AY767" s="197"/>
      <c r="AZ767" s="328"/>
      <c r="BA767" s="455"/>
      <c r="BB767" s="456"/>
      <c r="BC767" s="447" t="str">
        <f t="shared" si="1125"/>
        <v/>
      </c>
      <c r="BD767" s="328"/>
      <c r="BE767" s="197" t="str">
        <f>IF(AND($I767="x",AND(MAX(BA767:BC767)=BA767,BA767&lt;&gt;"")),Data!$BI$2,"")</f>
        <v/>
      </c>
      <c r="BF767" s="197" t="str">
        <f>IF(AND($J767="x",AND(MAX(BA767:BC767)=BB767,BB767&lt;&gt;"")),Data!$BJ$2,"")</f>
        <v/>
      </c>
      <c r="BG767" s="197" t="str">
        <f>IF(AND($K767="x",AND(MAX(BA767:BC767)=BC767,BC767&lt;&gt;"")),Data!$BK$2,"")</f>
        <v/>
      </c>
      <c r="BH767" s="197"/>
      <c r="BI767" s="328"/>
      <c r="BJ767" s="455"/>
      <c r="BK767" s="456"/>
      <c r="BL767" s="447" t="str">
        <f t="shared" si="1126"/>
        <v/>
      </c>
      <c r="BM767" s="328"/>
      <c r="BN767" s="197" t="str">
        <f>IF(AND($I767="x",AND(MAX(BJ767:BL767)=BJ767,BJ767&lt;&gt;"")),Data!$BI$2,"")</f>
        <v/>
      </c>
      <c r="BO767" s="197" t="str">
        <f>IF(AND($J767="x",AND(MAX(BJ767:BL767)=BK767,BK767&lt;&gt;"")),Data!$BJ$2,"")</f>
        <v/>
      </c>
      <c r="BP767" s="197" t="str">
        <f>IF(AND($K767="x",AND(MAX(BJ767:BL767)=BL767,BL767&lt;&gt;"")),Data!$BK$2,"")</f>
        <v/>
      </c>
      <c r="BQ767" s="197"/>
      <c r="BR767" s="328"/>
      <c r="BS767" s="455"/>
      <c r="BT767" s="456"/>
      <c r="BU767" s="447" t="str">
        <f t="shared" si="1127"/>
        <v/>
      </c>
      <c r="BV767" s="328"/>
      <c r="BW767" s="197" t="str">
        <f>IF(AND($I767="x",AND(MAX(BS767:BU767)=BS767,BS767&lt;&gt;"")),Data!$BI$2,"")</f>
        <v/>
      </c>
      <c r="BX767" s="197" t="str">
        <f>IF(AND($J767="x",AND(MAX(BS767:BU767)=BT767,BT767&lt;&gt;"")),Data!$BJ$2,"")</f>
        <v/>
      </c>
      <c r="BY767" s="197" t="str">
        <f>IF(AND($K767="x",AND(MAX(BS767:BU767)=BU767,BU767&lt;&gt;"")),Data!$BK$2,"")</f>
        <v/>
      </c>
      <c r="BZ767" s="197"/>
      <c r="CA767" s="328"/>
      <c r="CB767" s="463" t="str">
        <f t="shared" si="1128"/>
        <v/>
      </c>
      <c r="CC767" s="464" t="str">
        <f t="shared" si="1129"/>
        <v/>
      </c>
      <c r="CD767" s="465" t="str">
        <f t="shared" si="1130"/>
        <v/>
      </c>
      <c r="CE767" s="328"/>
      <c r="CF767" s="197" t="str">
        <f>IF(AND($I767="x",AND(MAX(CB767:CD767)=CB767,CB767&lt;&gt;"")),Data!$BI$2,"")</f>
        <v/>
      </c>
      <c r="CG767" s="197" t="str">
        <f>IF(AND($J767="x",AND(MAX(CB767:CD767)=CC767,CC767&lt;&gt;"")),Data!$BJ$2,"")</f>
        <v/>
      </c>
      <c r="CH767" s="197" t="str">
        <f>IF(AND($K767="x",AND(MAX(CB767:CD767)=CD767,CD767&lt;&gt;"")),Data!$BK$2,"")</f>
        <v/>
      </c>
      <c r="CI767" s="197"/>
      <c r="CJ767" s="197"/>
      <c r="CK767" s="455"/>
      <c r="CL767" s="456"/>
      <c r="CM767" s="447" t="str">
        <f t="shared" si="1131"/>
        <v/>
      </c>
      <c r="CN767" s="328"/>
      <c r="CO767" s="197" t="str">
        <f>IF(AND($I767="x",AND(MAX(CK767:CM767)=CK767,CK767&lt;&gt;"")),Data!$BI$2,"")</f>
        <v/>
      </c>
      <c r="CP767" s="197" t="str">
        <f>IF(AND($J767="x",AND(MAX(CK767:CM767)=CL767,CL767&lt;&gt;"")),Data!$BJ$2,"")</f>
        <v/>
      </c>
      <c r="CQ767" s="197" t="str">
        <f>IF(AND($K767="x",AND(MAX(CK767:CM767)=CM767,CM767&lt;&gt;"")),Data!$BK$2,"")</f>
        <v/>
      </c>
      <c r="CR767" s="197"/>
      <c r="CS767" s="197"/>
      <c r="CT767" s="328"/>
      <c r="CU767" s="259"/>
      <c r="CV767" s="209"/>
      <c r="CW767" s="227"/>
    </row>
    <row r="768" spans="1:101" x14ac:dyDescent="0.2">
      <c r="A768" s="227"/>
      <c r="B768" s="227"/>
      <c r="C768" s="168"/>
      <c r="D768" s="233"/>
      <c r="E768" s="199"/>
      <c r="F768" s="352" t="str">
        <f>IF(SUM(F756:F767)=0,"",SUM(F756:F767))</f>
        <v/>
      </c>
      <c r="G768" s="327" t="s">
        <v>51</v>
      </c>
      <c r="H768" s="353" t="str">
        <f>IF(SUM(H756:H767)=0,"",SUM(H756:H767))</f>
        <v/>
      </c>
      <c r="I768" s="354" t="str">
        <f>IF(COUNTIF(I756:I767,"=x")=0,"",COUNTIF(I756:I767,"=x"))</f>
        <v/>
      </c>
      <c r="J768" s="355" t="str">
        <f>IF(COUNTIF(J756:J767,"=x")=0,"",COUNTIF(J756:J767,"=x"))</f>
        <v/>
      </c>
      <c r="K768" s="356" t="str">
        <f>IF(COUNTIF(K756:K767,"=x")=0,"",COUNTIF(K756:K767,"=x"))</f>
        <v/>
      </c>
      <c r="L768" s="258"/>
      <c r="M768" s="332"/>
      <c r="N768" s="336"/>
      <c r="O768" s="200"/>
      <c r="P768" s="326"/>
      <c r="Q768" s="422">
        <f>SUM(U756:U767)</f>
        <v>0</v>
      </c>
      <c r="R768" s="422">
        <f t="shared" ref="R768:S768" si="1132">SUM(V756:V767)</f>
        <v>0</v>
      </c>
      <c r="S768" s="422">
        <f t="shared" si="1132"/>
        <v>0</v>
      </c>
      <c r="T768" s="325"/>
      <c r="U768" s="197">
        <f>SUM(U756:U767)</f>
        <v>0</v>
      </c>
      <c r="V768" s="197">
        <f t="shared" ref="V768:W768" si="1133">SUM(V756:V767)</f>
        <v>0</v>
      </c>
      <c r="W768" s="197">
        <f t="shared" si="1133"/>
        <v>0</v>
      </c>
      <c r="X768" s="197"/>
      <c r="Y768" s="324"/>
      <c r="Z768" s="422">
        <f>SUM(AD756:AD767)</f>
        <v>0</v>
      </c>
      <c r="AA768" s="422">
        <f t="shared" ref="AA768:AB768" si="1134">SUM(AE756:AE767)</f>
        <v>0</v>
      </c>
      <c r="AB768" s="422">
        <f t="shared" si="1134"/>
        <v>0</v>
      </c>
      <c r="AC768" s="325"/>
      <c r="AD768" s="197">
        <f>SUM(AD756:AD767)</f>
        <v>0</v>
      </c>
      <c r="AE768" s="197">
        <f t="shared" ref="AE768:AF768" si="1135">SUM(AE756:AE767)</f>
        <v>0</v>
      </c>
      <c r="AF768" s="197">
        <f t="shared" si="1135"/>
        <v>0</v>
      </c>
      <c r="AG768" s="197"/>
      <c r="AH768" s="324"/>
      <c r="AI768" s="422">
        <f>SUM(AM756:AM767)</f>
        <v>0</v>
      </c>
      <c r="AJ768" s="422">
        <f t="shared" ref="AJ768:AK768" si="1136">SUM(AN756:AN767)</f>
        <v>0</v>
      </c>
      <c r="AK768" s="422">
        <f t="shared" si="1136"/>
        <v>0</v>
      </c>
      <c r="AL768" s="325"/>
      <c r="AM768" s="197">
        <f>SUM(AM756:AM767)</f>
        <v>0</v>
      </c>
      <c r="AN768" s="197">
        <f t="shared" ref="AN768:AO768" si="1137">SUM(AN756:AN767)</f>
        <v>0</v>
      </c>
      <c r="AO768" s="197">
        <f t="shared" si="1137"/>
        <v>0</v>
      </c>
      <c r="AP768" s="197"/>
      <c r="AQ768" s="324"/>
      <c r="AR768" s="422">
        <f>SUM(AV756:AV767)</f>
        <v>0</v>
      </c>
      <c r="AS768" s="422">
        <f t="shared" ref="AS768:AT768" si="1138">SUM(AW756:AW767)</f>
        <v>0</v>
      </c>
      <c r="AT768" s="422">
        <f t="shared" si="1138"/>
        <v>0</v>
      </c>
      <c r="AU768" s="325"/>
      <c r="AV768" s="197">
        <f>SUM(AV756:AV767)</f>
        <v>0</v>
      </c>
      <c r="AW768" s="197">
        <f t="shared" ref="AW768:AX768" si="1139">SUM(AW756:AW767)</f>
        <v>0</v>
      </c>
      <c r="AX768" s="197">
        <f t="shared" si="1139"/>
        <v>0</v>
      </c>
      <c r="AY768" s="197"/>
      <c r="AZ768" s="324"/>
      <c r="BA768" s="422">
        <f>SUM(BE756:BE767)</f>
        <v>0</v>
      </c>
      <c r="BB768" s="422">
        <f t="shared" ref="BB768:BC768" si="1140">SUM(BF756:BF767)</f>
        <v>0</v>
      </c>
      <c r="BC768" s="422">
        <f t="shared" si="1140"/>
        <v>0</v>
      </c>
      <c r="BD768" s="325"/>
      <c r="BE768" s="197">
        <f>SUM(BE756:BE767)</f>
        <v>0</v>
      </c>
      <c r="BF768" s="197">
        <f t="shared" ref="BF768:BG768" si="1141">SUM(BF756:BF767)</f>
        <v>0</v>
      </c>
      <c r="BG768" s="197">
        <f t="shared" si="1141"/>
        <v>0</v>
      </c>
      <c r="BH768" s="197"/>
      <c r="BI768" s="324"/>
      <c r="BJ768" s="422">
        <f>SUM(BN756:BN767)</f>
        <v>0</v>
      </c>
      <c r="BK768" s="422">
        <f t="shared" ref="BK768" si="1142">SUM(BO756:BO767)</f>
        <v>0</v>
      </c>
      <c r="BL768" s="422">
        <f t="shared" ref="BL768" si="1143">SUM(BP756:BP767)</f>
        <v>0</v>
      </c>
      <c r="BM768" s="325"/>
      <c r="BN768" s="197">
        <f>SUM(BN756:BN767)</f>
        <v>0</v>
      </c>
      <c r="BO768" s="197">
        <f t="shared" ref="BO768:BP768" si="1144">SUM(BO756:BO767)</f>
        <v>0</v>
      </c>
      <c r="BP768" s="197">
        <f t="shared" si="1144"/>
        <v>0</v>
      </c>
      <c r="BQ768" s="197"/>
      <c r="BR768" s="324"/>
      <c r="BS768" s="422">
        <f>SUM(BW756:BW767)</f>
        <v>0</v>
      </c>
      <c r="BT768" s="422">
        <f t="shared" ref="BT768:BU768" si="1145">SUM(BX756:BX767)</f>
        <v>0</v>
      </c>
      <c r="BU768" s="422">
        <f t="shared" si="1145"/>
        <v>0</v>
      </c>
      <c r="BV768" s="325"/>
      <c r="BW768" s="197">
        <f>SUM(BW756:BW767)</f>
        <v>0</v>
      </c>
      <c r="BX768" s="197">
        <f t="shared" ref="BX768:BY768" si="1146">SUM(BX756:BX767)</f>
        <v>0</v>
      </c>
      <c r="BY768" s="197">
        <f t="shared" si="1146"/>
        <v>0</v>
      </c>
      <c r="BZ768" s="197"/>
      <c r="CA768" s="326"/>
      <c r="CB768" s="422">
        <f>SUM(CF756:CF767)</f>
        <v>0</v>
      </c>
      <c r="CC768" s="422">
        <f t="shared" ref="CC768:CD768" si="1147">SUM(CG756:CG767)</f>
        <v>0</v>
      </c>
      <c r="CD768" s="422">
        <f t="shared" si="1147"/>
        <v>0</v>
      </c>
      <c r="CE768" s="325"/>
      <c r="CF768" s="197">
        <f>SUM(CF756:CF767)</f>
        <v>0</v>
      </c>
      <c r="CG768" s="197">
        <f t="shared" ref="CG768:CH768" si="1148">SUM(CG756:CG767)</f>
        <v>0</v>
      </c>
      <c r="CH768" s="197">
        <f t="shared" si="1148"/>
        <v>0</v>
      </c>
      <c r="CI768" s="197"/>
      <c r="CJ768" s="197"/>
      <c r="CK768" s="422">
        <f>SUM(CO756:CO767)</f>
        <v>0</v>
      </c>
      <c r="CL768" s="422">
        <f t="shared" ref="CL768:CM768" si="1149">SUM(CP756:CP767)</f>
        <v>0</v>
      </c>
      <c r="CM768" s="422">
        <f t="shared" si="1149"/>
        <v>0</v>
      </c>
      <c r="CN768" s="325"/>
      <c r="CO768" s="197">
        <f>SUM(CO756:CO767)</f>
        <v>0</v>
      </c>
      <c r="CP768" s="197">
        <f t="shared" ref="CP768:CQ768" si="1150">SUM(CP756:CP767)</f>
        <v>0</v>
      </c>
      <c r="CQ768" s="197">
        <f t="shared" si="1150"/>
        <v>0</v>
      </c>
      <c r="CR768" s="197"/>
      <c r="CS768" s="197"/>
      <c r="CT768" s="197"/>
      <c r="CU768" s="259"/>
      <c r="CV768" s="209"/>
      <c r="CW768" s="228"/>
    </row>
    <row r="769" spans="1:101" x14ac:dyDescent="0.2">
      <c r="A769" s="227"/>
      <c r="B769" s="227"/>
      <c r="C769" s="168"/>
      <c r="D769" s="249"/>
      <c r="E769" s="242"/>
      <c r="F769" s="243"/>
      <c r="G769" s="242"/>
      <c r="H769" s="242"/>
      <c r="I769" s="242"/>
      <c r="J769" s="242"/>
      <c r="K769" s="242"/>
      <c r="L769" s="252"/>
      <c r="M769" s="260"/>
      <c r="N769" s="337"/>
      <c r="O769" s="333"/>
      <c r="P769" s="244"/>
      <c r="Q769" s="245"/>
      <c r="R769" s="245"/>
      <c r="S769" s="245"/>
      <c r="T769" s="246"/>
      <c r="U769" s="247"/>
      <c r="V769" s="247"/>
      <c r="W769" s="247"/>
      <c r="X769" s="247"/>
      <c r="Y769" s="244"/>
      <c r="Z769" s="245"/>
      <c r="AA769" s="245"/>
      <c r="AB769" s="245"/>
      <c r="AC769" s="246"/>
      <c r="AD769" s="247"/>
      <c r="AE769" s="247"/>
      <c r="AF769" s="247"/>
      <c r="AG769" s="247"/>
      <c r="AH769" s="244"/>
      <c r="AI769" s="245"/>
      <c r="AJ769" s="245"/>
      <c r="AK769" s="245"/>
      <c r="AL769" s="246"/>
      <c r="AM769" s="247"/>
      <c r="AN769" s="247"/>
      <c r="AO769" s="247"/>
      <c r="AP769" s="247"/>
      <c r="AQ769" s="244"/>
      <c r="AR769" s="245"/>
      <c r="AS769" s="245"/>
      <c r="AT769" s="245"/>
      <c r="AU769" s="246"/>
      <c r="AV769" s="247"/>
      <c r="AW769" s="247"/>
      <c r="AX769" s="247"/>
      <c r="AY769" s="247"/>
      <c r="AZ769" s="244"/>
      <c r="BA769" s="245"/>
      <c r="BB769" s="245"/>
      <c r="BC769" s="245"/>
      <c r="BD769" s="246"/>
      <c r="BE769" s="247"/>
      <c r="BF769" s="247"/>
      <c r="BG769" s="247"/>
      <c r="BH769" s="247"/>
      <c r="BI769" s="244"/>
      <c r="BJ769" s="244"/>
      <c r="BK769" s="244"/>
      <c r="BL769" s="244"/>
      <c r="BM769" s="244"/>
      <c r="BN769" s="247"/>
      <c r="BO769" s="247"/>
      <c r="BP769" s="247"/>
      <c r="BQ769" s="247"/>
      <c r="BR769" s="244"/>
      <c r="BS769" s="244"/>
      <c r="BT769" s="244"/>
      <c r="BU769" s="244"/>
      <c r="BV769" s="244"/>
      <c r="BW769" s="247"/>
      <c r="BX769" s="247"/>
      <c r="BY769" s="247"/>
      <c r="BZ769" s="247"/>
      <c r="CA769" s="244"/>
      <c r="CB769" s="244"/>
      <c r="CC769" s="244"/>
      <c r="CD769" s="244"/>
      <c r="CE769" s="244"/>
      <c r="CF769" s="247"/>
      <c r="CG769" s="247"/>
      <c r="CH769" s="247"/>
      <c r="CI769" s="247"/>
      <c r="CJ769" s="248"/>
      <c r="CK769" s="248"/>
      <c r="CL769" s="248"/>
      <c r="CM769" s="248"/>
      <c r="CN769" s="248"/>
      <c r="CO769" s="247"/>
      <c r="CP769" s="247"/>
      <c r="CQ769" s="247"/>
      <c r="CR769" s="247"/>
      <c r="CS769" s="248"/>
      <c r="CT769" s="242"/>
      <c r="CU769" s="253"/>
      <c r="CV769" s="209"/>
      <c r="CW769" s="228"/>
    </row>
    <row r="770" spans="1:101" x14ac:dyDescent="0.2">
      <c r="A770" s="219"/>
      <c r="B770" s="219"/>
      <c r="C770" s="175"/>
      <c r="D770" s="176"/>
      <c r="E770" s="210"/>
      <c r="F770" s="211"/>
      <c r="G770" s="210"/>
      <c r="H770" s="210"/>
      <c r="I770" s="210"/>
      <c r="J770" s="210"/>
      <c r="K770" s="210"/>
      <c r="L770" s="212"/>
      <c r="M770" s="213"/>
      <c r="N770" s="213"/>
      <c r="O770" s="213"/>
      <c r="P770" s="213"/>
      <c r="Q770" s="210"/>
      <c r="R770" s="210"/>
      <c r="S770" s="210"/>
      <c r="T770" s="214"/>
      <c r="U770" s="215"/>
      <c r="V770" s="215"/>
      <c r="W770" s="215"/>
      <c r="X770" s="215"/>
      <c r="Y770" s="213"/>
      <c r="Z770" s="210"/>
      <c r="AA770" s="210"/>
      <c r="AB770" s="210"/>
      <c r="AC770" s="214"/>
      <c r="AD770" s="215"/>
      <c r="AE770" s="215"/>
      <c r="AF770" s="215"/>
      <c r="AG770" s="215"/>
      <c r="AH770" s="213"/>
      <c r="AI770" s="210"/>
      <c r="AJ770" s="210"/>
      <c r="AK770" s="210"/>
      <c r="AL770" s="214"/>
      <c r="AM770" s="215"/>
      <c r="AN770" s="215"/>
      <c r="AO770" s="215"/>
      <c r="AP770" s="215"/>
      <c r="AQ770" s="213"/>
      <c r="AR770" s="210"/>
      <c r="AS770" s="210"/>
      <c r="AT770" s="210"/>
      <c r="AU770" s="214"/>
      <c r="AV770" s="215"/>
      <c r="AW770" s="215"/>
      <c r="AX770" s="215"/>
      <c r="AY770" s="215"/>
      <c r="AZ770" s="213"/>
      <c r="BA770" s="210"/>
      <c r="BB770" s="210"/>
      <c r="BC770" s="210"/>
      <c r="BD770" s="214"/>
      <c r="BE770" s="215"/>
      <c r="BF770" s="215"/>
      <c r="BG770" s="215"/>
      <c r="BH770" s="215"/>
      <c r="BI770" s="213"/>
      <c r="BJ770" s="210"/>
      <c r="BK770" s="210"/>
      <c r="BL770" s="210"/>
      <c r="BM770" s="214"/>
      <c r="BN770" s="215"/>
      <c r="BO770" s="215"/>
      <c r="BP770" s="215"/>
      <c r="BQ770" s="215"/>
      <c r="BR770" s="177"/>
      <c r="BS770" s="210"/>
      <c r="BT770" s="210"/>
      <c r="BU770" s="210"/>
      <c r="BV770" s="213"/>
      <c r="BW770" s="215"/>
      <c r="BX770" s="215"/>
      <c r="BY770" s="215"/>
      <c r="BZ770" s="215"/>
      <c r="CA770" s="210"/>
      <c r="CB770" s="216"/>
      <c r="CC770" s="216"/>
      <c r="CD770" s="216"/>
      <c r="CE770" s="216"/>
      <c r="CF770" s="215"/>
      <c r="CG770" s="215"/>
      <c r="CH770" s="215"/>
      <c r="CI770" s="215"/>
      <c r="CJ770" s="210"/>
      <c r="CK770" s="210"/>
      <c r="CL770" s="210"/>
      <c r="CM770" s="210"/>
      <c r="CN770" s="210"/>
      <c r="CO770" s="215"/>
      <c r="CP770" s="215"/>
      <c r="CQ770" s="215"/>
      <c r="CR770" s="215"/>
      <c r="CS770" s="210"/>
      <c r="CT770" s="210"/>
      <c r="CU770" s="210"/>
      <c r="CV770" s="217"/>
      <c r="CW770" s="218"/>
    </row>
    <row r="771" spans="1:101" ht="14.25" thickTop="1" thickBot="1" x14ac:dyDescent="0.25">
      <c r="A771" s="218"/>
      <c r="B771" s="218"/>
      <c r="C771" s="218"/>
      <c r="D771" s="218"/>
      <c r="E771" s="218"/>
      <c r="F771" s="218"/>
      <c r="G771" s="218"/>
      <c r="H771" s="218"/>
      <c r="I771" s="218"/>
      <c r="J771" s="218"/>
      <c r="K771" s="218"/>
      <c r="L771" s="218"/>
      <c r="M771" s="218"/>
      <c r="N771" s="218"/>
      <c r="O771" s="218"/>
      <c r="P771" s="218"/>
      <c r="Q771" s="218"/>
      <c r="R771" s="218"/>
      <c r="S771" s="218"/>
      <c r="T771" s="218"/>
      <c r="U771" s="218"/>
      <c r="V771" s="218"/>
      <c r="W771" s="218"/>
      <c r="X771" s="218"/>
      <c r="Y771" s="218"/>
      <c r="Z771" s="218"/>
      <c r="AA771" s="218"/>
      <c r="AB771" s="218"/>
      <c r="AC771" s="218"/>
      <c r="AD771" s="218"/>
      <c r="AE771" s="218"/>
      <c r="AF771" s="218"/>
      <c r="AG771" s="218"/>
      <c r="AH771" s="218"/>
      <c r="AI771" s="218"/>
      <c r="AJ771" s="218"/>
      <c r="AK771" s="218"/>
      <c r="AL771" s="218"/>
      <c r="AM771" s="218"/>
      <c r="AN771" s="218"/>
      <c r="AO771" s="218"/>
      <c r="AP771" s="218"/>
      <c r="AQ771" s="218"/>
      <c r="AR771" s="218"/>
      <c r="AS771" s="218"/>
      <c r="AT771" s="218"/>
      <c r="AU771" s="218"/>
      <c r="AV771" s="218"/>
      <c r="AW771" s="218"/>
      <c r="AX771" s="218"/>
      <c r="AY771" s="218"/>
      <c r="AZ771" s="218"/>
      <c r="BA771" s="218"/>
      <c r="BB771" s="218"/>
      <c r="BC771" s="218"/>
      <c r="BD771" s="218"/>
      <c r="BE771" s="218"/>
      <c r="BF771" s="218"/>
      <c r="BG771" s="218"/>
      <c r="BH771" s="218"/>
      <c r="BI771" s="218"/>
      <c r="BJ771" s="218"/>
      <c r="BK771" s="218"/>
      <c r="BL771" s="218"/>
      <c r="BM771" s="218"/>
      <c r="BN771" s="218"/>
      <c r="BO771" s="218"/>
      <c r="BP771" s="218"/>
      <c r="BQ771" s="218"/>
      <c r="BR771" s="218"/>
      <c r="BS771" s="218"/>
      <c r="BT771" s="218"/>
      <c r="BU771" s="218"/>
      <c r="BV771" s="218"/>
      <c r="BW771" s="218"/>
      <c r="BX771" s="218"/>
      <c r="BY771" s="218"/>
      <c r="BZ771" s="218"/>
      <c r="CA771" s="218"/>
      <c r="CB771" s="392"/>
      <c r="CC771" s="392"/>
      <c r="CD771" s="392"/>
      <c r="CE771" s="392"/>
      <c r="CF771" s="218"/>
      <c r="CG771" s="218"/>
      <c r="CH771" s="218"/>
      <c r="CI771" s="218"/>
      <c r="CJ771" s="218"/>
      <c r="CK771" s="218"/>
      <c r="CL771" s="218"/>
      <c r="CM771" s="218"/>
      <c r="CN771" s="218"/>
      <c r="CO771" s="218"/>
      <c r="CP771" s="218"/>
      <c r="CQ771" s="218"/>
      <c r="CR771" s="218"/>
      <c r="CS771" s="218"/>
      <c r="CT771" s="218"/>
      <c r="CU771" s="218"/>
      <c r="CV771" s="218"/>
      <c r="CW771" s="218"/>
    </row>
    <row r="772" spans="1:101" ht="21" thickTop="1" x14ac:dyDescent="0.3">
      <c r="A772" s="219"/>
      <c r="B772" s="219"/>
      <c r="C772" s="157"/>
      <c r="D772" s="158"/>
      <c r="E772" s="731" t="s">
        <v>44</v>
      </c>
      <c r="F772" s="229"/>
      <c r="G772" s="229"/>
      <c r="H772" s="229"/>
      <c r="I772" s="877" t="e" vm="1">
        <v>#VALUE!</v>
      </c>
      <c r="J772" s="877"/>
      <c r="K772" s="877"/>
      <c r="L772" s="877"/>
      <c r="M772" s="159"/>
      <c r="N772" s="159"/>
      <c r="O772" s="159"/>
      <c r="P772" s="160"/>
      <c r="Q772" s="159"/>
      <c r="R772" s="159"/>
      <c r="S772" s="159"/>
      <c r="T772" s="161"/>
      <c r="U772" s="162"/>
      <c r="V772" s="162"/>
      <c r="W772" s="162"/>
      <c r="X772" s="162"/>
      <c r="Y772" s="160"/>
      <c r="Z772" s="159"/>
      <c r="AA772" s="159"/>
      <c r="AB772" s="159"/>
      <c r="AC772" s="161"/>
      <c r="AD772" s="162"/>
      <c r="AE772" s="162"/>
      <c r="AF772" s="162"/>
      <c r="AG772" s="162"/>
      <c r="AH772" s="160"/>
      <c r="AI772" s="159"/>
      <c r="AJ772" s="201"/>
      <c r="AK772" s="201"/>
      <c r="AL772" s="164"/>
      <c r="AM772" s="162"/>
      <c r="AN772" s="162"/>
      <c r="AO772" s="162"/>
      <c r="AP772" s="162"/>
      <c r="AQ772" s="202"/>
      <c r="AR772" s="203"/>
      <c r="AS772" s="165"/>
      <c r="AT772" s="166"/>
      <c r="AU772" s="164"/>
      <c r="AV772" s="162"/>
      <c r="AW772" s="162"/>
      <c r="AX772" s="162"/>
      <c r="AY772" s="162"/>
      <c r="AZ772" s="202"/>
      <c r="BA772" s="203"/>
      <c r="BB772" s="166"/>
      <c r="BC772" s="201"/>
      <c r="BD772" s="204"/>
      <c r="BE772" s="162"/>
      <c r="BF772" s="162"/>
      <c r="BG772" s="162"/>
      <c r="BH772" s="162"/>
      <c r="BI772" s="205"/>
      <c r="BJ772" s="201"/>
      <c r="BK772" s="201"/>
      <c r="BL772" s="201"/>
      <c r="BM772" s="204"/>
      <c r="BN772" s="162"/>
      <c r="BO772" s="162"/>
      <c r="BP772" s="162"/>
      <c r="BQ772" s="162"/>
      <c r="BR772" s="167"/>
      <c r="BS772" s="201"/>
      <c r="BT772" s="201"/>
      <c r="BU772" s="201"/>
      <c r="BV772" s="205"/>
      <c r="BW772" s="162"/>
      <c r="BX772" s="162"/>
      <c r="BY772" s="162"/>
      <c r="BZ772" s="162"/>
      <c r="CA772" s="201"/>
      <c r="CB772" s="393"/>
      <c r="CC772" s="393"/>
      <c r="CD772" s="393"/>
      <c r="CE772" s="393"/>
      <c r="CF772" s="162"/>
      <c r="CG772" s="162"/>
      <c r="CH772" s="162"/>
      <c r="CI772" s="162"/>
      <c r="CJ772" s="163"/>
      <c r="CK772" s="163"/>
      <c r="CL772" s="163"/>
      <c r="CM772" s="163"/>
      <c r="CN772" s="163"/>
      <c r="CO772" s="162"/>
      <c r="CP772" s="162"/>
      <c r="CQ772" s="162"/>
      <c r="CR772" s="162"/>
      <c r="CS772" s="163"/>
      <c r="CT772" s="358"/>
      <c r="CU772" s="201"/>
      <c r="CV772" s="206"/>
      <c r="CW772" s="218"/>
    </row>
    <row r="773" spans="1:101" ht="15.75" thickBot="1" x14ac:dyDescent="0.25">
      <c r="A773" s="219"/>
      <c r="B773" s="219"/>
      <c r="C773" s="168"/>
      <c r="D773" s="785"/>
      <c r="E773" s="869" t="s">
        <v>45</v>
      </c>
      <c r="F773" s="363"/>
      <c r="G773" s="363"/>
      <c r="H773" s="363"/>
      <c r="I773" s="878"/>
      <c r="J773" s="878"/>
      <c r="K773" s="878"/>
      <c r="L773" s="878"/>
      <c r="M773" s="363"/>
      <c r="N773" s="363"/>
      <c r="O773" s="363"/>
      <c r="P773" s="363"/>
      <c r="Q773" s="363"/>
      <c r="R773" s="363"/>
      <c r="S773" s="363"/>
      <c r="T773" s="363"/>
      <c r="U773" s="363"/>
      <c r="V773" s="363"/>
      <c r="W773" s="363"/>
      <c r="X773" s="363"/>
      <c r="Y773" s="363"/>
      <c r="Z773" s="363"/>
      <c r="AA773" s="363"/>
      <c r="AB773" s="363"/>
      <c r="AC773" s="363"/>
      <c r="AD773" s="363"/>
      <c r="AE773" s="363"/>
      <c r="AF773" s="363"/>
      <c r="AG773" s="363"/>
      <c r="AH773" s="363"/>
      <c r="AI773" s="363"/>
      <c r="AJ773" s="363"/>
      <c r="AK773" s="363"/>
      <c r="AL773" s="363"/>
      <c r="AM773" s="363"/>
      <c r="AN773" s="363"/>
      <c r="AO773" s="363"/>
      <c r="AP773" s="363"/>
      <c r="AQ773" s="363"/>
      <c r="AR773" s="363"/>
      <c r="AS773" s="363"/>
      <c r="AT773" s="363"/>
      <c r="AU773" s="363"/>
      <c r="AV773" s="363"/>
      <c r="AW773" s="363"/>
      <c r="AX773" s="363"/>
      <c r="AY773" s="363"/>
      <c r="AZ773" s="363"/>
      <c r="BA773" s="363"/>
      <c r="BB773" s="363"/>
      <c r="BC773" s="363"/>
      <c r="BD773" s="363"/>
      <c r="BE773" s="363"/>
      <c r="BF773" s="363"/>
      <c r="BG773" s="363"/>
      <c r="BH773" s="363"/>
      <c r="BI773" s="363"/>
      <c r="BJ773" s="363"/>
      <c r="BK773" s="363"/>
      <c r="BL773" s="363"/>
      <c r="BM773" s="363"/>
      <c r="BN773" s="363"/>
      <c r="BO773" s="363"/>
      <c r="BP773" s="363"/>
      <c r="BQ773" s="363"/>
      <c r="BR773" s="363"/>
      <c r="BS773" s="363"/>
      <c r="BT773" s="363"/>
      <c r="BU773" s="363"/>
      <c r="BV773" s="363"/>
      <c r="BW773" s="363"/>
      <c r="BX773" s="363"/>
      <c r="BY773" s="363"/>
      <c r="BZ773" s="363"/>
      <c r="CA773" s="363"/>
      <c r="CB773" s="394"/>
      <c r="CC773" s="394"/>
      <c r="CD773" s="394"/>
      <c r="CE773" s="394"/>
      <c r="CF773" s="363"/>
      <c r="CG773" s="363"/>
      <c r="CH773" s="363"/>
      <c r="CI773" s="363"/>
      <c r="CJ773" s="363"/>
      <c r="CK773" s="363"/>
      <c r="CL773" s="363"/>
      <c r="CM773" s="363"/>
      <c r="CN773" s="323"/>
      <c r="CO773" s="363"/>
      <c r="CP773" s="363"/>
      <c r="CQ773" s="363"/>
      <c r="CR773" s="363"/>
      <c r="CS773" s="323"/>
      <c r="CT773" s="155"/>
      <c r="CU773" s="269"/>
      <c r="CV773" s="209"/>
      <c r="CW773" s="218"/>
    </row>
    <row r="774" spans="1:101" ht="18.75" thickTop="1" x14ac:dyDescent="0.2">
      <c r="A774" s="219"/>
      <c r="B774" s="219"/>
      <c r="C774" s="174"/>
      <c r="D774" s="778"/>
      <c r="E774" s="777"/>
      <c r="F774" s="235"/>
      <c r="G774" s="234"/>
      <c r="H774" s="234"/>
      <c r="I774" s="875">
        <f>WEEKNUM(E775)</f>
        <v>16</v>
      </c>
      <c r="J774" s="875"/>
      <c r="K774" s="875"/>
      <c r="L774" s="250"/>
      <c r="M774" s="261"/>
      <c r="N774" s="205"/>
      <c r="O774" s="236"/>
      <c r="P774" s="236"/>
      <c r="Q774" s="675" t="str">
        <f>IF($F778="","",SUM(Q790:S790)-S776)</f>
        <v/>
      </c>
      <c r="R774" s="675"/>
      <c r="S774" s="675"/>
      <c r="T774" s="237"/>
      <c r="U774" s="238"/>
      <c r="V774" s="238"/>
      <c r="W774" s="238"/>
      <c r="X774" s="238"/>
      <c r="Y774" s="236"/>
      <c r="Z774" s="675" t="str">
        <f>IF($F778="","",SUM(Z790:AB790)-AB776)</f>
        <v/>
      </c>
      <c r="AA774" s="675"/>
      <c r="AB774" s="675"/>
      <c r="AC774" s="237"/>
      <c r="AD774" s="238"/>
      <c r="AE774" s="238"/>
      <c r="AF774" s="238"/>
      <c r="AG774" s="238"/>
      <c r="AH774" s="236"/>
      <c r="AI774" s="675" t="str">
        <f>IF($F778="","",SUM(AI790:AK790)-AK776)</f>
        <v/>
      </c>
      <c r="AJ774" s="675"/>
      <c r="AK774" s="675"/>
      <c r="AL774" s="237"/>
      <c r="AM774" s="238"/>
      <c r="AN774" s="238"/>
      <c r="AO774" s="238"/>
      <c r="AP774" s="238"/>
      <c r="AQ774" s="236"/>
      <c r="AR774" s="675" t="str">
        <f>IF($F778="","",SUM(AR790:AT790)-AT776)</f>
        <v/>
      </c>
      <c r="AS774" s="675"/>
      <c r="AT774" s="675"/>
      <c r="AU774" s="239"/>
      <c r="AV774" s="238"/>
      <c r="AW774" s="238"/>
      <c r="AX774" s="238"/>
      <c r="AY774" s="238"/>
      <c r="AZ774" s="240"/>
      <c r="BA774" s="675" t="str">
        <f>IF($F778="","",SUM(BA790:BC790)-BC776)</f>
        <v/>
      </c>
      <c r="BB774" s="675"/>
      <c r="BC774" s="675"/>
      <c r="BD774" s="239"/>
      <c r="BE774" s="238"/>
      <c r="BF774" s="238"/>
      <c r="BG774" s="238"/>
      <c r="BH774" s="238"/>
      <c r="BI774" s="240"/>
      <c r="BJ774" s="675" t="str">
        <f>IF($F778="","",SUM(BJ790:BL790)-BL776)</f>
        <v/>
      </c>
      <c r="BK774" s="675"/>
      <c r="BL774" s="675"/>
      <c r="BM774" s="239"/>
      <c r="BN774" s="238"/>
      <c r="BO774" s="238"/>
      <c r="BP774" s="238"/>
      <c r="BQ774" s="238"/>
      <c r="BR774" s="241"/>
      <c r="BS774" s="675" t="str">
        <f>IF($F778="","",SUM(BS790:BU790)-BU776)</f>
        <v/>
      </c>
      <c r="BT774" s="675"/>
      <c r="BU774" s="675"/>
      <c r="BV774" s="240"/>
      <c r="BW774" s="238"/>
      <c r="BX774" s="238"/>
      <c r="BY774" s="238"/>
      <c r="BZ774" s="238"/>
      <c r="CA774" s="241"/>
      <c r="CB774" s="675" t="str">
        <f>IF($F778="","",SUM(CB790:CD790)-CD776)</f>
        <v/>
      </c>
      <c r="CC774" s="675"/>
      <c r="CD774" s="675"/>
      <c r="CE774" s="240"/>
      <c r="CF774" s="238"/>
      <c r="CG774" s="238"/>
      <c r="CH774" s="238"/>
      <c r="CI774" s="238"/>
      <c r="CJ774" s="234"/>
      <c r="CK774" s="675" t="str">
        <f>IF($F778="","",SUM(CK790:CM790))</f>
        <v/>
      </c>
      <c r="CL774" s="675"/>
      <c r="CM774" s="675"/>
      <c r="CN774" s="240"/>
      <c r="CO774" s="238"/>
      <c r="CP774" s="238"/>
      <c r="CQ774" s="238"/>
      <c r="CR774" s="238"/>
      <c r="CS774" s="234"/>
      <c r="CT774" s="234"/>
      <c r="CU774" s="251"/>
      <c r="CV774" s="209"/>
      <c r="CW774" s="218"/>
    </row>
    <row r="775" spans="1:101" x14ac:dyDescent="0.2">
      <c r="A775" s="219"/>
      <c r="B775" s="219"/>
      <c r="C775" s="174"/>
      <c r="D775" s="779"/>
      <c r="E775" s="543">
        <f>E753+7</f>
        <v>46494</v>
      </c>
      <c r="F775" s="178"/>
      <c r="G775" s="179"/>
      <c r="H775" s="179"/>
      <c r="I775" s="876"/>
      <c r="J775" s="876"/>
      <c r="K775" s="876"/>
      <c r="L775" s="254"/>
      <c r="M775" s="329"/>
      <c r="N775" s="208"/>
      <c r="O775" s="180"/>
      <c r="P775" s="180"/>
      <c r="Q775" s="584" t="str">
        <f>IF(Q774="","",Q774/Data!$X$1)</f>
        <v/>
      </c>
      <c r="R775" s="584"/>
      <c r="S775" s="585" t="str">
        <f>IF(SUM(X778:X789)=0,"",SUM(X778:X789))</f>
        <v/>
      </c>
      <c r="T775" s="181"/>
      <c r="U775" s="182"/>
      <c r="V775" s="182"/>
      <c r="W775" s="182"/>
      <c r="X775" s="182"/>
      <c r="Y775" s="180"/>
      <c r="Z775" s="584" t="str">
        <f>IF(Z774="","",Z774/Data!$X$1)</f>
        <v/>
      </c>
      <c r="AA775" s="584"/>
      <c r="AB775" s="585" t="str">
        <f>IF(SUM(AG778:AG789)=0,"",SUM(AG778:AG789))</f>
        <v/>
      </c>
      <c r="AC775" s="181"/>
      <c r="AD775" s="182"/>
      <c r="AE775" s="182"/>
      <c r="AF775" s="182"/>
      <c r="AG775" s="182"/>
      <c r="AH775" s="180"/>
      <c r="AI775" s="584" t="str">
        <f>IF(AI774="","",AI774/Data!$X$1)</f>
        <v/>
      </c>
      <c r="AJ775" s="584"/>
      <c r="AK775" s="585" t="str">
        <f>IF(SUM(AP778:AP789)=0,"",SUM(AP778:AP789))</f>
        <v/>
      </c>
      <c r="AL775" s="181"/>
      <c r="AM775" s="182"/>
      <c r="AN775" s="182"/>
      <c r="AO775" s="182"/>
      <c r="AP775" s="182"/>
      <c r="AQ775" s="180"/>
      <c r="AR775" s="584" t="str">
        <f>IF(AR774="","",AR774/Data!$X$1)</f>
        <v/>
      </c>
      <c r="AS775" s="584"/>
      <c r="AT775" s="585" t="str">
        <f>IF(SUM(AY778:AY789)=0,"",SUM(AY778:AY789))</f>
        <v/>
      </c>
      <c r="AU775" s="183"/>
      <c r="AV775" s="182"/>
      <c r="AW775" s="182"/>
      <c r="AX775" s="182"/>
      <c r="AY775" s="182"/>
      <c r="AZ775" s="184"/>
      <c r="BA775" s="584" t="str">
        <f>IF(BA774="","",BA774/Data!$X$1)</f>
        <v/>
      </c>
      <c r="BB775" s="584"/>
      <c r="BC775" s="585" t="str">
        <f>IF(SUM(BH778:BH789)=0,"",SUM(BH778:BH789))</f>
        <v/>
      </c>
      <c r="BD775" s="183"/>
      <c r="BE775" s="182"/>
      <c r="BF775" s="182"/>
      <c r="BG775" s="182"/>
      <c r="BH775" s="182"/>
      <c r="BI775" s="184"/>
      <c r="BJ775" s="584" t="str">
        <f>IF(BJ774="","",BJ774/Data!$X$1)</f>
        <v/>
      </c>
      <c r="BK775" s="584"/>
      <c r="BL775" s="585" t="str">
        <f>IF(SUM(BQ778:BQ789)=0,"",SUM(BQ778:BQ789))</f>
        <v/>
      </c>
      <c r="BM775" s="183"/>
      <c r="BN775" s="182"/>
      <c r="BO775" s="182"/>
      <c r="BP775" s="182"/>
      <c r="BQ775" s="182"/>
      <c r="BR775" s="185"/>
      <c r="BS775" s="584" t="str">
        <f>IF(BS774="","",BS774/Data!$X$1)</f>
        <v/>
      </c>
      <c r="BT775" s="584"/>
      <c r="BU775" s="585" t="str">
        <f>IF(SUM(BZ778:BZ789)=0,"",SUM(BZ778:BZ789))</f>
        <v/>
      </c>
      <c r="BV775" s="184"/>
      <c r="BW775" s="182"/>
      <c r="BX775" s="182"/>
      <c r="BY775" s="182"/>
      <c r="BZ775" s="182"/>
      <c r="CA775" s="185"/>
      <c r="CB775" s="584" t="str">
        <f>IF(CB774="","",CB774/Data!$X$1)</f>
        <v/>
      </c>
      <c r="CC775" s="584"/>
      <c r="CD775" s="585" t="str">
        <f>IF(SUM(CI778:CI789)=0,"",SUM(CI778:CI789))</f>
        <v/>
      </c>
      <c r="CE775" s="184"/>
      <c r="CF775" s="182"/>
      <c r="CG775" s="182"/>
      <c r="CH775" s="182"/>
      <c r="CI775" s="182"/>
      <c r="CJ775" s="182"/>
      <c r="CK775" s="584" t="str">
        <f>IF(CK774="","",CK774/Data!$X$1)</f>
        <v/>
      </c>
      <c r="CL775" s="584"/>
      <c r="CM775" s="585" t="str">
        <f>IF(SUM(CR778:CR789)=0,"",SUM(CR778:CR789))</f>
        <v/>
      </c>
      <c r="CN775" s="184"/>
      <c r="CO775" s="182"/>
      <c r="CP775" s="182"/>
      <c r="CQ775" s="182"/>
      <c r="CR775" s="182"/>
      <c r="CS775" s="182"/>
      <c r="CT775" s="182"/>
      <c r="CU775" s="255"/>
      <c r="CV775" s="209"/>
      <c r="CW775" s="218"/>
    </row>
    <row r="776" spans="1:101" ht="13.5" thickBot="1" x14ac:dyDescent="0.25">
      <c r="A776" s="219"/>
      <c r="B776" s="219"/>
      <c r="C776" s="174"/>
      <c r="D776" s="230"/>
      <c r="E776" s="359"/>
      <c r="F776" s="186"/>
      <c r="G776" s="187"/>
      <c r="H776" s="187"/>
      <c r="I776" s="673"/>
      <c r="J776" s="674"/>
      <c r="K776" s="674"/>
      <c r="L776" s="256"/>
      <c r="M776" s="330"/>
      <c r="N776" s="334"/>
      <c r="O776" s="187"/>
      <c r="P776" s="187"/>
      <c r="Q776" s="342" t="str">
        <f>Data!$E$11</f>
        <v>AHH</v>
      </c>
      <c r="R776" s="343" t="str">
        <f>IF($F789="","",RANK(Q774,$Q774:$CL774))</f>
        <v/>
      </c>
      <c r="S776" s="466"/>
      <c r="T776" s="181"/>
      <c r="U776" s="182"/>
      <c r="V776" s="182"/>
      <c r="W776" s="182"/>
      <c r="X776" s="197">
        <f>COUNTIF(U778:W789,"&gt;0")</f>
        <v>0</v>
      </c>
      <c r="Y776" s="180"/>
      <c r="Z776" s="342" t="str">
        <f>Data!$E$12</f>
        <v>RB</v>
      </c>
      <c r="AA776" s="343" t="str">
        <f>IF($F789="","",RANK(Z774,$Q774:$CL774))</f>
        <v/>
      </c>
      <c r="AB776" s="466"/>
      <c r="AC776" s="181"/>
      <c r="AD776" s="182"/>
      <c r="AE776" s="182"/>
      <c r="AF776" s="182"/>
      <c r="AG776" s="197">
        <f>COUNTIF(AD778:AF789,"&gt;0")</f>
        <v>0</v>
      </c>
      <c r="AH776" s="180"/>
      <c r="AI776" s="342" t="str">
        <f>Data!$E$13</f>
        <v>EB</v>
      </c>
      <c r="AJ776" s="343" t="str">
        <f>IF($F789="","",RANK(AI774,$Q774:$CL774))</f>
        <v/>
      </c>
      <c r="AK776" s="466"/>
      <c r="AL776" s="181"/>
      <c r="AM776" s="182"/>
      <c r="AN776" s="182"/>
      <c r="AO776" s="182"/>
      <c r="AP776" s="197">
        <f>COUNTIF(AM778:AO789,"&gt;0")</f>
        <v>0</v>
      </c>
      <c r="AQ776" s="180"/>
      <c r="AR776" s="305" t="str">
        <f>Data!$E$14</f>
        <v>KAF</v>
      </c>
      <c r="AS776" s="343" t="str">
        <f>IF($F789="","",RANK(AR774,$Q774:$CL774))</f>
        <v/>
      </c>
      <c r="AT776" s="466"/>
      <c r="AU776" s="181"/>
      <c r="AV776" s="182"/>
      <c r="AW776" s="182"/>
      <c r="AX776" s="182"/>
      <c r="AY776" s="197">
        <f>COUNTIF(AV778:AX789,"&gt;0")</f>
        <v>0</v>
      </c>
      <c r="AZ776" s="180"/>
      <c r="BA776" s="305" t="str">
        <f>Data!$E$15</f>
        <v>ØG</v>
      </c>
      <c r="BB776" s="343" t="str">
        <f>IF($F789="","",RANK(BA774,$Q774:$CL774))</f>
        <v/>
      </c>
      <c r="BC776" s="466"/>
      <c r="BD776" s="181"/>
      <c r="BE776" s="182"/>
      <c r="BF776" s="182"/>
      <c r="BG776" s="182"/>
      <c r="BH776" s="197">
        <f>COUNTIF(BE778:BG789,"&gt;0")</f>
        <v>0</v>
      </c>
      <c r="BI776" s="180"/>
      <c r="BJ776" s="305" t="str">
        <f>Data!$E$16</f>
        <v>JH</v>
      </c>
      <c r="BK776" s="343" t="str">
        <f>IF($F789="","",RANK(BJ774,$Q774:$CL774))</f>
        <v/>
      </c>
      <c r="BL776" s="466"/>
      <c r="BM776" s="181"/>
      <c r="BN776" s="182"/>
      <c r="BO776" s="182"/>
      <c r="BP776" s="182"/>
      <c r="BQ776" s="197">
        <f>COUNTIF(BN778:BP789,"&gt;0")</f>
        <v>0</v>
      </c>
      <c r="BR776" s="188"/>
      <c r="BS776" s="305" t="str">
        <f>Data!$E$17</f>
        <v>TOH</v>
      </c>
      <c r="BT776" s="343" t="str">
        <f>IF($F789="","",RANK(BS774,$Q774:$CL774))</f>
        <v/>
      </c>
      <c r="BU776" s="466"/>
      <c r="BV776" s="180"/>
      <c r="BW776" s="182"/>
      <c r="BX776" s="182"/>
      <c r="BY776" s="182"/>
      <c r="BZ776" s="197">
        <f>COUNTIF(BW778:BY789,"&gt;0")</f>
        <v>0</v>
      </c>
      <c r="CA776" s="188"/>
      <c r="CB776" s="305" t="s">
        <v>26</v>
      </c>
      <c r="CC776" s="343" t="str">
        <f>IF($F789="","",RANK(CB774,$Q774:$CM774))</f>
        <v/>
      </c>
      <c r="CD776" s="467"/>
      <c r="CE776" s="180"/>
      <c r="CF776" s="182"/>
      <c r="CG776" s="182"/>
      <c r="CH776" s="182"/>
      <c r="CI776" s="197">
        <f>COUNTIF(CF778:CH789,"&gt;0")</f>
        <v>0</v>
      </c>
      <c r="CJ776" s="182"/>
      <c r="CK776" s="305" t="s">
        <v>27</v>
      </c>
      <c r="CL776" s="343" t="str">
        <f>IF($F789="","",RANK(CK774,$Q774:$CM774))</f>
        <v/>
      </c>
      <c r="CM776" s="669"/>
      <c r="CN776" s="180"/>
      <c r="CO776" s="182"/>
      <c r="CP776" s="182"/>
      <c r="CQ776" s="182"/>
      <c r="CR776" s="197">
        <f>COUNTIF(CO778:CQ789,"&gt;0")</f>
        <v>0</v>
      </c>
      <c r="CS776" s="182"/>
      <c r="CT776" s="182"/>
      <c r="CU776" s="255"/>
      <c r="CV776" s="209"/>
      <c r="CW776" s="218"/>
    </row>
    <row r="777" spans="1:101" ht="13.5" thickBot="1" x14ac:dyDescent="0.25">
      <c r="A777" s="227"/>
      <c r="B777" s="227"/>
      <c r="C777" s="168"/>
      <c r="D777" s="231"/>
      <c r="E777" s="189"/>
      <c r="F777" s="190"/>
      <c r="G777" s="191"/>
      <c r="H777" s="191"/>
      <c r="I777" s="192" t="s">
        <v>47</v>
      </c>
      <c r="J777" s="193" t="s">
        <v>48</v>
      </c>
      <c r="K777" s="194" t="s">
        <v>49</v>
      </c>
      <c r="L777" s="257"/>
      <c r="M777" s="331"/>
      <c r="N777" s="335"/>
      <c r="O777" s="195"/>
      <c r="P777" s="195"/>
      <c r="Q777" s="192" t="s">
        <v>47</v>
      </c>
      <c r="R777" s="193" t="s">
        <v>48</v>
      </c>
      <c r="S777" s="194" t="s">
        <v>49</v>
      </c>
      <c r="T777" s="196"/>
      <c r="U777" s="197"/>
      <c r="V777" s="197"/>
      <c r="W777" s="197"/>
      <c r="X777" s="197"/>
      <c r="Y777" s="195"/>
      <c r="Z777" s="192" t="s">
        <v>47</v>
      </c>
      <c r="AA777" s="193" t="s">
        <v>48</v>
      </c>
      <c r="AB777" s="194" t="s">
        <v>49</v>
      </c>
      <c r="AC777" s="196"/>
      <c r="AD777" s="197"/>
      <c r="AE777" s="197"/>
      <c r="AF777" s="197"/>
      <c r="AG777" s="197"/>
      <c r="AH777" s="195"/>
      <c r="AI777" s="192" t="s">
        <v>47</v>
      </c>
      <c r="AJ777" s="193" t="s">
        <v>48</v>
      </c>
      <c r="AK777" s="194" t="s">
        <v>49</v>
      </c>
      <c r="AL777" s="196"/>
      <c r="AM777" s="197"/>
      <c r="AN777" s="197"/>
      <c r="AO777" s="197"/>
      <c r="AP777" s="197"/>
      <c r="AQ777" s="195"/>
      <c r="AR777" s="192" t="s">
        <v>47</v>
      </c>
      <c r="AS777" s="193" t="s">
        <v>48</v>
      </c>
      <c r="AT777" s="194" t="s">
        <v>49</v>
      </c>
      <c r="AU777" s="196"/>
      <c r="AV777" s="197"/>
      <c r="AW777" s="197"/>
      <c r="AX777" s="197"/>
      <c r="AY777" s="197"/>
      <c r="AZ777" s="195"/>
      <c r="BA777" s="192" t="s">
        <v>47</v>
      </c>
      <c r="BB777" s="193" t="s">
        <v>48</v>
      </c>
      <c r="BC777" s="194" t="s">
        <v>49</v>
      </c>
      <c r="BD777" s="196"/>
      <c r="BE777" s="197"/>
      <c r="BF777" s="197"/>
      <c r="BG777" s="197"/>
      <c r="BH777" s="197"/>
      <c r="BI777" s="195"/>
      <c r="BJ777" s="192" t="s">
        <v>47</v>
      </c>
      <c r="BK777" s="193" t="s">
        <v>48</v>
      </c>
      <c r="BL777" s="194" t="s">
        <v>49</v>
      </c>
      <c r="BM777" s="196"/>
      <c r="BN777" s="197"/>
      <c r="BO777" s="197"/>
      <c r="BP777" s="197"/>
      <c r="BQ777" s="197"/>
      <c r="BR777" s="195"/>
      <c r="BS777" s="192" t="s">
        <v>47</v>
      </c>
      <c r="BT777" s="193" t="s">
        <v>48</v>
      </c>
      <c r="BU777" s="194" t="s">
        <v>49</v>
      </c>
      <c r="BV777" s="196"/>
      <c r="BW777" s="197"/>
      <c r="BX777" s="197"/>
      <c r="BY777" s="197"/>
      <c r="BZ777" s="197"/>
      <c r="CA777" s="195"/>
      <c r="CB777" s="192" t="s">
        <v>47</v>
      </c>
      <c r="CC777" s="193" t="s">
        <v>48</v>
      </c>
      <c r="CD777" s="194" t="s">
        <v>49</v>
      </c>
      <c r="CE777" s="196"/>
      <c r="CF777" s="197"/>
      <c r="CG777" s="197"/>
      <c r="CH777" s="197"/>
      <c r="CI777" s="197"/>
      <c r="CJ777" s="197"/>
      <c r="CK777" s="192" t="s">
        <v>47</v>
      </c>
      <c r="CL777" s="193" t="s">
        <v>48</v>
      </c>
      <c r="CM777" s="194" t="s">
        <v>49</v>
      </c>
      <c r="CN777" s="196"/>
      <c r="CO777" s="197"/>
      <c r="CP777" s="197"/>
      <c r="CQ777" s="197"/>
      <c r="CR777" s="197"/>
      <c r="CS777" s="197"/>
      <c r="CT777" s="198"/>
      <c r="CU777" s="255"/>
      <c r="CV777" s="209"/>
      <c r="CW777" s="228"/>
    </row>
    <row r="778" spans="1:101" x14ac:dyDescent="0.2">
      <c r="A778" s="227"/>
      <c r="B778" s="227"/>
      <c r="C778" s="168"/>
      <c r="D778" s="232"/>
      <c r="E778" s="134"/>
      <c r="F778" s="424"/>
      <c r="G778" s="428" t="s">
        <v>51</v>
      </c>
      <c r="H778" s="429"/>
      <c r="I778" s="138" t="str">
        <f t="shared" ref="I778:I789" si="1151">IF($F778&gt;$H778,"x","")</f>
        <v/>
      </c>
      <c r="J778" s="344" t="str">
        <f t="shared" ref="J778:J789" si="1152">IF(F778&lt;&gt;"",IF(H778&lt;&gt;"",IF(F778=H778,"x",""),""),"")</f>
        <v/>
      </c>
      <c r="K778" s="345" t="str">
        <f t="shared" ref="K778:K789" si="1153">IF($F778&lt;$H778,"x","")</f>
        <v/>
      </c>
      <c r="L778" s="258"/>
      <c r="M778" s="332"/>
      <c r="N778" s="336"/>
      <c r="O778" s="200"/>
      <c r="P778" s="200"/>
      <c r="Q778" s="436"/>
      <c r="R778" s="437"/>
      <c r="S778" s="438" t="str">
        <f t="shared" ref="S778:S789" si="1154">IF(Q778="","",100-SUM(Q778:R778))</f>
        <v/>
      </c>
      <c r="T778" s="328"/>
      <c r="U778" s="197" t="str">
        <f>IF(AND($I778="x",AND(MAX(Q778:S778)=Q778,Q778&gt;=0)),Data!$BI$2,"")</f>
        <v/>
      </c>
      <c r="V778" s="197" t="str">
        <f>IF(AND($J778="x",AND(MAX(Q778:S778)=R778,R778&gt;=0)),Data!$BJ$2,"")</f>
        <v/>
      </c>
      <c r="W778" s="197" t="str">
        <f>IF(AND($K778="x",AND(MAX(Q778:S778)=S778,S778&gt;=0)),Data!$BK$2,"")</f>
        <v/>
      </c>
      <c r="X778" s="197"/>
      <c r="Y778" s="328"/>
      <c r="Z778" s="451"/>
      <c r="AA778" s="452"/>
      <c r="AB778" s="438" t="str">
        <f t="shared" ref="AB778:AB789" si="1155">IF(Z778="","",100-SUM(Z778:AA778))</f>
        <v/>
      </c>
      <c r="AC778" s="328"/>
      <c r="AD778" s="197" t="str">
        <f>IF(AND($I778="x",AND(MAX(Z778:AB778)=Z778,Z778&lt;&gt;"")),Data!$BI$2,"")</f>
        <v/>
      </c>
      <c r="AE778" s="197" t="str">
        <f>IF(AND($J778="x",AND(MAX(Z778:AB778)=AA778,AA778&lt;&gt;"")),Data!$BJ$2,"")</f>
        <v/>
      </c>
      <c r="AF778" s="197" t="str">
        <f>IF(AND($K778="x",AND(MAX(Z778:AB778)=AB778,AB778&lt;&gt;"")),Data!$BK$2,"")</f>
        <v/>
      </c>
      <c r="AG778" s="197"/>
      <c r="AH778" s="328"/>
      <c r="AI778" s="451"/>
      <c r="AJ778" s="452"/>
      <c r="AK778" s="438" t="str">
        <f t="shared" ref="AK778:AK789" si="1156">IF(AI778="","",100-SUM(AI778:AJ778))</f>
        <v/>
      </c>
      <c r="AL778" s="328"/>
      <c r="AM778" s="197" t="str">
        <f>IF(AND($I778="x",AND(MAX(AI778:AK778)=AI778,AI778&lt;&gt;"")),Data!$BI$2,"")</f>
        <v/>
      </c>
      <c r="AN778" s="197" t="str">
        <f>IF(AND($J778="x",AND(MAX(AI778:AK778)=AJ778,AJ778&lt;&gt;"")),Data!$BJ$2,"")</f>
        <v/>
      </c>
      <c r="AO778" s="197" t="str">
        <f>IF(AND($K778="x",AND(MAX(AI778:AK778)=AK778,AK778&lt;&gt;"")),Data!$BK$2,"")</f>
        <v/>
      </c>
      <c r="AP778" s="197"/>
      <c r="AQ778" s="328"/>
      <c r="AR778" s="451"/>
      <c r="AS778" s="452"/>
      <c r="AT778" s="438" t="str">
        <f t="shared" ref="AT778:AT789" si="1157">IF(AR778="","",100-SUM(AR778:AS778))</f>
        <v/>
      </c>
      <c r="AU778" s="328"/>
      <c r="AV778" s="197" t="str">
        <f>IF(AND($I778="x",AND(MAX(AR778:AT778)=AR778,AR778&lt;&gt;"")),Data!$BI$2,"")</f>
        <v/>
      </c>
      <c r="AW778" s="197" t="str">
        <f>IF(AND($J778="x",AND(MAX(AR778:AT778)=AS778,AS778&lt;&gt;"")),Data!$BJ$2,"")</f>
        <v/>
      </c>
      <c r="AX778" s="197" t="str">
        <f>IF(AND($K778="x",AND(MAX(AR778:AT778)=AT778,AT778&lt;&gt;"")),Data!$BK$2,"")</f>
        <v/>
      </c>
      <c r="AY778" s="197"/>
      <c r="AZ778" s="328"/>
      <c r="BA778" s="451"/>
      <c r="BB778" s="452"/>
      <c r="BC778" s="438" t="str">
        <f t="shared" ref="BC778:BC789" si="1158">IF(BA778="","",100-SUM(BA778:BB778))</f>
        <v/>
      </c>
      <c r="BD778" s="328"/>
      <c r="BE778" s="197" t="str">
        <f>IF(AND($I778="x",AND(MAX(BA778:BC778)=BA778,BA778&lt;&gt;"")),Data!$BI$2,"")</f>
        <v/>
      </c>
      <c r="BF778" s="197" t="str">
        <f>IF(AND($J778="x",AND(MAX(BA778:BC778)=BB778,BB778&lt;&gt;"")),Data!$BJ$2,"")</f>
        <v/>
      </c>
      <c r="BG778" s="197" t="str">
        <f>IF(AND($K778="x",AND(MAX(BA778:BC778)=BC778,BC778&lt;&gt;"")),Data!$BK$2,"")</f>
        <v/>
      </c>
      <c r="BH778" s="197"/>
      <c r="BI778" s="328"/>
      <c r="BJ778" s="451"/>
      <c r="BK778" s="452"/>
      <c r="BL778" s="438" t="str">
        <f t="shared" ref="BL778:BL789" si="1159">IF(BJ778="","",100-SUM(BJ778:BK778))</f>
        <v/>
      </c>
      <c r="BM778" s="328"/>
      <c r="BN778" s="197" t="str">
        <f>IF(AND($I778="x",AND(MAX(BJ778:BL778)=BJ778,BJ778&lt;&gt;"")),Data!$BI$2,"")</f>
        <v/>
      </c>
      <c r="BO778" s="197" t="str">
        <f>IF(AND($J778="x",AND(MAX(BJ778:BL778)=BK778,BK778&lt;&gt;"")),Data!$BJ$2,"")</f>
        <v/>
      </c>
      <c r="BP778" s="197" t="str">
        <f>IF(AND($K778="x",AND(MAX(BJ778:BL778)=BL778,BL778&lt;&gt;"")),Data!$BK$2,"")</f>
        <v/>
      </c>
      <c r="BQ778" s="197"/>
      <c r="BR778" s="328"/>
      <c r="BS778" s="451"/>
      <c r="BT778" s="452"/>
      <c r="BU778" s="438" t="str">
        <f t="shared" ref="BU778:BU789" si="1160">IF(BS778="","",100-SUM(BS778:BT778))</f>
        <v/>
      </c>
      <c r="BV778" s="328"/>
      <c r="BW778" s="197" t="str">
        <f>IF(AND($I778="x",AND(MAX(BS778:BU778)=BS778,BS778&lt;&gt;"")),Data!$BI$2,"")</f>
        <v/>
      </c>
      <c r="BX778" s="197" t="str">
        <f>IF(AND($J778="x",AND(MAX(BS778:BU778)=BT778,BT778&lt;&gt;"")),Data!$BJ$2,"")</f>
        <v/>
      </c>
      <c r="BY778" s="197" t="str">
        <f>IF(AND($K778="x",AND(MAX(BS778:BU778)=BU778,BU778&lt;&gt;"")),Data!$BK$2,"")</f>
        <v/>
      </c>
      <c r="BZ778" s="197"/>
      <c r="CA778" s="328"/>
      <c r="CB778" s="457" t="str">
        <f t="shared" ref="CB778:CB789" si="1161">IFERROR(ROUNDUP((SUM(Q778,Z778,AI778,AR778,BA778,BJ778,BS778)/SUM($Q778:$S778,$Z778:$AB778,$AI778:$AK778,$AR778:$AT778,$BA778:$BC778,$BJ778:$BL778,$BS778:$BU778))*100,-1),"")</f>
        <v/>
      </c>
      <c r="CC778" s="458" t="str">
        <f t="shared" ref="CC778:CC789" si="1162">IFERROR(ROUNDDOWN((SUM(R778,AA778,AJ778,AS778,BB778,BK778,BT778)/SUM($Q778:$S778,$Z778:$AB778,$AI778:$AK778,$AR778:$AT778,$BA778:$BC778,$BJ778:$BL778,$BS778:$BU778))*100,-1),"")</f>
        <v/>
      </c>
      <c r="CD778" s="459" t="str">
        <f t="shared" ref="CD778:CD789" si="1163">IF(CB778="","",100-SUM(CB778:CC778))</f>
        <v/>
      </c>
      <c r="CE778" s="328"/>
      <c r="CF778" s="197" t="str">
        <f>IF(AND($I778="x",AND(MAX(CB778:CD778)=CB778,CB778&lt;&gt;"")),Data!$BI$2,"")</f>
        <v/>
      </c>
      <c r="CG778" s="197" t="str">
        <f>IF(AND($J778="x",AND(MAX(CB778:CD778)=CC778,CC778&lt;&gt;"")),Data!$BJ$2,"")</f>
        <v/>
      </c>
      <c r="CH778" s="197" t="str">
        <f>IF(AND($K778="x",AND(MAX(CB778:CD778)=CD778,CD778&lt;&gt;"")),Data!$BK$2,"")</f>
        <v/>
      </c>
      <c r="CI778" s="197"/>
      <c r="CJ778" s="197"/>
      <c r="CK778" s="451"/>
      <c r="CL778" s="452"/>
      <c r="CM778" s="438" t="str">
        <f t="shared" ref="CM778:CM789" si="1164">IF(CK778="","",100-SUM(CK778:CL778))</f>
        <v/>
      </c>
      <c r="CN778" s="328"/>
      <c r="CO778" s="197" t="str">
        <f>IF(AND($I778="x",AND(MAX(CK778:CM778)=CK778,CK778&lt;&gt;"")),Data!$BI$2,"")</f>
        <v/>
      </c>
      <c r="CP778" s="197" t="str">
        <f>IF(AND($J778="x",AND(MAX(CK778:CM778)=CL778,CL778&lt;&gt;"")),Data!$BJ$2,"")</f>
        <v/>
      </c>
      <c r="CQ778" s="197" t="str">
        <f>IF(AND($K778="x",AND(MAX(CK778:CM778)=CM778,CM778&lt;&gt;"")),Data!$BK$2,"")</f>
        <v/>
      </c>
      <c r="CR778" s="197"/>
      <c r="CS778" s="197"/>
      <c r="CT778" s="328"/>
      <c r="CU778" s="255"/>
      <c r="CV778" s="209"/>
      <c r="CW778" s="227"/>
    </row>
    <row r="779" spans="1:101" x14ac:dyDescent="0.2">
      <c r="A779" s="227"/>
      <c r="B779" s="227"/>
      <c r="C779" s="168"/>
      <c r="D779" s="232"/>
      <c r="E779" s="135"/>
      <c r="F779" s="425"/>
      <c r="G779" s="430" t="s">
        <v>51</v>
      </c>
      <c r="H779" s="431"/>
      <c r="I779" s="346" t="str">
        <f t="shared" si="1151"/>
        <v/>
      </c>
      <c r="J779" s="347" t="str">
        <f t="shared" si="1152"/>
        <v/>
      </c>
      <c r="K779" s="348" t="str">
        <f t="shared" si="1153"/>
        <v/>
      </c>
      <c r="L779" s="258"/>
      <c r="M779" s="332"/>
      <c r="N779" s="336"/>
      <c r="O779" s="200"/>
      <c r="P779" s="200"/>
      <c r="Q779" s="439"/>
      <c r="R779" s="440"/>
      <c r="S779" s="441" t="str">
        <f t="shared" si="1154"/>
        <v/>
      </c>
      <c r="T779" s="328"/>
      <c r="U779" s="197" t="str">
        <f>IF(AND($I779="x",AND(MAX(Q779:S779)=Q779,Q779&gt;=0)),Data!$BI$2,"")</f>
        <v/>
      </c>
      <c r="V779" s="197" t="str">
        <f>IF(AND($J779="x",AND(MAX(Q779:S779)=R779,R779&gt;=0)),Data!$BJ$2,"")</f>
        <v/>
      </c>
      <c r="W779" s="197" t="str">
        <f>IF(AND($K779="x",AND(MAX(Q779:S779)=S779,S779&gt;=0)),Data!$BK$2,"")</f>
        <v/>
      </c>
      <c r="X779" s="197"/>
      <c r="Y779" s="328"/>
      <c r="Z779" s="453"/>
      <c r="AA779" s="454"/>
      <c r="AB779" s="441" t="str">
        <f t="shared" si="1155"/>
        <v/>
      </c>
      <c r="AC779" s="328"/>
      <c r="AD779" s="197" t="str">
        <f>IF(AND($I779="x",AND(MAX(Z779:AB779)=Z779,Z779&lt;&gt;"")),Data!$BI$2,"")</f>
        <v/>
      </c>
      <c r="AE779" s="197" t="str">
        <f>IF(AND($J779="x",AND(MAX(Z779:AB779)=AA779,AA779&lt;&gt;"")),Data!$BJ$2,"")</f>
        <v/>
      </c>
      <c r="AF779" s="197" t="str">
        <f>IF(AND($K779="x",AND(MAX(Z779:AB779)=AB779,AB779&lt;&gt;"")),Data!$BK$2,"")</f>
        <v/>
      </c>
      <c r="AG779" s="197"/>
      <c r="AH779" s="328"/>
      <c r="AI779" s="453"/>
      <c r="AJ779" s="454"/>
      <c r="AK779" s="441" t="str">
        <f t="shared" si="1156"/>
        <v/>
      </c>
      <c r="AL779" s="328"/>
      <c r="AM779" s="197" t="str">
        <f>IF(AND($I779="x",AND(MAX(AI779:AK779)=AI779,AI779&lt;&gt;"")),Data!$BI$2,"")</f>
        <v/>
      </c>
      <c r="AN779" s="197" t="str">
        <f>IF(AND($J779="x",AND(MAX(AI779:AK779)=AJ779,AJ779&lt;&gt;"")),Data!$BJ$2,"")</f>
        <v/>
      </c>
      <c r="AO779" s="197" t="str">
        <f>IF(AND($K779="x",AND(MAX(AI779:AK779)=AK779,AK779&lt;&gt;"")),Data!$BK$2,"")</f>
        <v/>
      </c>
      <c r="AP779" s="197"/>
      <c r="AQ779" s="328"/>
      <c r="AR779" s="453"/>
      <c r="AS779" s="454"/>
      <c r="AT779" s="441" t="str">
        <f t="shared" si="1157"/>
        <v/>
      </c>
      <c r="AU779" s="328"/>
      <c r="AV779" s="197" t="str">
        <f>IF(AND($I779="x",AND(MAX(AR779:AT779)=AR779,AR779&lt;&gt;"")),Data!$BI$2,"")</f>
        <v/>
      </c>
      <c r="AW779" s="197" t="str">
        <f>IF(AND($J779="x",AND(MAX(AR779:AT779)=AS779,AS779&lt;&gt;"")),Data!$BJ$2,"")</f>
        <v/>
      </c>
      <c r="AX779" s="197" t="str">
        <f>IF(AND($K779="x",AND(MAX(AR779:AT779)=AT779,AT779&lt;&gt;"")),Data!$BK$2,"")</f>
        <v/>
      </c>
      <c r="AY779" s="197"/>
      <c r="AZ779" s="328"/>
      <c r="BA779" s="453"/>
      <c r="BB779" s="454"/>
      <c r="BC779" s="441" t="str">
        <f t="shared" si="1158"/>
        <v/>
      </c>
      <c r="BD779" s="328"/>
      <c r="BE779" s="197" t="str">
        <f>IF(AND($I779="x",AND(MAX(BA779:BC779)=BA779,BA779&lt;&gt;"")),Data!$BI$2,"")</f>
        <v/>
      </c>
      <c r="BF779" s="197" t="str">
        <f>IF(AND($J779="x",AND(MAX(BA779:BC779)=BB779,BB779&lt;&gt;"")),Data!$BJ$2,"")</f>
        <v/>
      </c>
      <c r="BG779" s="197" t="str">
        <f>IF(AND($K779="x",AND(MAX(BA779:BC779)=BC779,BC779&lt;&gt;"")),Data!$BK$2,"")</f>
        <v/>
      </c>
      <c r="BH779" s="197"/>
      <c r="BI779" s="328"/>
      <c r="BJ779" s="453"/>
      <c r="BK779" s="454"/>
      <c r="BL779" s="441" t="str">
        <f t="shared" si="1159"/>
        <v/>
      </c>
      <c r="BM779" s="328"/>
      <c r="BN779" s="197" t="str">
        <f>IF(AND($I779="x",AND(MAX(BJ779:BL779)=BJ779,BJ779&lt;&gt;"")),Data!$BI$2,"")</f>
        <v/>
      </c>
      <c r="BO779" s="197" t="str">
        <f>IF(AND($J779="x",AND(MAX(BJ779:BL779)=BK779,BK779&lt;&gt;"")),Data!$BJ$2,"")</f>
        <v/>
      </c>
      <c r="BP779" s="197" t="str">
        <f>IF(AND($K779="x",AND(MAX(BJ779:BL779)=BL779,BL779&lt;&gt;"")),Data!$BK$2,"")</f>
        <v/>
      </c>
      <c r="BQ779" s="197"/>
      <c r="BR779" s="328"/>
      <c r="BS779" s="453"/>
      <c r="BT779" s="454"/>
      <c r="BU779" s="441" t="str">
        <f t="shared" si="1160"/>
        <v/>
      </c>
      <c r="BV779" s="328"/>
      <c r="BW779" s="197" t="str">
        <f>IF(AND($I779="x",AND(MAX(BS779:BU779)=BS779,BS779&lt;&gt;"")),Data!$BI$2,"")</f>
        <v/>
      </c>
      <c r="BX779" s="197" t="str">
        <f>IF(AND($J779="x",AND(MAX(BS779:BU779)=BT779,BT779&lt;&gt;"")),Data!$BJ$2,"")</f>
        <v/>
      </c>
      <c r="BY779" s="197" t="str">
        <f>IF(AND($K779="x",AND(MAX(BS779:BU779)=BU779,BU779&lt;&gt;"")),Data!$BK$2,"")</f>
        <v/>
      </c>
      <c r="BZ779" s="197"/>
      <c r="CA779" s="328"/>
      <c r="CB779" s="460" t="str">
        <f t="shared" si="1161"/>
        <v/>
      </c>
      <c r="CC779" s="461" t="str">
        <f t="shared" si="1162"/>
        <v/>
      </c>
      <c r="CD779" s="462" t="str">
        <f t="shared" si="1163"/>
        <v/>
      </c>
      <c r="CE779" s="328"/>
      <c r="CF779" s="197" t="str">
        <f>IF(AND($I779="x",AND(MAX(CB779:CD779)=CB779,CB779&lt;&gt;"")),Data!$BI$2,"")</f>
        <v/>
      </c>
      <c r="CG779" s="197" t="str">
        <f>IF(AND($J779="x",AND(MAX(CB779:CD779)=CC779,CC779&lt;&gt;"")),Data!$BJ$2,"")</f>
        <v/>
      </c>
      <c r="CH779" s="197" t="str">
        <f>IF(AND($K779="x",AND(MAX(CB779:CD779)=CD779,CD779&lt;&gt;"")),Data!$BK$2,"")</f>
        <v/>
      </c>
      <c r="CI779" s="197"/>
      <c r="CJ779" s="197"/>
      <c r="CK779" s="453"/>
      <c r="CL779" s="454"/>
      <c r="CM779" s="441" t="str">
        <f t="shared" si="1164"/>
        <v/>
      </c>
      <c r="CN779" s="328"/>
      <c r="CO779" s="197" t="str">
        <f>IF(AND($I779="x",AND(MAX(CK779:CM779)=CK779,CK779&lt;&gt;"")),Data!$BI$2,"")</f>
        <v/>
      </c>
      <c r="CP779" s="197" t="str">
        <f>IF(AND($J779="x",AND(MAX(CK779:CM779)=CL779,CL779&lt;&gt;"")),Data!$BJ$2,"")</f>
        <v/>
      </c>
      <c r="CQ779" s="197" t="str">
        <f>IF(AND($K779="x",AND(MAX(CK779:CM779)=CM779,CM779&lt;&gt;"")),Data!$BK$2,"")</f>
        <v/>
      </c>
      <c r="CR779" s="197"/>
      <c r="CS779" s="197"/>
      <c r="CT779" s="328"/>
      <c r="CU779" s="255"/>
      <c r="CV779" s="209"/>
      <c r="CW779" s="227"/>
    </row>
    <row r="780" spans="1:101" x14ac:dyDescent="0.2">
      <c r="A780" s="227"/>
      <c r="B780" s="227"/>
      <c r="C780" s="168"/>
      <c r="D780" s="232"/>
      <c r="E780" s="136"/>
      <c r="F780" s="426"/>
      <c r="G780" s="432" t="s">
        <v>51</v>
      </c>
      <c r="H780" s="433"/>
      <c r="I780" s="349" t="str">
        <f t="shared" si="1151"/>
        <v/>
      </c>
      <c r="J780" s="350" t="str">
        <f t="shared" si="1152"/>
        <v/>
      </c>
      <c r="K780" s="351" t="str">
        <f t="shared" si="1153"/>
        <v/>
      </c>
      <c r="L780" s="258"/>
      <c r="M780" s="332"/>
      <c r="N780" s="336"/>
      <c r="O780" s="200"/>
      <c r="P780" s="200"/>
      <c r="Q780" s="442"/>
      <c r="R780" s="443"/>
      <c r="S780" s="444" t="str">
        <f t="shared" si="1154"/>
        <v/>
      </c>
      <c r="T780" s="328"/>
      <c r="U780" s="197" t="str">
        <f>IF(AND($I780="x",AND(MAX(Q780:S780)=Q780,Q780&gt;=0)),Data!$BI$2,"")</f>
        <v/>
      </c>
      <c r="V780" s="197" t="str">
        <f>IF(AND($J780="x",AND(MAX(Q780:S780)=R780,R780&gt;=0)),Data!$BJ$2,"")</f>
        <v/>
      </c>
      <c r="W780" s="197" t="str">
        <f>IF(AND($K780="x",AND(MAX(Q780:S780)=S780,S780&gt;=0)),Data!$BK$2,"")</f>
        <v/>
      </c>
      <c r="X780" s="197"/>
      <c r="Y780" s="328"/>
      <c r="Z780" s="455"/>
      <c r="AA780" s="456"/>
      <c r="AB780" s="444" t="str">
        <f t="shared" si="1155"/>
        <v/>
      </c>
      <c r="AC780" s="328"/>
      <c r="AD780" s="197" t="str">
        <f>IF(AND($I780="x",AND(MAX(Z780:AB780)=Z780,Z780&lt;&gt;"")),Data!$BI$2,"")</f>
        <v/>
      </c>
      <c r="AE780" s="197" t="str">
        <f>IF(AND($J780="x",AND(MAX(Z780:AB780)=AA780,AA780&lt;&gt;"")),Data!$BJ$2,"")</f>
        <v/>
      </c>
      <c r="AF780" s="197" t="str">
        <f>IF(AND($K780="x",AND(MAX(Z780:AB780)=AB780,AB780&lt;&gt;"")),Data!$BK$2,"")</f>
        <v/>
      </c>
      <c r="AG780" s="197"/>
      <c r="AH780" s="328"/>
      <c r="AI780" s="455"/>
      <c r="AJ780" s="456"/>
      <c r="AK780" s="444" t="str">
        <f t="shared" si="1156"/>
        <v/>
      </c>
      <c r="AL780" s="328"/>
      <c r="AM780" s="197" t="str">
        <f>IF(AND($I780="x",AND(MAX(AI780:AK780)=AI780,AI780&lt;&gt;"")),Data!$BI$2,"")</f>
        <v/>
      </c>
      <c r="AN780" s="197" t="str">
        <f>IF(AND($J780="x",AND(MAX(AI780:AK780)=AJ780,AJ780&lt;&gt;"")),Data!$BJ$2,"")</f>
        <v/>
      </c>
      <c r="AO780" s="197" t="str">
        <f>IF(AND($K780="x",AND(MAX(AI780:AK780)=AK780,AK780&lt;&gt;"")),Data!$BK$2,"")</f>
        <v/>
      </c>
      <c r="AP780" s="197"/>
      <c r="AQ780" s="328"/>
      <c r="AR780" s="455"/>
      <c r="AS780" s="456"/>
      <c r="AT780" s="444" t="str">
        <f t="shared" si="1157"/>
        <v/>
      </c>
      <c r="AU780" s="328"/>
      <c r="AV780" s="197" t="str">
        <f>IF(AND($I780="x",AND(MAX(AR780:AT780)=AR780,AR780&lt;&gt;"")),Data!$BI$2,"")</f>
        <v/>
      </c>
      <c r="AW780" s="197" t="str">
        <f>IF(AND($J780="x",AND(MAX(AR780:AT780)=AS780,AS780&lt;&gt;"")),Data!$BJ$2,"")</f>
        <v/>
      </c>
      <c r="AX780" s="197" t="str">
        <f>IF(AND($K780="x",AND(MAX(AR780:AT780)=AT780,AT780&lt;&gt;"")),Data!$BK$2,"")</f>
        <v/>
      </c>
      <c r="AY780" s="197"/>
      <c r="AZ780" s="328"/>
      <c r="BA780" s="455"/>
      <c r="BB780" s="456"/>
      <c r="BC780" s="444" t="str">
        <f t="shared" si="1158"/>
        <v/>
      </c>
      <c r="BD780" s="328"/>
      <c r="BE780" s="197" t="str">
        <f>IF(AND($I780="x",AND(MAX(BA780:BC780)=BA780,BA780&lt;&gt;"")),Data!$BI$2,"")</f>
        <v/>
      </c>
      <c r="BF780" s="197" t="str">
        <f>IF(AND($J780="x",AND(MAX(BA780:BC780)=BB780,BB780&lt;&gt;"")),Data!$BJ$2,"")</f>
        <v/>
      </c>
      <c r="BG780" s="197" t="str">
        <f>IF(AND($K780="x",AND(MAX(BA780:BC780)=BC780,BC780&lt;&gt;"")),Data!$BK$2,"")</f>
        <v/>
      </c>
      <c r="BH780" s="197"/>
      <c r="BI780" s="328"/>
      <c r="BJ780" s="455"/>
      <c r="BK780" s="456"/>
      <c r="BL780" s="444" t="str">
        <f t="shared" si="1159"/>
        <v/>
      </c>
      <c r="BM780" s="328"/>
      <c r="BN780" s="197" t="str">
        <f>IF(AND($I780="x",AND(MAX(BJ780:BL780)=BJ780,BJ780&lt;&gt;"")),Data!$BI$2,"")</f>
        <v/>
      </c>
      <c r="BO780" s="197" t="str">
        <f>IF(AND($J780="x",AND(MAX(BJ780:BL780)=BK780,BK780&lt;&gt;"")),Data!$BJ$2,"")</f>
        <v/>
      </c>
      <c r="BP780" s="197" t="str">
        <f>IF(AND($K780="x",AND(MAX(BJ780:BL780)=BL780,BL780&lt;&gt;"")),Data!$BK$2,"")</f>
        <v/>
      </c>
      <c r="BQ780" s="197"/>
      <c r="BR780" s="328"/>
      <c r="BS780" s="455"/>
      <c r="BT780" s="456"/>
      <c r="BU780" s="444" t="str">
        <f t="shared" si="1160"/>
        <v/>
      </c>
      <c r="BV780" s="328"/>
      <c r="BW780" s="197" t="str">
        <f>IF(AND($I780="x",AND(MAX(BS780:BU780)=BS780,BS780&lt;&gt;"")),Data!$BI$2,"")</f>
        <v/>
      </c>
      <c r="BX780" s="197" t="str">
        <f>IF(AND($J780="x",AND(MAX(BS780:BU780)=BT780,BT780&lt;&gt;"")),Data!$BJ$2,"")</f>
        <v/>
      </c>
      <c r="BY780" s="197" t="str">
        <f>IF(AND($K780="x",AND(MAX(BS780:BU780)=BU780,BU780&lt;&gt;"")),Data!$BK$2,"")</f>
        <v/>
      </c>
      <c r="BZ780" s="197"/>
      <c r="CA780" s="328"/>
      <c r="CB780" s="463" t="str">
        <f t="shared" si="1161"/>
        <v/>
      </c>
      <c r="CC780" s="464" t="str">
        <f t="shared" si="1162"/>
        <v/>
      </c>
      <c r="CD780" s="465" t="str">
        <f t="shared" si="1163"/>
        <v/>
      </c>
      <c r="CE780" s="328"/>
      <c r="CF780" s="197" t="str">
        <f>IF(AND($I780="x",AND(MAX(CB780:CD780)=CB780,CB780&lt;&gt;"")),Data!$BI$2,"")</f>
        <v/>
      </c>
      <c r="CG780" s="197" t="str">
        <f>IF(AND($J780="x",AND(MAX(CB780:CD780)=CC780,CC780&lt;&gt;"")),Data!$BJ$2,"")</f>
        <v/>
      </c>
      <c r="CH780" s="197" t="str">
        <f>IF(AND($K780="x",AND(MAX(CB780:CD780)=CD780,CD780&lt;&gt;"")),Data!$BK$2,"")</f>
        <v/>
      </c>
      <c r="CI780" s="197"/>
      <c r="CJ780" s="197"/>
      <c r="CK780" s="455"/>
      <c r="CL780" s="456"/>
      <c r="CM780" s="444" t="str">
        <f t="shared" si="1164"/>
        <v/>
      </c>
      <c r="CN780" s="328"/>
      <c r="CO780" s="197" t="str">
        <f>IF(AND($I780="x",AND(MAX(CK780:CM780)=CK780,CK780&lt;&gt;"")),Data!$BI$2,"")</f>
        <v/>
      </c>
      <c r="CP780" s="197" t="str">
        <f>IF(AND($J780="x",AND(MAX(CK780:CM780)=CL780,CL780&lt;&gt;"")),Data!$BJ$2,"")</f>
        <v/>
      </c>
      <c r="CQ780" s="197" t="str">
        <f>IF(AND($K780="x",AND(MAX(CK780:CM780)=CM780,CM780&lt;&gt;"")),Data!$BK$2,"")</f>
        <v/>
      </c>
      <c r="CR780" s="197"/>
      <c r="CS780" s="197"/>
      <c r="CT780" s="328"/>
      <c r="CU780" s="255"/>
      <c r="CV780" s="209"/>
      <c r="CW780" s="227"/>
    </row>
    <row r="781" spans="1:101" x14ac:dyDescent="0.2">
      <c r="A781" s="227"/>
      <c r="B781" s="227"/>
      <c r="C781" s="168"/>
      <c r="D781" s="232"/>
      <c r="E781" s="134"/>
      <c r="F781" s="424"/>
      <c r="G781" s="428" t="s">
        <v>51</v>
      </c>
      <c r="H781" s="429"/>
      <c r="I781" s="138" t="str">
        <f t="shared" si="1151"/>
        <v/>
      </c>
      <c r="J781" s="344" t="str">
        <f t="shared" si="1152"/>
        <v/>
      </c>
      <c r="K781" s="345" t="str">
        <f t="shared" si="1153"/>
        <v/>
      </c>
      <c r="L781" s="258"/>
      <c r="M781" s="332"/>
      <c r="N781" s="336"/>
      <c r="O781" s="200"/>
      <c r="P781" s="200"/>
      <c r="Q781" s="436"/>
      <c r="R781" s="437"/>
      <c r="S781" s="438" t="str">
        <f t="shared" si="1154"/>
        <v/>
      </c>
      <c r="T781" s="328"/>
      <c r="U781" s="197" t="str">
        <f>IF(AND($I781="x",AND(MAX(Q781:S781)=Q781,Q781&gt;=0)),Data!$BI$2,"")</f>
        <v/>
      </c>
      <c r="V781" s="197" t="str">
        <f>IF(AND($J781="x",AND(MAX(Q781:S781)=R781,R781&gt;=0)),Data!$BJ$2,"")</f>
        <v/>
      </c>
      <c r="W781" s="197" t="str">
        <f>IF(AND($K781="x",AND(MAX(Q781:S781)=S781,S781&gt;=0)),Data!$BK$2,"")</f>
        <v/>
      </c>
      <c r="X781" s="197"/>
      <c r="Y781" s="328"/>
      <c r="Z781" s="451"/>
      <c r="AA781" s="452"/>
      <c r="AB781" s="438" t="str">
        <f t="shared" si="1155"/>
        <v/>
      </c>
      <c r="AC781" s="328"/>
      <c r="AD781" s="197" t="str">
        <f>IF(AND($I781="x",AND(MAX(Z781:AB781)=Z781,Z781&lt;&gt;"")),Data!$BI$2,"")</f>
        <v/>
      </c>
      <c r="AE781" s="197" t="str">
        <f>IF(AND($J781="x",AND(MAX(Z781:AB781)=AA781,AA781&lt;&gt;"")),Data!$BJ$2,"")</f>
        <v/>
      </c>
      <c r="AF781" s="197" t="str">
        <f>IF(AND($K781="x",AND(MAX(Z781:AB781)=AB781,AB781&lt;&gt;"")),Data!$BK$2,"")</f>
        <v/>
      </c>
      <c r="AG781" s="197"/>
      <c r="AH781" s="328"/>
      <c r="AI781" s="451"/>
      <c r="AJ781" s="452"/>
      <c r="AK781" s="438" t="str">
        <f t="shared" si="1156"/>
        <v/>
      </c>
      <c r="AL781" s="328"/>
      <c r="AM781" s="197" t="str">
        <f>IF(AND($I781="x",AND(MAX(AI781:AK781)=AI781,AI781&lt;&gt;"")),Data!$BI$2,"")</f>
        <v/>
      </c>
      <c r="AN781" s="197" t="str">
        <f>IF(AND($J781="x",AND(MAX(AI781:AK781)=AJ781,AJ781&lt;&gt;"")),Data!$BJ$2,"")</f>
        <v/>
      </c>
      <c r="AO781" s="197" t="str">
        <f>IF(AND($K781="x",AND(MAX(AI781:AK781)=AK781,AK781&lt;&gt;"")),Data!$BK$2,"")</f>
        <v/>
      </c>
      <c r="AP781" s="197"/>
      <c r="AQ781" s="328"/>
      <c r="AR781" s="451"/>
      <c r="AS781" s="452"/>
      <c r="AT781" s="438" t="str">
        <f t="shared" si="1157"/>
        <v/>
      </c>
      <c r="AU781" s="328"/>
      <c r="AV781" s="197" t="str">
        <f>IF(AND($I781="x",AND(MAX(AR781:AT781)=AR781,AR781&lt;&gt;"")),Data!$BI$2,"")</f>
        <v/>
      </c>
      <c r="AW781" s="197" t="str">
        <f>IF(AND($J781="x",AND(MAX(AR781:AT781)=AS781,AS781&lt;&gt;"")),Data!$BJ$2,"")</f>
        <v/>
      </c>
      <c r="AX781" s="197" t="str">
        <f>IF(AND($K781="x",AND(MAX(AR781:AT781)=AT781,AT781&lt;&gt;"")),Data!$BK$2,"")</f>
        <v/>
      </c>
      <c r="AY781" s="197"/>
      <c r="AZ781" s="328"/>
      <c r="BA781" s="451"/>
      <c r="BB781" s="452"/>
      <c r="BC781" s="438" t="str">
        <f t="shared" si="1158"/>
        <v/>
      </c>
      <c r="BD781" s="328"/>
      <c r="BE781" s="197" t="str">
        <f>IF(AND($I781="x",AND(MAX(BA781:BC781)=BA781,BA781&lt;&gt;"")),Data!$BI$2,"")</f>
        <v/>
      </c>
      <c r="BF781" s="197" t="str">
        <f>IF(AND($J781="x",AND(MAX(BA781:BC781)=BB781,BB781&lt;&gt;"")),Data!$BJ$2,"")</f>
        <v/>
      </c>
      <c r="BG781" s="197" t="str">
        <f>IF(AND($K781="x",AND(MAX(BA781:BC781)=BC781,BC781&lt;&gt;"")),Data!$BK$2,"")</f>
        <v/>
      </c>
      <c r="BH781" s="197"/>
      <c r="BI781" s="328"/>
      <c r="BJ781" s="451"/>
      <c r="BK781" s="452"/>
      <c r="BL781" s="438" t="str">
        <f t="shared" si="1159"/>
        <v/>
      </c>
      <c r="BM781" s="328"/>
      <c r="BN781" s="197" t="str">
        <f>IF(AND($I781="x",AND(MAX(BJ781:BL781)=BJ781,BJ781&lt;&gt;"")),Data!$BI$2,"")</f>
        <v/>
      </c>
      <c r="BO781" s="197" t="str">
        <f>IF(AND($J781="x",AND(MAX(BJ781:BL781)=BK781,BK781&lt;&gt;"")),Data!$BJ$2,"")</f>
        <v/>
      </c>
      <c r="BP781" s="197" t="str">
        <f>IF(AND($K781="x",AND(MAX(BJ781:BL781)=BL781,BL781&lt;&gt;"")),Data!$BK$2,"")</f>
        <v/>
      </c>
      <c r="BQ781" s="197"/>
      <c r="BR781" s="328"/>
      <c r="BS781" s="451"/>
      <c r="BT781" s="452"/>
      <c r="BU781" s="438" t="str">
        <f t="shared" si="1160"/>
        <v/>
      </c>
      <c r="BV781" s="328"/>
      <c r="BW781" s="197" t="str">
        <f>IF(AND($I781="x",AND(MAX(BS781:BU781)=BS781,BS781&lt;&gt;"")),Data!$BI$2,"")</f>
        <v/>
      </c>
      <c r="BX781" s="197" t="str">
        <f>IF(AND($J781="x",AND(MAX(BS781:BU781)=BT781,BT781&lt;&gt;"")),Data!$BJ$2,"")</f>
        <v/>
      </c>
      <c r="BY781" s="197" t="str">
        <f>IF(AND($K781="x",AND(MAX(BS781:BU781)=BU781,BU781&lt;&gt;"")),Data!$BK$2,"")</f>
        <v/>
      </c>
      <c r="BZ781" s="197"/>
      <c r="CA781" s="328"/>
      <c r="CB781" s="457" t="str">
        <f t="shared" si="1161"/>
        <v/>
      </c>
      <c r="CC781" s="458" t="str">
        <f t="shared" si="1162"/>
        <v/>
      </c>
      <c r="CD781" s="459" t="str">
        <f t="shared" si="1163"/>
        <v/>
      </c>
      <c r="CE781" s="328"/>
      <c r="CF781" s="197" t="str">
        <f>IF(AND($I781="x",AND(MAX(CB781:CD781)=CB781,CB781&lt;&gt;"")),Data!$BI$2,"")</f>
        <v/>
      </c>
      <c r="CG781" s="197" t="str">
        <f>IF(AND($J781="x",AND(MAX(CB781:CD781)=CC781,CC781&lt;&gt;"")),Data!$BJ$2,"")</f>
        <v/>
      </c>
      <c r="CH781" s="197" t="str">
        <f>IF(AND($K781="x",AND(MAX(CB781:CD781)=CD781,CD781&lt;&gt;"")),Data!$BK$2,"")</f>
        <v/>
      </c>
      <c r="CI781" s="197"/>
      <c r="CJ781" s="197"/>
      <c r="CK781" s="451"/>
      <c r="CL781" s="452"/>
      <c r="CM781" s="438" t="str">
        <f t="shared" si="1164"/>
        <v/>
      </c>
      <c r="CN781" s="328"/>
      <c r="CO781" s="197" t="str">
        <f>IF(AND($I781="x",AND(MAX(CK781:CM781)=CK781,CK781&lt;&gt;"")),Data!$BI$2,"")</f>
        <v/>
      </c>
      <c r="CP781" s="197" t="str">
        <f>IF(AND($J781="x",AND(MAX(CK781:CM781)=CL781,CL781&lt;&gt;"")),Data!$BJ$2,"")</f>
        <v/>
      </c>
      <c r="CQ781" s="197" t="str">
        <f>IF(AND($K781="x",AND(MAX(CK781:CM781)=CM781,CM781&lt;&gt;"")),Data!$BK$2,"")</f>
        <v/>
      </c>
      <c r="CR781" s="197"/>
      <c r="CS781" s="197"/>
      <c r="CT781" s="328"/>
      <c r="CU781" s="255"/>
      <c r="CV781" s="209"/>
      <c r="CW781" s="227"/>
    </row>
    <row r="782" spans="1:101" x14ac:dyDescent="0.2">
      <c r="A782" s="227"/>
      <c r="B782" s="227"/>
      <c r="C782" s="168"/>
      <c r="D782" s="232"/>
      <c r="E782" s="135"/>
      <c r="F782" s="425"/>
      <c r="G782" s="430" t="s">
        <v>51</v>
      </c>
      <c r="H782" s="431"/>
      <c r="I782" s="346" t="str">
        <f t="shared" si="1151"/>
        <v/>
      </c>
      <c r="J782" s="347" t="str">
        <f t="shared" si="1152"/>
        <v/>
      </c>
      <c r="K782" s="348" t="str">
        <f t="shared" si="1153"/>
        <v/>
      </c>
      <c r="L782" s="258"/>
      <c r="M782" s="332"/>
      <c r="N782" s="336"/>
      <c r="O782" s="200"/>
      <c r="P782" s="200"/>
      <c r="Q782" s="439"/>
      <c r="R782" s="440"/>
      <c r="S782" s="441" t="str">
        <f t="shared" si="1154"/>
        <v/>
      </c>
      <c r="T782" s="328"/>
      <c r="U782" s="197" t="str">
        <f>IF(AND($I782="x",AND(MAX(Q782:S782)=Q782,Q782&gt;=0)),Data!$BI$2,"")</f>
        <v/>
      </c>
      <c r="V782" s="197" t="str">
        <f>IF(AND($J782="x",AND(MAX(Q782:S782)=R782,R782&gt;=0)),Data!$BJ$2,"")</f>
        <v/>
      </c>
      <c r="W782" s="197" t="str">
        <f>IF(AND($K782="x",AND(MAX(Q782:S782)=S782,S782&gt;=0)),Data!$BK$2,"")</f>
        <v/>
      </c>
      <c r="X782" s="197"/>
      <c r="Y782" s="328"/>
      <c r="Z782" s="453"/>
      <c r="AA782" s="454"/>
      <c r="AB782" s="441" t="str">
        <f t="shared" si="1155"/>
        <v/>
      </c>
      <c r="AC782" s="328"/>
      <c r="AD782" s="197" t="str">
        <f>IF(AND($I782="x",AND(MAX(Z782:AB782)=Z782,Z782&lt;&gt;"")),Data!$BI$2,"")</f>
        <v/>
      </c>
      <c r="AE782" s="197" t="str">
        <f>IF(AND($J782="x",AND(MAX(Z782:AB782)=AA782,AA782&lt;&gt;"")),Data!$BJ$2,"")</f>
        <v/>
      </c>
      <c r="AF782" s="197" t="str">
        <f>IF(AND($K782="x",AND(MAX(Z782:AB782)=AB782,AB782&lt;&gt;"")),Data!$BK$2,"")</f>
        <v/>
      </c>
      <c r="AG782" s="197"/>
      <c r="AH782" s="328"/>
      <c r="AI782" s="453"/>
      <c r="AJ782" s="454"/>
      <c r="AK782" s="441" t="str">
        <f t="shared" si="1156"/>
        <v/>
      </c>
      <c r="AL782" s="328"/>
      <c r="AM782" s="197" t="str">
        <f>IF(AND($I782="x",AND(MAX(AI782:AK782)=AI782,AI782&lt;&gt;"")),Data!$BI$2,"")</f>
        <v/>
      </c>
      <c r="AN782" s="197" t="str">
        <f>IF(AND($J782="x",AND(MAX(AI782:AK782)=AJ782,AJ782&lt;&gt;"")),Data!$BJ$2,"")</f>
        <v/>
      </c>
      <c r="AO782" s="197" t="str">
        <f>IF(AND($K782="x",AND(MAX(AI782:AK782)=AK782,AK782&lt;&gt;"")),Data!$BK$2,"")</f>
        <v/>
      </c>
      <c r="AP782" s="197"/>
      <c r="AQ782" s="328"/>
      <c r="AR782" s="453"/>
      <c r="AS782" s="454"/>
      <c r="AT782" s="441" t="str">
        <f t="shared" si="1157"/>
        <v/>
      </c>
      <c r="AU782" s="328"/>
      <c r="AV782" s="197" t="str">
        <f>IF(AND($I782="x",AND(MAX(AR782:AT782)=AR782,AR782&lt;&gt;"")),Data!$BI$2,"")</f>
        <v/>
      </c>
      <c r="AW782" s="197" t="str">
        <f>IF(AND($J782="x",AND(MAX(AR782:AT782)=AS782,AS782&lt;&gt;"")),Data!$BJ$2,"")</f>
        <v/>
      </c>
      <c r="AX782" s="197" t="str">
        <f>IF(AND($K782="x",AND(MAX(AR782:AT782)=AT782,AT782&lt;&gt;"")),Data!$BK$2,"")</f>
        <v/>
      </c>
      <c r="AY782" s="197"/>
      <c r="AZ782" s="328"/>
      <c r="BA782" s="453"/>
      <c r="BB782" s="454"/>
      <c r="BC782" s="441" t="str">
        <f t="shared" si="1158"/>
        <v/>
      </c>
      <c r="BD782" s="328"/>
      <c r="BE782" s="197" t="str">
        <f>IF(AND($I782="x",AND(MAX(BA782:BC782)=BA782,BA782&lt;&gt;"")),Data!$BI$2,"")</f>
        <v/>
      </c>
      <c r="BF782" s="197" t="str">
        <f>IF(AND($J782="x",AND(MAX(BA782:BC782)=BB782,BB782&lt;&gt;"")),Data!$BJ$2,"")</f>
        <v/>
      </c>
      <c r="BG782" s="197" t="str">
        <f>IF(AND($K782="x",AND(MAX(BA782:BC782)=BC782,BC782&lt;&gt;"")),Data!$BK$2,"")</f>
        <v/>
      </c>
      <c r="BH782" s="197"/>
      <c r="BI782" s="328"/>
      <c r="BJ782" s="453"/>
      <c r="BK782" s="454"/>
      <c r="BL782" s="441" t="str">
        <f t="shared" si="1159"/>
        <v/>
      </c>
      <c r="BM782" s="328"/>
      <c r="BN782" s="197" t="str">
        <f>IF(AND($I782="x",AND(MAX(BJ782:BL782)=BJ782,BJ782&lt;&gt;"")),Data!$BI$2,"")</f>
        <v/>
      </c>
      <c r="BO782" s="197" t="str">
        <f>IF(AND($J782="x",AND(MAX(BJ782:BL782)=BK782,BK782&lt;&gt;"")),Data!$BJ$2,"")</f>
        <v/>
      </c>
      <c r="BP782" s="197" t="str">
        <f>IF(AND($K782="x",AND(MAX(BJ782:BL782)=BL782,BL782&lt;&gt;"")),Data!$BK$2,"")</f>
        <v/>
      </c>
      <c r="BQ782" s="197"/>
      <c r="BR782" s="328"/>
      <c r="BS782" s="453"/>
      <c r="BT782" s="454"/>
      <c r="BU782" s="441" t="str">
        <f t="shared" si="1160"/>
        <v/>
      </c>
      <c r="BV782" s="328"/>
      <c r="BW782" s="197" t="str">
        <f>IF(AND($I782="x",AND(MAX(BS782:BU782)=BS782,BS782&lt;&gt;"")),Data!$BI$2,"")</f>
        <v/>
      </c>
      <c r="BX782" s="197" t="str">
        <f>IF(AND($J782="x",AND(MAX(BS782:BU782)=BT782,BT782&lt;&gt;"")),Data!$BJ$2,"")</f>
        <v/>
      </c>
      <c r="BY782" s="197" t="str">
        <f>IF(AND($K782="x",AND(MAX(BS782:BU782)=BU782,BU782&lt;&gt;"")),Data!$BK$2,"")</f>
        <v/>
      </c>
      <c r="BZ782" s="197"/>
      <c r="CA782" s="328"/>
      <c r="CB782" s="460" t="str">
        <f t="shared" si="1161"/>
        <v/>
      </c>
      <c r="CC782" s="461" t="str">
        <f t="shared" si="1162"/>
        <v/>
      </c>
      <c r="CD782" s="462" t="str">
        <f t="shared" si="1163"/>
        <v/>
      </c>
      <c r="CE782" s="328"/>
      <c r="CF782" s="197" t="str">
        <f>IF(AND($I782="x",AND(MAX(CB782:CD782)=CB782,CB782&lt;&gt;"")),Data!$BI$2,"")</f>
        <v/>
      </c>
      <c r="CG782" s="197" t="str">
        <f>IF(AND($J782="x",AND(MAX(CB782:CD782)=CC782,CC782&lt;&gt;"")),Data!$BJ$2,"")</f>
        <v/>
      </c>
      <c r="CH782" s="197" t="str">
        <f>IF(AND($K782="x",AND(MAX(CB782:CD782)=CD782,CD782&lt;&gt;"")),Data!$BK$2,"")</f>
        <v/>
      </c>
      <c r="CI782" s="197"/>
      <c r="CJ782" s="197"/>
      <c r="CK782" s="453"/>
      <c r="CL782" s="454"/>
      <c r="CM782" s="441" t="str">
        <f t="shared" si="1164"/>
        <v/>
      </c>
      <c r="CN782" s="328"/>
      <c r="CO782" s="197" t="str">
        <f>IF(AND($I782="x",AND(MAX(CK782:CM782)=CK782,CK782&lt;&gt;"")),Data!$BI$2,"")</f>
        <v/>
      </c>
      <c r="CP782" s="197" t="str">
        <f>IF(AND($J782="x",AND(MAX(CK782:CM782)=CL782,CL782&lt;&gt;"")),Data!$BJ$2,"")</f>
        <v/>
      </c>
      <c r="CQ782" s="197" t="str">
        <f>IF(AND($K782="x",AND(MAX(CK782:CM782)=CM782,CM782&lt;&gt;"")),Data!$BK$2,"")</f>
        <v/>
      </c>
      <c r="CR782" s="197"/>
      <c r="CS782" s="197"/>
      <c r="CT782" s="328"/>
      <c r="CU782" s="255"/>
      <c r="CV782" s="209"/>
      <c r="CW782" s="227"/>
    </row>
    <row r="783" spans="1:101" x14ac:dyDescent="0.2">
      <c r="A783" s="227"/>
      <c r="B783" s="227"/>
      <c r="C783" s="168"/>
      <c r="D783" s="232"/>
      <c r="E783" s="136"/>
      <c r="F783" s="426"/>
      <c r="G783" s="432" t="s">
        <v>51</v>
      </c>
      <c r="H783" s="433"/>
      <c r="I783" s="349" t="str">
        <f t="shared" si="1151"/>
        <v/>
      </c>
      <c r="J783" s="350" t="str">
        <f t="shared" si="1152"/>
        <v/>
      </c>
      <c r="K783" s="351" t="str">
        <f t="shared" si="1153"/>
        <v/>
      </c>
      <c r="L783" s="258"/>
      <c r="M783" s="332"/>
      <c r="N783" s="336"/>
      <c r="O783" s="200"/>
      <c r="P783" s="200"/>
      <c r="Q783" s="445"/>
      <c r="R783" s="446"/>
      <c r="S783" s="447" t="str">
        <f t="shared" si="1154"/>
        <v/>
      </c>
      <c r="T783" s="328"/>
      <c r="U783" s="197" t="str">
        <f>IF(AND($I783="x",AND(MAX(Q783:S783)=Q783,Q783&gt;=0)),Data!$BI$2,"")</f>
        <v/>
      </c>
      <c r="V783" s="197" t="str">
        <f>IF(AND($J783="x",AND(MAX(Q783:S783)=R783,R783&gt;=0)),Data!$BJ$2,"")</f>
        <v/>
      </c>
      <c r="W783" s="197" t="str">
        <f>IF(AND($K783="x",AND(MAX(Q783:S783)=S783,S783&gt;=0)),Data!$BK$2,"")</f>
        <v/>
      </c>
      <c r="X783" s="197"/>
      <c r="Y783" s="328"/>
      <c r="Z783" s="455"/>
      <c r="AA783" s="456"/>
      <c r="AB783" s="447" t="str">
        <f t="shared" si="1155"/>
        <v/>
      </c>
      <c r="AC783" s="328"/>
      <c r="AD783" s="197" t="str">
        <f>IF(AND($I783="x",AND(MAX(Z783:AB783)=Z783,Z783&lt;&gt;"")),Data!$BI$2,"")</f>
        <v/>
      </c>
      <c r="AE783" s="197" t="str">
        <f>IF(AND($J783="x",AND(MAX(Z783:AB783)=AA783,AA783&lt;&gt;"")),Data!$BJ$2,"")</f>
        <v/>
      </c>
      <c r="AF783" s="197" t="str">
        <f>IF(AND($K783="x",AND(MAX(Z783:AB783)=AB783,AB783&lt;&gt;"")),Data!$BK$2,"")</f>
        <v/>
      </c>
      <c r="AG783" s="197"/>
      <c r="AH783" s="328"/>
      <c r="AI783" s="455"/>
      <c r="AJ783" s="456"/>
      <c r="AK783" s="447" t="str">
        <f t="shared" si="1156"/>
        <v/>
      </c>
      <c r="AL783" s="328"/>
      <c r="AM783" s="197" t="str">
        <f>IF(AND($I783="x",AND(MAX(AI783:AK783)=AI783,AI783&lt;&gt;"")),Data!$BI$2,"")</f>
        <v/>
      </c>
      <c r="AN783" s="197" t="str">
        <f>IF(AND($J783="x",AND(MAX(AI783:AK783)=AJ783,AJ783&lt;&gt;"")),Data!$BJ$2,"")</f>
        <v/>
      </c>
      <c r="AO783" s="197" t="str">
        <f>IF(AND($K783="x",AND(MAX(AI783:AK783)=AK783,AK783&lt;&gt;"")),Data!$BK$2,"")</f>
        <v/>
      </c>
      <c r="AP783" s="197"/>
      <c r="AQ783" s="328"/>
      <c r="AR783" s="455"/>
      <c r="AS783" s="456"/>
      <c r="AT783" s="447" t="str">
        <f t="shared" si="1157"/>
        <v/>
      </c>
      <c r="AU783" s="328"/>
      <c r="AV783" s="197" t="str">
        <f>IF(AND($I783="x",AND(MAX(AR783:AT783)=AR783,AR783&lt;&gt;"")),Data!$BI$2,"")</f>
        <v/>
      </c>
      <c r="AW783" s="197" t="str">
        <f>IF(AND($J783="x",AND(MAX(AR783:AT783)=AS783,AS783&lt;&gt;"")),Data!$BJ$2,"")</f>
        <v/>
      </c>
      <c r="AX783" s="197" t="str">
        <f>IF(AND($K783="x",AND(MAX(AR783:AT783)=AT783,AT783&lt;&gt;"")),Data!$BK$2,"")</f>
        <v/>
      </c>
      <c r="AY783" s="197"/>
      <c r="AZ783" s="328"/>
      <c r="BA783" s="455"/>
      <c r="BB783" s="456"/>
      <c r="BC783" s="447" t="str">
        <f t="shared" si="1158"/>
        <v/>
      </c>
      <c r="BD783" s="328"/>
      <c r="BE783" s="197" t="str">
        <f>IF(AND($I783="x",AND(MAX(BA783:BC783)=BA783,BA783&lt;&gt;"")),Data!$BI$2,"")</f>
        <v/>
      </c>
      <c r="BF783" s="197" t="str">
        <f>IF(AND($J783="x",AND(MAX(BA783:BC783)=BB783,BB783&lt;&gt;"")),Data!$BJ$2,"")</f>
        <v/>
      </c>
      <c r="BG783" s="197" t="str">
        <f>IF(AND($K783="x",AND(MAX(BA783:BC783)=BC783,BC783&lt;&gt;"")),Data!$BK$2,"")</f>
        <v/>
      </c>
      <c r="BH783" s="197"/>
      <c r="BI783" s="328"/>
      <c r="BJ783" s="455"/>
      <c r="BK783" s="456"/>
      <c r="BL783" s="447" t="str">
        <f t="shared" si="1159"/>
        <v/>
      </c>
      <c r="BM783" s="328"/>
      <c r="BN783" s="197" t="str">
        <f>IF(AND($I783="x",AND(MAX(BJ783:BL783)=BJ783,BJ783&lt;&gt;"")),Data!$BI$2,"")</f>
        <v/>
      </c>
      <c r="BO783" s="197" t="str">
        <f>IF(AND($J783="x",AND(MAX(BJ783:BL783)=BK783,BK783&lt;&gt;"")),Data!$BJ$2,"")</f>
        <v/>
      </c>
      <c r="BP783" s="197" t="str">
        <f>IF(AND($K783="x",AND(MAX(BJ783:BL783)=BL783,BL783&lt;&gt;"")),Data!$BK$2,"")</f>
        <v/>
      </c>
      <c r="BQ783" s="197"/>
      <c r="BR783" s="328"/>
      <c r="BS783" s="455"/>
      <c r="BT783" s="456"/>
      <c r="BU783" s="447" t="str">
        <f t="shared" si="1160"/>
        <v/>
      </c>
      <c r="BV783" s="328"/>
      <c r="BW783" s="197" t="str">
        <f>IF(AND($I783="x",AND(MAX(BS783:BU783)=BS783,BS783&lt;&gt;"")),Data!$BI$2,"")</f>
        <v/>
      </c>
      <c r="BX783" s="197" t="str">
        <f>IF(AND($J783="x",AND(MAX(BS783:BU783)=BT783,BT783&lt;&gt;"")),Data!$BJ$2,"")</f>
        <v/>
      </c>
      <c r="BY783" s="197" t="str">
        <f>IF(AND($K783="x",AND(MAX(BS783:BU783)=BU783,BU783&lt;&gt;"")),Data!$BK$2,"")</f>
        <v/>
      </c>
      <c r="BZ783" s="197"/>
      <c r="CA783" s="328"/>
      <c r="CB783" s="463" t="str">
        <f t="shared" si="1161"/>
        <v/>
      </c>
      <c r="CC783" s="464" t="str">
        <f t="shared" si="1162"/>
        <v/>
      </c>
      <c r="CD783" s="465" t="str">
        <f t="shared" si="1163"/>
        <v/>
      </c>
      <c r="CE783" s="328"/>
      <c r="CF783" s="197" t="str">
        <f>IF(AND($I783="x",AND(MAX(CB783:CD783)=CB783,CB783&lt;&gt;"")),Data!$BI$2,"")</f>
        <v/>
      </c>
      <c r="CG783" s="197" t="str">
        <f>IF(AND($J783="x",AND(MAX(CB783:CD783)=CC783,CC783&lt;&gt;"")),Data!$BJ$2,"")</f>
        <v/>
      </c>
      <c r="CH783" s="197" t="str">
        <f>IF(AND($K783="x",AND(MAX(CB783:CD783)=CD783,CD783&lt;&gt;"")),Data!$BK$2,"")</f>
        <v/>
      </c>
      <c r="CI783" s="197"/>
      <c r="CJ783" s="197"/>
      <c r="CK783" s="455"/>
      <c r="CL783" s="456"/>
      <c r="CM783" s="447" t="str">
        <f t="shared" si="1164"/>
        <v/>
      </c>
      <c r="CN783" s="328"/>
      <c r="CO783" s="197" t="str">
        <f>IF(AND($I783="x",AND(MAX(CK783:CM783)=CK783,CK783&lt;&gt;"")),Data!$BI$2,"")</f>
        <v/>
      </c>
      <c r="CP783" s="197" t="str">
        <f>IF(AND($J783="x",AND(MAX(CK783:CM783)=CL783,CL783&lt;&gt;"")),Data!$BJ$2,"")</f>
        <v/>
      </c>
      <c r="CQ783" s="197" t="str">
        <f>IF(AND($K783="x",AND(MAX(CK783:CM783)=CM783,CM783&lt;&gt;"")),Data!$BK$2,"")</f>
        <v/>
      </c>
      <c r="CR783" s="197"/>
      <c r="CS783" s="197"/>
      <c r="CT783" s="328"/>
      <c r="CU783" s="255"/>
      <c r="CV783" s="209"/>
      <c r="CW783" s="227"/>
    </row>
    <row r="784" spans="1:101" x14ac:dyDescent="0.2">
      <c r="A784" s="227"/>
      <c r="B784" s="227"/>
      <c r="C784" s="168"/>
      <c r="D784" s="232"/>
      <c r="E784" s="134"/>
      <c r="F784" s="424"/>
      <c r="G784" s="428" t="s">
        <v>51</v>
      </c>
      <c r="H784" s="429"/>
      <c r="I784" s="138" t="str">
        <f t="shared" si="1151"/>
        <v/>
      </c>
      <c r="J784" s="344" t="str">
        <f t="shared" si="1152"/>
        <v/>
      </c>
      <c r="K784" s="345" t="str">
        <f t="shared" si="1153"/>
        <v/>
      </c>
      <c r="L784" s="258"/>
      <c r="M784" s="332"/>
      <c r="N784" s="336"/>
      <c r="O784" s="200"/>
      <c r="P784" s="200"/>
      <c r="Q784" s="436"/>
      <c r="R784" s="437"/>
      <c r="S784" s="438" t="str">
        <f t="shared" si="1154"/>
        <v/>
      </c>
      <c r="T784" s="328"/>
      <c r="U784" s="197" t="str">
        <f>IF(AND($I784="x",AND(MAX(Q784:S784)=Q784,Q784&gt;=0)),Data!$BI$2,"")</f>
        <v/>
      </c>
      <c r="V784" s="197" t="str">
        <f>IF(AND($J784="x",AND(MAX(Q784:S784)=R784,R784&gt;=0)),Data!$BJ$2,"")</f>
        <v/>
      </c>
      <c r="W784" s="197" t="str">
        <f>IF(AND($K784="x",AND(MAX(Q784:S784)=S784,S784&gt;=0)),Data!$BK$2,"")</f>
        <v/>
      </c>
      <c r="X784" s="197"/>
      <c r="Y784" s="328"/>
      <c r="Z784" s="451"/>
      <c r="AA784" s="452"/>
      <c r="AB784" s="438" t="str">
        <f t="shared" si="1155"/>
        <v/>
      </c>
      <c r="AC784" s="328"/>
      <c r="AD784" s="197" t="str">
        <f>IF(AND($I784="x",AND(MAX(Z784:AB784)=Z784,Z784&lt;&gt;"")),Data!$BI$2,"")</f>
        <v/>
      </c>
      <c r="AE784" s="197" t="str">
        <f>IF(AND($J784="x",AND(MAX(Z784:AB784)=AA784,AA784&lt;&gt;"")),Data!$BJ$2,"")</f>
        <v/>
      </c>
      <c r="AF784" s="197" t="str">
        <f>IF(AND($K784="x",AND(MAX(Z784:AB784)=AB784,AB784&lt;&gt;"")),Data!$BK$2,"")</f>
        <v/>
      </c>
      <c r="AG784" s="197"/>
      <c r="AH784" s="328"/>
      <c r="AI784" s="451"/>
      <c r="AJ784" s="452"/>
      <c r="AK784" s="438" t="str">
        <f t="shared" si="1156"/>
        <v/>
      </c>
      <c r="AL784" s="328"/>
      <c r="AM784" s="197" t="str">
        <f>IF(AND($I784="x",AND(MAX(AI784:AK784)=AI784,AI784&lt;&gt;"")),Data!$BI$2,"")</f>
        <v/>
      </c>
      <c r="AN784" s="197" t="str">
        <f>IF(AND($J784="x",AND(MAX(AI784:AK784)=AJ784,AJ784&lt;&gt;"")),Data!$BJ$2,"")</f>
        <v/>
      </c>
      <c r="AO784" s="197" t="str">
        <f>IF(AND($K784="x",AND(MAX(AI784:AK784)=AK784,AK784&lt;&gt;"")),Data!$BK$2,"")</f>
        <v/>
      </c>
      <c r="AP784" s="197"/>
      <c r="AQ784" s="328"/>
      <c r="AR784" s="451"/>
      <c r="AS784" s="452"/>
      <c r="AT784" s="438" t="str">
        <f t="shared" si="1157"/>
        <v/>
      </c>
      <c r="AU784" s="328"/>
      <c r="AV784" s="197" t="str">
        <f>IF(AND($I784="x",AND(MAX(AR784:AT784)=AR784,AR784&lt;&gt;"")),Data!$BI$2,"")</f>
        <v/>
      </c>
      <c r="AW784" s="197" t="str">
        <f>IF(AND($J784="x",AND(MAX(AR784:AT784)=AS784,AS784&lt;&gt;"")),Data!$BJ$2,"")</f>
        <v/>
      </c>
      <c r="AX784" s="197" t="str">
        <f>IF(AND($K784="x",AND(MAX(AR784:AT784)=AT784,AT784&lt;&gt;"")),Data!$BK$2,"")</f>
        <v/>
      </c>
      <c r="AY784" s="197"/>
      <c r="AZ784" s="328"/>
      <c r="BA784" s="451"/>
      <c r="BB784" s="452"/>
      <c r="BC784" s="438" t="str">
        <f t="shared" si="1158"/>
        <v/>
      </c>
      <c r="BD784" s="328"/>
      <c r="BE784" s="197" t="str">
        <f>IF(AND($I784="x",AND(MAX(BA784:BC784)=BA784,BA784&lt;&gt;"")),Data!$BI$2,"")</f>
        <v/>
      </c>
      <c r="BF784" s="197" t="str">
        <f>IF(AND($J784="x",AND(MAX(BA784:BC784)=BB784,BB784&lt;&gt;"")),Data!$BJ$2,"")</f>
        <v/>
      </c>
      <c r="BG784" s="197" t="str">
        <f>IF(AND($K784="x",AND(MAX(BA784:BC784)=BC784,BC784&lt;&gt;"")),Data!$BK$2,"")</f>
        <v/>
      </c>
      <c r="BH784" s="197"/>
      <c r="BI784" s="328"/>
      <c r="BJ784" s="451"/>
      <c r="BK784" s="452"/>
      <c r="BL784" s="438" t="str">
        <f t="shared" si="1159"/>
        <v/>
      </c>
      <c r="BM784" s="328"/>
      <c r="BN784" s="197" t="str">
        <f>IF(AND($I784="x",AND(MAX(BJ784:BL784)=BJ784,BJ784&lt;&gt;"")),Data!$BI$2,"")</f>
        <v/>
      </c>
      <c r="BO784" s="197" t="str">
        <f>IF(AND($J784="x",AND(MAX(BJ784:BL784)=BK784,BK784&lt;&gt;"")),Data!$BJ$2,"")</f>
        <v/>
      </c>
      <c r="BP784" s="197" t="str">
        <f>IF(AND($K784="x",AND(MAX(BJ784:BL784)=BL784,BL784&lt;&gt;"")),Data!$BK$2,"")</f>
        <v/>
      </c>
      <c r="BQ784" s="197"/>
      <c r="BR784" s="328"/>
      <c r="BS784" s="451"/>
      <c r="BT784" s="452"/>
      <c r="BU784" s="438" t="str">
        <f t="shared" si="1160"/>
        <v/>
      </c>
      <c r="BV784" s="328"/>
      <c r="BW784" s="197" t="str">
        <f>IF(AND($I784="x",AND(MAX(BS784:BU784)=BS784,BS784&lt;&gt;"")),Data!$BI$2,"")</f>
        <v/>
      </c>
      <c r="BX784" s="197" t="str">
        <f>IF(AND($J784="x",AND(MAX(BS784:BU784)=BT784,BT784&lt;&gt;"")),Data!$BJ$2,"")</f>
        <v/>
      </c>
      <c r="BY784" s="197" t="str">
        <f>IF(AND($K784="x",AND(MAX(BS784:BU784)=BU784,BU784&lt;&gt;"")),Data!$BK$2,"")</f>
        <v/>
      </c>
      <c r="BZ784" s="197"/>
      <c r="CA784" s="328"/>
      <c r="CB784" s="457" t="str">
        <f t="shared" si="1161"/>
        <v/>
      </c>
      <c r="CC784" s="458" t="str">
        <f t="shared" si="1162"/>
        <v/>
      </c>
      <c r="CD784" s="459" t="str">
        <f t="shared" si="1163"/>
        <v/>
      </c>
      <c r="CE784" s="328"/>
      <c r="CF784" s="197" t="str">
        <f>IF(AND($I784="x",AND(MAX(CB784:CD784)=CB784,CB784&lt;&gt;"")),Data!$BI$2,"")</f>
        <v/>
      </c>
      <c r="CG784" s="197" t="str">
        <f>IF(AND($J784="x",AND(MAX(CB784:CD784)=CC784,CC784&lt;&gt;"")),Data!$BJ$2,"")</f>
        <v/>
      </c>
      <c r="CH784" s="197" t="str">
        <f>IF(AND($K784="x",AND(MAX(CB784:CD784)=CD784,CD784&lt;&gt;"")),Data!$BK$2,"")</f>
        <v/>
      </c>
      <c r="CI784" s="197"/>
      <c r="CJ784" s="197"/>
      <c r="CK784" s="451"/>
      <c r="CL784" s="452"/>
      <c r="CM784" s="438" t="str">
        <f t="shared" si="1164"/>
        <v/>
      </c>
      <c r="CN784" s="328"/>
      <c r="CO784" s="197" t="str">
        <f>IF(AND($I784="x",AND(MAX(CK784:CM784)=CK784,CK784&lt;&gt;"")),Data!$BI$2,"")</f>
        <v/>
      </c>
      <c r="CP784" s="197" t="str">
        <f>IF(AND($J784="x",AND(MAX(CK784:CM784)=CL784,CL784&lt;&gt;"")),Data!$BJ$2,"")</f>
        <v/>
      </c>
      <c r="CQ784" s="197" t="str">
        <f>IF(AND($K784="x",AND(MAX(CK784:CM784)=CM784,CM784&lt;&gt;"")),Data!$BK$2,"")</f>
        <v/>
      </c>
      <c r="CR784" s="197"/>
      <c r="CS784" s="197"/>
      <c r="CT784" s="328"/>
      <c r="CU784" s="259"/>
      <c r="CV784" s="209"/>
      <c r="CW784" s="227"/>
    </row>
    <row r="785" spans="1:101" x14ac:dyDescent="0.2">
      <c r="A785" s="227"/>
      <c r="B785" s="227"/>
      <c r="C785" s="168"/>
      <c r="D785" s="232"/>
      <c r="E785" s="135"/>
      <c r="F785" s="425"/>
      <c r="G785" s="430" t="s">
        <v>51</v>
      </c>
      <c r="H785" s="431"/>
      <c r="I785" s="346" t="str">
        <f t="shared" si="1151"/>
        <v/>
      </c>
      <c r="J785" s="347" t="str">
        <f t="shared" si="1152"/>
        <v/>
      </c>
      <c r="K785" s="348" t="str">
        <f t="shared" si="1153"/>
        <v/>
      </c>
      <c r="L785" s="258"/>
      <c r="M785" s="332"/>
      <c r="N785" s="336"/>
      <c r="O785" s="200"/>
      <c r="P785" s="200"/>
      <c r="Q785" s="439"/>
      <c r="R785" s="440"/>
      <c r="S785" s="441" t="str">
        <f t="shared" si="1154"/>
        <v/>
      </c>
      <c r="T785" s="328"/>
      <c r="U785" s="197" t="str">
        <f>IF(AND($I785="x",AND(MAX(Q785:S785)=Q785,Q785&gt;=0)),Data!$BI$2,"")</f>
        <v/>
      </c>
      <c r="V785" s="197" t="str">
        <f>IF(AND($J785="x",AND(MAX(Q785:S785)=R785,R785&gt;=0)),Data!$BJ$2,"")</f>
        <v/>
      </c>
      <c r="W785" s="197" t="str">
        <f>IF(AND($K785="x",AND(MAX(Q785:S785)=S785,S785&gt;=0)),Data!$BK$2,"")</f>
        <v/>
      </c>
      <c r="X785" s="197"/>
      <c r="Y785" s="328"/>
      <c r="Z785" s="453"/>
      <c r="AA785" s="454"/>
      <c r="AB785" s="441" t="str">
        <f t="shared" si="1155"/>
        <v/>
      </c>
      <c r="AC785" s="328"/>
      <c r="AD785" s="197" t="str">
        <f>IF(AND($I785="x",AND(MAX(Z785:AB785)=Z785,Z785&lt;&gt;"")),Data!$BI$2,"")</f>
        <v/>
      </c>
      <c r="AE785" s="197" t="str">
        <f>IF(AND($J785="x",AND(MAX(Z785:AB785)=AA785,AA785&lt;&gt;"")),Data!$BJ$2,"")</f>
        <v/>
      </c>
      <c r="AF785" s="197" t="str">
        <f>IF(AND($K785="x",AND(MAX(Z785:AB785)=AB785,AB785&lt;&gt;"")),Data!$BK$2,"")</f>
        <v/>
      </c>
      <c r="AG785" s="197"/>
      <c r="AH785" s="328"/>
      <c r="AI785" s="453"/>
      <c r="AJ785" s="454"/>
      <c r="AK785" s="441" t="str">
        <f t="shared" si="1156"/>
        <v/>
      </c>
      <c r="AL785" s="328"/>
      <c r="AM785" s="197" t="str">
        <f>IF(AND($I785="x",AND(MAX(AI785:AK785)=AI785,AI785&lt;&gt;"")),Data!$BI$2,"")</f>
        <v/>
      </c>
      <c r="AN785" s="197" t="str">
        <f>IF(AND($J785="x",AND(MAX(AI785:AK785)=AJ785,AJ785&lt;&gt;"")),Data!$BJ$2,"")</f>
        <v/>
      </c>
      <c r="AO785" s="197" t="str">
        <f>IF(AND($K785="x",AND(MAX(AI785:AK785)=AK785,AK785&lt;&gt;"")),Data!$BK$2,"")</f>
        <v/>
      </c>
      <c r="AP785" s="197"/>
      <c r="AQ785" s="328"/>
      <c r="AR785" s="453"/>
      <c r="AS785" s="454"/>
      <c r="AT785" s="441" t="str">
        <f t="shared" si="1157"/>
        <v/>
      </c>
      <c r="AU785" s="328"/>
      <c r="AV785" s="197" t="str">
        <f>IF(AND($I785="x",AND(MAX(AR785:AT785)=AR785,AR785&lt;&gt;"")),Data!$BI$2,"")</f>
        <v/>
      </c>
      <c r="AW785" s="197" t="str">
        <f>IF(AND($J785="x",AND(MAX(AR785:AT785)=AS785,AS785&lt;&gt;"")),Data!$BJ$2,"")</f>
        <v/>
      </c>
      <c r="AX785" s="197" t="str">
        <f>IF(AND($K785="x",AND(MAX(AR785:AT785)=AT785,AT785&lt;&gt;"")),Data!$BK$2,"")</f>
        <v/>
      </c>
      <c r="AY785" s="197"/>
      <c r="AZ785" s="328"/>
      <c r="BA785" s="453"/>
      <c r="BB785" s="454"/>
      <c r="BC785" s="441" t="str">
        <f t="shared" si="1158"/>
        <v/>
      </c>
      <c r="BD785" s="328"/>
      <c r="BE785" s="197" t="str">
        <f>IF(AND($I785="x",AND(MAX(BA785:BC785)=BA785,BA785&lt;&gt;"")),Data!$BI$2,"")</f>
        <v/>
      </c>
      <c r="BF785" s="197" t="str">
        <f>IF(AND($J785="x",AND(MAX(BA785:BC785)=BB785,BB785&lt;&gt;"")),Data!$BJ$2,"")</f>
        <v/>
      </c>
      <c r="BG785" s="197" t="str">
        <f>IF(AND($K785="x",AND(MAX(BA785:BC785)=BC785,BC785&lt;&gt;"")),Data!$BK$2,"")</f>
        <v/>
      </c>
      <c r="BH785" s="197"/>
      <c r="BI785" s="328"/>
      <c r="BJ785" s="453"/>
      <c r="BK785" s="454"/>
      <c r="BL785" s="441" t="str">
        <f t="shared" si="1159"/>
        <v/>
      </c>
      <c r="BM785" s="328"/>
      <c r="BN785" s="197" t="str">
        <f>IF(AND($I785="x",AND(MAX(BJ785:BL785)=BJ785,BJ785&lt;&gt;"")),Data!$BI$2,"")</f>
        <v/>
      </c>
      <c r="BO785" s="197" t="str">
        <f>IF(AND($J785="x",AND(MAX(BJ785:BL785)=BK785,BK785&lt;&gt;"")),Data!$BJ$2,"")</f>
        <v/>
      </c>
      <c r="BP785" s="197" t="str">
        <f>IF(AND($K785="x",AND(MAX(BJ785:BL785)=BL785,BL785&lt;&gt;"")),Data!$BK$2,"")</f>
        <v/>
      </c>
      <c r="BQ785" s="197"/>
      <c r="BR785" s="328"/>
      <c r="BS785" s="453"/>
      <c r="BT785" s="454"/>
      <c r="BU785" s="441" t="str">
        <f t="shared" si="1160"/>
        <v/>
      </c>
      <c r="BV785" s="328"/>
      <c r="BW785" s="197" t="str">
        <f>IF(AND($I785="x",AND(MAX(BS785:BU785)=BS785,BS785&lt;&gt;"")),Data!$BI$2,"")</f>
        <v/>
      </c>
      <c r="BX785" s="197" t="str">
        <f>IF(AND($J785="x",AND(MAX(BS785:BU785)=BT785,BT785&lt;&gt;"")),Data!$BJ$2,"")</f>
        <v/>
      </c>
      <c r="BY785" s="197" t="str">
        <f>IF(AND($K785="x",AND(MAX(BS785:BU785)=BU785,BU785&lt;&gt;"")),Data!$BK$2,"")</f>
        <v/>
      </c>
      <c r="BZ785" s="197"/>
      <c r="CA785" s="328"/>
      <c r="CB785" s="460" t="str">
        <f t="shared" si="1161"/>
        <v/>
      </c>
      <c r="CC785" s="461" t="str">
        <f t="shared" si="1162"/>
        <v/>
      </c>
      <c r="CD785" s="462" t="str">
        <f t="shared" si="1163"/>
        <v/>
      </c>
      <c r="CE785" s="328"/>
      <c r="CF785" s="197" t="str">
        <f>IF(AND($I785="x",AND(MAX(CB785:CD785)=CB785,CB785&lt;&gt;"")),Data!$BI$2,"")</f>
        <v/>
      </c>
      <c r="CG785" s="197" t="str">
        <f>IF(AND($J785="x",AND(MAX(CB785:CD785)=CC785,CC785&lt;&gt;"")),Data!$BJ$2,"")</f>
        <v/>
      </c>
      <c r="CH785" s="197" t="str">
        <f>IF(AND($K785="x",AND(MAX(CB785:CD785)=CD785,CD785&lt;&gt;"")),Data!$BK$2,"")</f>
        <v/>
      </c>
      <c r="CI785" s="197"/>
      <c r="CJ785" s="197"/>
      <c r="CK785" s="453"/>
      <c r="CL785" s="454"/>
      <c r="CM785" s="441" t="str">
        <f t="shared" si="1164"/>
        <v/>
      </c>
      <c r="CN785" s="328"/>
      <c r="CO785" s="197" t="str">
        <f>IF(AND($I785="x",AND(MAX(CK785:CM785)=CK785,CK785&lt;&gt;"")),Data!$BI$2,"")</f>
        <v/>
      </c>
      <c r="CP785" s="197" t="str">
        <f>IF(AND($J785="x",AND(MAX(CK785:CM785)=CL785,CL785&lt;&gt;"")),Data!$BJ$2,"")</f>
        <v/>
      </c>
      <c r="CQ785" s="197" t="str">
        <f>IF(AND($K785="x",AND(MAX(CK785:CM785)=CM785,CM785&lt;&gt;"")),Data!$BK$2,"")</f>
        <v/>
      </c>
      <c r="CR785" s="197"/>
      <c r="CS785" s="197"/>
      <c r="CT785" s="328"/>
      <c r="CU785" s="259"/>
      <c r="CV785" s="209"/>
      <c r="CW785" s="227"/>
    </row>
    <row r="786" spans="1:101" x14ac:dyDescent="0.2">
      <c r="A786" s="227"/>
      <c r="B786" s="227"/>
      <c r="C786" s="168"/>
      <c r="D786" s="232"/>
      <c r="E786" s="136"/>
      <c r="F786" s="426"/>
      <c r="G786" s="432" t="s">
        <v>51</v>
      </c>
      <c r="H786" s="433"/>
      <c r="I786" s="349" t="str">
        <f t="shared" si="1151"/>
        <v/>
      </c>
      <c r="J786" s="350" t="str">
        <f t="shared" si="1152"/>
        <v/>
      </c>
      <c r="K786" s="351" t="str">
        <f t="shared" si="1153"/>
        <v/>
      </c>
      <c r="L786" s="258"/>
      <c r="M786" s="332"/>
      <c r="N786" s="336"/>
      <c r="O786" s="200"/>
      <c r="P786" s="200"/>
      <c r="Q786" s="445"/>
      <c r="R786" s="446"/>
      <c r="S786" s="447" t="str">
        <f t="shared" si="1154"/>
        <v/>
      </c>
      <c r="T786" s="328"/>
      <c r="U786" s="197" t="str">
        <f>IF(AND($I786="x",AND(MAX(Q786:S786)=Q786,Q786&gt;=0)),Data!$BI$2,"")</f>
        <v/>
      </c>
      <c r="V786" s="197" t="str">
        <f>IF(AND($J786="x",AND(MAX(Q786:S786)=R786,R786&gt;=0)),Data!$BJ$2,"")</f>
        <v/>
      </c>
      <c r="W786" s="197" t="str">
        <f>IF(AND($K786="x",AND(MAX(Q786:S786)=S786,S786&gt;=0)),Data!$BK$2,"")</f>
        <v/>
      </c>
      <c r="X786" s="197"/>
      <c r="Y786" s="328"/>
      <c r="Z786" s="455"/>
      <c r="AA786" s="456"/>
      <c r="AB786" s="447" t="str">
        <f t="shared" si="1155"/>
        <v/>
      </c>
      <c r="AC786" s="328"/>
      <c r="AD786" s="197" t="str">
        <f>IF(AND($I786="x",AND(MAX(Z786:AB786)=Z786,Z786&lt;&gt;"")),Data!$BI$2,"")</f>
        <v/>
      </c>
      <c r="AE786" s="197" t="str">
        <f>IF(AND($J786="x",AND(MAX(Z786:AB786)=AA786,AA786&lt;&gt;"")),Data!$BJ$2,"")</f>
        <v/>
      </c>
      <c r="AF786" s="197" t="str">
        <f>IF(AND($K786="x",AND(MAX(Z786:AB786)=AB786,AB786&lt;&gt;"")),Data!$BK$2,"")</f>
        <v/>
      </c>
      <c r="AG786" s="197"/>
      <c r="AH786" s="328"/>
      <c r="AI786" s="455"/>
      <c r="AJ786" s="456"/>
      <c r="AK786" s="447" t="str">
        <f t="shared" si="1156"/>
        <v/>
      </c>
      <c r="AL786" s="328"/>
      <c r="AM786" s="197" t="str">
        <f>IF(AND($I786="x",AND(MAX(AI786:AK786)=AI786,AI786&lt;&gt;"")),Data!$BI$2,"")</f>
        <v/>
      </c>
      <c r="AN786" s="197" t="str">
        <f>IF(AND($J786="x",AND(MAX(AI786:AK786)=AJ786,AJ786&lt;&gt;"")),Data!$BJ$2,"")</f>
        <v/>
      </c>
      <c r="AO786" s="197" t="str">
        <f>IF(AND($K786="x",AND(MAX(AI786:AK786)=AK786,AK786&lt;&gt;"")),Data!$BK$2,"")</f>
        <v/>
      </c>
      <c r="AP786" s="197"/>
      <c r="AQ786" s="328"/>
      <c r="AR786" s="455"/>
      <c r="AS786" s="456"/>
      <c r="AT786" s="447" t="str">
        <f t="shared" si="1157"/>
        <v/>
      </c>
      <c r="AU786" s="328"/>
      <c r="AV786" s="197" t="str">
        <f>IF(AND($I786="x",AND(MAX(AR786:AT786)=AR786,AR786&lt;&gt;"")),Data!$BI$2,"")</f>
        <v/>
      </c>
      <c r="AW786" s="197" t="str">
        <f>IF(AND($J786="x",AND(MAX(AR786:AT786)=AS786,AS786&lt;&gt;"")),Data!$BJ$2,"")</f>
        <v/>
      </c>
      <c r="AX786" s="197" t="str">
        <f>IF(AND($K786="x",AND(MAX(AR786:AT786)=AT786,AT786&lt;&gt;"")),Data!$BK$2,"")</f>
        <v/>
      </c>
      <c r="AY786" s="197"/>
      <c r="AZ786" s="328"/>
      <c r="BA786" s="455"/>
      <c r="BB786" s="456"/>
      <c r="BC786" s="447" t="str">
        <f t="shared" si="1158"/>
        <v/>
      </c>
      <c r="BD786" s="328"/>
      <c r="BE786" s="197" t="str">
        <f>IF(AND($I786="x",AND(MAX(BA786:BC786)=BA786,BA786&lt;&gt;"")),Data!$BI$2,"")</f>
        <v/>
      </c>
      <c r="BF786" s="197" t="str">
        <f>IF(AND($J786="x",AND(MAX(BA786:BC786)=BB786,BB786&lt;&gt;"")),Data!$BJ$2,"")</f>
        <v/>
      </c>
      <c r="BG786" s="197" t="str">
        <f>IF(AND($K786="x",AND(MAX(BA786:BC786)=BC786,BC786&lt;&gt;"")),Data!$BK$2,"")</f>
        <v/>
      </c>
      <c r="BH786" s="197"/>
      <c r="BI786" s="328"/>
      <c r="BJ786" s="455"/>
      <c r="BK786" s="456"/>
      <c r="BL786" s="447" t="str">
        <f t="shared" si="1159"/>
        <v/>
      </c>
      <c r="BM786" s="328"/>
      <c r="BN786" s="197" t="str">
        <f>IF(AND($I786="x",AND(MAX(BJ786:BL786)=BJ786,BJ786&lt;&gt;"")),Data!$BI$2,"")</f>
        <v/>
      </c>
      <c r="BO786" s="197" t="str">
        <f>IF(AND($J786="x",AND(MAX(BJ786:BL786)=BK786,BK786&lt;&gt;"")),Data!$BJ$2,"")</f>
        <v/>
      </c>
      <c r="BP786" s="197" t="str">
        <f>IF(AND($K786="x",AND(MAX(BJ786:BL786)=BL786,BL786&lt;&gt;"")),Data!$BK$2,"")</f>
        <v/>
      </c>
      <c r="BQ786" s="197"/>
      <c r="BR786" s="328"/>
      <c r="BS786" s="455"/>
      <c r="BT786" s="456"/>
      <c r="BU786" s="447" t="str">
        <f t="shared" si="1160"/>
        <v/>
      </c>
      <c r="BV786" s="328"/>
      <c r="BW786" s="197" t="str">
        <f>IF(AND($I786="x",AND(MAX(BS786:BU786)=BS786,BS786&lt;&gt;"")),Data!$BI$2,"")</f>
        <v/>
      </c>
      <c r="BX786" s="197" t="str">
        <f>IF(AND($J786="x",AND(MAX(BS786:BU786)=BT786,BT786&lt;&gt;"")),Data!$BJ$2,"")</f>
        <v/>
      </c>
      <c r="BY786" s="197" t="str">
        <f>IF(AND($K786="x",AND(MAX(BS786:BU786)=BU786,BU786&lt;&gt;"")),Data!$BK$2,"")</f>
        <v/>
      </c>
      <c r="BZ786" s="197"/>
      <c r="CA786" s="328"/>
      <c r="CB786" s="463" t="str">
        <f t="shared" si="1161"/>
        <v/>
      </c>
      <c r="CC786" s="464" t="str">
        <f t="shared" si="1162"/>
        <v/>
      </c>
      <c r="CD786" s="465" t="str">
        <f t="shared" si="1163"/>
        <v/>
      </c>
      <c r="CE786" s="328"/>
      <c r="CF786" s="197" t="str">
        <f>IF(AND($I786="x",AND(MAX(CB786:CD786)=CB786,CB786&lt;&gt;"")),Data!$BI$2,"")</f>
        <v/>
      </c>
      <c r="CG786" s="197" t="str">
        <f>IF(AND($J786="x",AND(MAX(CB786:CD786)=CC786,CC786&lt;&gt;"")),Data!$BJ$2,"")</f>
        <v/>
      </c>
      <c r="CH786" s="197" t="str">
        <f>IF(AND($K786="x",AND(MAX(CB786:CD786)=CD786,CD786&lt;&gt;"")),Data!$BK$2,"")</f>
        <v/>
      </c>
      <c r="CI786" s="197"/>
      <c r="CJ786" s="197"/>
      <c r="CK786" s="455"/>
      <c r="CL786" s="456"/>
      <c r="CM786" s="447" t="str">
        <f t="shared" si="1164"/>
        <v/>
      </c>
      <c r="CN786" s="328"/>
      <c r="CO786" s="197" t="str">
        <f>IF(AND($I786="x",AND(MAX(CK786:CM786)=CK786,CK786&lt;&gt;"")),Data!$BI$2,"")</f>
        <v/>
      </c>
      <c r="CP786" s="197" t="str">
        <f>IF(AND($J786="x",AND(MAX(CK786:CM786)=CL786,CL786&lt;&gt;"")),Data!$BJ$2,"")</f>
        <v/>
      </c>
      <c r="CQ786" s="197" t="str">
        <f>IF(AND($K786="x",AND(MAX(CK786:CM786)=CM786,CM786&lt;&gt;"")),Data!$BK$2,"")</f>
        <v/>
      </c>
      <c r="CR786" s="197"/>
      <c r="CS786" s="197"/>
      <c r="CT786" s="328"/>
      <c r="CU786" s="259"/>
      <c r="CV786" s="209"/>
      <c r="CW786" s="227"/>
    </row>
    <row r="787" spans="1:101" x14ac:dyDescent="0.2">
      <c r="A787" s="227"/>
      <c r="B787" s="227"/>
      <c r="C787" s="168"/>
      <c r="D787" s="232"/>
      <c r="E787" s="137"/>
      <c r="F787" s="427"/>
      <c r="G787" s="434" t="s">
        <v>51</v>
      </c>
      <c r="H787" s="435"/>
      <c r="I787" s="138" t="str">
        <f t="shared" si="1151"/>
        <v/>
      </c>
      <c r="J787" s="344" t="str">
        <f t="shared" si="1152"/>
        <v/>
      </c>
      <c r="K787" s="345" t="str">
        <f t="shared" si="1153"/>
        <v/>
      </c>
      <c r="L787" s="258"/>
      <c r="M787" s="332"/>
      <c r="N787" s="336"/>
      <c r="O787" s="200"/>
      <c r="P787" s="200"/>
      <c r="Q787" s="448"/>
      <c r="R787" s="449"/>
      <c r="S787" s="450" t="str">
        <f t="shared" si="1154"/>
        <v/>
      </c>
      <c r="T787" s="328"/>
      <c r="U787" s="197" t="str">
        <f>IF(AND($I787="x",AND(MAX(Q787:S787)=Q787,Q787&gt;=0)),Data!$BI$2,"")</f>
        <v/>
      </c>
      <c r="V787" s="197" t="str">
        <f>IF(AND($J787="x",AND(MAX(Q787:S787)=R787,R787&gt;=0)),Data!$BJ$2,"")</f>
        <v/>
      </c>
      <c r="W787" s="197" t="str">
        <f>IF(AND($K787="x",AND(MAX(Q787:S787)=S787,S787&gt;=0)),Data!$BK$2,"")</f>
        <v/>
      </c>
      <c r="X787" s="197"/>
      <c r="Y787" s="328"/>
      <c r="Z787" s="451"/>
      <c r="AA787" s="452"/>
      <c r="AB787" s="450" t="str">
        <f t="shared" si="1155"/>
        <v/>
      </c>
      <c r="AC787" s="328"/>
      <c r="AD787" s="197" t="str">
        <f>IF(AND($I787="x",AND(MAX(Z787:AB787)=Z787,Z787&lt;&gt;"")),Data!$BI$2,"")</f>
        <v/>
      </c>
      <c r="AE787" s="197" t="str">
        <f>IF(AND($J787="x",AND(MAX(Z787:AB787)=AA787,AA787&lt;&gt;"")),Data!$BJ$2,"")</f>
        <v/>
      </c>
      <c r="AF787" s="197" t="str">
        <f>IF(AND($K787="x",AND(MAX(Z787:AB787)=AB787,AB787&lt;&gt;"")),Data!$BK$2,"")</f>
        <v/>
      </c>
      <c r="AG787" s="197"/>
      <c r="AH787" s="328"/>
      <c r="AI787" s="451"/>
      <c r="AJ787" s="452"/>
      <c r="AK787" s="450" t="str">
        <f t="shared" si="1156"/>
        <v/>
      </c>
      <c r="AL787" s="328"/>
      <c r="AM787" s="197" t="str">
        <f>IF(AND($I787="x",AND(MAX(AI787:AK787)=AI787,AI787&lt;&gt;"")),Data!$BI$2,"")</f>
        <v/>
      </c>
      <c r="AN787" s="197" t="str">
        <f>IF(AND($J787="x",AND(MAX(AI787:AK787)=AJ787,AJ787&lt;&gt;"")),Data!$BJ$2,"")</f>
        <v/>
      </c>
      <c r="AO787" s="197" t="str">
        <f>IF(AND($K787="x",AND(MAX(AI787:AK787)=AK787,AK787&lt;&gt;"")),Data!$BK$2,"")</f>
        <v/>
      </c>
      <c r="AP787" s="197"/>
      <c r="AQ787" s="328"/>
      <c r="AR787" s="451"/>
      <c r="AS787" s="452"/>
      <c r="AT787" s="450" t="str">
        <f t="shared" si="1157"/>
        <v/>
      </c>
      <c r="AU787" s="328"/>
      <c r="AV787" s="197" t="str">
        <f>IF(AND($I787="x",AND(MAX(AR787:AT787)=AR787,AR787&lt;&gt;"")),Data!$BI$2,"")</f>
        <v/>
      </c>
      <c r="AW787" s="197" t="str">
        <f>IF(AND($J787="x",AND(MAX(AR787:AT787)=AS787,AS787&lt;&gt;"")),Data!$BJ$2,"")</f>
        <v/>
      </c>
      <c r="AX787" s="197" t="str">
        <f>IF(AND($K787="x",AND(MAX(AR787:AT787)=AT787,AT787&lt;&gt;"")),Data!$BK$2,"")</f>
        <v/>
      </c>
      <c r="AY787" s="197"/>
      <c r="AZ787" s="328"/>
      <c r="BA787" s="451"/>
      <c r="BB787" s="452"/>
      <c r="BC787" s="450" t="str">
        <f t="shared" si="1158"/>
        <v/>
      </c>
      <c r="BD787" s="328"/>
      <c r="BE787" s="197" t="str">
        <f>IF(AND($I787="x",AND(MAX(BA787:BC787)=BA787,BA787&lt;&gt;"")),Data!$BI$2,"")</f>
        <v/>
      </c>
      <c r="BF787" s="197" t="str">
        <f>IF(AND($J787="x",AND(MAX(BA787:BC787)=BB787,BB787&lt;&gt;"")),Data!$BJ$2,"")</f>
        <v/>
      </c>
      <c r="BG787" s="197" t="str">
        <f>IF(AND($K787="x",AND(MAX(BA787:BC787)=BC787,BC787&lt;&gt;"")),Data!$BK$2,"")</f>
        <v/>
      </c>
      <c r="BH787" s="197"/>
      <c r="BI787" s="328"/>
      <c r="BJ787" s="451"/>
      <c r="BK787" s="452"/>
      <c r="BL787" s="450" t="str">
        <f t="shared" si="1159"/>
        <v/>
      </c>
      <c r="BM787" s="328"/>
      <c r="BN787" s="197" t="str">
        <f>IF(AND($I787="x",AND(MAX(BJ787:BL787)=BJ787,BJ787&lt;&gt;"")),Data!$BI$2,"")</f>
        <v/>
      </c>
      <c r="BO787" s="197" t="str">
        <f>IF(AND($J787="x",AND(MAX(BJ787:BL787)=BK787,BK787&lt;&gt;"")),Data!$BJ$2,"")</f>
        <v/>
      </c>
      <c r="BP787" s="197" t="str">
        <f>IF(AND($K787="x",AND(MAX(BJ787:BL787)=BL787,BL787&lt;&gt;"")),Data!$BK$2,"")</f>
        <v/>
      </c>
      <c r="BQ787" s="197"/>
      <c r="BR787" s="328"/>
      <c r="BS787" s="451"/>
      <c r="BT787" s="452"/>
      <c r="BU787" s="450" t="str">
        <f t="shared" si="1160"/>
        <v/>
      </c>
      <c r="BV787" s="328"/>
      <c r="BW787" s="197" t="str">
        <f>IF(AND($I787="x",AND(MAX(BS787:BU787)=BS787,BS787&lt;&gt;"")),Data!$BI$2,"")</f>
        <v/>
      </c>
      <c r="BX787" s="197" t="str">
        <f>IF(AND($J787="x",AND(MAX(BS787:BU787)=BT787,BT787&lt;&gt;"")),Data!$BJ$2,"")</f>
        <v/>
      </c>
      <c r="BY787" s="197" t="str">
        <f>IF(AND($K787="x",AND(MAX(BS787:BU787)=BU787,BU787&lt;&gt;"")),Data!$BK$2,"")</f>
        <v/>
      </c>
      <c r="BZ787" s="197"/>
      <c r="CA787" s="328"/>
      <c r="CB787" s="457" t="str">
        <f t="shared" si="1161"/>
        <v/>
      </c>
      <c r="CC787" s="458" t="str">
        <f t="shared" si="1162"/>
        <v/>
      </c>
      <c r="CD787" s="459" t="str">
        <f t="shared" si="1163"/>
        <v/>
      </c>
      <c r="CE787" s="328"/>
      <c r="CF787" s="197" t="str">
        <f>IF(AND($I787="x",AND(MAX(CB787:CD787)=CB787,CB787&lt;&gt;"")),Data!$BI$2,"")</f>
        <v/>
      </c>
      <c r="CG787" s="197" t="str">
        <f>IF(AND($J787="x",AND(MAX(CB787:CD787)=CC787,CC787&lt;&gt;"")),Data!$BJ$2,"")</f>
        <v/>
      </c>
      <c r="CH787" s="197" t="str">
        <f>IF(AND($K787="x",AND(MAX(CB787:CD787)=CD787,CD787&lt;&gt;"")),Data!$BK$2,"")</f>
        <v/>
      </c>
      <c r="CI787" s="197"/>
      <c r="CJ787" s="197"/>
      <c r="CK787" s="451"/>
      <c r="CL787" s="452"/>
      <c r="CM787" s="450" t="str">
        <f t="shared" si="1164"/>
        <v/>
      </c>
      <c r="CN787" s="328"/>
      <c r="CO787" s="197" t="str">
        <f>IF(AND($I787="x",AND(MAX(CK787:CM787)=CK787,CK787&lt;&gt;"")),Data!$BI$2,"")</f>
        <v/>
      </c>
      <c r="CP787" s="197" t="str">
        <f>IF(AND($J787="x",AND(MAX(CK787:CM787)=CL787,CL787&lt;&gt;"")),Data!$BJ$2,"")</f>
        <v/>
      </c>
      <c r="CQ787" s="197" t="str">
        <f>IF(AND($K787="x",AND(MAX(CK787:CM787)=CM787,CM787&lt;&gt;"")),Data!$BK$2,"")</f>
        <v/>
      </c>
      <c r="CR787" s="197"/>
      <c r="CS787" s="197"/>
      <c r="CT787" s="328"/>
      <c r="CU787" s="259"/>
      <c r="CV787" s="209"/>
      <c r="CW787" s="227"/>
    </row>
    <row r="788" spans="1:101" x14ac:dyDescent="0.2">
      <c r="A788" s="227"/>
      <c r="B788" s="227"/>
      <c r="C788" s="168"/>
      <c r="D788" s="232"/>
      <c r="E788" s="135"/>
      <c r="F788" s="425"/>
      <c r="G788" s="430" t="s">
        <v>51</v>
      </c>
      <c r="H788" s="431"/>
      <c r="I788" s="346" t="str">
        <f t="shared" si="1151"/>
        <v/>
      </c>
      <c r="J788" s="347" t="str">
        <f t="shared" si="1152"/>
        <v/>
      </c>
      <c r="K788" s="348" t="str">
        <f t="shared" si="1153"/>
        <v/>
      </c>
      <c r="L788" s="258"/>
      <c r="M788" s="332"/>
      <c r="N788" s="336"/>
      <c r="O788" s="200"/>
      <c r="P788" s="200"/>
      <c r="Q788" s="439"/>
      <c r="R788" s="440"/>
      <c r="S788" s="441" t="str">
        <f t="shared" si="1154"/>
        <v/>
      </c>
      <c r="T788" s="328"/>
      <c r="U788" s="197" t="str">
        <f>IF(AND($I788="x",AND(MAX(Q788:S788)=Q788,Q788&gt;=0)),Data!$BI$2,"")</f>
        <v/>
      </c>
      <c r="V788" s="197" t="str">
        <f>IF(AND($J788="x",AND(MAX(Q788:S788)=R788,R788&gt;=0)),Data!$BJ$2,"")</f>
        <v/>
      </c>
      <c r="W788" s="197" t="str">
        <f>IF(AND($K788="x",AND(MAX(Q788:S788)=S788,S788&gt;=0)),Data!$BK$2,"")</f>
        <v/>
      </c>
      <c r="X788" s="197"/>
      <c r="Y788" s="328"/>
      <c r="Z788" s="453"/>
      <c r="AA788" s="454"/>
      <c r="AB788" s="441" t="str">
        <f t="shared" si="1155"/>
        <v/>
      </c>
      <c r="AC788" s="328"/>
      <c r="AD788" s="197" t="str">
        <f>IF(AND($I788="x",AND(MAX(Z788:AB788)=Z788,Z788&lt;&gt;"")),Data!$BI$2,"")</f>
        <v/>
      </c>
      <c r="AE788" s="197" t="str">
        <f>IF(AND($J788="x",AND(MAX(Z788:AB788)=AA788,AA788&lt;&gt;"")),Data!$BJ$2,"")</f>
        <v/>
      </c>
      <c r="AF788" s="197" t="str">
        <f>IF(AND($K788="x",AND(MAX(Z788:AB788)=AB788,AB788&lt;&gt;"")),Data!$BK$2,"")</f>
        <v/>
      </c>
      <c r="AG788" s="197"/>
      <c r="AH788" s="328"/>
      <c r="AI788" s="453"/>
      <c r="AJ788" s="454"/>
      <c r="AK788" s="441" t="str">
        <f t="shared" si="1156"/>
        <v/>
      </c>
      <c r="AL788" s="328"/>
      <c r="AM788" s="197" t="str">
        <f>IF(AND($I788="x",AND(MAX(AI788:AK788)=AI788,AI788&lt;&gt;"")),Data!$BI$2,"")</f>
        <v/>
      </c>
      <c r="AN788" s="197" t="str">
        <f>IF(AND($J788="x",AND(MAX(AI788:AK788)=AJ788,AJ788&lt;&gt;"")),Data!$BJ$2,"")</f>
        <v/>
      </c>
      <c r="AO788" s="197" t="str">
        <f>IF(AND($K788="x",AND(MAX(AI788:AK788)=AK788,AK788&lt;&gt;"")),Data!$BK$2,"")</f>
        <v/>
      </c>
      <c r="AP788" s="197"/>
      <c r="AQ788" s="328"/>
      <c r="AR788" s="453"/>
      <c r="AS788" s="454"/>
      <c r="AT788" s="441" t="str">
        <f t="shared" si="1157"/>
        <v/>
      </c>
      <c r="AU788" s="328"/>
      <c r="AV788" s="197" t="str">
        <f>IF(AND($I788="x",AND(MAX(AR788:AT788)=AR788,AR788&lt;&gt;"")),Data!$BI$2,"")</f>
        <v/>
      </c>
      <c r="AW788" s="197" t="str">
        <f>IF(AND($J788="x",AND(MAX(AR788:AT788)=AS788,AS788&lt;&gt;"")),Data!$BJ$2,"")</f>
        <v/>
      </c>
      <c r="AX788" s="197" t="str">
        <f>IF(AND($K788="x",AND(MAX(AR788:AT788)=AT788,AT788&lt;&gt;"")),Data!$BK$2,"")</f>
        <v/>
      </c>
      <c r="AY788" s="197"/>
      <c r="AZ788" s="328"/>
      <c r="BA788" s="453"/>
      <c r="BB788" s="454"/>
      <c r="BC788" s="441" t="str">
        <f t="shared" si="1158"/>
        <v/>
      </c>
      <c r="BD788" s="328"/>
      <c r="BE788" s="197" t="str">
        <f>IF(AND($I788="x",AND(MAX(BA788:BC788)=BA788,BA788&lt;&gt;"")),Data!$BI$2,"")</f>
        <v/>
      </c>
      <c r="BF788" s="197" t="str">
        <f>IF(AND($J788="x",AND(MAX(BA788:BC788)=BB788,BB788&lt;&gt;"")),Data!$BJ$2,"")</f>
        <v/>
      </c>
      <c r="BG788" s="197" t="str">
        <f>IF(AND($K788="x",AND(MAX(BA788:BC788)=BC788,BC788&lt;&gt;"")),Data!$BK$2,"")</f>
        <v/>
      </c>
      <c r="BH788" s="197"/>
      <c r="BI788" s="328"/>
      <c r="BJ788" s="453"/>
      <c r="BK788" s="454"/>
      <c r="BL788" s="441" t="str">
        <f t="shared" si="1159"/>
        <v/>
      </c>
      <c r="BM788" s="328"/>
      <c r="BN788" s="197" t="str">
        <f>IF(AND($I788="x",AND(MAX(BJ788:BL788)=BJ788,BJ788&lt;&gt;"")),Data!$BI$2,"")</f>
        <v/>
      </c>
      <c r="BO788" s="197" t="str">
        <f>IF(AND($J788="x",AND(MAX(BJ788:BL788)=BK788,BK788&lt;&gt;"")),Data!$BJ$2,"")</f>
        <v/>
      </c>
      <c r="BP788" s="197" t="str">
        <f>IF(AND($K788="x",AND(MAX(BJ788:BL788)=BL788,BL788&lt;&gt;"")),Data!$BK$2,"")</f>
        <v/>
      </c>
      <c r="BQ788" s="197"/>
      <c r="BR788" s="328"/>
      <c r="BS788" s="453"/>
      <c r="BT788" s="454"/>
      <c r="BU788" s="441" t="str">
        <f t="shared" si="1160"/>
        <v/>
      </c>
      <c r="BV788" s="328"/>
      <c r="BW788" s="197" t="str">
        <f>IF(AND($I788="x",AND(MAX(BS788:BU788)=BS788,BS788&lt;&gt;"")),Data!$BI$2,"")</f>
        <v/>
      </c>
      <c r="BX788" s="197" t="str">
        <f>IF(AND($J788="x",AND(MAX(BS788:BU788)=BT788,BT788&lt;&gt;"")),Data!$BJ$2,"")</f>
        <v/>
      </c>
      <c r="BY788" s="197" t="str">
        <f>IF(AND($K788="x",AND(MAX(BS788:BU788)=BU788,BU788&lt;&gt;"")),Data!$BK$2,"")</f>
        <v/>
      </c>
      <c r="BZ788" s="197"/>
      <c r="CA788" s="328"/>
      <c r="CB788" s="460" t="str">
        <f t="shared" si="1161"/>
        <v/>
      </c>
      <c r="CC788" s="461" t="str">
        <f t="shared" si="1162"/>
        <v/>
      </c>
      <c r="CD788" s="462" t="str">
        <f t="shared" si="1163"/>
        <v/>
      </c>
      <c r="CE788" s="328"/>
      <c r="CF788" s="197" t="str">
        <f>IF(AND($I788="x",AND(MAX(CB788:CD788)=CB788,CB788&lt;&gt;"")),Data!$BI$2,"")</f>
        <v/>
      </c>
      <c r="CG788" s="197" t="str">
        <f>IF(AND($J788="x",AND(MAX(CB788:CD788)=CC788,CC788&lt;&gt;"")),Data!$BJ$2,"")</f>
        <v/>
      </c>
      <c r="CH788" s="197" t="str">
        <f>IF(AND($K788="x",AND(MAX(CB788:CD788)=CD788,CD788&lt;&gt;"")),Data!$BK$2,"")</f>
        <v/>
      </c>
      <c r="CI788" s="197"/>
      <c r="CJ788" s="197"/>
      <c r="CK788" s="453"/>
      <c r="CL788" s="454"/>
      <c r="CM788" s="441" t="str">
        <f t="shared" si="1164"/>
        <v/>
      </c>
      <c r="CN788" s="328"/>
      <c r="CO788" s="197" t="str">
        <f>IF(AND($I788="x",AND(MAX(CK788:CM788)=CK788,CK788&lt;&gt;"")),Data!$BI$2,"")</f>
        <v/>
      </c>
      <c r="CP788" s="197" t="str">
        <f>IF(AND($J788="x",AND(MAX(CK788:CM788)=CL788,CL788&lt;&gt;"")),Data!$BJ$2,"")</f>
        <v/>
      </c>
      <c r="CQ788" s="197" t="str">
        <f>IF(AND($K788="x",AND(MAX(CK788:CM788)=CM788,CM788&lt;&gt;"")),Data!$BK$2,"")</f>
        <v/>
      </c>
      <c r="CR788" s="197"/>
      <c r="CS788" s="197"/>
      <c r="CT788" s="328"/>
      <c r="CU788" s="259"/>
      <c r="CV788" s="209"/>
      <c r="CW788" s="227"/>
    </row>
    <row r="789" spans="1:101" x14ac:dyDescent="0.2">
      <c r="A789" s="227"/>
      <c r="B789" s="227"/>
      <c r="C789" s="168"/>
      <c r="D789" s="232"/>
      <c r="E789" s="136"/>
      <c r="F789" s="426"/>
      <c r="G789" s="432" t="s">
        <v>51</v>
      </c>
      <c r="H789" s="433"/>
      <c r="I789" s="349" t="str">
        <f t="shared" si="1151"/>
        <v/>
      </c>
      <c r="J789" s="350" t="str">
        <f t="shared" si="1152"/>
        <v/>
      </c>
      <c r="K789" s="351" t="str">
        <f t="shared" si="1153"/>
        <v/>
      </c>
      <c r="L789" s="258"/>
      <c r="M789" s="332"/>
      <c r="N789" s="336"/>
      <c r="O789" s="200"/>
      <c r="P789" s="200"/>
      <c r="Q789" s="445"/>
      <c r="R789" s="446"/>
      <c r="S789" s="447" t="str">
        <f t="shared" si="1154"/>
        <v/>
      </c>
      <c r="T789" s="328"/>
      <c r="U789" s="197" t="str">
        <f>IF(AND($I789="x",AND(MAX(Q789:S789)=Q789,Q789&gt;=0)),Data!$BI$2,"")</f>
        <v/>
      </c>
      <c r="V789" s="197" t="str">
        <f>IF(AND($J789="x",AND(MAX(Q789:S789)=R789,R789&gt;=0)),Data!$BJ$2,"")</f>
        <v/>
      </c>
      <c r="W789" s="197" t="str">
        <f>IF(AND($K789="x",AND(MAX(Q789:S789)=S789,S789&gt;=0)),Data!$BK$2,"")</f>
        <v/>
      </c>
      <c r="X789" s="197"/>
      <c r="Y789" s="328"/>
      <c r="Z789" s="455"/>
      <c r="AA789" s="456"/>
      <c r="AB789" s="447" t="str">
        <f t="shared" si="1155"/>
        <v/>
      </c>
      <c r="AC789" s="328"/>
      <c r="AD789" s="197" t="str">
        <f>IF(AND($I789="x",AND(MAX(Z789:AB789)=Z789,Z789&lt;&gt;"")),Data!$BI$2,"")</f>
        <v/>
      </c>
      <c r="AE789" s="197" t="str">
        <f>IF(AND($J789="x",AND(MAX(Z789:AB789)=AA789,AA789&lt;&gt;"")),Data!$BJ$2,"")</f>
        <v/>
      </c>
      <c r="AF789" s="197" t="str">
        <f>IF(AND($K789="x",AND(MAX(Z789:AB789)=AB789,AB789&lt;&gt;"")),Data!$BK$2,"")</f>
        <v/>
      </c>
      <c r="AG789" s="197"/>
      <c r="AH789" s="328"/>
      <c r="AI789" s="455"/>
      <c r="AJ789" s="456"/>
      <c r="AK789" s="447" t="str">
        <f t="shared" si="1156"/>
        <v/>
      </c>
      <c r="AL789" s="328"/>
      <c r="AM789" s="197" t="str">
        <f>IF(AND($I789="x",AND(MAX(AI789:AK789)=AI789,AI789&lt;&gt;"")),Data!$BI$2,"")</f>
        <v/>
      </c>
      <c r="AN789" s="197" t="str">
        <f>IF(AND($J789="x",AND(MAX(AI789:AK789)=AJ789,AJ789&lt;&gt;"")),Data!$BJ$2,"")</f>
        <v/>
      </c>
      <c r="AO789" s="197" t="str">
        <f>IF(AND($K789="x",AND(MAX(AI789:AK789)=AK789,AK789&lt;&gt;"")),Data!$BK$2,"")</f>
        <v/>
      </c>
      <c r="AP789" s="197"/>
      <c r="AQ789" s="328"/>
      <c r="AR789" s="455"/>
      <c r="AS789" s="456"/>
      <c r="AT789" s="447" t="str">
        <f t="shared" si="1157"/>
        <v/>
      </c>
      <c r="AU789" s="328"/>
      <c r="AV789" s="197" t="str">
        <f>IF(AND($I789="x",AND(MAX(AR789:AT789)=AR789,AR789&lt;&gt;"")),Data!$BI$2,"")</f>
        <v/>
      </c>
      <c r="AW789" s="197" t="str">
        <f>IF(AND($J789="x",AND(MAX(AR789:AT789)=AS789,AS789&lt;&gt;"")),Data!$BJ$2,"")</f>
        <v/>
      </c>
      <c r="AX789" s="197" t="str">
        <f>IF(AND($K789="x",AND(MAX(AR789:AT789)=AT789,AT789&lt;&gt;"")),Data!$BK$2,"")</f>
        <v/>
      </c>
      <c r="AY789" s="197"/>
      <c r="AZ789" s="328"/>
      <c r="BA789" s="455"/>
      <c r="BB789" s="456"/>
      <c r="BC789" s="447" t="str">
        <f t="shared" si="1158"/>
        <v/>
      </c>
      <c r="BD789" s="328"/>
      <c r="BE789" s="197" t="str">
        <f>IF(AND($I789="x",AND(MAX(BA789:BC789)=BA789,BA789&lt;&gt;"")),Data!$BI$2,"")</f>
        <v/>
      </c>
      <c r="BF789" s="197" t="str">
        <f>IF(AND($J789="x",AND(MAX(BA789:BC789)=BB789,BB789&lt;&gt;"")),Data!$BJ$2,"")</f>
        <v/>
      </c>
      <c r="BG789" s="197" t="str">
        <f>IF(AND($K789="x",AND(MAX(BA789:BC789)=BC789,BC789&lt;&gt;"")),Data!$BK$2,"")</f>
        <v/>
      </c>
      <c r="BH789" s="197"/>
      <c r="BI789" s="328"/>
      <c r="BJ789" s="455"/>
      <c r="BK789" s="456"/>
      <c r="BL789" s="447" t="str">
        <f t="shared" si="1159"/>
        <v/>
      </c>
      <c r="BM789" s="328"/>
      <c r="BN789" s="197" t="str">
        <f>IF(AND($I789="x",AND(MAX(BJ789:BL789)=BJ789,BJ789&lt;&gt;"")),Data!$BI$2,"")</f>
        <v/>
      </c>
      <c r="BO789" s="197" t="str">
        <f>IF(AND($J789="x",AND(MAX(BJ789:BL789)=BK789,BK789&lt;&gt;"")),Data!$BJ$2,"")</f>
        <v/>
      </c>
      <c r="BP789" s="197" t="str">
        <f>IF(AND($K789="x",AND(MAX(BJ789:BL789)=BL789,BL789&lt;&gt;"")),Data!$BK$2,"")</f>
        <v/>
      </c>
      <c r="BQ789" s="197"/>
      <c r="BR789" s="328"/>
      <c r="BS789" s="455"/>
      <c r="BT789" s="456"/>
      <c r="BU789" s="447" t="str">
        <f t="shared" si="1160"/>
        <v/>
      </c>
      <c r="BV789" s="328"/>
      <c r="BW789" s="197" t="str">
        <f>IF(AND($I789="x",AND(MAX(BS789:BU789)=BS789,BS789&lt;&gt;"")),Data!$BI$2,"")</f>
        <v/>
      </c>
      <c r="BX789" s="197" t="str">
        <f>IF(AND($J789="x",AND(MAX(BS789:BU789)=BT789,BT789&lt;&gt;"")),Data!$BJ$2,"")</f>
        <v/>
      </c>
      <c r="BY789" s="197" t="str">
        <f>IF(AND($K789="x",AND(MAX(BS789:BU789)=BU789,BU789&lt;&gt;"")),Data!$BK$2,"")</f>
        <v/>
      </c>
      <c r="BZ789" s="197"/>
      <c r="CA789" s="328"/>
      <c r="CB789" s="463" t="str">
        <f t="shared" si="1161"/>
        <v/>
      </c>
      <c r="CC789" s="464" t="str">
        <f t="shared" si="1162"/>
        <v/>
      </c>
      <c r="CD789" s="465" t="str">
        <f t="shared" si="1163"/>
        <v/>
      </c>
      <c r="CE789" s="328"/>
      <c r="CF789" s="197" t="str">
        <f>IF(AND($I789="x",AND(MAX(CB789:CD789)=CB789,CB789&lt;&gt;"")),Data!$BI$2,"")</f>
        <v/>
      </c>
      <c r="CG789" s="197" t="str">
        <f>IF(AND($J789="x",AND(MAX(CB789:CD789)=CC789,CC789&lt;&gt;"")),Data!$BJ$2,"")</f>
        <v/>
      </c>
      <c r="CH789" s="197" t="str">
        <f>IF(AND($K789="x",AND(MAX(CB789:CD789)=CD789,CD789&lt;&gt;"")),Data!$BK$2,"")</f>
        <v/>
      </c>
      <c r="CI789" s="197"/>
      <c r="CJ789" s="197"/>
      <c r="CK789" s="455"/>
      <c r="CL789" s="456"/>
      <c r="CM789" s="447" t="str">
        <f t="shared" si="1164"/>
        <v/>
      </c>
      <c r="CN789" s="328"/>
      <c r="CO789" s="197" t="str">
        <f>IF(AND($I789="x",AND(MAX(CK789:CM789)=CK789,CK789&lt;&gt;"")),Data!$BI$2,"")</f>
        <v/>
      </c>
      <c r="CP789" s="197" t="str">
        <f>IF(AND($J789="x",AND(MAX(CK789:CM789)=CL789,CL789&lt;&gt;"")),Data!$BJ$2,"")</f>
        <v/>
      </c>
      <c r="CQ789" s="197" t="str">
        <f>IF(AND($K789="x",AND(MAX(CK789:CM789)=CM789,CM789&lt;&gt;"")),Data!$BK$2,"")</f>
        <v/>
      </c>
      <c r="CR789" s="197"/>
      <c r="CS789" s="197"/>
      <c r="CT789" s="328"/>
      <c r="CU789" s="259"/>
      <c r="CV789" s="209"/>
      <c r="CW789" s="227"/>
    </row>
    <row r="790" spans="1:101" x14ac:dyDescent="0.2">
      <c r="A790" s="227"/>
      <c r="B790" s="227"/>
      <c r="C790" s="168"/>
      <c r="D790" s="233"/>
      <c r="E790" s="199"/>
      <c r="F790" s="352" t="str">
        <f>IF(SUM(F778:F789)=0,"",SUM(F778:F789))</f>
        <v/>
      </c>
      <c r="G790" s="327" t="s">
        <v>51</v>
      </c>
      <c r="H790" s="353" t="str">
        <f>IF(SUM(H778:H789)=0,"",SUM(H778:H789))</f>
        <v/>
      </c>
      <c r="I790" s="354" t="str">
        <f>IF(COUNTIF(I778:I789,"=x")=0,"",COUNTIF(I778:I789,"=x"))</f>
        <v/>
      </c>
      <c r="J790" s="355" t="str">
        <f>IF(COUNTIF(J778:J789,"=x")=0,"",COUNTIF(J778:J789,"=x"))</f>
        <v/>
      </c>
      <c r="K790" s="356" t="str">
        <f>IF(COUNTIF(K778:K789,"=x")=0,"",COUNTIF(K778:K789,"=x"))</f>
        <v/>
      </c>
      <c r="L790" s="258"/>
      <c r="M790" s="332"/>
      <c r="N790" s="336"/>
      <c r="O790" s="200"/>
      <c r="P790" s="326"/>
      <c r="Q790" s="422">
        <f>SUM(U778:U789)</f>
        <v>0</v>
      </c>
      <c r="R790" s="422">
        <f t="shared" ref="R790:S790" si="1165">SUM(V778:V789)</f>
        <v>0</v>
      </c>
      <c r="S790" s="422">
        <f t="shared" si="1165"/>
        <v>0</v>
      </c>
      <c r="T790" s="325"/>
      <c r="U790" s="197">
        <f>SUM(U778:U789)</f>
        <v>0</v>
      </c>
      <c r="V790" s="197">
        <f t="shared" ref="V790:W790" si="1166">SUM(V778:V789)</f>
        <v>0</v>
      </c>
      <c r="W790" s="197">
        <f t="shared" si="1166"/>
        <v>0</v>
      </c>
      <c r="X790" s="197"/>
      <c r="Y790" s="324"/>
      <c r="Z790" s="422">
        <f>SUM(AD778:AD789)</f>
        <v>0</v>
      </c>
      <c r="AA790" s="422">
        <f t="shared" ref="AA790:AB790" si="1167">SUM(AE778:AE789)</f>
        <v>0</v>
      </c>
      <c r="AB790" s="422">
        <f t="shared" si="1167"/>
        <v>0</v>
      </c>
      <c r="AC790" s="325"/>
      <c r="AD790" s="197">
        <f>SUM(AD778:AD789)</f>
        <v>0</v>
      </c>
      <c r="AE790" s="197">
        <f t="shared" ref="AE790:AF790" si="1168">SUM(AE778:AE789)</f>
        <v>0</v>
      </c>
      <c r="AF790" s="197">
        <f t="shared" si="1168"/>
        <v>0</v>
      </c>
      <c r="AG790" s="197"/>
      <c r="AH790" s="324"/>
      <c r="AI790" s="422">
        <f>SUM(AM778:AM789)</f>
        <v>0</v>
      </c>
      <c r="AJ790" s="422">
        <f t="shared" ref="AJ790:AK790" si="1169">SUM(AN778:AN789)</f>
        <v>0</v>
      </c>
      <c r="AK790" s="422">
        <f t="shared" si="1169"/>
        <v>0</v>
      </c>
      <c r="AL790" s="325"/>
      <c r="AM790" s="197">
        <f>SUM(AM778:AM789)</f>
        <v>0</v>
      </c>
      <c r="AN790" s="197">
        <f t="shared" ref="AN790:AO790" si="1170">SUM(AN778:AN789)</f>
        <v>0</v>
      </c>
      <c r="AO790" s="197">
        <f t="shared" si="1170"/>
        <v>0</v>
      </c>
      <c r="AP790" s="197"/>
      <c r="AQ790" s="324"/>
      <c r="AR790" s="422">
        <f>SUM(AV778:AV789)</f>
        <v>0</v>
      </c>
      <c r="AS790" s="422">
        <f t="shared" ref="AS790:AT790" si="1171">SUM(AW778:AW789)</f>
        <v>0</v>
      </c>
      <c r="AT790" s="422">
        <f t="shared" si="1171"/>
        <v>0</v>
      </c>
      <c r="AU790" s="325"/>
      <c r="AV790" s="197">
        <f>SUM(AV778:AV789)</f>
        <v>0</v>
      </c>
      <c r="AW790" s="197">
        <f t="shared" ref="AW790:AX790" si="1172">SUM(AW778:AW789)</f>
        <v>0</v>
      </c>
      <c r="AX790" s="197">
        <f t="shared" si="1172"/>
        <v>0</v>
      </c>
      <c r="AY790" s="197"/>
      <c r="AZ790" s="324"/>
      <c r="BA790" s="422">
        <f>SUM(BE778:BE789)</f>
        <v>0</v>
      </c>
      <c r="BB790" s="422">
        <f t="shared" ref="BB790:BC790" si="1173">SUM(BF778:BF789)</f>
        <v>0</v>
      </c>
      <c r="BC790" s="422">
        <f t="shared" si="1173"/>
        <v>0</v>
      </c>
      <c r="BD790" s="325"/>
      <c r="BE790" s="197">
        <f>SUM(BE778:BE789)</f>
        <v>0</v>
      </c>
      <c r="BF790" s="197">
        <f t="shared" ref="BF790:BG790" si="1174">SUM(BF778:BF789)</f>
        <v>0</v>
      </c>
      <c r="BG790" s="197">
        <f t="shared" si="1174"/>
        <v>0</v>
      </c>
      <c r="BH790" s="197"/>
      <c r="BI790" s="324"/>
      <c r="BJ790" s="422">
        <f>SUM(BN778:BN789)</f>
        <v>0</v>
      </c>
      <c r="BK790" s="422">
        <f t="shared" ref="BK790" si="1175">SUM(BO778:BO789)</f>
        <v>0</v>
      </c>
      <c r="BL790" s="422">
        <f t="shared" ref="BL790" si="1176">SUM(BP778:BP789)</f>
        <v>0</v>
      </c>
      <c r="BM790" s="325"/>
      <c r="BN790" s="197">
        <f>SUM(BN778:BN789)</f>
        <v>0</v>
      </c>
      <c r="BO790" s="197">
        <f t="shared" ref="BO790:BP790" si="1177">SUM(BO778:BO789)</f>
        <v>0</v>
      </c>
      <c r="BP790" s="197">
        <f t="shared" si="1177"/>
        <v>0</v>
      </c>
      <c r="BQ790" s="197"/>
      <c r="BR790" s="324"/>
      <c r="BS790" s="422">
        <f>SUM(BW778:BW789)</f>
        <v>0</v>
      </c>
      <c r="BT790" s="422">
        <f t="shared" ref="BT790:BU790" si="1178">SUM(BX778:BX789)</f>
        <v>0</v>
      </c>
      <c r="BU790" s="422">
        <f t="shared" si="1178"/>
        <v>0</v>
      </c>
      <c r="BV790" s="325"/>
      <c r="BW790" s="197">
        <f>SUM(BW778:BW789)</f>
        <v>0</v>
      </c>
      <c r="BX790" s="197">
        <f t="shared" ref="BX790:BY790" si="1179">SUM(BX778:BX789)</f>
        <v>0</v>
      </c>
      <c r="BY790" s="197">
        <f t="shared" si="1179"/>
        <v>0</v>
      </c>
      <c r="BZ790" s="197"/>
      <c r="CA790" s="326"/>
      <c r="CB790" s="422">
        <f>SUM(CF778:CF789)</f>
        <v>0</v>
      </c>
      <c r="CC790" s="422">
        <f t="shared" ref="CC790:CD790" si="1180">SUM(CG778:CG789)</f>
        <v>0</v>
      </c>
      <c r="CD790" s="422">
        <f t="shared" si="1180"/>
        <v>0</v>
      </c>
      <c r="CE790" s="325"/>
      <c r="CF790" s="197">
        <f>SUM(CF778:CF789)</f>
        <v>0</v>
      </c>
      <c r="CG790" s="197">
        <f t="shared" ref="CG790:CH790" si="1181">SUM(CG778:CG789)</f>
        <v>0</v>
      </c>
      <c r="CH790" s="197">
        <f t="shared" si="1181"/>
        <v>0</v>
      </c>
      <c r="CI790" s="197"/>
      <c r="CJ790" s="197"/>
      <c r="CK790" s="422">
        <f>SUM(CO778:CO789)</f>
        <v>0</v>
      </c>
      <c r="CL790" s="422">
        <f t="shared" ref="CL790:CM790" si="1182">SUM(CP778:CP789)</f>
        <v>0</v>
      </c>
      <c r="CM790" s="422">
        <f t="shared" si="1182"/>
        <v>0</v>
      </c>
      <c r="CN790" s="325"/>
      <c r="CO790" s="197">
        <f>SUM(CO778:CO789)</f>
        <v>0</v>
      </c>
      <c r="CP790" s="197">
        <f t="shared" ref="CP790:CQ790" si="1183">SUM(CP778:CP789)</f>
        <v>0</v>
      </c>
      <c r="CQ790" s="197">
        <f t="shared" si="1183"/>
        <v>0</v>
      </c>
      <c r="CR790" s="197"/>
      <c r="CS790" s="197"/>
      <c r="CT790" s="197"/>
      <c r="CU790" s="259"/>
      <c r="CV790" s="209"/>
      <c r="CW790" s="228"/>
    </row>
    <row r="791" spans="1:101" x14ac:dyDescent="0.2">
      <c r="A791" s="227"/>
      <c r="B791" s="227"/>
      <c r="C791" s="168"/>
      <c r="D791" s="249"/>
      <c r="E791" s="242"/>
      <c r="F791" s="243"/>
      <c r="G791" s="242"/>
      <c r="H791" s="242"/>
      <c r="I791" s="242"/>
      <c r="J791" s="242"/>
      <c r="K791" s="242"/>
      <c r="L791" s="252"/>
      <c r="M791" s="260"/>
      <c r="N791" s="337"/>
      <c r="O791" s="333"/>
      <c r="P791" s="244"/>
      <c r="Q791" s="245"/>
      <c r="R791" s="245"/>
      <c r="S791" s="245"/>
      <c r="T791" s="246"/>
      <c r="U791" s="247"/>
      <c r="V791" s="247"/>
      <c r="W791" s="247"/>
      <c r="X791" s="247"/>
      <c r="Y791" s="244"/>
      <c r="Z791" s="245"/>
      <c r="AA791" s="245"/>
      <c r="AB791" s="245"/>
      <c r="AC791" s="246"/>
      <c r="AD791" s="247"/>
      <c r="AE791" s="247"/>
      <c r="AF791" s="247"/>
      <c r="AG791" s="247"/>
      <c r="AH791" s="244"/>
      <c r="AI791" s="245"/>
      <c r="AJ791" s="245"/>
      <c r="AK791" s="245"/>
      <c r="AL791" s="246"/>
      <c r="AM791" s="247"/>
      <c r="AN791" s="247"/>
      <c r="AO791" s="247"/>
      <c r="AP791" s="247"/>
      <c r="AQ791" s="244"/>
      <c r="AR791" s="245"/>
      <c r="AS791" s="245"/>
      <c r="AT791" s="245"/>
      <c r="AU791" s="246"/>
      <c r="AV791" s="247"/>
      <c r="AW791" s="247"/>
      <c r="AX791" s="247"/>
      <c r="AY791" s="247"/>
      <c r="AZ791" s="244"/>
      <c r="BA791" s="245"/>
      <c r="BB791" s="245"/>
      <c r="BC791" s="245"/>
      <c r="BD791" s="246"/>
      <c r="BE791" s="247"/>
      <c r="BF791" s="247"/>
      <c r="BG791" s="247"/>
      <c r="BH791" s="247"/>
      <c r="BI791" s="244"/>
      <c r="BJ791" s="244"/>
      <c r="BK791" s="244"/>
      <c r="BL791" s="244"/>
      <c r="BM791" s="244"/>
      <c r="BN791" s="247"/>
      <c r="BO791" s="247"/>
      <c r="BP791" s="247"/>
      <c r="BQ791" s="247"/>
      <c r="BR791" s="244"/>
      <c r="BS791" s="244"/>
      <c r="BT791" s="244"/>
      <c r="BU791" s="244"/>
      <c r="BV791" s="244"/>
      <c r="BW791" s="247"/>
      <c r="BX791" s="247"/>
      <c r="BY791" s="247"/>
      <c r="BZ791" s="247"/>
      <c r="CA791" s="244"/>
      <c r="CB791" s="244"/>
      <c r="CC791" s="244"/>
      <c r="CD791" s="244"/>
      <c r="CE791" s="244"/>
      <c r="CF791" s="247"/>
      <c r="CG791" s="247"/>
      <c r="CH791" s="247"/>
      <c r="CI791" s="247"/>
      <c r="CJ791" s="248"/>
      <c r="CK791" s="248"/>
      <c r="CL791" s="248"/>
      <c r="CM791" s="248"/>
      <c r="CN791" s="248"/>
      <c r="CO791" s="247"/>
      <c r="CP791" s="247"/>
      <c r="CQ791" s="247"/>
      <c r="CR791" s="247"/>
      <c r="CS791" s="248"/>
      <c r="CT791" s="242"/>
      <c r="CU791" s="253"/>
      <c r="CV791" s="209"/>
      <c r="CW791" s="228"/>
    </row>
    <row r="792" spans="1:101" x14ac:dyDescent="0.2">
      <c r="A792" s="219"/>
      <c r="B792" s="219"/>
      <c r="C792" s="175"/>
      <c r="D792" s="176"/>
      <c r="E792" s="210"/>
      <c r="F792" s="211"/>
      <c r="G792" s="210"/>
      <c r="H792" s="210"/>
      <c r="I792" s="210"/>
      <c r="J792" s="210"/>
      <c r="K792" s="210"/>
      <c r="L792" s="212"/>
      <c r="M792" s="213"/>
      <c r="N792" s="213"/>
      <c r="O792" s="213"/>
      <c r="P792" s="213"/>
      <c r="Q792" s="210"/>
      <c r="R792" s="210"/>
      <c r="S792" s="210"/>
      <c r="T792" s="214"/>
      <c r="U792" s="215"/>
      <c r="V792" s="215"/>
      <c r="W792" s="215"/>
      <c r="X792" s="215"/>
      <c r="Y792" s="213"/>
      <c r="Z792" s="210"/>
      <c r="AA792" s="210"/>
      <c r="AB792" s="210"/>
      <c r="AC792" s="214"/>
      <c r="AD792" s="215"/>
      <c r="AE792" s="215"/>
      <c r="AF792" s="215"/>
      <c r="AG792" s="215"/>
      <c r="AH792" s="213"/>
      <c r="AI792" s="210"/>
      <c r="AJ792" s="210"/>
      <c r="AK792" s="210"/>
      <c r="AL792" s="214"/>
      <c r="AM792" s="215"/>
      <c r="AN792" s="215"/>
      <c r="AO792" s="215"/>
      <c r="AP792" s="215"/>
      <c r="AQ792" s="213"/>
      <c r="AR792" s="210"/>
      <c r="AS792" s="210"/>
      <c r="AT792" s="210"/>
      <c r="AU792" s="214"/>
      <c r="AV792" s="215"/>
      <c r="AW792" s="215"/>
      <c r="AX792" s="215"/>
      <c r="AY792" s="215"/>
      <c r="AZ792" s="213"/>
      <c r="BA792" s="210"/>
      <c r="BB792" s="210"/>
      <c r="BC792" s="210"/>
      <c r="BD792" s="214"/>
      <c r="BE792" s="215"/>
      <c r="BF792" s="215"/>
      <c r="BG792" s="215"/>
      <c r="BH792" s="215"/>
      <c r="BI792" s="213"/>
      <c r="BJ792" s="210"/>
      <c r="BK792" s="210"/>
      <c r="BL792" s="210"/>
      <c r="BM792" s="214"/>
      <c r="BN792" s="215"/>
      <c r="BO792" s="215"/>
      <c r="BP792" s="215"/>
      <c r="BQ792" s="215"/>
      <c r="BR792" s="177"/>
      <c r="BS792" s="210"/>
      <c r="BT792" s="210"/>
      <c r="BU792" s="210"/>
      <c r="BV792" s="213"/>
      <c r="BW792" s="215"/>
      <c r="BX792" s="215"/>
      <c r="BY792" s="215"/>
      <c r="BZ792" s="215"/>
      <c r="CA792" s="210"/>
      <c r="CB792" s="216"/>
      <c r="CC792" s="216"/>
      <c r="CD792" s="216"/>
      <c r="CE792" s="216"/>
      <c r="CF792" s="215"/>
      <c r="CG792" s="215"/>
      <c r="CH792" s="215"/>
      <c r="CI792" s="215"/>
      <c r="CJ792" s="210"/>
      <c r="CK792" s="210"/>
      <c r="CL792" s="210"/>
      <c r="CM792" s="210"/>
      <c r="CN792" s="210"/>
      <c r="CO792" s="215"/>
      <c r="CP792" s="215"/>
      <c r="CQ792" s="215"/>
      <c r="CR792" s="215"/>
      <c r="CS792" s="210"/>
      <c r="CT792" s="210"/>
      <c r="CU792" s="210"/>
      <c r="CV792" s="217"/>
      <c r="CW792" s="218"/>
    </row>
    <row r="793" spans="1:101" ht="14.25" thickTop="1" thickBot="1" x14ac:dyDescent="0.25">
      <c r="A793" s="218"/>
      <c r="B793" s="218"/>
      <c r="C793" s="218"/>
      <c r="D793" s="218"/>
      <c r="E793" s="218"/>
      <c r="F793" s="218"/>
      <c r="G793" s="218"/>
      <c r="H793" s="218"/>
      <c r="I793" s="218"/>
      <c r="J793" s="218"/>
      <c r="K793" s="218"/>
      <c r="L793" s="218"/>
      <c r="M793" s="218"/>
      <c r="N793" s="218"/>
      <c r="O793" s="218"/>
      <c r="P793" s="218"/>
      <c r="Q793" s="218"/>
      <c r="R793" s="218"/>
      <c r="S793" s="218"/>
      <c r="T793" s="218"/>
      <c r="U793" s="218"/>
      <c r="V793" s="218"/>
      <c r="W793" s="218"/>
      <c r="X793" s="218"/>
      <c r="Y793" s="218"/>
      <c r="Z793" s="218"/>
      <c r="AA793" s="218"/>
      <c r="AB793" s="218"/>
      <c r="AC793" s="218"/>
      <c r="AD793" s="218"/>
      <c r="AE793" s="218"/>
      <c r="AF793" s="218"/>
      <c r="AG793" s="218"/>
      <c r="AH793" s="218"/>
      <c r="AI793" s="218"/>
      <c r="AJ793" s="218"/>
      <c r="AK793" s="218"/>
      <c r="AL793" s="218"/>
      <c r="AM793" s="218"/>
      <c r="AN793" s="218"/>
      <c r="AO793" s="218"/>
      <c r="AP793" s="218"/>
      <c r="AQ793" s="218"/>
      <c r="AR793" s="218"/>
      <c r="AS793" s="218"/>
      <c r="AT793" s="218"/>
      <c r="AU793" s="218"/>
      <c r="AV793" s="218"/>
      <c r="AW793" s="218"/>
      <c r="AX793" s="218"/>
      <c r="AY793" s="218"/>
      <c r="AZ793" s="218"/>
      <c r="BA793" s="218"/>
      <c r="BB793" s="218"/>
      <c r="BC793" s="218"/>
      <c r="BD793" s="218"/>
      <c r="BE793" s="218"/>
      <c r="BF793" s="218"/>
      <c r="BG793" s="218"/>
      <c r="BH793" s="218"/>
      <c r="BI793" s="218"/>
      <c r="BJ793" s="218"/>
      <c r="BK793" s="218"/>
      <c r="BL793" s="218"/>
      <c r="BM793" s="218"/>
      <c r="BN793" s="218"/>
      <c r="BO793" s="218"/>
      <c r="BP793" s="218"/>
      <c r="BQ793" s="218"/>
      <c r="BR793" s="218"/>
      <c r="BS793" s="218"/>
      <c r="BT793" s="218"/>
      <c r="BU793" s="218"/>
      <c r="BV793" s="218"/>
      <c r="BW793" s="218"/>
      <c r="BX793" s="218"/>
      <c r="BY793" s="218"/>
      <c r="BZ793" s="218"/>
      <c r="CA793" s="218"/>
      <c r="CB793" s="392"/>
      <c r="CC793" s="392"/>
      <c r="CD793" s="392"/>
      <c r="CE793" s="392"/>
      <c r="CF793" s="218"/>
      <c r="CG793" s="218"/>
      <c r="CH793" s="218"/>
      <c r="CI793" s="218"/>
      <c r="CJ793" s="218"/>
      <c r="CK793" s="218"/>
      <c r="CL793" s="218"/>
      <c r="CM793" s="218"/>
      <c r="CN793" s="218"/>
      <c r="CO793" s="218"/>
      <c r="CP793" s="218"/>
      <c r="CQ793" s="218"/>
      <c r="CR793" s="218"/>
      <c r="CS793" s="218"/>
      <c r="CT793" s="218"/>
      <c r="CU793" s="218"/>
      <c r="CV793" s="218"/>
      <c r="CW793" s="218"/>
    </row>
    <row r="794" spans="1:101" ht="21" thickTop="1" x14ac:dyDescent="0.3">
      <c r="A794" s="219"/>
      <c r="B794" s="219"/>
      <c r="C794" s="157"/>
      <c r="D794" s="158"/>
      <c r="E794" s="731" t="s">
        <v>44</v>
      </c>
      <c r="F794" s="229"/>
      <c r="G794" s="229"/>
      <c r="H794" s="229"/>
      <c r="I794" s="877" t="e" vm="1">
        <v>#VALUE!</v>
      </c>
      <c r="J794" s="877"/>
      <c r="K794" s="877"/>
      <c r="L794" s="877"/>
      <c r="M794" s="159"/>
      <c r="N794" s="159"/>
      <c r="O794" s="159"/>
      <c r="P794" s="160"/>
      <c r="Q794" s="159"/>
      <c r="R794" s="159"/>
      <c r="S794" s="159"/>
      <c r="T794" s="161"/>
      <c r="U794" s="162"/>
      <c r="V794" s="162"/>
      <c r="W794" s="162"/>
      <c r="X794" s="162"/>
      <c r="Y794" s="160"/>
      <c r="Z794" s="159"/>
      <c r="AA794" s="159"/>
      <c r="AB794" s="159"/>
      <c r="AC794" s="161"/>
      <c r="AD794" s="162"/>
      <c r="AE794" s="162"/>
      <c r="AF794" s="162"/>
      <c r="AG794" s="162"/>
      <c r="AH794" s="160"/>
      <c r="AI794" s="159"/>
      <c r="AJ794" s="201"/>
      <c r="AK794" s="201"/>
      <c r="AL794" s="164"/>
      <c r="AM794" s="162"/>
      <c r="AN794" s="162"/>
      <c r="AO794" s="162"/>
      <c r="AP794" s="162"/>
      <c r="AQ794" s="202"/>
      <c r="AR794" s="203"/>
      <c r="AS794" s="165"/>
      <c r="AT794" s="166"/>
      <c r="AU794" s="164"/>
      <c r="AV794" s="162"/>
      <c r="AW794" s="162"/>
      <c r="AX794" s="162"/>
      <c r="AY794" s="162"/>
      <c r="AZ794" s="202"/>
      <c r="BA794" s="203"/>
      <c r="BB794" s="166"/>
      <c r="BC794" s="201"/>
      <c r="BD794" s="204"/>
      <c r="BE794" s="162"/>
      <c r="BF794" s="162"/>
      <c r="BG794" s="162"/>
      <c r="BH794" s="162"/>
      <c r="BI794" s="205"/>
      <c r="BJ794" s="201"/>
      <c r="BK794" s="201"/>
      <c r="BL794" s="201"/>
      <c r="BM794" s="204"/>
      <c r="BN794" s="162"/>
      <c r="BO794" s="162"/>
      <c r="BP794" s="162"/>
      <c r="BQ794" s="162"/>
      <c r="BR794" s="167"/>
      <c r="BS794" s="201"/>
      <c r="BT794" s="201"/>
      <c r="BU794" s="201"/>
      <c r="BV794" s="205"/>
      <c r="BW794" s="162"/>
      <c r="BX794" s="162"/>
      <c r="BY794" s="162"/>
      <c r="BZ794" s="162"/>
      <c r="CA794" s="201"/>
      <c r="CB794" s="393"/>
      <c r="CC794" s="393"/>
      <c r="CD794" s="393"/>
      <c r="CE794" s="393"/>
      <c r="CF794" s="162"/>
      <c r="CG794" s="162"/>
      <c r="CH794" s="162"/>
      <c r="CI794" s="162"/>
      <c r="CJ794" s="163"/>
      <c r="CK794" s="163"/>
      <c r="CL794" s="163"/>
      <c r="CM794" s="163"/>
      <c r="CN794" s="163"/>
      <c r="CO794" s="162"/>
      <c r="CP794" s="162"/>
      <c r="CQ794" s="162"/>
      <c r="CR794" s="162"/>
      <c r="CS794" s="163"/>
      <c r="CT794" s="358"/>
      <c r="CU794" s="201"/>
      <c r="CV794" s="206"/>
      <c r="CW794" s="218"/>
    </row>
    <row r="795" spans="1:101" ht="15.75" thickBot="1" x14ac:dyDescent="0.25">
      <c r="A795" s="219"/>
      <c r="B795" s="219"/>
      <c r="C795" s="168"/>
      <c r="D795" s="785"/>
      <c r="E795" s="869" t="s">
        <v>45</v>
      </c>
      <c r="F795" s="363"/>
      <c r="G795" s="363"/>
      <c r="H795" s="363"/>
      <c r="I795" s="878"/>
      <c r="J795" s="878"/>
      <c r="K795" s="878"/>
      <c r="L795" s="878"/>
      <c r="M795" s="363"/>
      <c r="N795" s="363"/>
      <c r="O795" s="363"/>
      <c r="P795" s="363"/>
      <c r="Q795" s="363"/>
      <c r="R795" s="363"/>
      <c r="S795" s="363"/>
      <c r="T795" s="363"/>
      <c r="U795" s="363"/>
      <c r="V795" s="363"/>
      <c r="W795" s="363"/>
      <c r="X795" s="363"/>
      <c r="Y795" s="363"/>
      <c r="Z795" s="363"/>
      <c r="AA795" s="363"/>
      <c r="AB795" s="363"/>
      <c r="AC795" s="363"/>
      <c r="AD795" s="363"/>
      <c r="AE795" s="363"/>
      <c r="AF795" s="363"/>
      <c r="AG795" s="363"/>
      <c r="AH795" s="363"/>
      <c r="AI795" s="363"/>
      <c r="AJ795" s="363"/>
      <c r="AK795" s="363"/>
      <c r="AL795" s="363"/>
      <c r="AM795" s="363"/>
      <c r="AN795" s="363"/>
      <c r="AO795" s="363"/>
      <c r="AP795" s="363"/>
      <c r="AQ795" s="363"/>
      <c r="AR795" s="363"/>
      <c r="AS795" s="363"/>
      <c r="AT795" s="363"/>
      <c r="AU795" s="363"/>
      <c r="AV795" s="363"/>
      <c r="AW795" s="363"/>
      <c r="AX795" s="363"/>
      <c r="AY795" s="363"/>
      <c r="AZ795" s="363"/>
      <c r="BA795" s="363"/>
      <c r="BB795" s="363"/>
      <c r="BC795" s="363"/>
      <c r="BD795" s="363"/>
      <c r="BE795" s="363"/>
      <c r="BF795" s="363"/>
      <c r="BG795" s="363"/>
      <c r="BH795" s="363"/>
      <c r="BI795" s="363"/>
      <c r="BJ795" s="363"/>
      <c r="BK795" s="363"/>
      <c r="BL795" s="363"/>
      <c r="BM795" s="363"/>
      <c r="BN795" s="363"/>
      <c r="BO795" s="363"/>
      <c r="BP795" s="363"/>
      <c r="BQ795" s="363"/>
      <c r="BR795" s="363"/>
      <c r="BS795" s="363"/>
      <c r="BT795" s="363"/>
      <c r="BU795" s="363"/>
      <c r="BV795" s="363"/>
      <c r="BW795" s="363"/>
      <c r="BX795" s="363"/>
      <c r="BY795" s="363"/>
      <c r="BZ795" s="363"/>
      <c r="CA795" s="363"/>
      <c r="CB795" s="394"/>
      <c r="CC795" s="394"/>
      <c r="CD795" s="394"/>
      <c r="CE795" s="394"/>
      <c r="CF795" s="363"/>
      <c r="CG795" s="363"/>
      <c r="CH795" s="363"/>
      <c r="CI795" s="363"/>
      <c r="CJ795" s="363"/>
      <c r="CK795" s="363"/>
      <c r="CL795" s="363"/>
      <c r="CM795" s="363"/>
      <c r="CN795" s="323"/>
      <c r="CO795" s="363"/>
      <c r="CP795" s="363"/>
      <c r="CQ795" s="363"/>
      <c r="CR795" s="363"/>
      <c r="CS795" s="323"/>
      <c r="CT795" s="155"/>
      <c r="CU795" s="269"/>
      <c r="CV795" s="209"/>
      <c r="CW795" s="218"/>
    </row>
    <row r="796" spans="1:101" ht="18.75" thickTop="1" x14ac:dyDescent="0.2">
      <c r="A796" s="219"/>
      <c r="B796" s="219"/>
      <c r="C796" s="174"/>
      <c r="D796" s="778"/>
      <c r="E796" s="777"/>
      <c r="F796" s="235"/>
      <c r="G796" s="234"/>
      <c r="H796" s="234"/>
      <c r="I796" s="875">
        <f>WEEKNUM(E797)</f>
        <v>17</v>
      </c>
      <c r="J796" s="875"/>
      <c r="K796" s="875"/>
      <c r="L796" s="250"/>
      <c r="M796" s="261"/>
      <c r="N796" s="205"/>
      <c r="O796" s="236"/>
      <c r="P796" s="236"/>
      <c r="Q796" s="675" t="str">
        <f>IF($F800="","",SUM(Q812:S812)-S798)</f>
        <v/>
      </c>
      <c r="R796" s="675"/>
      <c r="S796" s="675"/>
      <c r="T796" s="237"/>
      <c r="U796" s="238"/>
      <c r="V796" s="238"/>
      <c r="W796" s="238"/>
      <c r="X796" s="238"/>
      <c r="Y796" s="236"/>
      <c r="Z796" s="675" t="str">
        <f>IF($F800="","",SUM(Z812:AB812)-AB798)</f>
        <v/>
      </c>
      <c r="AA796" s="675"/>
      <c r="AB796" s="675"/>
      <c r="AC796" s="237"/>
      <c r="AD796" s="238"/>
      <c r="AE796" s="238"/>
      <c r="AF796" s="238"/>
      <c r="AG796" s="238"/>
      <c r="AH796" s="236"/>
      <c r="AI796" s="675" t="str">
        <f>IF($F800="","",SUM(AI812:AK812)-AK798)</f>
        <v/>
      </c>
      <c r="AJ796" s="675"/>
      <c r="AK796" s="675"/>
      <c r="AL796" s="237"/>
      <c r="AM796" s="238"/>
      <c r="AN796" s="238"/>
      <c r="AO796" s="238"/>
      <c r="AP796" s="238"/>
      <c r="AQ796" s="236"/>
      <c r="AR796" s="675" t="str">
        <f>IF($F800="","",SUM(AR812:AT812)-AT798)</f>
        <v/>
      </c>
      <c r="AS796" s="675"/>
      <c r="AT796" s="675"/>
      <c r="AU796" s="239"/>
      <c r="AV796" s="238"/>
      <c r="AW796" s="238"/>
      <c r="AX796" s="238"/>
      <c r="AY796" s="238"/>
      <c r="AZ796" s="240"/>
      <c r="BA796" s="675" t="str">
        <f>IF($F800="","",SUM(BA812:BC812)-BC798)</f>
        <v/>
      </c>
      <c r="BB796" s="675"/>
      <c r="BC796" s="675"/>
      <c r="BD796" s="239"/>
      <c r="BE796" s="238"/>
      <c r="BF796" s="238"/>
      <c r="BG796" s="238"/>
      <c r="BH796" s="238"/>
      <c r="BI796" s="240"/>
      <c r="BJ796" s="675" t="str">
        <f>IF($F800="","",SUM(BJ812:BL812)-BL798)</f>
        <v/>
      </c>
      <c r="BK796" s="675"/>
      <c r="BL796" s="675"/>
      <c r="BM796" s="239"/>
      <c r="BN796" s="238"/>
      <c r="BO796" s="238"/>
      <c r="BP796" s="238"/>
      <c r="BQ796" s="238"/>
      <c r="BR796" s="241"/>
      <c r="BS796" s="675" t="str">
        <f>IF($F800="","",SUM(BS812:BU812)-BU798)</f>
        <v/>
      </c>
      <c r="BT796" s="675"/>
      <c r="BU796" s="675"/>
      <c r="BV796" s="240"/>
      <c r="BW796" s="238"/>
      <c r="BX796" s="238"/>
      <c r="BY796" s="238"/>
      <c r="BZ796" s="238"/>
      <c r="CA796" s="241"/>
      <c r="CB796" s="675" t="str">
        <f>IF($F800="","",SUM(CB812:CD812)-CD798)</f>
        <v/>
      </c>
      <c r="CC796" s="675"/>
      <c r="CD796" s="675"/>
      <c r="CE796" s="240"/>
      <c r="CF796" s="238"/>
      <c r="CG796" s="238"/>
      <c r="CH796" s="238"/>
      <c r="CI796" s="238"/>
      <c r="CJ796" s="234"/>
      <c r="CK796" s="675" t="str">
        <f>IF($F800="","",SUM(CK812:CM812))</f>
        <v/>
      </c>
      <c r="CL796" s="675"/>
      <c r="CM796" s="675"/>
      <c r="CN796" s="240"/>
      <c r="CO796" s="238"/>
      <c r="CP796" s="238"/>
      <c r="CQ796" s="238"/>
      <c r="CR796" s="238"/>
      <c r="CS796" s="234"/>
      <c r="CT796" s="234"/>
      <c r="CU796" s="251"/>
      <c r="CV796" s="209"/>
      <c r="CW796" s="218"/>
    </row>
    <row r="797" spans="1:101" x14ac:dyDescent="0.2">
      <c r="A797" s="219"/>
      <c r="B797" s="219"/>
      <c r="C797" s="174"/>
      <c r="D797" s="779"/>
      <c r="E797" s="543">
        <f>E775+7</f>
        <v>46501</v>
      </c>
      <c r="F797" s="178"/>
      <c r="G797" s="179"/>
      <c r="H797" s="179"/>
      <c r="I797" s="876"/>
      <c r="J797" s="876"/>
      <c r="K797" s="876"/>
      <c r="L797" s="254"/>
      <c r="M797" s="329"/>
      <c r="N797" s="208"/>
      <c r="O797" s="180"/>
      <c r="P797" s="180"/>
      <c r="Q797" s="584" t="str">
        <f>IF(Q796="","",Q796/Data!$X$1)</f>
        <v/>
      </c>
      <c r="R797" s="584"/>
      <c r="S797" s="585" t="str">
        <f>IF(SUM(X800:X811)=0,"",SUM(X800:X811))</f>
        <v/>
      </c>
      <c r="T797" s="181"/>
      <c r="U797" s="182"/>
      <c r="V797" s="182"/>
      <c r="W797" s="182"/>
      <c r="X797" s="182"/>
      <c r="Y797" s="180"/>
      <c r="Z797" s="584" t="str">
        <f>IF(Z796="","",Z796/Data!$X$1)</f>
        <v/>
      </c>
      <c r="AA797" s="584"/>
      <c r="AB797" s="585" t="str">
        <f>IF(SUM(AG800:AG811)=0,"",SUM(AG800:AG811))</f>
        <v/>
      </c>
      <c r="AC797" s="181"/>
      <c r="AD797" s="182"/>
      <c r="AE797" s="182"/>
      <c r="AF797" s="182"/>
      <c r="AG797" s="182"/>
      <c r="AH797" s="180"/>
      <c r="AI797" s="584" t="str">
        <f>IF(AI796="","",AI796/Data!$X$1)</f>
        <v/>
      </c>
      <c r="AJ797" s="584"/>
      <c r="AK797" s="585" t="str">
        <f>IF(SUM(AP800:AP811)=0,"",SUM(AP800:AP811))</f>
        <v/>
      </c>
      <c r="AL797" s="181"/>
      <c r="AM797" s="182"/>
      <c r="AN797" s="182"/>
      <c r="AO797" s="182"/>
      <c r="AP797" s="182"/>
      <c r="AQ797" s="180"/>
      <c r="AR797" s="584" t="str">
        <f>IF(AR796="","",AR796/Data!$X$1)</f>
        <v/>
      </c>
      <c r="AS797" s="584"/>
      <c r="AT797" s="585" t="str">
        <f>IF(SUM(AY800:AY811)=0,"",SUM(AY800:AY811))</f>
        <v/>
      </c>
      <c r="AU797" s="183"/>
      <c r="AV797" s="182"/>
      <c r="AW797" s="182"/>
      <c r="AX797" s="182"/>
      <c r="AY797" s="182"/>
      <c r="AZ797" s="184"/>
      <c r="BA797" s="584" t="str">
        <f>IF(BA796="","",BA796/Data!$X$1)</f>
        <v/>
      </c>
      <c r="BB797" s="584"/>
      <c r="BC797" s="585" t="str">
        <f>IF(SUM(BH800:BH811)=0,"",SUM(BH800:BH811))</f>
        <v/>
      </c>
      <c r="BD797" s="183"/>
      <c r="BE797" s="182"/>
      <c r="BF797" s="182"/>
      <c r="BG797" s="182"/>
      <c r="BH797" s="182"/>
      <c r="BI797" s="184"/>
      <c r="BJ797" s="584" t="str">
        <f>IF(BJ796="","",BJ796/Data!$X$1)</f>
        <v/>
      </c>
      <c r="BK797" s="584"/>
      <c r="BL797" s="585" t="str">
        <f>IF(SUM(BQ800:BQ811)=0,"",SUM(BQ800:BQ811))</f>
        <v/>
      </c>
      <c r="BM797" s="183"/>
      <c r="BN797" s="182"/>
      <c r="BO797" s="182"/>
      <c r="BP797" s="182"/>
      <c r="BQ797" s="182"/>
      <c r="BR797" s="185"/>
      <c r="BS797" s="584" t="str">
        <f>IF(BS796="","",BS796/Data!$X$1)</f>
        <v/>
      </c>
      <c r="BT797" s="584"/>
      <c r="BU797" s="585" t="str">
        <f>IF(SUM(BZ800:BZ811)=0,"",SUM(BZ800:BZ811))</f>
        <v/>
      </c>
      <c r="BV797" s="184"/>
      <c r="BW797" s="182"/>
      <c r="BX797" s="182"/>
      <c r="BY797" s="182"/>
      <c r="BZ797" s="182"/>
      <c r="CA797" s="185"/>
      <c r="CB797" s="584" t="str">
        <f>IF(CB796="","",CB796/Data!$X$1)</f>
        <v/>
      </c>
      <c r="CC797" s="584"/>
      <c r="CD797" s="585" t="str">
        <f>IF(SUM(CI800:CI811)=0,"",SUM(CI800:CI811))</f>
        <v/>
      </c>
      <c r="CE797" s="184"/>
      <c r="CF797" s="182"/>
      <c r="CG797" s="182"/>
      <c r="CH797" s="182"/>
      <c r="CI797" s="182"/>
      <c r="CJ797" s="182"/>
      <c r="CK797" s="584" t="str">
        <f>IF(CK796="","",CK796/Data!$X$1)</f>
        <v/>
      </c>
      <c r="CL797" s="584"/>
      <c r="CM797" s="585" t="str">
        <f>IF(SUM(CR800:CR811)=0,"",SUM(CR800:CR811))</f>
        <v/>
      </c>
      <c r="CN797" s="184"/>
      <c r="CO797" s="182"/>
      <c r="CP797" s="182"/>
      <c r="CQ797" s="182"/>
      <c r="CR797" s="182"/>
      <c r="CS797" s="182"/>
      <c r="CT797" s="182"/>
      <c r="CU797" s="255"/>
      <c r="CV797" s="209"/>
      <c r="CW797" s="218"/>
    </row>
    <row r="798" spans="1:101" ht="13.5" thickBot="1" x14ac:dyDescent="0.25">
      <c r="A798" s="219"/>
      <c r="B798" s="219"/>
      <c r="C798" s="174"/>
      <c r="D798" s="230"/>
      <c r="E798" s="359"/>
      <c r="F798" s="186"/>
      <c r="G798" s="187"/>
      <c r="H798" s="187"/>
      <c r="I798" s="673"/>
      <c r="J798" s="674"/>
      <c r="K798" s="674"/>
      <c r="L798" s="256"/>
      <c r="M798" s="330"/>
      <c r="N798" s="334"/>
      <c r="O798" s="187"/>
      <c r="P798" s="187"/>
      <c r="Q798" s="342" t="str">
        <f>Data!$E$11</f>
        <v>AHH</v>
      </c>
      <c r="R798" s="343" t="str">
        <f>IF($F811="","",RANK(Q796,$Q796:$CL796))</f>
        <v/>
      </c>
      <c r="S798" s="466"/>
      <c r="T798" s="181"/>
      <c r="U798" s="182"/>
      <c r="V798" s="182"/>
      <c r="W798" s="182"/>
      <c r="X798" s="197">
        <f>COUNTIF(U800:W811,"&gt;0")</f>
        <v>0</v>
      </c>
      <c r="Y798" s="180"/>
      <c r="Z798" s="342" t="str">
        <f>Data!$E$12</f>
        <v>RB</v>
      </c>
      <c r="AA798" s="343" t="str">
        <f>IF($F811="","",RANK(Z796,$Q796:$CL796))</f>
        <v/>
      </c>
      <c r="AB798" s="466"/>
      <c r="AC798" s="181"/>
      <c r="AD798" s="182"/>
      <c r="AE798" s="182"/>
      <c r="AF798" s="182"/>
      <c r="AG798" s="197">
        <f>COUNTIF(AD800:AF811,"&gt;0")</f>
        <v>0</v>
      </c>
      <c r="AH798" s="180"/>
      <c r="AI798" s="342" t="str">
        <f>Data!$E$13</f>
        <v>EB</v>
      </c>
      <c r="AJ798" s="343" t="str">
        <f>IF($F811="","",RANK(AI796,$Q796:$CL796))</f>
        <v/>
      </c>
      <c r="AK798" s="466"/>
      <c r="AL798" s="181"/>
      <c r="AM798" s="182"/>
      <c r="AN798" s="182"/>
      <c r="AO798" s="182"/>
      <c r="AP798" s="197">
        <f>COUNTIF(AM800:AO811,"&gt;0")</f>
        <v>0</v>
      </c>
      <c r="AQ798" s="180"/>
      <c r="AR798" s="305" t="str">
        <f>Data!$E$14</f>
        <v>KAF</v>
      </c>
      <c r="AS798" s="343" t="str">
        <f>IF($F811="","",RANK(AR796,$Q796:$CL796))</f>
        <v/>
      </c>
      <c r="AT798" s="466"/>
      <c r="AU798" s="181"/>
      <c r="AV798" s="182"/>
      <c r="AW798" s="182"/>
      <c r="AX798" s="182"/>
      <c r="AY798" s="197">
        <f>COUNTIF(AV800:AX811,"&gt;0")</f>
        <v>0</v>
      </c>
      <c r="AZ798" s="180"/>
      <c r="BA798" s="305" t="str">
        <f>Data!$E$15</f>
        <v>ØG</v>
      </c>
      <c r="BB798" s="343" t="str">
        <f>IF($F811="","",RANK(BA796,$Q796:$CL796))</f>
        <v/>
      </c>
      <c r="BC798" s="466"/>
      <c r="BD798" s="181"/>
      <c r="BE798" s="182"/>
      <c r="BF798" s="182"/>
      <c r="BG798" s="182"/>
      <c r="BH798" s="197">
        <f>COUNTIF(BE800:BG811,"&gt;0")</f>
        <v>0</v>
      </c>
      <c r="BI798" s="180"/>
      <c r="BJ798" s="305" t="str">
        <f>Data!$E$16</f>
        <v>JH</v>
      </c>
      <c r="BK798" s="343" t="str">
        <f>IF($F811="","",RANK(BJ796,$Q796:$CL796))</f>
        <v/>
      </c>
      <c r="BL798" s="466"/>
      <c r="BM798" s="181"/>
      <c r="BN798" s="182"/>
      <c r="BO798" s="182"/>
      <c r="BP798" s="182"/>
      <c r="BQ798" s="197">
        <f>COUNTIF(BN800:BP811,"&gt;0")</f>
        <v>0</v>
      </c>
      <c r="BR798" s="188"/>
      <c r="BS798" s="305" t="str">
        <f>Data!$E$17</f>
        <v>TOH</v>
      </c>
      <c r="BT798" s="343" t="str">
        <f>IF($F811="","",RANK(BS796,$Q796:$CL796))</f>
        <v/>
      </c>
      <c r="BU798" s="466"/>
      <c r="BV798" s="180"/>
      <c r="BW798" s="182"/>
      <c r="BX798" s="182"/>
      <c r="BY798" s="182"/>
      <c r="BZ798" s="197">
        <f>COUNTIF(BW800:BY811,"&gt;0")</f>
        <v>0</v>
      </c>
      <c r="CA798" s="188"/>
      <c r="CB798" s="305" t="s">
        <v>26</v>
      </c>
      <c r="CC798" s="343" t="str">
        <f>IF($F811="","",RANK(CB796,$Q796:$CM796))</f>
        <v/>
      </c>
      <c r="CD798" s="467"/>
      <c r="CE798" s="180"/>
      <c r="CF798" s="182"/>
      <c r="CG798" s="182"/>
      <c r="CH798" s="182"/>
      <c r="CI798" s="197">
        <f>COUNTIF(CF800:CH811,"&gt;0")</f>
        <v>0</v>
      </c>
      <c r="CJ798" s="182"/>
      <c r="CK798" s="305" t="s">
        <v>27</v>
      </c>
      <c r="CL798" s="343" t="str">
        <f>IF($F811="","",RANK(CK796,$Q796:$CM796))</f>
        <v/>
      </c>
      <c r="CM798" s="669"/>
      <c r="CN798" s="180"/>
      <c r="CO798" s="182"/>
      <c r="CP798" s="182"/>
      <c r="CQ798" s="182"/>
      <c r="CR798" s="197">
        <f>COUNTIF(CO800:CQ811,"&gt;0")</f>
        <v>0</v>
      </c>
      <c r="CS798" s="182"/>
      <c r="CT798" s="182"/>
      <c r="CU798" s="255"/>
      <c r="CV798" s="209"/>
      <c r="CW798" s="218"/>
    </row>
    <row r="799" spans="1:101" ht="13.5" thickBot="1" x14ac:dyDescent="0.25">
      <c r="A799" s="227"/>
      <c r="B799" s="227"/>
      <c r="C799" s="168"/>
      <c r="D799" s="231"/>
      <c r="E799" s="189"/>
      <c r="F799" s="190"/>
      <c r="G799" s="191"/>
      <c r="H799" s="191"/>
      <c r="I799" s="192" t="s">
        <v>47</v>
      </c>
      <c r="J799" s="193" t="s">
        <v>48</v>
      </c>
      <c r="K799" s="194" t="s">
        <v>49</v>
      </c>
      <c r="L799" s="257"/>
      <c r="M799" s="331"/>
      <c r="N799" s="335"/>
      <c r="O799" s="195"/>
      <c r="P799" s="195"/>
      <c r="Q799" s="192" t="s">
        <v>47</v>
      </c>
      <c r="R799" s="193" t="s">
        <v>48</v>
      </c>
      <c r="S799" s="194" t="s">
        <v>49</v>
      </c>
      <c r="T799" s="196"/>
      <c r="U799" s="197"/>
      <c r="V799" s="197"/>
      <c r="W799" s="197"/>
      <c r="X799" s="197"/>
      <c r="Y799" s="195"/>
      <c r="Z799" s="192" t="s">
        <v>47</v>
      </c>
      <c r="AA799" s="193" t="s">
        <v>48</v>
      </c>
      <c r="AB799" s="194" t="s">
        <v>49</v>
      </c>
      <c r="AC799" s="196"/>
      <c r="AD799" s="197"/>
      <c r="AE799" s="197"/>
      <c r="AF799" s="197"/>
      <c r="AG799" s="197"/>
      <c r="AH799" s="195"/>
      <c r="AI799" s="192" t="s">
        <v>47</v>
      </c>
      <c r="AJ799" s="193" t="s">
        <v>48</v>
      </c>
      <c r="AK799" s="194" t="s">
        <v>49</v>
      </c>
      <c r="AL799" s="196"/>
      <c r="AM799" s="197"/>
      <c r="AN799" s="197"/>
      <c r="AO799" s="197"/>
      <c r="AP799" s="197"/>
      <c r="AQ799" s="195"/>
      <c r="AR799" s="192" t="s">
        <v>47</v>
      </c>
      <c r="AS799" s="193" t="s">
        <v>48</v>
      </c>
      <c r="AT799" s="194" t="s">
        <v>49</v>
      </c>
      <c r="AU799" s="196"/>
      <c r="AV799" s="197"/>
      <c r="AW799" s="197"/>
      <c r="AX799" s="197"/>
      <c r="AY799" s="197"/>
      <c r="AZ799" s="195"/>
      <c r="BA799" s="192" t="s">
        <v>47</v>
      </c>
      <c r="BB799" s="193" t="s">
        <v>48</v>
      </c>
      <c r="BC799" s="194" t="s">
        <v>49</v>
      </c>
      <c r="BD799" s="196"/>
      <c r="BE799" s="197"/>
      <c r="BF799" s="197"/>
      <c r="BG799" s="197"/>
      <c r="BH799" s="197"/>
      <c r="BI799" s="195"/>
      <c r="BJ799" s="192" t="s">
        <v>47</v>
      </c>
      <c r="BK799" s="193" t="s">
        <v>48</v>
      </c>
      <c r="BL799" s="194" t="s">
        <v>49</v>
      </c>
      <c r="BM799" s="196"/>
      <c r="BN799" s="197"/>
      <c r="BO799" s="197"/>
      <c r="BP799" s="197"/>
      <c r="BQ799" s="197"/>
      <c r="BR799" s="195"/>
      <c r="BS799" s="192" t="s">
        <v>47</v>
      </c>
      <c r="BT799" s="193" t="s">
        <v>48</v>
      </c>
      <c r="BU799" s="194" t="s">
        <v>49</v>
      </c>
      <c r="BV799" s="196"/>
      <c r="BW799" s="197"/>
      <c r="BX799" s="197"/>
      <c r="BY799" s="197"/>
      <c r="BZ799" s="197"/>
      <c r="CA799" s="195"/>
      <c r="CB799" s="192" t="s">
        <v>47</v>
      </c>
      <c r="CC799" s="193" t="s">
        <v>48</v>
      </c>
      <c r="CD799" s="194" t="s">
        <v>49</v>
      </c>
      <c r="CE799" s="196"/>
      <c r="CF799" s="197"/>
      <c r="CG799" s="197"/>
      <c r="CH799" s="197"/>
      <c r="CI799" s="197"/>
      <c r="CJ799" s="197"/>
      <c r="CK799" s="192" t="s">
        <v>47</v>
      </c>
      <c r="CL799" s="193" t="s">
        <v>48</v>
      </c>
      <c r="CM799" s="194" t="s">
        <v>49</v>
      </c>
      <c r="CN799" s="196"/>
      <c r="CO799" s="197"/>
      <c r="CP799" s="197"/>
      <c r="CQ799" s="197"/>
      <c r="CR799" s="197"/>
      <c r="CS799" s="197"/>
      <c r="CT799" s="198"/>
      <c r="CU799" s="255"/>
      <c r="CV799" s="209"/>
      <c r="CW799" s="228"/>
    </row>
    <row r="800" spans="1:101" x14ac:dyDescent="0.2">
      <c r="A800" s="227"/>
      <c r="B800" s="227"/>
      <c r="C800" s="168"/>
      <c r="D800" s="232"/>
      <c r="E800" s="134"/>
      <c r="F800" s="424"/>
      <c r="G800" s="428" t="s">
        <v>51</v>
      </c>
      <c r="H800" s="429"/>
      <c r="I800" s="138" t="str">
        <f t="shared" ref="I800:I811" si="1184">IF($F800&gt;$H800,"x","")</f>
        <v/>
      </c>
      <c r="J800" s="344" t="str">
        <f t="shared" ref="J800:J811" si="1185">IF(F800&lt;&gt;"",IF(H800&lt;&gt;"",IF(F800=H800,"x",""),""),"")</f>
        <v/>
      </c>
      <c r="K800" s="345" t="str">
        <f t="shared" ref="K800:K811" si="1186">IF($F800&lt;$H800,"x","")</f>
        <v/>
      </c>
      <c r="L800" s="258"/>
      <c r="M800" s="332"/>
      <c r="N800" s="336"/>
      <c r="O800" s="200"/>
      <c r="P800" s="200"/>
      <c r="Q800" s="436"/>
      <c r="R800" s="437"/>
      <c r="S800" s="438" t="str">
        <f t="shared" ref="S800:S811" si="1187">IF(Q800="","",100-SUM(Q800:R800))</f>
        <v/>
      </c>
      <c r="T800" s="328"/>
      <c r="U800" s="197" t="str">
        <f>IF(AND($I800="x",AND(MAX(Q800:S800)=Q800,Q800&gt;=0)),Data!$BI$2,"")</f>
        <v/>
      </c>
      <c r="V800" s="197" t="str">
        <f>IF(AND($J800="x",AND(MAX(Q800:S800)=R800,R800&gt;=0)),Data!$BJ$2,"")</f>
        <v/>
      </c>
      <c r="W800" s="197" t="str">
        <f>IF(AND($K800="x",AND(MAX(Q800:S800)=S800,S800&gt;=0)),Data!$BK$2,"")</f>
        <v/>
      </c>
      <c r="X800" s="197"/>
      <c r="Y800" s="328"/>
      <c r="Z800" s="451"/>
      <c r="AA800" s="452"/>
      <c r="AB800" s="438" t="str">
        <f t="shared" ref="AB800:AB811" si="1188">IF(Z800="","",100-SUM(Z800:AA800))</f>
        <v/>
      </c>
      <c r="AC800" s="328"/>
      <c r="AD800" s="197" t="str">
        <f>IF(AND($I800="x",AND(MAX(Z800:AB800)=Z800,Z800&lt;&gt;"")),Data!$BI$2,"")</f>
        <v/>
      </c>
      <c r="AE800" s="197" t="str">
        <f>IF(AND($J800="x",AND(MAX(Z800:AB800)=AA800,AA800&lt;&gt;"")),Data!$BJ$2,"")</f>
        <v/>
      </c>
      <c r="AF800" s="197" t="str">
        <f>IF(AND($K800="x",AND(MAX(Z800:AB800)=AB800,AB800&lt;&gt;"")),Data!$BK$2,"")</f>
        <v/>
      </c>
      <c r="AG800" s="197"/>
      <c r="AH800" s="328"/>
      <c r="AI800" s="451"/>
      <c r="AJ800" s="452"/>
      <c r="AK800" s="438" t="str">
        <f t="shared" ref="AK800:AK811" si="1189">IF(AI800="","",100-SUM(AI800:AJ800))</f>
        <v/>
      </c>
      <c r="AL800" s="328"/>
      <c r="AM800" s="197" t="str">
        <f>IF(AND($I800="x",AND(MAX(AI800:AK800)=AI800,AI800&lt;&gt;"")),Data!$BI$2,"")</f>
        <v/>
      </c>
      <c r="AN800" s="197" t="str">
        <f>IF(AND($J800="x",AND(MAX(AI800:AK800)=AJ800,AJ800&lt;&gt;"")),Data!$BJ$2,"")</f>
        <v/>
      </c>
      <c r="AO800" s="197" t="str">
        <f>IF(AND($K800="x",AND(MAX(AI800:AK800)=AK800,AK800&lt;&gt;"")),Data!$BK$2,"")</f>
        <v/>
      </c>
      <c r="AP800" s="197"/>
      <c r="AQ800" s="328"/>
      <c r="AR800" s="451"/>
      <c r="AS800" s="452"/>
      <c r="AT800" s="438" t="str">
        <f t="shared" ref="AT800:AT811" si="1190">IF(AR800="","",100-SUM(AR800:AS800))</f>
        <v/>
      </c>
      <c r="AU800" s="328"/>
      <c r="AV800" s="197" t="str">
        <f>IF(AND($I800="x",AND(MAX(AR800:AT800)=AR800,AR800&lt;&gt;"")),Data!$BI$2,"")</f>
        <v/>
      </c>
      <c r="AW800" s="197" t="str">
        <f>IF(AND($J800="x",AND(MAX(AR800:AT800)=AS800,AS800&lt;&gt;"")),Data!$BJ$2,"")</f>
        <v/>
      </c>
      <c r="AX800" s="197" t="str">
        <f>IF(AND($K800="x",AND(MAX(AR800:AT800)=AT800,AT800&lt;&gt;"")),Data!$BK$2,"")</f>
        <v/>
      </c>
      <c r="AY800" s="197"/>
      <c r="AZ800" s="328"/>
      <c r="BA800" s="451"/>
      <c r="BB800" s="452"/>
      <c r="BC800" s="438" t="str">
        <f t="shared" ref="BC800:BC811" si="1191">IF(BA800="","",100-SUM(BA800:BB800))</f>
        <v/>
      </c>
      <c r="BD800" s="328"/>
      <c r="BE800" s="197" t="str">
        <f>IF(AND($I800="x",AND(MAX(BA800:BC800)=BA800,BA800&lt;&gt;"")),Data!$BI$2,"")</f>
        <v/>
      </c>
      <c r="BF800" s="197" t="str">
        <f>IF(AND($J800="x",AND(MAX(BA800:BC800)=BB800,BB800&lt;&gt;"")),Data!$BJ$2,"")</f>
        <v/>
      </c>
      <c r="BG800" s="197" t="str">
        <f>IF(AND($K800="x",AND(MAX(BA800:BC800)=BC800,BC800&lt;&gt;"")),Data!$BK$2,"")</f>
        <v/>
      </c>
      <c r="BH800" s="197"/>
      <c r="BI800" s="328"/>
      <c r="BJ800" s="451"/>
      <c r="BK800" s="452"/>
      <c r="BL800" s="438" t="str">
        <f t="shared" ref="BL800:BL811" si="1192">IF(BJ800="","",100-SUM(BJ800:BK800))</f>
        <v/>
      </c>
      <c r="BM800" s="328"/>
      <c r="BN800" s="197" t="str">
        <f>IF(AND($I800="x",AND(MAX(BJ800:BL800)=BJ800,BJ800&lt;&gt;"")),Data!$BI$2,"")</f>
        <v/>
      </c>
      <c r="BO800" s="197" t="str">
        <f>IF(AND($J800="x",AND(MAX(BJ800:BL800)=BK800,BK800&lt;&gt;"")),Data!$BJ$2,"")</f>
        <v/>
      </c>
      <c r="BP800" s="197" t="str">
        <f>IF(AND($K800="x",AND(MAX(BJ800:BL800)=BL800,BL800&lt;&gt;"")),Data!$BK$2,"")</f>
        <v/>
      </c>
      <c r="BQ800" s="197"/>
      <c r="BR800" s="328"/>
      <c r="BS800" s="451"/>
      <c r="BT800" s="452"/>
      <c r="BU800" s="438" t="str">
        <f t="shared" ref="BU800:BU811" si="1193">IF(BS800="","",100-SUM(BS800:BT800))</f>
        <v/>
      </c>
      <c r="BV800" s="328"/>
      <c r="BW800" s="197" t="str">
        <f>IF(AND($I800="x",AND(MAX(BS800:BU800)=BS800,BS800&lt;&gt;"")),Data!$BI$2,"")</f>
        <v/>
      </c>
      <c r="BX800" s="197" t="str">
        <f>IF(AND($J800="x",AND(MAX(BS800:BU800)=BT800,BT800&lt;&gt;"")),Data!$BJ$2,"")</f>
        <v/>
      </c>
      <c r="BY800" s="197" t="str">
        <f>IF(AND($K800="x",AND(MAX(BS800:BU800)=BU800,BU800&lt;&gt;"")),Data!$BK$2,"")</f>
        <v/>
      </c>
      <c r="BZ800" s="197"/>
      <c r="CA800" s="328"/>
      <c r="CB800" s="457" t="str">
        <f t="shared" ref="CB800:CB811" si="1194">IFERROR(ROUNDUP((SUM(Q800,Z800,AI800,AR800,BA800,BJ800,BS800)/SUM($Q800:$S800,$Z800:$AB800,$AI800:$AK800,$AR800:$AT800,$BA800:$BC800,$BJ800:$BL800,$BS800:$BU800))*100,-1),"")</f>
        <v/>
      </c>
      <c r="CC800" s="458" t="str">
        <f t="shared" ref="CC800:CC811" si="1195">IFERROR(ROUNDDOWN((SUM(R800,AA800,AJ800,AS800,BB800,BK800,BT800)/SUM($Q800:$S800,$Z800:$AB800,$AI800:$AK800,$AR800:$AT800,$BA800:$BC800,$BJ800:$BL800,$BS800:$BU800))*100,-1),"")</f>
        <v/>
      </c>
      <c r="CD800" s="459" t="str">
        <f t="shared" ref="CD800:CD811" si="1196">IF(CB800="","",100-SUM(CB800:CC800))</f>
        <v/>
      </c>
      <c r="CE800" s="328"/>
      <c r="CF800" s="197" t="str">
        <f>IF(AND($I800="x",AND(MAX(CB800:CD800)=CB800,CB800&lt;&gt;"")),Data!$BI$2,"")</f>
        <v/>
      </c>
      <c r="CG800" s="197" t="str">
        <f>IF(AND($J800="x",AND(MAX(CB800:CD800)=CC800,CC800&lt;&gt;"")),Data!$BJ$2,"")</f>
        <v/>
      </c>
      <c r="CH800" s="197" t="str">
        <f>IF(AND($K800="x",AND(MAX(CB800:CD800)=CD800,CD800&lt;&gt;"")),Data!$BK$2,"")</f>
        <v/>
      </c>
      <c r="CI800" s="197"/>
      <c r="CJ800" s="197"/>
      <c r="CK800" s="451"/>
      <c r="CL800" s="452"/>
      <c r="CM800" s="438" t="str">
        <f t="shared" ref="CM800:CM811" si="1197">IF(CK800="","",100-SUM(CK800:CL800))</f>
        <v/>
      </c>
      <c r="CN800" s="328"/>
      <c r="CO800" s="197" t="str">
        <f>IF(AND($I800="x",AND(MAX(CK800:CM800)=CK800,CK800&lt;&gt;"")),Data!$BI$2,"")</f>
        <v/>
      </c>
      <c r="CP800" s="197" t="str">
        <f>IF(AND($J800="x",AND(MAX(CK800:CM800)=CL800,CL800&lt;&gt;"")),Data!$BJ$2,"")</f>
        <v/>
      </c>
      <c r="CQ800" s="197" t="str">
        <f>IF(AND($K800="x",AND(MAX(CK800:CM800)=CM800,CM800&lt;&gt;"")),Data!$BK$2,"")</f>
        <v/>
      </c>
      <c r="CR800" s="197"/>
      <c r="CS800" s="197"/>
      <c r="CT800" s="328"/>
      <c r="CU800" s="255"/>
      <c r="CV800" s="209"/>
      <c r="CW800" s="227"/>
    </row>
    <row r="801" spans="1:101" x14ac:dyDescent="0.2">
      <c r="A801" s="227"/>
      <c r="B801" s="227"/>
      <c r="C801" s="168"/>
      <c r="D801" s="232"/>
      <c r="E801" s="135"/>
      <c r="F801" s="425"/>
      <c r="G801" s="430" t="s">
        <v>51</v>
      </c>
      <c r="H801" s="431"/>
      <c r="I801" s="346" t="str">
        <f t="shared" si="1184"/>
        <v/>
      </c>
      <c r="J801" s="347" t="str">
        <f t="shared" si="1185"/>
        <v/>
      </c>
      <c r="K801" s="348" t="str">
        <f t="shared" si="1186"/>
        <v/>
      </c>
      <c r="L801" s="258"/>
      <c r="M801" s="332"/>
      <c r="N801" s="336"/>
      <c r="O801" s="200"/>
      <c r="P801" s="200"/>
      <c r="Q801" s="439"/>
      <c r="R801" s="440"/>
      <c r="S801" s="441" t="str">
        <f t="shared" si="1187"/>
        <v/>
      </c>
      <c r="T801" s="328"/>
      <c r="U801" s="197" t="str">
        <f>IF(AND($I801="x",AND(MAX(Q801:S801)=Q801,Q801&gt;=0)),Data!$BI$2,"")</f>
        <v/>
      </c>
      <c r="V801" s="197" t="str">
        <f>IF(AND($J801="x",AND(MAX(Q801:S801)=R801,R801&gt;=0)),Data!$BJ$2,"")</f>
        <v/>
      </c>
      <c r="W801" s="197" t="str">
        <f>IF(AND($K801="x",AND(MAX(Q801:S801)=S801,S801&gt;=0)),Data!$BK$2,"")</f>
        <v/>
      </c>
      <c r="X801" s="197"/>
      <c r="Y801" s="328"/>
      <c r="Z801" s="453"/>
      <c r="AA801" s="454"/>
      <c r="AB801" s="441" t="str">
        <f t="shared" si="1188"/>
        <v/>
      </c>
      <c r="AC801" s="328"/>
      <c r="AD801" s="197" t="str">
        <f>IF(AND($I801="x",AND(MAX(Z801:AB801)=Z801,Z801&lt;&gt;"")),Data!$BI$2,"")</f>
        <v/>
      </c>
      <c r="AE801" s="197" t="str">
        <f>IF(AND($J801="x",AND(MAX(Z801:AB801)=AA801,AA801&lt;&gt;"")),Data!$BJ$2,"")</f>
        <v/>
      </c>
      <c r="AF801" s="197" t="str">
        <f>IF(AND($K801="x",AND(MAX(Z801:AB801)=AB801,AB801&lt;&gt;"")),Data!$BK$2,"")</f>
        <v/>
      </c>
      <c r="AG801" s="197"/>
      <c r="AH801" s="328"/>
      <c r="AI801" s="453"/>
      <c r="AJ801" s="454"/>
      <c r="AK801" s="441" t="str">
        <f t="shared" si="1189"/>
        <v/>
      </c>
      <c r="AL801" s="328"/>
      <c r="AM801" s="197" t="str">
        <f>IF(AND($I801="x",AND(MAX(AI801:AK801)=AI801,AI801&lt;&gt;"")),Data!$BI$2,"")</f>
        <v/>
      </c>
      <c r="AN801" s="197" t="str">
        <f>IF(AND($J801="x",AND(MAX(AI801:AK801)=AJ801,AJ801&lt;&gt;"")),Data!$BJ$2,"")</f>
        <v/>
      </c>
      <c r="AO801" s="197" t="str">
        <f>IF(AND($K801="x",AND(MAX(AI801:AK801)=AK801,AK801&lt;&gt;"")),Data!$BK$2,"")</f>
        <v/>
      </c>
      <c r="AP801" s="197"/>
      <c r="AQ801" s="328"/>
      <c r="AR801" s="453"/>
      <c r="AS801" s="454"/>
      <c r="AT801" s="441" t="str">
        <f t="shared" si="1190"/>
        <v/>
      </c>
      <c r="AU801" s="328"/>
      <c r="AV801" s="197" t="str">
        <f>IF(AND($I801="x",AND(MAX(AR801:AT801)=AR801,AR801&lt;&gt;"")),Data!$BI$2,"")</f>
        <v/>
      </c>
      <c r="AW801" s="197" t="str">
        <f>IF(AND($J801="x",AND(MAX(AR801:AT801)=AS801,AS801&lt;&gt;"")),Data!$BJ$2,"")</f>
        <v/>
      </c>
      <c r="AX801" s="197" t="str">
        <f>IF(AND($K801="x",AND(MAX(AR801:AT801)=AT801,AT801&lt;&gt;"")),Data!$BK$2,"")</f>
        <v/>
      </c>
      <c r="AY801" s="197"/>
      <c r="AZ801" s="328"/>
      <c r="BA801" s="453"/>
      <c r="BB801" s="454"/>
      <c r="BC801" s="441" t="str">
        <f t="shared" si="1191"/>
        <v/>
      </c>
      <c r="BD801" s="328"/>
      <c r="BE801" s="197" t="str">
        <f>IF(AND($I801="x",AND(MAX(BA801:BC801)=BA801,BA801&lt;&gt;"")),Data!$BI$2,"")</f>
        <v/>
      </c>
      <c r="BF801" s="197" t="str">
        <f>IF(AND($J801="x",AND(MAX(BA801:BC801)=BB801,BB801&lt;&gt;"")),Data!$BJ$2,"")</f>
        <v/>
      </c>
      <c r="BG801" s="197" t="str">
        <f>IF(AND($K801="x",AND(MAX(BA801:BC801)=BC801,BC801&lt;&gt;"")),Data!$BK$2,"")</f>
        <v/>
      </c>
      <c r="BH801" s="197"/>
      <c r="BI801" s="328"/>
      <c r="BJ801" s="453"/>
      <c r="BK801" s="454"/>
      <c r="BL801" s="441" t="str">
        <f t="shared" si="1192"/>
        <v/>
      </c>
      <c r="BM801" s="328"/>
      <c r="BN801" s="197" t="str">
        <f>IF(AND($I801="x",AND(MAX(BJ801:BL801)=BJ801,BJ801&lt;&gt;"")),Data!$BI$2,"")</f>
        <v/>
      </c>
      <c r="BO801" s="197" t="str">
        <f>IF(AND($J801="x",AND(MAX(BJ801:BL801)=BK801,BK801&lt;&gt;"")),Data!$BJ$2,"")</f>
        <v/>
      </c>
      <c r="BP801" s="197" t="str">
        <f>IF(AND($K801="x",AND(MAX(BJ801:BL801)=BL801,BL801&lt;&gt;"")),Data!$BK$2,"")</f>
        <v/>
      </c>
      <c r="BQ801" s="197"/>
      <c r="BR801" s="328"/>
      <c r="BS801" s="453"/>
      <c r="BT801" s="454"/>
      <c r="BU801" s="441" t="str">
        <f t="shared" si="1193"/>
        <v/>
      </c>
      <c r="BV801" s="328"/>
      <c r="BW801" s="197" t="str">
        <f>IF(AND($I801="x",AND(MAX(BS801:BU801)=BS801,BS801&lt;&gt;"")),Data!$BI$2,"")</f>
        <v/>
      </c>
      <c r="BX801" s="197" t="str">
        <f>IF(AND($J801="x",AND(MAX(BS801:BU801)=BT801,BT801&lt;&gt;"")),Data!$BJ$2,"")</f>
        <v/>
      </c>
      <c r="BY801" s="197" t="str">
        <f>IF(AND($K801="x",AND(MAX(BS801:BU801)=BU801,BU801&lt;&gt;"")),Data!$BK$2,"")</f>
        <v/>
      </c>
      <c r="BZ801" s="197"/>
      <c r="CA801" s="328"/>
      <c r="CB801" s="460" t="str">
        <f t="shared" si="1194"/>
        <v/>
      </c>
      <c r="CC801" s="461" t="str">
        <f t="shared" si="1195"/>
        <v/>
      </c>
      <c r="CD801" s="462" t="str">
        <f t="shared" si="1196"/>
        <v/>
      </c>
      <c r="CE801" s="328"/>
      <c r="CF801" s="197" t="str">
        <f>IF(AND($I801="x",AND(MAX(CB801:CD801)=CB801,CB801&lt;&gt;"")),Data!$BI$2,"")</f>
        <v/>
      </c>
      <c r="CG801" s="197" t="str">
        <f>IF(AND($J801="x",AND(MAX(CB801:CD801)=CC801,CC801&lt;&gt;"")),Data!$BJ$2,"")</f>
        <v/>
      </c>
      <c r="CH801" s="197" t="str">
        <f>IF(AND($K801="x",AND(MAX(CB801:CD801)=CD801,CD801&lt;&gt;"")),Data!$BK$2,"")</f>
        <v/>
      </c>
      <c r="CI801" s="197"/>
      <c r="CJ801" s="197"/>
      <c r="CK801" s="453"/>
      <c r="CL801" s="454"/>
      <c r="CM801" s="441" t="str">
        <f t="shared" si="1197"/>
        <v/>
      </c>
      <c r="CN801" s="328"/>
      <c r="CO801" s="197" t="str">
        <f>IF(AND($I801="x",AND(MAX(CK801:CM801)=CK801,CK801&lt;&gt;"")),Data!$BI$2,"")</f>
        <v/>
      </c>
      <c r="CP801" s="197" t="str">
        <f>IF(AND($J801="x",AND(MAX(CK801:CM801)=CL801,CL801&lt;&gt;"")),Data!$BJ$2,"")</f>
        <v/>
      </c>
      <c r="CQ801" s="197" t="str">
        <f>IF(AND($K801="x",AND(MAX(CK801:CM801)=CM801,CM801&lt;&gt;"")),Data!$BK$2,"")</f>
        <v/>
      </c>
      <c r="CR801" s="197"/>
      <c r="CS801" s="197"/>
      <c r="CT801" s="328"/>
      <c r="CU801" s="255"/>
      <c r="CV801" s="209"/>
      <c r="CW801" s="227"/>
    </row>
    <row r="802" spans="1:101" x14ac:dyDescent="0.2">
      <c r="A802" s="227"/>
      <c r="B802" s="227"/>
      <c r="C802" s="168"/>
      <c r="D802" s="232"/>
      <c r="E802" s="136"/>
      <c r="F802" s="426"/>
      <c r="G802" s="432" t="s">
        <v>51</v>
      </c>
      <c r="H802" s="433"/>
      <c r="I802" s="349" t="str">
        <f t="shared" si="1184"/>
        <v/>
      </c>
      <c r="J802" s="350" t="str">
        <f t="shared" si="1185"/>
        <v/>
      </c>
      <c r="K802" s="351" t="str">
        <f t="shared" si="1186"/>
        <v/>
      </c>
      <c r="L802" s="258"/>
      <c r="M802" s="332"/>
      <c r="N802" s="336"/>
      <c r="O802" s="200"/>
      <c r="P802" s="200"/>
      <c r="Q802" s="442"/>
      <c r="R802" s="443"/>
      <c r="S802" s="444" t="str">
        <f t="shared" si="1187"/>
        <v/>
      </c>
      <c r="T802" s="328"/>
      <c r="U802" s="197" t="str">
        <f>IF(AND($I802="x",AND(MAX(Q802:S802)=Q802,Q802&gt;=0)),Data!$BI$2,"")</f>
        <v/>
      </c>
      <c r="V802" s="197" t="str">
        <f>IF(AND($J802="x",AND(MAX(Q802:S802)=R802,R802&gt;=0)),Data!$BJ$2,"")</f>
        <v/>
      </c>
      <c r="W802" s="197" t="str">
        <f>IF(AND($K802="x",AND(MAX(Q802:S802)=S802,S802&gt;=0)),Data!$BK$2,"")</f>
        <v/>
      </c>
      <c r="X802" s="197"/>
      <c r="Y802" s="328"/>
      <c r="Z802" s="455"/>
      <c r="AA802" s="456"/>
      <c r="AB802" s="444" t="str">
        <f t="shared" si="1188"/>
        <v/>
      </c>
      <c r="AC802" s="328"/>
      <c r="AD802" s="197" t="str">
        <f>IF(AND($I802="x",AND(MAX(Z802:AB802)=Z802,Z802&lt;&gt;"")),Data!$BI$2,"")</f>
        <v/>
      </c>
      <c r="AE802" s="197" t="str">
        <f>IF(AND($J802="x",AND(MAX(Z802:AB802)=AA802,AA802&lt;&gt;"")),Data!$BJ$2,"")</f>
        <v/>
      </c>
      <c r="AF802" s="197" t="str">
        <f>IF(AND($K802="x",AND(MAX(Z802:AB802)=AB802,AB802&lt;&gt;"")),Data!$BK$2,"")</f>
        <v/>
      </c>
      <c r="AG802" s="197"/>
      <c r="AH802" s="328"/>
      <c r="AI802" s="455"/>
      <c r="AJ802" s="456"/>
      <c r="AK802" s="444" t="str">
        <f t="shared" si="1189"/>
        <v/>
      </c>
      <c r="AL802" s="328"/>
      <c r="AM802" s="197" t="str">
        <f>IF(AND($I802="x",AND(MAX(AI802:AK802)=AI802,AI802&lt;&gt;"")),Data!$BI$2,"")</f>
        <v/>
      </c>
      <c r="AN802" s="197" t="str">
        <f>IF(AND($J802="x",AND(MAX(AI802:AK802)=AJ802,AJ802&lt;&gt;"")),Data!$BJ$2,"")</f>
        <v/>
      </c>
      <c r="AO802" s="197" t="str">
        <f>IF(AND($K802="x",AND(MAX(AI802:AK802)=AK802,AK802&lt;&gt;"")),Data!$BK$2,"")</f>
        <v/>
      </c>
      <c r="AP802" s="197"/>
      <c r="AQ802" s="328"/>
      <c r="AR802" s="455"/>
      <c r="AS802" s="456"/>
      <c r="AT802" s="444" t="str">
        <f t="shared" si="1190"/>
        <v/>
      </c>
      <c r="AU802" s="328"/>
      <c r="AV802" s="197" t="str">
        <f>IF(AND($I802="x",AND(MAX(AR802:AT802)=AR802,AR802&lt;&gt;"")),Data!$BI$2,"")</f>
        <v/>
      </c>
      <c r="AW802" s="197" t="str">
        <f>IF(AND($J802="x",AND(MAX(AR802:AT802)=AS802,AS802&lt;&gt;"")),Data!$BJ$2,"")</f>
        <v/>
      </c>
      <c r="AX802" s="197" t="str">
        <f>IF(AND($K802="x",AND(MAX(AR802:AT802)=AT802,AT802&lt;&gt;"")),Data!$BK$2,"")</f>
        <v/>
      </c>
      <c r="AY802" s="197"/>
      <c r="AZ802" s="328"/>
      <c r="BA802" s="455"/>
      <c r="BB802" s="456"/>
      <c r="BC802" s="444" t="str">
        <f t="shared" si="1191"/>
        <v/>
      </c>
      <c r="BD802" s="328"/>
      <c r="BE802" s="197" t="str">
        <f>IF(AND($I802="x",AND(MAX(BA802:BC802)=BA802,BA802&lt;&gt;"")),Data!$BI$2,"")</f>
        <v/>
      </c>
      <c r="BF802" s="197" t="str">
        <f>IF(AND($J802="x",AND(MAX(BA802:BC802)=BB802,BB802&lt;&gt;"")),Data!$BJ$2,"")</f>
        <v/>
      </c>
      <c r="BG802" s="197" t="str">
        <f>IF(AND($K802="x",AND(MAX(BA802:BC802)=BC802,BC802&lt;&gt;"")),Data!$BK$2,"")</f>
        <v/>
      </c>
      <c r="BH802" s="197"/>
      <c r="BI802" s="328"/>
      <c r="BJ802" s="455"/>
      <c r="BK802" s="456"/>
      <c r="BL802" s="444" t="str">
        <f t="shared" si="1192"/>
        <v/>
      </c>
      <c r="BM802" s="328"/>
      <c r="BN802" s="197" t="str">
        <f>IF(AND($I802="x",AND(MAX(BJ802:BL802)=BJ802,BJ802&lt;&gt;"")),Data!$BI$2,"")</f>
        <v/>
      </c>
      <c r="BO802" s="197" t="str">
        <f>IF(AND($J802="x",AND(MAX(BJ802:BL802)=BK802,BK802&lt;&gt;"")),Data!$BJ$2,"")</f>
        <v/>
      </c>
      <c r="BP802" s="197" t="str">
        <f>IF(AND($K802="x",AND(MAX(BJ802:BL802)=BL802,BL802&lt;&gt;"")),Data!$BK$2,"")</f>
        <v/>
      </c>
      <c r="BQ802" s="197"/>
      <c r="BR802" s="328"/>
      <c r="BS802" s="455"/>
      <c r="BT802" s="456"/>
      <c r="BU802" s="444" t="str">
        <f t="shared" si="1193"/>
        <v/>
      </c>
      <c r="BV802" s="328"/>
      <c r="BW802" s="197" t="str">
        <f>IF(AND($I802="x",AND(MAX(BS802:BU802)=BS802,BS802&lt;&gt;"")),Data!$BI$2,"")</f>
        <v/>
      </c>
      <c r="BX802" s="197" t="str">
        <f>IF(AND($J802="x",AND(MAX(BS802:BU802)=BT802,BT802&lt;&gt;"")),Data!$BJ$2,"")</f>
        <v/>
      </c>
      <c r="BY802" s="197" t="str">
        <f>IF(AND($K802="x",AND(MAX(BS802:BU802)=BU802,BU802&lt;&gt;"")),Data!$BK$2,"")</f>
        <v/>
      </c>
      <c r="BZ802" s="197"/>
      <c r="CA802" s="328"/>
      <c r="CB802" s="463" t="str">
        <f t="shared" si="1194"/>
        <v/>
      </c>
      <c r="CC802" s="464" t="str">
        <f t="shared" si="1195"/>
        <v/>
      </c>
      <c r="CD802" s="465" t="str">
        <f t="shared" si="1196"/>
        <v/>
      </c>
      <c r="CE802" s="328"/>
      <c r="CF802" s="197" t="str">
        <f>IF(AND($I802="x",AND(MAX(CB802:CD802)=CB802,CB802&lt;&gt;"")),Data!$BI$2,"")</f>
        <v/>
      </c>
      <c r="CG802" s="197" t="str">
        <f>IF(AND($J802="x",AND(MAX(CB802:CD802)=CC802,CC802&lt;&gt;"")),Data!$BJ$2,"")</f>
        <v/>
      </c>
      <c r="CH802" s="197" t="str">
        <f>IF(AND($K802="x",AND(MAX(CB802:CD802)=CD802,CD802&lt;&gt;"")),Data!$BK$2,"")</f>
        <v/>
      </c>
      <c r="CI802" s="197"/>
      <c r="CJ802" s="197"/>
      <c r="CK802" s="455"/>
      <c r="CL802" s="456"/>
      <c r="CM802" s="444" t="str">
        <f t="shared" si="1197"/>
        <v/>
      </c>
      <c r="CN802" s="328"/>
      <c r="CO802" s="197" t="str">
        <f>IF(AND($I802="x",AND(MAX(CK802:CM802)=CK802,CK802&lt;&gt;"")),Data!$BI$2,"")</f>
        <v/>
      </c>
      <c r="CP802" s="197" t="str">
        <f>IF(AND($J802="x",AND(MAX(CK802:CM802)=CL802,CL802&lt;&gt;"")),Data!$BJ$2,"")</f>
        <v/>
      </c>
      <c r="CQ802" s="197" t="str">
        <f>IF(AND($K802="x",AND(MAX(CK802:CM802)=CM802,CM802&lt;&gt;"")),Data!$BK$2,"")</f>
        <v/>
      </c>
      <c r="CR802" s="197"/>
      <c r="CS802" s="197"/>
      <c r="CT802" s="328"/>
      <c r="CU802" s="255"/>
      <c r="CV802" s="209"/>
      <c r="CW802" s="227"/>
    </row>
    <row r="803" spans="1:101" x14ac:dyDescent="0.2">
      <c r="A803" s="227"/>
      <c r="B803" s="227"/>
      <c r="C803" s="168"/>
      <c r="D803" s="232"/>
      <c r="E803" s="134"/>
      <c r="F803" s="424"/>
      <c r="G803" s="428" t="s">
        <v>51</v>
      </c>
      <c r="H803" s="429"/>
      <c r="I803" s="138" t="str">
        <f t="shared" si="1184"/>
        <v/>
      </c>
      <c r="J803" s="344" t="str">
        <f t="shared" si="1185"/>
        <v/>
      </c>
      <c r="K803" s="345" t="str">
        <f t="shared" si="1186"/>
        <v/>
      </c>
      <c r="L803" s="258"/>
      <c r="M803" s="332"/>
      <c r="N803" s="336"/>
      <c r="O803" s="200"/>
      <c r="P803" s="200"/>
      <c r="Q803" s="436"/>
      <c r="R803" s="437"/>
      <c r="S803" s="438" t="str">
        <f t="shared" si="1187"/>
        <v/>
      </c>
      <c r="T803" s="328"/>
      <c r="U803" s="197" t="str">
        <f>IF(AND($I803="x",AND(MAX(Q803:S803)=Q803,Q803&gt;=0)),Data!$BI$2,"")</f>
        <v/>
      </c>
      <c r="V803" s="197" t="str">
        <f>IF(AND($J803="x",AND(MAX(Q803:S803)=R803,R803&gt;=0)),Data!$BJ$2,"")</f>
        <v/>
      </c>
      <c r="W803" s="197" t="str">
        <f>IF(AND($K803="x",AND(MAX(Q803:S803)=S803,S803&gt;=0)),Data!$BK$2,"")</f>
        <v/>
      </c>
      <c r="X803" s="197"/>
      <c r="Y803" s="328"/>
      <c r="Z803" s="451"/>
      <c r="AA803" s="452"/>
      <c r="AB803" s="438" t="str">
        <f t="shared" si="1188"/>
        <v/>
      </c>
      <c r="AC803" s="328"/>
      <c r="AD803" s="197" t="str">
        <f>IF(AND($I803="x",AND(MAX(Z803:AB803)=Z803,Z803&lt;&gt;"")),Data!$BI$2,"")</f>
        <v/>
      </c>
      <c r="AE803" s="197" t="str">
        <f>IF(AND($J803="x",AND(MAX(Z803:AB803)=AA803,AA803&lt;&gt;"")),Data!$BJ$2,"")</f>
        <v/>
      </c>
      <c r="AF803" s="197" t="str">
        <f>IF(AND($K803="x",AND(MAX(Z803:AB803)=AB803,AB803&lt;&gt;"")),Data!$BK$2,"")</f>
        <v/>
      </c>
      <c r="AG803" s="197"/>
      <c r="AH803" s="328"/>
      <c r="AI803" s="451"/>
      <c r="AJ803" s="452"/>
      <c r="AK803" s="438" t="str">
        <f t="shared" si="1189"/>
        <v/>
      </c>
      <c r="AL803" s="328"/>
      <c r="AM803" s="197" t="str">
        <f>IF(AND($I803="x",AND(MAX(AI803:AK803)=AI803,AI803&lt;&gt;"")),Data!$BI$2,"")</f>
        <v/>
      </c>
      <c r="AN803" s="197" t="str">
        <f>IF(AND($J803="x",AND(MAX(AI803:AK803)=AJ803,AJ803&lt;&gt;"")),Data!$BJ$2,"")</f>
        <v/>
      </c>
      <c r="AO803" s="197" t="str">
        <f>IF(AND($K803="x",AND(MAX(AI803:AK803)=AK803,AK803&lt;&gt;"")),Data!$BK$2,"")</f>
        <v/>
      </c>
      <c r="AP803" s="197"/>
      <c r="AQ803" s="328"/>
      <c r="AR803" s="451"/>
      <c r="AS803" s="452"/>
      <c r="AT803" s="438" t="str">
        <f t="shared" si="1190"/>
        <v/>
      </c>
      <c r="AU803" s="328"/>
      <c r="AV803" s="197" t="str">
        <f>IF(AND($I803="x",AND(MAX(AR803:AT803)=AR803,AR803&lt;&gt;"")),Data!$BI$2,"")</f>
        <v/>
      </c>
      <c r="AW803" s="197" t="str">
        <f>IF(AND($J803="x",AND(MAX(AR803:AT803)=AS803,AS803&lt;&gt;"")),Data!$BJ$2,"")</f>
        <v/>
      </c>
      <c r="AX803" s="197" t="str">
        <f>IF(AND($K803="x",AND(MAX(AR803:AT803)=AT803,AT803&lt;&gt;"")),Data!$BK$2,"")</f>
        <v/>
      </c>
      <c r="AY803" s="197"/>
      <c r="AZ803" s="328"/>
      <c r="BA803" s="451"/>
      <c r="BB803" s="452"/>
      <c r="BC803" s="438" t="str">
        <f t="shared" si="1191"/>
        <v/>
      </c>
      <c r="BD803" s="328"/>
      <c r="BE803" s="197" t="str">
        <f>IF(AND($I803="x",AND(MAX(BA803:BC803)=BA803,BA803&lt;&gt;"")),Data!$BI$2,"")</f>
        <v/>
      </c>
      <c r="BF803" s="197" t="str">
        <f>IF(AND($J803="x",AND(MAX(BA803:BC803)=BB803,BB803&lt;&gt;"")),Data!$BJ$2,"")</f>
        <v/>
      </c>
      <c r="BG803" s="197" t="str">
        <f>IF(AND($K803="x",AND(MAX(BA803:BC803)=BC803,BC803&lt;&gt;"")),Data!$BK$2,"")</f>
        <v/>
      </c>
      <c r="BH803" s="197"/>
      <c r="BI803" s="328"/>
      <c r="BJ803" s="451"/>
      <c r="BK803" s="452"/>
      <c r="BL803" s="438" t="str">
        <f t="shared" si="1192"/>
        <v/>
      </c>
      <c r="BM803" s="328"/>
      <c r="BN803" s="197" t="str">
        <f>IF(AND($I803="x",AND(MAX(BJ803:BL803)=BJ803,BJ803&lt;&gt;"")),Data!$BI$2,"")</f>
        <v/>
      </c>
      <c r="BO803" s="197" t="str">
        <f>IF(AND($J803="x",AND(MAX(BJ803:BL803)=BK803,BK803&lt;&gt;"")),Data!$BJ$2,"")</f>
        <v/>
      </c>
      <c r="BP803" s="197" t="str">
        <f>IF(AND($K803="x",AND(MAX(BJ803:BL803)=BL803,BL803&lt;&gt;"")),Data!$BK$2,"")</f>
        <v/>
      </c>
      <c r="BQ803" s="197"/>
      <c r="BR803" s="328"/>
      <c r="BS803" s="451"/>
      <c r="BT803" s="452"/>
      <c r="BU803" s="438" t="str">
        <f t="shared" si="1193"/>
        <v/>
      </c>
      <c r="BV803" s="328"/>
      <c r="BW803" s="197" t="str">
        <f>IF(AND($I803="x",AND(MAX(BS803:BU803)=BS803,BS803&lt;&gt;"")),Data!$BI$2,"")</f>
        <v/>
      </c>
      <c r="BX803" s="197" t="str">
        <f>IF(AND($J803="x",AND(MAX(BS803:BU803)=BT803,BT803&lt;&gt;"")),Data!$BJ$2,"")</f>
        <v/>
      </c>
      <c r="BY803" s="197" t="str">
        <f>IF(AND($K803="x",AND(MAX(BS803:BU803)=BU803,BU803&lt;&gt;"")),Data!$BK$2,"")</f>
        <v/>
      </c>
      <c r="BZ803" s="197"/>
      <c r="CA803" s="328"/>
      <c r="CB803" s="457" t="str">
        <f t="shared" si="1194"/>
        <v/>
      </c>
      <c r="CC803" s="458" t="str">
        <f t="shared" si="1195"/>
        <v/>
      </c>
      <c r="CD803" s="459" t="str">
        <f t="shared" si="1196"/>
        <v/>
      </c>
      <c r="CE803" s="328"/>
      <c r="CF803" s="197" t="str">
        <f>IF(AND($I803="x",AND(MAX(CB803:CD803)=CB803,CB803&lt;&gt;"")),Data!$BI$2,"")</f>
        <v/>
      </c>
      <c r="CG803" s="197" t="str">
        <f>IF(AND($J803="x",AND(MAX(CB803:CD803)=CC803,CC803&lt;&gt;"")),Data!$BJ$2,"")</f>
        <v/>
      </c>
      <c r="CH803" s="197" t="str">
        <f>IF(AND($K803="x",AND(MAX(CB803:CD803)=CD803,CD803&lt;&gt;"")),Data!$BK$2,"")</f>
        <v/>
      </c>
      <c r="CI803" s="197"/>
      <c r="CJ803" s="197"/>
      <c r="CK803" s="451"/>
      <c r="CL803" s="452"/>
      <c r="CM803" s="438" t="str">
        <f t="shared" si="1197"/>
        <v/>
      </c>
      <c r="CN803" s="328"/>
      <c r="CO803" s="197" t="str">
        <f>IF(AND($I803="x",AND(MAX(CK803:CM803)=CK803,CK803&lt;&gt;"")),Data!$BI$2,"")</f>
        <v/>
      </c>
      <c r="CP803" s="197" t="str">
        <f>IF(AND($J803="x",AND(MAX(CK803:CM803)=CL803,CL803&lt;&gt;"")),Data!$BJ$2,"")</f>
        <v/>
      </c>
      <c r="CQ803" s="197" t="str">
        <f>IF(AND($K803="x",AND(MAX(CK803:CM803)=CM803,CM803&lt;&gt;"")),Data!$BK$2,"")</f>
        <v/>
      </c>
      <c r="CR803" s="197"/>
      <c r="CS803" s="197"/>
      <c r="CT803" s="328"/>
      <c r="CU803" s="255"/>
      <c r="CV803" s="209"/>
      <c r="CW803" s="227"/>
    </row>
    <row r="804" spans="1:101" x14ac:dyDescent="0.2">
      <c r="A804" s="227"/>
      <c r="B804" s="227"/>
      <c r="C804" s="168"/>
      <c r="D804" s="232"/>
      <c r="E804" s="135"/>
      <c r="F804" s="425"/>
      <c r="G804" s="430" t="s">
        <v>51</v>
      </c>
      <c r="H804" s="431"/>
      <c r="I804" s="346" t="str">
        <f t="shared" si="1184"/>
        <v/>
      </c>
      <c r="J804" s="347" t="str">
        <f t="shared" si="1185"/>
        <v/>
      </c>
      <c r="K804" s="348" t="str">
        <f t="shared" si="1186"/>
        <v/>
      </c>
      <c r="L804" s="258"/>
      <c r="M804" s="332"/>
      <c r="N804" s="336"/>
      <c r="O804" s="200"/>
      <c r="P804" s="200"/>
      <c r="Q804" s="439"/>
      <c r="R804" s="440"/>
      <c r="S804" s="441" t="str">
        <f t="shared" si="1187"/>
        <v/>
      </c>
      <c r="T804" s="328"/>
      <c r="U804" s="197" t="str">
        <f>IF(AND($I804="x",AND(MAX(Q804:S804)=Q804,Q804&gt;=0)),Data!$BI$2,"")</f>
        <v/>
      </c>
      <c r="V804" s="197" t="str">
        <f>IF(AND($J804="x",AND(MAX(Q804:S804)=R804,R804&gt;=0)),Data!$BJ$2,"")</f>
        <v/>
      </c>
      <c r="W804" s="197" t="str">
        <f>IF(AND($K804="x",AND(MAX(Q804:S804)=S804,S804&gt;=0)),Data!$BK$2,"")</f>
        <v/>
      </c>
      <c r="X804" s="197"/>
      <c r="Y804" s="328"/>
      <c r="Z804" s="453"/>
      <c r="AA804" s="454"/>
      <c r="AB804" s="441" t="str">
        <f t="shared" si="1188"/>
        <v/>
      </c>
      <c r="AC804" s="328"/>
      <c r="AD804" s="197" t="str">
        <f>IF(AND($I804="x",AND(MAX(Z804:AB804)=Z804,Z804&lt;&gt;"")),Data!$BI$2,"")</f>
        <v/>
      </c>
      <c r="AE804" s="197" t="str">
        <f>IF(AND($J804="x",AND(MAX(Z804:AB804)=AA804,AA804&lt;&gt;"")),Data!$BJ$2,"")</f>
        <v/>
      </c>
      <c r="AF804" s="197" t="str">
        <f>IF(AND($K804="x",AND(MAX(Z804:AB804)=AB804,AB804&lt;&gt;"")),Data!$BK$2,"")</f>
        <v/>
      </c>
      <c r="AG804" s="197"/>
      <c r="AH804" s="328"/>
      <c r="AI804" s="453"/>
      <c r="AJ804" s="454"/>
      <c r="AK804" s="441" t="str">
        <f t="shared" si="1189"/>
        <v/>
      </c>
      <c r="AL804" s="328"/>
      <c r="AM804" s="197" t="str">
        <f>IF(AND($I804="x",AND(MAX(AI804:AK804)=AI804,AI804&lt;&gt;"")),Data!$BI$2,"")</f>
        <v/>
      </c>
      <c r="AN804" s="197" t="str">
        <f>IF(AND($J804="x",AND(MAX(AI804:AK804)=AJ804,AJ804&lt;&gt;"")),Data!$BJ$2,"")</f>
        <v/>
      </c>
      <c r="AO804" s="197" t="str">
        <f>IF(AND($K804="x",AND(MAX(AI804:AK804)=AK804,AK804&lt;&gt;"")),Data!$BK$2,"")</f>
        <v/>
      </c>
      <c r="AP804" s="197"/>
      <c r="AQ804" s="328"/>
      <c r="AR804" s="453"/>
      <c r="AS804" s="454"/>
      <c r="AT804" s="441" t="str">
        <f t="shared" si="1190"/>
        <v/>
      </c>
      <c r="AU804" s="328"/>
      <c r="AV804" s="197" t="str">
        <f>IF(AND($I804="x",AND(MAX(AR804:AT804)=AR804,AR804&lt;&gt;"")),Data!$BI$2,"")</f>
        <v/>
      </c>
      <c r="AW804" s="197" t="str">
        <f>IF(AND($J804="x",AND(MAX(AR804:AT804)=AS804,AS804&lt;&gt;"")),Data!$BJ$2,"")</f>
        <v/>
      </c>
      <c r="AX804" s="197" t="str">
        <f>IF(AND($K804="x",AND(MAX(AR804:AT804)=AT804,AT804&lt;&gt;"")),Data!$BK$2,"")</f>
        <v/>
      </c>
      <c r="AY804" s="197"/>
      <c r="AZ804" s="328"/>
      <c r="BA804" s="453"/>
      <c r="BB804" s="454"/>
      <c r="BC804" s="441" t="str">
        <f t="shared" si="1191"/>
        <v/>
      </c>
      <c r="BD804" s="328"/>
      <c r="BE804" s="197" t="str">
        <f>IF(AND($I804="x",AND(MAX(BA804:BC804)=BA804,BA804&lt;&gt;"")),Data!$BI$2,"")</f>
        <v/>
      </c>
      <c r="BF804" s="197" t="str">
        <f>IF(AND($J804="x",AND(MAX(BA804:BC804)=BB804,BB804&lt;&gt;"")),Data!$BJ$2,"")</f>
        <v/>
      </c>
      <c r="BG804" s="197" t="str">
        <f>IF(AND($K804="x",AND(MAX(BA804:BC804)=BC804,BC804&lt;&gt;"")),Data!$BK$2,"")</f>
        <v/>
      </c>
      <c r="BH804" s="197"/>
      <c r="BI804" s="328"/>
      <c r="BJ804" s="453"/>
      <c r="BK804" s="454"/>
      <c r="BL804" s="441" t="str">
        <f t="shared" si="1192"/>
        <v/>
      </c>
      <c r="BM804" s="328"/>
      <c r="BN804" s="197" t="str">
        <f>IF(AND($I804="x",AND(MAX(BJ804:BL804)=BJ804,BJ804&lt;&gt;"")),Data!$BI$2,"")</f>
        <v/>
      </c>
      <c r="BO804" s="197" t="str">
        <f>IF(AND($J804="x",AND(MAX(BJ804:BL804)=BK804,BK804&lt;&gt;"")),Data!$BJ$2,"")</f>
        <v/>
      </c>
      <c r="BP804" s="197" t="str">
        <f>IF(AND($K804="x",AND(MAX(BJ804:BL804)=BL804,BL804&lt;&gt;"")),Data!$BK$2,"")</f>
        <v/>
      </c>
      <c r="BQ804" s="197"/>
      <c r="BR804" s="328"/>
      <c r="BS804" s="453"/>
      <c r="BT804" s="454"/>
      <c r="BU804" s="441" t="str">
        <f t="shared" si="1193"/>
        <v/>
      </c>
      <c r="BV804" s="328"/>
      <c r="BW804" s="197" t="str">
        <f>IF(AND($I804="x",AND(MAX(BS804:BU804)=BS804,BS804&lt;&gt;"")),Data!$BI$2,"")</f>
        <v/>
      </c>
      <c r="BX804" s="197" t="str">
        <f>IF(AND($J804="x",AND(MAX(BS804:BU804)=BT804,BT804&lt;&gt;"")),Data!$BJ$2,"")</f>
        <v/>
      </c>
      <c r="BY804" s="197" t="str">
        <f>IF(AND($K804="x",AND(MAX(BS804:BU804)=BU804,BU804&lt;&gt;"")),Data!$BK$2,"")</f>
        <v/>
      </c>
      <c r="BZ804" s="197"/>
      <c r="CA804" s="328"/>
      <c r="CB804" s="460" t="str">
        <f t="shared" si="1194"/>
        <v/>
      </c>
      <c r="CC804" s="461" t="str">
        <f t="shared" si="1195"/>
        <v/>
      </c>
      <c r="CD804" s="462" t="str">
        <f t="shared" si="1196"/>
        <v/>
      </c>
      <c r="CE804" s="328"/>
      <c r="CF804" s="197" t="str">
        <f>IF(AND($I804="x",AND(MAX(CB804:CD804)=CB804,CB804&lt;&gt;"")),Data!$BI$2,"")</f>
        <v/>
      </c>
      <c r="CG804" s="197" t="str">
        <f>IF(AND($J804="x",AND(MAX(CB804:CD804)=CC804,CC804&lt;&gt;"")),Data!$BJ$2,"")</f>
        <v/>
      </c>
      <c r="CH804" s="197" t="str">
        <f>IF(AND($K804="x",AND(MAX(CB804:CD804)=CD804,CD804&lt;&gt;"")),Data!$BK$2,"")</f>
        <v/>
      </c>
      <c r="CI804" s="197"/>
      <c r="CJ804" s="197"/>
      <c r="CK804" s="453"/>
      <c r="CL804" s="454"/>
      <c r="CM804" s="441" t="str">
        <f t="shared" si="1197"/>
        <v/>
      </c>
      <c r="CN804" s="328"/>
      <c r="CO804" s="197" t="str">
        <f>IF(AND($I804="x",AND(MAX(CK804:CM804)=CK804,CK804&lt;&gt;"")),Data!$BI$2,"")</f>
        <v/>
      </c>
      <c r="CP804" s="197" t="str">
        <f>IF(AND($J804="x",AND(MAX(CK804:CM804)=CL804,CL804&lt;&gt;"")),Data!$BJ$2,"")</f>
        <v/>
      </c>
      <c r="CQ804" s="197" t="str">
        <f>IF(AND($K804="x",AND(MAX(CK804:CM804)=CM804,CM804&lt;&gt;"")),Data!$BK$2,"")</f>
        <v/>
      </c>
      <c r="CR804" s="197"/>
      <c r="CS804" s="197"/>
      <c r="CT804" s="328"/>
      <c r="CU804" s="255"/>
      <c r="CV804" s="209"/>
      <c r="CW804" s="227"/>
    </row>
    <row r="805" spans="1:101" x14ac:dyDescent="0.2">
      <c r="A805" s="227"/>
      <c r="B805" s="227"/>
      <c r="C805" s="168"/>
      <c r="D805" s="232"/>
      <c r="E805" s="136"/>
      <c r="F805" s="426"/>
      <c r="G805" s="432" t="s">
        <v>51</v>
      </c>
      <c r="H805" s="433"/>
      <c r="I805" s="349" t="str">
        <f t="shared" si="1184"/>
        <v/>
      </c>
      <c r="J805" s="350" t="str">
        <f t="shared" si="1185"/>
        <v/>
      </c>
      <c r="K805" s="351" t="str">
        <f t="shared" si="1186"/>
        <v/>
      </c>
      <c r="L805" s="258"/>
      <c r="M805" s="332"/>
      <c r="N805" s="336"/>
      <c r="O805" s="200"/>
      <c r="P805" s="200"/>
      <c r="Q805" s="445"/>
      <c r="R805" s="446"/>
      <c r="S805" s="447" t="str">
        <f t="shared" si="1187"/>
        <v/>
      </c>
      <c r="T805" s="328"/>
      <c r="U805" s="197" t="str">
        <f>IF(AND($I805="x",AND(MAX(Q805:S805)=Q805,Q805&gt;=0)),Data!$BI$2,"")</f>
        <v/>
      </c>
      <c r="V805" s="197" t="str">
        <f>IF(AND($J805="x",AND(MAX(Q805:S805)=R805,R805&gt;=0)),Data!$BJ$2,"")</f>
        <v/>
      </c>
      <c r="W805" s="197" t="str">
        <f>IF(AND($K805="x",AND(MAX(Q805:S805)=S805,S805&gt;=0)),Data!$BK$2,"")</f>
        <v/>
      </c>
      <c r="X805" s="197"/>
      <c r="Y805" s="328"/>
      <c r="Z805" s="455"/>
      <c r="AA805" s="456"/>
      <c r="AB805" s="447" t="str">
        <f t="shared" si="1188"/>
        <v/>
      </c>
      <c r="AC805" s="328"/>
      <c r="AD805" s="197" t="str">
        <f>IF(AND($I805="x",AND(MAX(Z805:AB805)=Z805,Z805&lt;&gt;"")),Data!$BI$2,"")</f>
        <v/>
      </c>
      <c r="AE805" s="197" t="str">
        <f>IF(AND($J805="x",AND(MAX(Z805:AB805)=AA805,AA805&lt;&gt;"")),Data!$BJ$2,"")</f>
        <v/>
      </c>
      <c r="AF805" s="197" t="str">
        <f>IF(AND($K805="x",AND(MAX(Z805:AB805)=AB805,AB805&lt;&gt;"")),Data!$BK$2,"")</f>
        <v/>
      </c>
      <c r="AG805" s="197"/>
      <c r="AH805" s="328"/>
      <c r="AI805" s="455"/>
      <c r="AJ805" s="456"/>
      <c r="AK805" s="447" t="str">
        <f t="shared" si="1189"/>
        <v/>
      </c>
      <c r="AL805" s="328"/>
      <c r="AM805" s="197" t="str">
        <f>IF(AND($I805="x",AND(MAX(AI805:AK805)=AI805,AI805&lt;&gt;"")),Data!$BI$2,"")</f>
        <v/>
      </c>
      <c r="AN805" s="197" t="str">
        <f>IF(AND($J805="x",AND(MAX(AI805:AK805)=AJ805,AJ805&lt;&gt;"")),Data!$BJ$2,"")</f>
        <v/>
      </c>
      <c r="AO805" s="197" t="str">
        <f>IF(AND($K805="x",AND(MAX(AI805:AK805)=AK805,AK805&lt;&gt;"")),Data!$BK$2,"")</f>
        <v/>
      </c>
      <c r="AP805" s="197"/>
      <c r="AQ805" s="328"/>
      <c r="AR805" s="455"/>
      <c r="AS805" s="456"/>
      <c r="AT805" s="447" t="str">
        <f t="shared" si="1190"/>
        <v/>
      </c>
      <c r="AU805" s="328"/>
      <c r="AV805" s="197" t="str">
        <f>IF(AND($I805="x",AND(MAX(AR805:AT805)=AR805,AR805&lt;&gt;"")),Data!$BI$2,"")</f>
        <v/>
      </c>
      <c r="AW805" s="197" t="str">
        <f>IF(AND($J805="x",AND(MAX(AR805:AT805)=AS805,AS805&lt;&gt;"")),Data!$BJ$2,"")</f>
        <v/>
      </c>
      <c r="AX805" s="197" t="str">
        <f>IF(AND($K805="x",AND(MAX(AR805:AT805)=AT805,AT805&lt;&gt;"")),Data!$BK$2,"")</f>
        <v/>
      </c>
      <c r="AY805" s="197"/>
      <c r="AZ805" s="328"/>
      <c r="BA805" s="455"/>
      <c r="BB805" s="456"/>
      <c r="BC805" s="447" t="str">
        <f t="shared" si="1191"/>
        <v/>
      </c>
      <c r="BD805" s="328"/>
      <c r="BE805" s="197" t="str">
        <f>IF(AND($I805="x",AND(MAX(BA805:BC805)=BA805,BA805&lt;&gt;"")),Data!$BI$2,"")</f>
        <v/>
      </c>
      <c r="BF805" s="197" t="str">
        <f>IF(AND($J805="x",AND(MAX(BA805:BC805)=BB805,BB805&lt;&gt;"")),Data!$BJ$2,"")</f>
        <v/>
      </c>
      <c r="BG805" s="197" t="str">
        <f>IF(AND($K805="x",AND(MAX(BA805:BC805)=BC805,BC805&lt;&gt;"")),Data!$BK$2,"")</f>
        <v/>
      </c>
      <c r="BH805" s="197"/>
      <c r="BI805" s="328"/>
      <c r="BJ805" s="455"/>
      <c r="BK805" s="456"/>
      <c r="BL805" s="447" t="str">
        <f t="shared" si="1192"/>
        <v/>
      </c>
      <c r="BM805" s="328"/>
      <c r="BN805" s="197" t="str">
        <f>IF(AND($I805="x",AND(MAX(BJ805:BL805)=BJ805,BJ805&lt;&gt;"")),Data!$BI$2,"")</f>
        <v/>
      </c>
      <c r="BO805" s="197" t="str">
        <f>IF(AND($J805="x",AND(MAX(BJ805:BL805)=BK805,BK805&lt;&gt;"")),Data!$BJ$2,"")</f>
        <v/>
      </c>
      <c r="BP805" s="197" t="str">
        <f>IF(AND($K805="x",AND(MAX(BJ805:BL805)=BL805,BL805&lt;&gt;"")),Data!$BK$2,"")</f>
        <v/>
      </c>
      <c r="BQ805" s="197"/>
      <c r="BR805" s="328"/>
      <c r="BS805" s="455"/>
      <c r="BT805" s="456"/>
      <c r="BU805" s="447" t="str">
        <f t="shared" si="1193"/>
        <v/>
      </c>
      <c r="BV805" s="328"/>
      <c r="BW805" s="197" t="str">
        <f>IF(AND($I805="x",AND(MAX(BS805:BU805)=BS805,BS805&lt;&gt;"")),Data!$BI$2,"")</f>
        <v/>
      </c>
      <c r="BX805" s="197" t="str">
        <f>IF(AND($J805="x",AND(MAX(BS805:BU805)=BT805,BT805&lt;&gt;"")),Data!$BJ$2,"")</f>
        <v/>
      </c>
      <c r="BY805" s="197" t="str">
        <f>IF(AND($K805="x",AND(MAX(BS805:BU805)=BU805,BU805&lt;&gt;"")),Data!$BK$2,"")</f>
        <v/>
      </c>
      <c r="BZ805" s="197"/>
      <c r="CA805" s="328"/>
      <c r="CB805" s="463" t="str">
        <f t="shared" si="1194"/>
        <v/>
      </c>
      <c r="CC805" s="464" t="str">
        <f t="shared" si="1195"/>
        <v/>
      </c>
      <c r="CD805" s="465" t="str">
        <f t="shared" si="1196"/>
        <v/>
      </c>
      <c r="CE805" s="328"/>
      <c r="CF805" s="197" t="str">
        <f>IF(AND($I805="x",AND(MAX(CB805:CD805)=CB805,CB805&lt;&gt;"")),Data!$BI$2,"")</f>
        <v/>
      </c>
      <c r="CG805" s="197" t="str">
        <f>IF(AND($J805="x",AND(MAX(CB805:CD805)=CC805,CC805&lt;&gt;"")),Data!$BJ$2,"")</f>
        <v/>
      </c>
      <c r="CH805" s="197" t="str">
        <f>IF(AND($K805="x",AND(MAX(CB805:CD805)=CD805,CD805&lt;&gt;"")),Data!$BK$2,"")</f>
        <v/>
      </c>
      <c r="CI805" s="197"/>
      <c r="CJ805" s="197"/>
      <c r="CK805" s="455"/>
      <c r="CL805" s="456"/>
      <c r="CM805" s="447" t="str">
        <f t="shared" si="1197"/>
        <v/>
      </c>
      <c r="CN805" s="328"/>
      <c r="CO805" s="197" t="str">
        <f>IF(AND($I805="x",AND(MAX(CK805:CM805)=CK805,CK805&lt;&gt;"")),Data!$BI$2,"")</f>
        <v/>
      </c>
      <c r="CP805" s="197" t="str">
        <f>IF(AND($J805="x",AND(MAX(CK805:CM805)=CL805,CL805&lt;&gt;"")),Data!$BJ$2,"")</f>
        <v/>
      </c>
      <c r="CQ805" s="197" t="str">
        <f>IF(AND($K805="x",AND(MAX(CK805:CM805)=CM805,CM805&lt;&gt;"")),Data!$BK$2,"")</f>
        <v/>
      </c>
      <c r="CR805" s="197"/>
      <c r="CS805" s="197"/>
      <c r="CT805" s="328"/>
      <c r="CU805" s="255"/>
      <c r="CV805" s="209"/>
      <c r="CW805" s="227"/>
    </row>
    <row r="806" spans="1:101" x14ac:dyDescent="0.2">
      <c r="A806" s="227"/>
      <c r="B806" s="227"/>
      <c r="C806" s="168"/>
      <c r="D806" s="232"/>
      <c r="E806" s="134"/>
      <c r="F806" s="424"/>
      <c r="G806" s="428" t="s">
        <v>51</v>
      </c>
      <c r="H806" s="429"/>
      <c r="I806" s="138" t="str">
        <f t="shared" si="1184"/>
        <v/>
      </c>
      <c r="J806" s="344" t="str">
        <f t="shared" si="1185"/>
        <v/>
      </c>
      <c r="K806" s="345" t="str">
        <f t="shared" si="1186"/>
        <v/>
      </c>
      <c r="L806" s="258"/>
      <c r="M806" s="332"/>
      <c r="N806" s="336"/>
      <c r="O806" s="200"/>
      <c r="P806" s="200"/>
      <c r="Q806" s="436"/>
      <c r="R806" s="437"/>
      <c r="S806" s="438" t="str">
        <f t="shared" si="1187"/>
        <v/>
      </c>
      <c r="T806" s="328"/>
      <c r="U806" s="197" t="str">
        <f>IF(AND($I806="x",AND(MAX(Q806:S806)=Q806,Q806&gt;=0)),Data!$BI$2,"")</f>
        <v/>
      </c>
      <c r="V806" s="197" t="str">
        <f>IF(AND($J806="x",AND(MAX(Q806:S806)=R806,R806&gt;=0)),Data!$BJ$2,"")</f>
        <v/>
      </c>
      <c r="W806" s="197" t="str">
        <f>IF(AND($K806="x",AND(MAX(Q806:S806)=S806,S806&gt;=0)),Data!$BK$2,"")</f>
        <v/>
      </c>
      <c r="X806" s="197"/>
      <c r="Y806" s="328"/>
      <c r="Z806" s="451"/>
      <c r="AA806" s="452"/>
      <c r="AB806" s="438" t="str">
        <f t="shared" si="1188"/>
        <v/>
      </c>
      <c r="AC806" s="328"/>
      <c r="AD806" s="197" t="str">
        <f>IF(AND($I806="x",AND(MAX(Z806:AB806)=Z806,Z806&lt;&gt;"")),Data!$BI$2,"")</f>
        <v/>
      </c>
      <c r="AE806" s="197" t="str">
        <f>IF(AND($J806="x",AND(MAX(Z806:AB806)=AA806,AA806&lt;&gt;"")),Data!$BJ$2,"")</f>
        <v/>
      </c>
      <c r="AF806" s="197" t="str">
        <f>IF(AND($K806="x",AND(MAX(Z806:AB806)=AB806,AB806&lt;&gt;"")),Data!$BK$2,"")</f>
        <v/>
      </c>
      <c r="AG806" s="197"/>
      <c r="AH806" s="328"/>
      <c r="AI806" s="451"/>
      <c r="AJ806" s="452"/>
      <c r="AK806" s="438" t="str">
        <f t="shared" si="1189"/>
        <v/>
      </c>
      <c r="AL806" s="328"/>
      <c r="AM806" s="197" t="str">
        <f>IF(AND($I806="x",AND(MAX(AI806:AK806)=AI806,AI806&lt;&gt;"")),Data!$BI$2,"")</f>
        <v/>
      </c>
      <c r="AN806" s="197" t="str">
        <f>IF(AND($J806="x",AND(MAX(AI806:AK806)=AJ806,AJ806&lt;&gt;"")),Data!$BJ$2,"")</f>
        <v/>
      </c>
      <c r="AO806" s="197" t="str">
        <f>IF(AND($K806="x",AND(MAX(AI806:AK806)=AK806,AK806&lt;&gt;"")),Data!$BK$2,"")</f>
        <v/>
      </c>
      <c r="AP806" s="197"/>
      <c r="AQ806" s="328"/>
      <c r="AR806" s="451"/>
      <c r="AS806" s="452"/>
      <c r="AT806" s="438" t="str">
        <f t="shared" si="1190"/>
        <v/>
      </c>
      <c r="AU806" s="328"/>
      <c r="AV806" s="197" t="str">
        <f>IF(AND($I806="x",AND(MAX(AR806:AT806)=AR806,AR806&lt;&gt;"")),Data!$BI$2,"")</f>
        <v/>
      </c>
      <c r="AW806" s="197" t="str">
        <f>IF(AND($J806="x",AND(MAX(AR806:AT806)=AS806,AS806&lt;&gt;"")),Data!$BJ$2,"")</f>
        <v/>
      </c>
      <c r="AX806" s="197" t="str">
        <f>IF(AND($K806="x",AND(MAX(AR806:AT806)=AT806,AT806&lt;&gt;"")),Data!$BK$2,"")</f>
        <v/>
      </c>
      <c r="AY806" s="197"/>
      <c r="AZ806" s="328"/>
      <c r="BA806" s="451"/>
      <c r="BB806" s="452"/>
      <c r="BC806" s="438" t="str">
        <f t="shared" si="1191"/>
        <v/>
      </c>
      <c r="BD806" s="328"/>
      <c r="BE806" s="197" t="str">
        <f>IF(AND($I806="x",AND(MAX(BA806:BC806)=BA806,BA806&lt;&gt;"")),Data!$BI$2,"")</f>
        <v/>
      </c>
      <c r="BF806" s="197" t="str">
        <f>IF(AND($J806="x",AND(MAX(BA806:BC806)=BB806,BB806&lt;&gt;"")),Data!$BJ$2,"")</f>
        <v/>
      </c>
      <c r="BG806" s="197" t="str">
        <f>IF(AND($K806="x",AND(MAX(BA806:BC806)=BC806,BC806&lt;&gt;"")),Data!$BK$2,"")</f>
        <v/>
      </c>
      <c r="BH806" s="197"/>
      <c r="BI806" s="328"/>
      <c r="BJ806" s="451"/>
      <c r="BK806" s="452"/>
      <c r="BL806" s="438" t="str">
        <f t="shared" si="1192"/>
        <v/>
      </c>
      <c r="BM806" s="328"/>
      <c r="BN806" s="197" t="str">
        <f>IF(AND($I806="x",AND(MAX(BJ806:BL806)=BJ806,BJ806&lt;&gt;"")),Data!$BI$2,"")</f>
        <v/>
      </c>
      <c r="BO806" s="197" t="str">
        <f>IF(AND($J806="x",AND(MAX(BJ806:BL806)=BK806,BK806&lt;&gt;"")),Data!$BJ$2,"")</f>
        <v/>
      </c>
      <c r="BP806" s="197" t="str">
        <f>IF(AND($K806="x",AND(MAX(BJ806:BL806)=BL806,BL806&lt;&gt;"")),Data!$BK$2,"")</f>
        <v/>
      </c>
      <c r="BQ806" s="197"/>
      <c r="BR806" s="328"/>
      <c r="BS806" s="451"/>
      <c r="BT806" s="452"/>
      <c r="BU806" s="438" t="str">
        <f t="shared" si="1193"/>
        <v/>
      </c>
      <c r="BV806" s="328"/>
      <c r="BW806" s="197" t="str">
        <f>IF(AND($I806="x",AND(MAX(BS806:BU806)=BS806,BS806&lt;&gt;"")),Data!$BI$2,"")</f>
        <v/>
      </c>
      <c r="BX806" s="197" t="str">
        <f>IF(AND($J806="x",AND(MAX(BS806:BU806)=BT806,BT806&lt;&gt;"")),Data!$BJ$2,"")</f>
        <v/>
      </c>
      <c r="BY806" s="197" t="str">
        <f>IF(AND($K806="x",AND(MAX(BS806:BU806)=BU806,BU806&lt;&gt;"")),Data!$BK$2,"")</f>
        <v/>
      </c>
      <c r="BZ806" s="197"/>
      <c r="CA806" s="328"/>
      <c r="CB806" s="457" t="str">
        <f t="shared" si="1194"/>
        <v/>
      </c>
      <c r="CC806" s="458" t="str">
        <f t="shared" si="1195"/>
        <v/>
      </c>
      <c r="CD806" s="459" t="str">
        <f t="shared" si="1196"/>
        <v/>
      </c>
      <c r="CE806" s="328"/>
      <c r="CF806" s="197" t="str">
        <f>IF(AND($I806="x",AND(MAX(CB806:CD806)=CB806,CB806&lt;&gt;"")),Data!$BI$2,"")</f>
        <v/>
      </c>
      <c r="CG806" s="197" t="str">
        <f>IF(AND($J806="x",AND(MAX(CB806:CD806)=CC806,CC806&lt;&gt;"")),Data!$BJ$2,"")</f>
        <v/>
      </c>
      <c r="CH806" s="197" t="str">
        <f>IF(AND($K806="x",AND(MAX(CB806:CD806)=CD806,CD806&lt;&gt;"")),Data!$BK$2,"")</f>
        <v/>
      </c>
      <c r="CI806" s="197"/>
      <c r="CJ806" s="197"/>
      <c r="CK806" s="451"/>
      <c r="CL806" s="452"/>
      <c r="CM806" s="438" t="str">
        <f t="shared" si="1197"/>
        <v/>
      </c>
      <c r="CN806" s="328"/>
      <c r="CO806" s="197" t="str">
        <f>IF(AND($I806="x",AND(MAX(CK806:CM806)=CK806,CK806&lt;&gt;"")),Data!$BI$2,"")</f>
        <v/>
      </c>
      <c r="CP806" s="197" t="str">
        <f>IF(AND($J806="x",AND(MAX(CK806:CM806)=CL806,CL806&lt;&gt;"")),Data!$BJ$2,"")</f>
        <v/>
      </c>
      <c r="CQ806" s="197" t="str">
        <f>IF(AND($K806="x",AND(MAX(CK806:CM806)=CM806,CM806&lt;&gt;"")),Data!$BK$2,"")</f>
        <v/>
      </c>
      <c r="CR806" s="197"/>
      <c r="CS806" s="197"/>
      <c r="CT806" s="328"/>
      <c r="CU806" s="259"/>
      <c r="CV806" s="209"/>
      <c r="CW806" s="227"/>
    </row>
    <row r="807" spans="1:101" x14ac:dyDescent="0.2">
      <c r="A807" s="227"/>
      <c r="B807" s="227"/>
      <c r="C807" s="168"/>
      <c r="D807" s="232"/>
      <c r="E807" s="135"/>
      <c r="F807" s="425"/>
      <c r="G807" s="430" t="s">
        <v>51</v>
      </c>
      <c r="H807" s="431"/>
      <c r="I807" s="346" t="str">
        <f t="shared" si="1184"/>
        <v/>
      </c>
      <c r="J807" s="347" t="str">
        <f t="shared" si="1185"/>
        <v/>
      </c>
      <c r="K807" s="348" t="str">
        <f t="shared" si="1186"/>
        <v/>
      </c>
      <c r="L807" s="258"/>
      <c r="M807" s="332"/>
      <c r="N807" s="336"/>
      <c r="O807" s="200"/>
      <c r="P807" s="200"/>
      <c r="Q807" s="439"/>
      <c r="R807" s="440"/>
      <c r="S807" s="441" t="str">
        <f t="shared" si="1187"/>
        <v/>
      </c>
      <c r="T807" s="328"/>
      <c r="U807" s="197" t="str">
        <f>IF(AND($I807="x",AND(MAX(Q807:S807)=Q807,Q807&gt;=0)),Data!$BI$2,"")</f>
        <v/>
      </c>
      <c r="V807" s="197" t="str">
        <f>IF(AND($J807="x",AND(MAX(Q807:S807)=R807,R807&gt;=0)),Data!$BJ$2,"")</f>
        <v/>
      </c>
      <c r="W807" s="197" t="str">
        <f>IF(AND($K807="x",AND(MAX(Q807:S807)=S807,S807&gt;=0)),Data!$BK$2,"")</f>
        <v/>
      </c>
      <c r="X807" s="197"/>
      <c r="Y807" s="328"/>
      <c r="Z807" s="453"/>
      <c r="AA807" s="454"/>
      <c r="AB807" s="441" t="str">
        <f t="shared" si="1188"/>
        <v/>
      </c>
      <c r="AC807" s="328"/>
      <c r="AD807" s="197" t="str">
        <f>IF(AND($I807="x",AND(MAX(Z807:AB807)=Z807,Z807&lt;&gt;"")),Data!$BI$2,"")</f>
        <v/>
      </c>
      <c r="AE807" s="197" t="str">
        <f>IF(AND($J807="x",AND(MAX(Z807:AB807)=AA807,AA807&lt;&gt;"")),Data!$BJ$2,"")</f>
        <v/>
      </c>
      <c r="AF807" s="197" t="str">
        <f>IF(AND($K807="x",AND(MAX(Z807:AB807)=AB807,AB807&lt;&gt;"")),Data!$BK$2,"")</f>
        <v/>
      </c>
      <c r="AG807" s="197"/>
      <c r="AH807" s="328"/>
      <c r="AI807" s="453"/>
      <c r="AJ807" s="454"/>
      <c r="AK807" s="441" t="str">
        <f t="shared" si="1189"/>
        <v/>
      </c>
      <c r="AL807" s="328"/>
      <c r="AM807" s="197" t="str">
        <f>IF(AND($I807="x",AND(MAX(AI807:AK807)=AI807,AI807&lt;&gt;"")),Data!$BI$2,"")</f>
        <v/>
      </c>
      <c r="AN807" s="197" t="str">
        <f>IF(AND($J807="x",AND(MAX(AI807:AK807)=AJ807,AJ807&lt;&gt;"")),Data!$BJ$2,"")</f>
        <v/>
      </c>
      <c r="AO807" s="197" t="str">
        <f>IF(AND($K807="x",AND(MAX(AI807:AK807)=AK807,AK807&lt;&gt;"")),Data!$BK$2,"")</f>
        <v/>
      </c>
      <c r="AP807" s="197"/>
      <c r="AQ807" s="328"/>
      <c r="AR807" s="453"/>
      <c r="AS807" s="454"/>
      <c r="AT807" s="441" t="str">
        <f t="shared" si="1190"/>
        <v/>
      </c>
      <c r="AU807" s="328"/>
      <c r="AV807" s="197" t="str">
        <f>IF(AND($I807="x",AND(MAX(AR807:AT807)=AR807,AR807&lt;&gt;"")),Data!$BI$2,"")</f>
        <v/>
      </c>
      <c r="AW807" s="197" t="str">
        <f>IF(AND($J807="x",AND(MAX(AR807:AT807)=AS807,AS807&lt;&gt;"")),Data!$BJ$2,"")</f>
        <v/>
      </c>
      <c r="AX807" s="197" t="str">
        <f>IF(AND($K807="x",AND(MAX(AR807:AT807)=AT807,AT807&lt;&gt;"")),Data!$BK$2,"")</f>
        <v/>
      </c>
      <c r="AY807" s="197"/>
      <c r="AZ807" s="328"/>
      <c r="BA807" s="453"/>
      <c r="BB807" s="454"/>
      <c r="BC807" s="441" t="str">
        <f t="shared" si="1191"/>
        <v/>
      </c>
      <c r="BD807" s="328"/>
      <c r="BE807" s="197" t="str">
        <f>IF(AND($I807="x",AND(MAX(BA807:BC807)=BA807,BA807&lt;&gt;"")),Data!$BI$2,"")</f>
        <v/>
      </c>
      <c r="BF807" s="197" t="str">
        <f>IF(AND($J807="x",AND(MAX(BA807:BC807)=BB807,BB807&lt;&gt;"")),Data!$BJ$2,"")</f>
        <v/>
      </c>
      <c r="BG807" s="197" t="str">
        <f>IF(AND($K807="x",AND(MAX(BA807:BC807)=BC807,BC807&lt;&gt;"")),Data!$BK$2,"")</f>
        <v/>
      </c>
      <c r="BH807" s="197"/>
      <c r="BI807" s="328"/>
      <c r="BJ807" s="453"/>
      <c r="BK807" s="454"/>
      <c r="BL807" s="441" t="str">
        <f t="shared" si="1192"/>
        <v/>
      </c>
      <c r="BM807" s="328"/>
      <c r="BN807" s="197" t="str">
        <f>IF(AND($I807="x",AND(MAX(BJ807:BL807)=BJ807,BJ807&lt;&gt;"")),Data!$BI$2,"")</f>
        <v/>
      </c>
      <c r="BO807" s="197" t="str">
        <f>IF(AND($J807="x",AND(MAX(BJ807:BL807)=BK807,BK807&lt;&gt;"")),Data!$BJ$2,"")</f>
        <v/>
      </c>
      <c r="BP807" s="197" t="str">
        <f>IF(AND($K807="x",AND(MAX(BJ807:BL807)=BL807,BL807&lt;&gt;"")),Data!$BK$2,"")</f>
        <v/>
      </c>
      <c r="BQ807" s="197"/>
      <c r="BR807" s="328"/>
      <c r="BS807" s="453"/>
      <c r="BT807" s="454"/>
      <c r="BU807" s="441" t="str">
        <f t="shared" si="1193"/>
        <v/>
      </c>
      <c r="BV807" s="328"/>
      <c r="BW807" s="197" t="str">
        <f>IF(AND($I807="x",AND(MAX(BS807:BU807)=BS807,BS807&lt;&gt;"")),Data!$BI$2,"")</f>
        <v/>
      </c>
      <c r="BX807" s="197" t="str">
        <f>IF(AND($J807="x",AND(MAX(BS807:BU807)=BT807,BT807&lt;&gt;"")),Data!$BJ$2,"")</f>
        <v/>
      </c>
      <c r="BY807" s="197" t="str">
        <f>IF(AND($K807="x",AND(MAX(BS807:BU807)=BU807,BU807&lt;&gt;"")),Data!$BK$2,"")</f>
        <v/>
      </c>
      <c r="BZ807" s="197"/>
      <c r="CA807" s="328"/>
      <c r="CB807" s="460" t="str">
        <f t="shared" si="1194"/>
        <v/>
      </c>
      <c r="CC807" s="461" t="str">
        <f t="shared" si="1195"/>
        <v/>
      </c>
      <c r="CD807" s="462" t="str">
        <f t="shared" si="1196"/>
        <v/>
      </c>
      <c r="CE807" s="328"/>
      <c r="CF807" s="197" t="str">
        <f>IF(AND($I807="x",AND(MAX(CB807:CD807)=CB807,CB807&lt;&gt;"")),Data!$BI$2,"")</f>
        <v/>
      </c>
      <c r="CG807" s="197" t="str">
        <f>IF(AND($J807="x",AND(MAX(CB807:CD807)=CC807,CC807&lt;&gt;"")),Data!$BJ$2,"")</f>
        <v/>
      </c>
      <c r="CH807" s="197" t="str">
        <f>IF(AND($K807="x",AND(MAX(CB807:CD807)=CD807,CD807&lt;&gt;"")),Data!$BK$2,"")</f>
        <v/>
      </c>
      <c r="CI807" s="197"/>
      <c r="CJ807" s="197"/>
      <c r="CK807" s="453"/>
      <c r="CL807" s="454"/>
      <c r="CM807" s="441" t="str">
        <f t="shared" si="1197"/>
        <v/>
      </c>
      <c r="CN807" s="328"/>
      <c r="CO807" s="197" t="str">
        <f>IF(AND($I807="x",AND(MAX(CK807:CM807)=CK807,CK807&lt;&gt;"")),Data!$BI$2,"")</f>
        <v/>
      </c>
      <c r="CP807" s="197" t="str">
        <f>IF(AND($J807="x",AND(MAX(CK807:CM807)=CL807,CL807&lt;&gt;"")),Data!$BJ$2,"")</f>
        <v/>
      </c>
      <c r="CQ807" s="197" t="str">
        <f>IF(AND($K807="x",AND(MAX(CK807:CM807)=CM807,CM807&lt;&gt;"")),Data!$BK$2,"")</f>
        <v/>
      </c>
      <c r="CR807" s="197"/>
      <c r="CS807" s="197"/>
      <c r="CT807" s="328"/>
      <c r="CU807" s="259"/>
      <c r="CV807" s="209"/>
      <c r="CW807" s="227"/>
    </row>
    <row r="808" spans="1:101" x14ac:dyDescent="0.2">
      <c r="A808" s="227"/>
      <c r="B808" s="227"/>
      <c r="C808" s="168"/>
      <c r="D808" s="232"/>
      <c r="E808" s="136"/>
      <c r="F808" s="426"/>
      <c r="G808" s="432" t="s">
        <v>51</v>
      </c>
      <c r="H808" s="433"/>
      <c r="I808" s="349" t="str">
        <f t="shared" si="1184"/>
        <v/>
      </c>
      <c r="J808" s="350" t="str">
        <f t="shared" si="1185"/>
        <v/>
      </c>
      <c r="K808" s="351" t="str">
        <f t="shared" si="1186"/>
        <v/>
      </c>
      <c r="L808" s="258"/>
      <c r="M808" s="332"/>
      <c r="N808" s="336"/>
      <c r="O808" s="200"/>
      <c r="P808" s="200"/>
      <c r="Q808" s="445"/>
      <c r="R808" s="446"/>
      <c r="S808" s="447" t="str">
        <f t="shared" si="1187"/>
        <v/>
      </c>
      <c r="T808" s="328"/>
      <c r="U808" s="197" t="str">
        <f>IF(AND($I808="x",AND(MAX(Q808:S808)=Q808,Q808&gt;=0)),Data!$BI$2,"")</f>
        <v/>
      </c>
      <c r="V808" s="197" t="str">
        <f>IF(AND($J808="x",AND(MAX(Q808:S808)=R808,R808&gt;=0)),Data!$BJ$2,"")</f>
        <v/>
      </c>
      <c r="W808" s="197" t="str">
        <f>IF(AND($K808="x",AND(MAX(Q808:S808)=S808,S808&gt;=0)),Data!$BK$2,"")</f>
        <v/>
      </c>
      <c r="X808" s="197"/>
      <c r="Y808" s="328"/>
      <c r="Z808" s="455"/>
      <c r="AA808" s="456"/>
      <c r="AB808" s="447" t="str">
        <f t="shared" si="1188"/>
        <v/>
      </c>
      <c r="AC808" s="328"/>
      <c r="AD808" s="197" t="str">
        <f>IF(AND($I808="x",AND(MAX(Z808:AB808)=Z808,Z808&lt;&gt;"")),Data!$BI$2,"")</f>
        <v/>
      </c>
      <c r="AE808" s="197" t="str">
        <f>IF(AND($J808="x",AND(MAX(Z808:AB808)=AA808,AA808&lt;&gt;"")),Data!$BJ$2,"")</f>
        <v/>
      </c>
      <c r="AF808" s="197" t="str">
        <f>IF(AND($K808="x",AND(MAX(Z808:AB808)=AB808,AB808&lt;&gt;"")),Data!$BK$2,"")</f>
        <v/>
      </c>
      <c r="AG808" s="197"/>
      <c r="AH808" s="328"/>
      <c r="AI808" s="455"/>
      <c r="AJ808" s="456"/>
      <c r="AK808" s="447" t="str">
        <f t="shared" si="1189"/>
        <v/>
      </c>
      <c r="AL808" s="328"/>
      <c r="AM808" s="197" t="str">
        <f>IF(AND($I808="x",AND(MAX(AI808:AK808)=AI808,AI808&lt;&gt;"")),Data!$BI$2,"")</f>
        <v/>
      </c>
      <c r="AN808" s="197" t="str">
        <f>IF(AND($J808="x",AND(MAX(AI808:AK808)=AJ808,AJ808&lt;&gt;"")),Data!$BJ$2,"")</f>
        <v/>
      </c>
      <c r="AO808" s="197" t="str">
        <f>IF(AND($K808="x",AND(MAX(AI808:AK808)=AK808,AK808&lt;&gt;"")),Data!$BK$2,"")</f>
        <v/>
      </c>
      <c r="AP808" s="197"/>
      <c r="AQ808" s="328"/>
      <c r="AR808" s="455"/>
      <c r="AS808" s="456"/>
      <c r="AT808" s="447" t="str">
        <f t="shared" si="1190"/>
        <v/>
      </c>
      <c r="AU808" s="328"/>
      <c r="AV808" s="197" t="str">
        <f>IF(AND($I808="x",AND(MAX(AR808:AT808)=AR808,AR808&lt;&gt;"")),Data!$BI$2,"")</f>
        <v/>
      </c>
      <c r="AW808" s="197" t="str">
        <f>IF(AND($J808="x",AND(MAX(AR808:AT808)=AS808,AS808&lt;&gt;"")),Data!$BJ$2,"")</f>
        <v/>
      </c>
      <c r="AX808" s="197" t="str">
        <f>IF(AND($K808="x",AND(MAX(AR808:AT808)=AT808,AT808&lt;&gt;"")),Data!$BK$2,"")</f>
        <v/>
      </c>
      <c r="AY808" s="197"/>
      <c r="AZ808" s="328"/>
      <c r="BA808" s="455"/>
      <c r="BB808" s="456"/>
      <c r="BC808" s="447" t="str">
        <f t="shared" si="1191"/>
        <v/>
      </c>
      <c r="BD808" s="328"/>
      <c r="BE808" s="197" t="str">
        <f>IF(AND($I808="x",AND(MAX(BA808:BC808)=BA808,BA808&lt;&gt;"")),Data!$BI$2,"")</f>
        <v/>
      </c>
      <c r="BF808" s="197" t="str">
        <f>IF(AND($J808="x",AND(MAX(BA808:BC808)=BB808,BB808&lt;&gt;"")),Data!$BJ$2,"")</f>
        <v/>
      </c>
      <c r="BG808" s="197" t="str">
        <f>IF(AND($K808="x",AND(MAX(BA808:BC808)=BC808,BC808&lt;&gt;"")),Data!$BK$2,"")</f>
        <v/>
      </c>
      <c r="BH808" s="197"/>
      <c r="BI808" s="328"/>
      <c r="BJ808" s="455"/>
      <c r="BK808" s="456"/>
      <c r="BL808" s="447" t="str">
        <f t="shared" si="1192"/>
        <v/>
      </c>
      <c r="BM808" s="328"/>
      <c r="BN808" s="197" t="str">
        <f>IF(AND($I808="x",AND(MAX(BJ808:BL808)=BJ808,BJ808&lt;&gt;"")),Data!$BI$2,"")</f>
        <v/>
      </c>
      <c r="BO808" s="197" t="str">
        <f>IF(AND($J808="x",AND(MAX(BJ808:BL808)=BK808,BK808&lt;&gt;"")),Data!$BJ$2,"")</f>
        <v/>
      </c>
      <c r="BP808" s="197" t="str">
        <f>IF(AND($K808="x",AND(MAX(BJ808:BL808)=BL808,BL808&lt;&gt;"")),Data!$BK$2,"")</f>
        <v/>
      </c>
      <c r="BQ808" s="197"/>
      <c r="BR808" s="328"/>
      <c r="BS808" s="455"/>
      <c r="BT808" s="456"/>
      <c r="BU808" s="447" t="str">
        <f t="shared" si="1193"/>
        <v/>
      </c>
      <c r="BV808" s="328"/>
      <c r="BW808" s="197" t="str">
        <f>IF(AND($I808="x",AND(MAX(BS808:BU808)=BS808,BS808&lt;&gt;"")),Data!$BI$2,"")</f>
        <v/>
      </c>
      <c r="BX808" s="197" t="str">
        <f>IF(AND($J808="x",AND(MAX(BS808:BU808)=BT808,BT808&lt;&gt;"")),Data!$BJ$2,"")</f>
        <v/>
      </c>
      <c r="BY808" s="197" t="str">
        <f>IF(AND($K808="x",AND(MAX(BS808:BU808)=BU808,BU808&lt;&gt;"")),Data!$BK$2,"")</f>
        <v/>
      </c>
      <c r="BZ808" s="197"/>
      <c r="CA808" s="328"/>
      <c r="CB808" s="463" t="str">
        <f t="shared" si="1194"/>
        <v/>
      </c>
      <c r="CC808" s="464" t="str">
        <f t="shared" si="1195"/>
        <v/>
      </c>
      <c r="CD808" s="465" t="str">
        <f t="shared" si="1196"/>
        <v/>
      </c>
      <c r="CE808" s="328"/>
      <c r="CF808" s="197" t="str">
        <f>IF(AND($I808="x",AND(MAX(CB808:CD808)=CB808,CB808&lt;&gt;"")),Data!$BI$2,"")</f>
        <v/>
      </c>
      <c r="CG808" s="197" t="str">
        <f>IF(AND($J808="x",AND(MAX(CB808:CD808)=CC808,CC808&lt;&gt;"")),Data!$BJ$2,"")</f>
        <v/>
      </c>
      <c r="CH808" s="197" t="str">
        <f>IF(AND($K808="x",AND(MAX(CB808:CD808)=CD808,CD808&lt;&gt;"")),Data!$BK$2,"")</f>
        <v/>
      </c>
      <c r="CI808" s="197"/>
      <c r="CJ808" s="197"/>
      <c r="CK808" s="455"/>
      <c r="CL808" s="456"/>
      <c r="CM808" s="447" t="str">
        <f t="shared" si="1197"/>
        <v/>
      </c>
      <c r="CN808" s="328"/>
      <c r="CO808" s="197" t="str">
        <f>IF(AND($I808="x",AND(MAX(CK808:CM808)=CK808,CK808&lt;&gt;"")),Data!$BI$2,"")</f>
        <v/>
      </c>
      <c r="CP808" s="197" t="str">
        <f>IF(AND($J808="x",AND(MAX(CK808:CM808)=CL808,CL808&lt;&gt;"")),Data!$BJ$2,"")</f>
        <v/>
      </c>
      <c r="CQ808" s="197" t="str">
        <f>IF(AND($K808="x",AND(MAX(CK808:CM808)=CM808,CM808&lt;&gt;"")),Data!$BK$2,"")</f>
        <v/>
      </c>
      <c r="CR808" s="197"/>
      <c r="CS808" s="197"/>
      <c r="CT808" s="328"/>
      <c r="CU808" s="259"/>
      <c r="CV808" s="209"/>
      <c r="CW808" s="227"/>
    </row>
    <row r="809" spans="1:101" x14ac:dyDescent="0.2">
      <c r="A809" s="227"/>
      <c r="B809" s="227"/>
      <c r="C809" s="168"/>
      <c r="D809" s="232"/>
      <c r="E809" s="137"/>
      <c r="F809" s="427"/>
      <c r="G809" s="434" t="s">
        <v>51</v>
      </c>
      <c r="H809" s="435"/>
      <c r="I809" s="138" t="str">
        <f t="shared" si="1184"/>
        <v/>
      </c>
      <c r="J809" s="344" t="str">
        <f t="shared" si="1185"/>
        <v/>
      </c>
      <c r="K809" s="345" t="str">
        <f t="shared" si="1186"/>
        <v/>
      </c>
      <c r="L809" s="258"/>
      <c r="M809" s="332"/>
      <c r="N809" s="336"/>
      <c r="O809" s="200"/>
      <c r="P809" s="200"/>
      <c r="Q809" s="448"/>
      <c r="R809" s="449"/>
      <c r="S809" s="450" t="str">
        <f t="shared" si="1187"/>
        <v/>
      </c>
      <c r="T809" s="328"/>
      <c r="U809" s="197" t="str">
        <f>IF(AND($I809="x",AND(MAX(Q809:S809)=Q809,Q809&gt;=0)),Data!$BI$2,"")</f>
        <v/>
      </c>
      <c r="V809" s="197" t="str">
        <f>IF(AND($J809="x",AND(MAX(Q809:S809)=R809,R809&gt;=0)),Data!$BJ$2,"")</f>
        <v/>
      </c>
      <c r="W809" s="197" t="str">
        <f>IF(AND($K809="x",AND(MAX(Q809:S809)=S809,S809&gt;=0)),Data!$BK$2,"")</f>
        <v/>
      </c>
      <c r="X809" s="197"/>
      <c r="Y809" s="328"/>
      <c r="Z809" s="451"/>
      <c r="AA809" s="452"/>
      <c r="AB809" s="450" t="str">
        <f t="shared" si="1188"/>
        <v/>
      </c>
      <c r="AC809" s="328"/>
      <c r="AD809" s="197" t="str">
        <f>IF(AND($I809="x",AND(MAX(Z809:AB809)=Z809,Z809&lt;&gt;"")),Data!$BI$2,"")</f>
        <v/>
      </c>
      <c r="AE809" s="197" t="str">
        <f>IF(AND($J809="x",AND(MAX(Z809:AB809)=AA809,AA809&lt;&gt;"")),Data!$BJ$2,"")</f>
        <v/>
      </c>
      <c r="AF809" s="197" t="str">
        <f>IF(AND($K809="x",AND(MAX(Z809:AB809)=AB809,AB809&lt;&gt;"")),Data!$BK$2,"")</f>
        <v/>
      </c>
      <c r="AG809" s="197"/>
      <c r="AH809" s="328"/>
      <c r="AI809" s="451"/>
      <c r="AJ809" s="452"/>
      <c r="AK809" s="450" t="str">
        <f t="shared" si="1189"/>
        <v/>
      </c>
      <c r="AL809" s="328"/>
      <c r="AM809" s="197" t="str">
        <f>IF(AND($I809="x",AND(MAX(AI809:AK809)=AI809,AI809&lt;&gt;"")),Data!$BI$2,"")</f>
        <v/>
      </c>
      <c r="AN809" s="197" t="str">
        <f>IF(AND($J809="x",AND(MAX(AI809:AK809)=AJ809,AJ809&lt;&gt;"")),Data!$BJ$2,"")</f>
        <v/>
      </c>
      <c r="AO809" s="197" t="str">
        <f>IF(AND($K809="x",AND(MAX(AI809:AK809)=AK809,AK809&lt;&gt;"")),Data!$BK$2,"")</f>
        <v/>
      </c>
      <c r="AP809" s="197"/>
      <c r="AQ809" s="328"/>
      <c r="AR809" s="451"/>
      <c r="AS809" s="452"/>
      <c r="AT809" s="450" t="str">
        <f t="shared" si="1190"/>
        <v/>
      </c>
      <c r="AU809" s="328"/>
      <c r="AV809" s="197" t="str">
        <f>IF(AND($I809="x",AND(MAX(AR809:AT809)=AR809,AR809&lt;&gt;"")),Data!$BI$2,"")</f>
        <v/>
      </c>
      <c r="AW809" s="197" t="str">
        <f>IF(AND($J809="x",AND(MAX(AR809:AT809)=AS809,AS809&lt;&gt;"")),Data!$BJ$2,"")</f>
        <v/>
      </c>
      <c r="AX809" s="197" t="str">
        <f>IF(AND($K809="x",AND(MAX(AR809:AT809)=AT809,AT809&lt;&gt;"")),Data!$BK$2,"")</f>
        <v/>
      </c>
      <c r="AY809" s="197"/>
      <c r="AZ809" s="328"/>
      <c r="BA809" s="451"/>
      <c r="BB809" s="452"/>
      <c r="BC809" s="450" t="str">
        <f t="shared" si="1191"/>
        <v/>
      </c>
      <c r="BD809" s="328"/>
      <c r="BE809" s="197" t="str">
        <f>IF(AND($I809="x",AND(MAX(BA809:BC809)=BA809,BA809&lt;&gt;"")),Data!$BI$2,"")</f>
        <v/>
      </c>
      <c r="BF809" s="197" t="str">
        <f>IF(AND($J809="x",AND(MAX(BA809:BC809)=BB809,BB809&lt;&gt;"")),Data!$BJ$2,"")</f>
        <v/>
      </c>
      <c r="BG809" s="197" t="str">
        <f>IF(AND($K809="x",AND(MAX(BA809:BC809)=BC809,BC809&lt;&gt;"")),Data!$BK$2,"")</f>
        <v/>
      </c>
      <c r="BH809" s="197"/>
      <c r="BI809" s="328"/>
      <c r="BJ809" s="451"/>
      <c r="BK809" s="452"/>
      <c r="BL809" s="450" t="str">
        <f t="shared" si="1192"/>
        <v/>
      </c>
      <c r="BM809" s="328"/>
      <c r="BN809" s="197" t="str">
        <f>IF(AND($I809="x",AND(MAX(BJ809:BL809)=BJ809,BJ809&lt;&gt;"")),Data!$BI$2,"")</f>
        <v/>
      </c>
      <c r="BO809" s="197" t="str">
        <f>IF(AND($J809="x",AND(MAX(BJ809:BL809)=BK809,BK809&lt;&gt;"")),Data!$BJ$2,"")</f>
        <v/>
      </c>
      <c r="BP809" s="197" t="str">
        <f>IF(AND($K809="x",AND(MAX(BJ809:BL809)=BL809,BL809&lt;&gt;"")),Data!$BK$2,"")</f>
        <v/>
      </c>
      <c r="BQ809" s="197"/>
      <c r="BR809" s="328"/>
      <c r="BS809" s="451"/>
      <c r="BT809" s="452"/>
      <c r="BU809" s="450" t="str">
        <f t="shared" si="1193"/>
        <v/>
      </c>
      <c r="BV809" s="328"/>
      <c r="BW809" s="197" t="str">
        <f>IF(AND($I809="x",AND(MAX(BS809:BU809)=BS809,BS809&lt;&gt;"")),Data!$BI$2,"")</f>
        <v/>
      </c>
      <c r="BX809" s="197" t="str">
        <f>IF(AND($J809="x",AND(MAX(BS809:BU809)=BT809,BT809&lt;&gt;"")),Data!$BJ$2,"")</f>
        <v/>
      </c>
      <c r="BY809" s="197" t="str">
        <f>IF(AND($K809="x",AND(MAX(BS809:BU809)=BU809,BU809&lt;&gt;"")),Data!$BK$2,"")</f>
        <v/>
      </c>
      <c r="BZ809" s="197"/>
      <c r="CA809" s="328"/>
      <c r="CB809" s="457" t="str">
        <f t="shared" si="1194"/>
        <v/>
      </c>
      <c r="CC809" s="458" t="str">
        <f t="shared" si="1195"/>
        <v/>
      </c>
      <c r="CD809" s="459" t="str">
        <f t="shared" si="1196"/>
        <v/>
      </c>
      <c r="CE809" s="328"/>
      <c r="CF809" s="197" t="str">
        <f>IF(AND($I809="x",AND(MAX(CB809:CD809)=CB809,CB809&lt;&gt;"")),Data!$BI$2,"")</f>
        <v/>
      </c>
      <c r="CG809" s="197" t="str">
        <f>IF(AND($J809="x",AND(MAX(CB809:CD809)=CC809,CC809&lt;&gt;"")),Data!$BJ$2,"")</f>
        <v/>
      </c>
      <c r="CH809" s="197" t="str">
        <f>IF(AND($K809="x",AND(MAX(CB809:CD809)=CD809,CD809&lt;&gt;"")),Data!$BK$2,"")</f>
        <v/>
      </c>
      <c r="CI809" s="197"/>
      <c r="CJ809" s="197"/>
      <c r="CK809" s="451"/>
      <c r="CL809" s="452"/>
      <c r="CM809" s="450" t="str">
        <f t="shared" si="1197"/>
        <v/>
      </c>
      <c r="CN809" s="328"/>
      <c r="CO809" s="197" t="str">
        <f>IF(AND($I809="x",AND(MAX(CK809:CM809)=CK809,CK809&lt;&gt;"")),Data!$BI$2,"")</f>
        <v/>
      </c>
      <c r="CP809" s="197" t="str">
        <f>IF(AND($J809="x",AND(MAX(CK809:CM809)=CL809,CL809&lt;&gt;"")),Data!$BJ$2,"")</f>
        <v/>
      </c>
      <c r="CQ809" s="197" t="str">
        <f>IF(AND($K809="x",AND(MAX(CK809:CM809)=CM809,CM809&lt;&gt;"")),Data!$BK$2,"")</f>
        <v/>
      </c>
      <c r="CR809" s="197"/>
      <c r="CS809" s="197"/>
      <c r="CT809" s="328"/>
      <c r="CU809" s="259"/>
      <c r="CV809" s="209"/>
      <c r="CW809" s="227"/>
    </row>
    <row r="810" spans="1:101" x14ac:dyDescent="0.2">
      <c r="A810" s="227"/>
      <c r="B810" s="227"/>
      <c r="C810" s="168"/>
      <c r="D810" s="232"/>
      <c r="E810" s="135"/>
      <c r="F810" s="425"/>
      <c r="G810" s="430" t="s">
        <v>51</v>
      </c>
      <c r="H810" s="431"/>
      <c r="I810" s="346" t="str">
        <f t="shared" si="1184"/>
        <v/>
      </c>
      <c r="J810" s="347" t="str">
        <f t="shared" si="1185"/>
        <v/>
      </c>
      <c r="K810" s="348" t="str">
        <f t="shared" si="1186"/>
        <v/>
      </c>
      <c r="L810" s="258"/>
      <c r="M810" s="332"/>
      <c r="N810" s="336"/>
      <c r="O810" s="200"/>
      <c r="P810" s="200"/>
      <c r="Q810" s="439"/>
      <c r="R810" s="440"/>
      <c r="S810" s="441" t="str">
        <f t="shared" si="1187"/>
        <v/>
      </c>
      <c r="T810" s="328"/>
      <c r="U810" s="197" t="str">
        <f>IF(AND($I810="x",AND(MAX(Q810:S810)=Q810,Q810&gt;=0)),Data!$BI$2,"")</f>
        <v/>
      </c>
      <c r="V810" s="197" t="str">
        <f>IF(AND($J810="x",AND(MAX(Q810:S810)=R810,R810&gt;=0)),Data!$BJ$2,"")</f>
        <v/>
      </c>
      <c r="W810" s="197" t="str">
        <f>IF(AND($K810="x",AND(MAX(Q810:S810)=S810,S810&gt;=0)),Data!$BK$2,"")</f>
        <v/>
      </c>
      <c r="X810" s="197"/>
      <c r="Y810" s="328"/>
      <c r="Z810" s="453"/>
      <c r="AA810" s="454"/>
      <c r="AB810" s="441" t="str">
        <f t="shared" si="1188"/>
        <v/>
      </c>
      <c r="AC810" s="328"/>
      <c r="AD810" s="197" t="str">
        <f>IF(AND($I810="x",AND(MAX(Z810:AB810)=Z810,Z810&lt;&gt;"")),Data!$BI$2,"")</f>
        <v/>
      </c>
      <c r="AE810" s="197" t="str">
        <f>IF(AND($J810="x",AND(MAX(Z810:AB810)=AA810,AA810&lt;&gt;"")),Data!$BJ$2,"")</f>
        <v/>
      </c>
      <c r="AF810" s="197" t="str">
        <f>IF(AND($K810="x",AND(MAX(Z810:AB810)=AB810,AB810&lt;&gt;"")),Data!$BK$2,"")</f>
        <v/>
      </c>
      <c r="AG810" s="197"/>
      <c r="AH810" s="328"/>
      <c r="AI810" s="453"/>
      <c r="AJ810" s="454"/>
      <c r="AK810" s="441" t="str">
        <f t="shared" si="1189"/>
        <v/>
      </c>
      <c r="AL810" s="328"/>
      <c r="AM810" s="197" t="str">
        <f>IF(AND($I810="x",AND(MAX(AI810:AK810)=AI810,AI810&lt;&gt;"")),Data!$BI$2,"")</f>
        <v/>
      </c>
      <c r="AN810" s="197" t="str">
        <f>IF(AND($J810="x",AND(MAX(AI810:AK810)=AJ810,AJ810&lt;&gt;"")),Data!$BJ$2,"")</f>
        <v/>
      </c>
      <c r="AO810" s="197" t="str">
        <f>IF(AND($K810="x",AND(MAX(AI810:AK810)=AK810,AK810&lt;&gt;"")),Data!$BK$2,"")</f>
        <v/>
      </c>
      <c r="AP810" s="197"/>
      <c r="AQ810" s="328"/>
      <c r="AR810" s="453"/>
      <c r="AS810" s="454"/>
      <c r="AT810" s="441" t="str">
        <f t="shared" si="1190"/>
        <v/>
      </c>
      <c r="AU810" s="328"/>
      <c r="AV810" s="197" t="str">
        <f>IF(AND($I810="x",AND(MAX(AR810:AT810)=AR810,AR810&lt;&gt;"")),Data!$BI$2,"")</f>
        <v/>
      </c>
      <c r="AW810" s="197" t="str">
        <f>IF(AND($J810="x",AND(MAX(AR810:AT810)=AS810,AS810&lt;&gt;"")),Data!$BJ$2,"")</f>
        <v/>
      </c>
      <c r="AX810" s="197" t="str">
        <f>IF(AND($K810="x",AND(MAX(AR810:AT810)=AT810,AT810&lt;&gt;"")),Data!$BK$2,"")</f>
        <v/>
      </c>
      <c r="AY810" s="197"/>
      <c r="AZ810" s="328"/>
      <c r="BA810" s="453"/>
      <c r="BB810" s="454"/>
      <c r="BC810" s="441" t="str">
        <f t="shared" si="1191"/>
        <v/>
      </c>
      <c r="BD810" s="328"/>
      <c r="BE810" s="197" t="str">
        <f>IF(AND($I810="x",AND(MAX(BA810:BC810)=BA810,BA810&lt;&gt;"")),Data!$BI$2,"")</f>
        <v/>
      </c>
      <c r="BF810" s="197" t="str">
        <f>IF(AND($J810="x",AND(MAX(BA810:BC810)=BB810,BB810&lt;&gt;"")),Data!$BJ$2,"")</f>
        <v/>
      </c>
      <c r="BG810" s="197" t="str">
        <f>IF(AND($K810="x",AND(MAX(BA810:BC810)=BC810,BC810&lt;&gt;"")),Data!$BK$2,"")</f>
        <v/>
      </c>
      <c r="BH810" s="197"/>
      <c r="BI810" s="328"/>
      <c r="BJ810" s="453"/>
      <c r="BK810" s="454"/>
      <c r="BL810" s="441" t="str">
        <f t="shared" si="1192"/>
        <v/>
      </c>
      <c r="BM810" s="328"/>
      <c r="BN810" s="197" t="str">
        <f>IF(AND($I810="x",AND(MAX(BJ810:BL810)=BJ810,BJ810&lt;&gt;"")),Data!$BI$2,"")</f>
        <v/>
      </c>
      <c r="BO810" s="197" t="str">
        <f>IF(AND($J810="x",AND(MAX(BJ810:BL810)=BK810,BK810&lt;&gt;"")),Data!$BJ$2,"")</f>
        <v/>
      </c>
      <c r="BP810" s="197" t="str">
        <f>IF(AND($K810="x",AND(MAX(BJ810:BL810)=BL810,BL810&lt;&gt;"")),Data!$BK$2,"")</f>
        <v/>
      </c>
      <c r="BQ810" s="197"/>
      <c r="BR810" s="328"/>
      <c r="BS810" s="453"/>
      <c r="BT810" s="454"/>
      <c r="BU810" s="441" t="str">
        <f t="shared" si="1193"/>
        <v/>
      </c>
      <c r="BV810" s="328"/>
      <c r="BW810" s="197" t="str">
        <f>IF(AND($I810="x",AND(MAX(BS810:BU810)=BS810,BS810&lt;&gt;"")),Data!$BI$2,"")</f>
        <v/>
      </c>
      <c r="BX810" s="197" t="str">
        <f>IF(AND($J810="x",AND(MAX(BS810:BU810)=BT810,BT810&lt;&gt;"")),Data!$BJ$2,"")</f>
        <v/>
      </c>
      <c r="BY810" s="197" t="str">
        <f>IF(AND($K810="x",AND(MAX(BS810:BU810)=BU810,BU810&lt;&gt;"")),Data!$BK$2,"")</f>
        <v/>
      </c>
      <c r="BZ810" s="197"/>
      <c r="CA810" s="328"/>
      <c r="CB810" s="460" t="str">
        <f t="shared" si="1194"/>
        <v/>
      </c>
      <c r="CC810" s="461" t="str">
        <f t="shared" si="1195"/>
        <v/>
      </c>
      <c r="CD810" s="462" t="str">
        <f t="shared" si="1196"/>
        <v/>
      </c>
      <c r="CE810" s="328"/>
      <c r="CF810" s="197" t="str">
        <f>IF(AND($I810="x",AND(MAX(CB810:CD810)=CB810,CB810&lt;&gt;"")),Data!$BI$2,"")</f>
        <v/>
      </c>
      <c r="CG810" s="197" t="str">
        <f>IF(AND($J810="x",AND(MAX(CB810:CD810)=CC810,CC810&lt;&gt;"")),Data!$BJ$2,"")</f>
        <v/>
      </c>
      <c r="CH810" s="197" t="str">
        <f>IF(AND($K810="x",AND(MAX(CB810:CD810)=CD810,CD810&lt;&gt;"")),Data!$BK$2,"")</f>
        <v/>
      </c>
      <c r="CI810" s="197"/>
      <c r="CJ810" s="197"/>
      <c r="CK810" s="453"/>
      <c r="CL810" s="454"/>
      <c r="CM810" s="441" t="str">
        <f t="shared" si="1197"/>
        <v/>
      </c>
      <c r="CN810" s="328"/>
      <c r="CO810" s="197" t="str">
        <f>IF(AND($I810="x",AND(MAX(CK810:CM810)=CK810,CK810&lt;&gt;"")),Data!$BI$2,"")</f>
        <v/>
      </c>
      <c r="CP810" s="197" t="str">
        <f>IF(AND($J810="x",AND(MAX(CK810:CM810)=CL810,CL810&lt;&gt;"")),Data!$BJ$2,"")</f>
        <v/>
      </c>
      <c r="CQ810" s="197" t="str">
        <f>IF(AND($K810="x",AND(MAX(CK810:CM810)=CM810,CM810&lt;&gt;"")),Data!$BK$2,"")</f>
        <v/>
      </c>
      <c r="CR810" s="197"/>
      <c r="CS810" s="197"/>
      <c r="CT810" s="328"/>
      <c r="CU810" s="259"/>
      <c r="CV810" s="209"/>
      <c r="CW810" s="227"/>
    </row>
    <row r="811" spans="1:101" x14ac:dyDescent="0.2">
      <c r="A811" s="227"/>
      <c r="B811" s="227"/>
      <c r="C811" s="168"/>
      <c r="D811" s="232"/>
      <c r="E811" s="136"/>
      <c r="F811" s="426"/>
      <c r="G811" s="432" t="s">
        <v>51</v>
      </c>
      <c r="H811" s="433"/>
      <c r="I811" s="349" t="str">
        <f t="shared" si="1184"/>
        <v/>
      </c>
      <c r="J811" s="350" t="str">
        <f t="shared" si="1185"/>
        <v/>
      </c>
      <c r="K811" s="351" t="str">
        <f t="shared" si="1186"/>
        <v/>
      </c>
      <c r="L811" s="258"/>
      <c r="M811" s="332"/>
      <c r="N811" s="336"/>
      <c r="O811" s="200"/>
      <c r="P811" s="200"/>
      <c r="Q811" s="445"/>
      <c r="R811" s="446"/>
      <c r="S811" s="447" t="str">
        <f t="shared" si="1187"/>
        <v/>
      </c>
      <c r="T811" s="328"/>
      <c r="U811" s="197" t="str">
        <f>IF(AND($I811="x",AND(MAX(Q811:S811)=Q811,Q811&gt;=0)),Data!$BI$2,"")</f>
        <v/>
      </c>
      <c r="V811" s="197" t="str">
        <f>IF(AND($J811="x",AND(MAX(Q811:S811)=R811,R811&gt;=0)),Data!$BJ$2,"")</f>
        <v/>
      </c>
      <c r="W811" s="197" t="str">
        <f>IF(AND($K811="x",AND(MAX(Q811:S811)=S811,S811&gt;=0)),Data!$BK$2,"")</f>
        <v/>
      </c>
      <c r="X811" s="197"/>
      <c r="Y811" s="328"/>
      <c r="Z811" s="455"/>
      <c r="AA811" s="456"/>
      <c r="AB811" s="447" t="str">
        <f t="shared" si="1188"/>
        <v/>
      </c>
      <c r="AC811" s="328"/>
      <c r="AD811" s="197" t="str">
        <f>IF(AND($I811="x",AND(MAX(Z811:AB811)=Z811,Z811&lt;&gt;"")),Data!$BI$2,"")</f>
        <v/>
      </c>
      <c r="AE811" s="197" t="str">
        <f>IF(AND($J811="x",AND(MAX(Z811:AB811)=AA811,AA811&lt;&gt;"")),Data!$BJ$2,"")</f>
        <v/>
      </c>
      <c r="AF811" s="197" t="str">
        <f>IF(AND($K811="x",AND(MAX(Z811:AB811)=AB811,AB811&lt;&gt;"")),Data!$BK$2,"")</f>
        <v/>
      </c>
      <c r="AG811" s="197"/>
      <c r="AH811" s="328"/>
      <c r="AI811" s="455"/>
      <c r="AJ811" s="456"/>
      <c r="AK811" s="447" t="str">
        <f t="shared" si="1189"/>
        <v/>
      </c>
      <c r="AL811" s="328"/>
      <c r="AM811" s="197" t="str">
        <f>IF(AND($I811="x",AND(MAX(AI811:AK811)=AI811,AI811&lt;&gt;"")),Data!$BI$2,"")</f>
        <v/>
      </c>
      <c r="AN811" s="197" t="str">
        <f>IF(AND($J811="x",AND(MAX(AI811:AK811)=AJ811,AJ811&lt;&gt;"")),Data!$BJ$2,"")</f>
        <v/>
      </c>
      <c r="AO811" s="197" t="str">
        <f>IF(AND($K811="x",AND(MAX(AI811:AK811)=AK811,AK811&lt;&gt;"")),Data!$BK$2,"")</f>
        <v/>
      </c>
      <c r="AP811" s="197"/>
      <c r="AQ811" s="328"/>
      <c r="AR811" s="455"/>
      <c r="AS811" s="456"/>
      <c r="AT811" s="447" t="str">
        <f t="shared" si="1190"/>
        <v/>
      </c>
      <c r="AU811" s="328"/>
      <c r="AV811" s="197" t="str">
        <f>IF(AND($I811="x",AND(MAX(AR811:AT811)=AR811,AR811&lt;&gt;"")),Data!$BI$2,"")</f>
        <v/>
      </c>
      <c r="AW811" s="197" t="str">
        <f>IF(AND($J811="x",AND(MAX(AR811:AT811)=AS811,AS811&lt;&gt;"")),Data!$BJ$2,"")</f>
        <v/>
      </c>
      <c r="AX811" s="197" t="str">
        <f>IF(AND($K811="x",AND(MAX(AR811:AT811)=AT811,AT811&lt;&gt;"")),Data!$BK$2,"")</f>
        <v/>
      </c>
      <c r="AY811" s="197"/>
      <c r="AZ811" s="328"/>
      <c r="BA811" s="455"/>
      <c r="BB811" s="456"/>
      <c r="BC811" s="447" t="str">
        <f t="shared" si="1191"/>
        <v/>
      </c>
      <c r="BD811" s="328"/>
      <c r="BE811" s="197" t="str">
        <f>IF(AND($I811="x",AND(MAX(BA811:BC811)=BA811,BA811&lt;&gt;"")),Data!$BI$2,"")</f>
        <v/>
      </c>
      <c r="BF811" s="197" t="str">
        <f>IF(AND($J811="x",AND(MAX(BA811:BC811)=BB811,BB811&lt;&gt;"")),Data!$BJ$2,"")</f>
        <v/>
      </c>
      <c r="BG811" s="197" t="str">
        <f>IF(AND($K811="x",AND(MAX(BA811:BC811)=BC811,BC811&lt;&gt;"")),Data!$BK$2,"")</f>
        <v/>
      </c>
      <c r="BH811" s="197"/>
      <c r="BI811" s="328"/>
      <c r="BJ811" s="455"/>
      <c r="BK811" s="456"/>
      <c r="BL811" s="447" t="str">
        <f t="shared" si="1192"/>
        <v/>
      </c>
      <c r="BM811" s="328"/>
      <c r="BN811" s="197" t="str">
        <f>IF(AND($I811="x",AND(MAX(BJ811:BL811)=BJ811,BJ811&lt;&gt;"")),Data!$BI$2,"")</f>
        <v/>
      </c>
      <c r="BO811" s="197" t="str">
        <f>IF(AND($J811="x",AND(MAX(BJ811:BL811)=BK811,BK811&lt;&gt;"")),Data!$BJ$2,"")</f>
        <v/>
      </c>
      <c r="BP811" s="197" t="str">
        <f>IF(AND($K811="x",AND(MAX(BJ811:BL811)=BL811,BL811&lt;&gt;"")),Data!$BK$2,"")</f>
        <v/>
      </c>
      <c r="BQ811" s="197"/>
      <c r="BR811" s="328"/>
      <c r="BS811" s="455"/>
      <c r="BT811" s="456"/>
      <c r="BU811" s="447" t="str">
        <f t="shared" si="1193"/>
        <v/>
      </c>
      <c r="BV811" s="328"/>
      <c r="BW811" s="197" t="str">
        <f>IF(AND($I811="x",AND(MAX(BS811:BU811)=BS811,BS811&lt;&gt;"")),Data!$BI$2,"")</f>
        <v/>
      </c>
      <c r="BX811" s="197" t="str">
        <f>IF(AND($J811="x",AND(MAX(BS811:BU811)=BT811,BT811&lt;&gt;"")),Data!$BJ$2,"")</f>
        <v/>
      </c>
      <c r="BY811" s="197" t="str">
        <f>IF(AND($K811="x",AND(MAX(BS811:BU811)=BU811,BU811&lt;&gt;"")),Data!$BK$2,"")</f>
        <v/>
      </c>
      <c r="BZ811" s="197"/>
      <c r="CA811" s="328"/>
      <c r="CB811" s="463" t="str">
        <f t="shared" si="1194"/>
        <v/>
      </c>
      <c r="CC811" s="464" t="str">
        <f t="shared" si="1195"/>
        <v/>
      </c>
      <c r="CD811" s="465" t="str">
        <f t="shared" si="1196"/>
        <v/>
      </c>
      <c r="CE811" s="328"/>
      <c r="CF811" s="197" t="str">
        <f>IF(AND($I811="x",AND(MAX(CB811:CD811)=CB811,CB811&lt;&gt;"")),Data!$BI$2,"")</f>
        <v/>
      </c>
      <c r="CG811" s="197" t="str">
        <f>IF(AND($J811="x",AND(MAX(CB811:CD811)=CC811,CC811&lt;&gt;"")),Data!$BJ$2,"")</f>
        <v/>
      </c>
      <c r="CH811" s="197" t="str">
        <f>IF(AND($K811="x",AND(MAX(CB811:CD811)=CD811,CD811&lt;&gt;"")),Data!$BK$2,"")</f>
        <v/>
      </c>
      <c r="CI811" s="197"/>
      <c r="CJ811" s="197"/>
      <c r="CK811" s="455"/>
      <c r="CL811" s="456"/>
      <c r="CM811" s="447" t="str">
        <f t="shared" si="1197"/>
        <v/>
      </c>
      <c r="CN811" s="328"/>
      <c r="CO811" s="197" t="str">
        <f>IF(AND($I811="x",AND(MAX(CK811:CM811)=CK811,CK811&lt;&gt;"")),Data!$BI$2,"")</f>
        <v/>
      </c>
      <c r="CP811" s="197" t="str">
        <f>IF(AND($J811="x",AND(MAX(CK811:CM811)=CL811,CL811&lt;&gt;"")),Data!$BJ$2,"")</f>
        <v/>
      </c>
      <c r="CQ811" s="197" t="str">
        <f>IF(AND($K811="x",AND(MAX(CK811:CM811)=CM811,CM811&lt;&gt;"")),Data!$BK$2,"")</f>
        <v/>
      </c>
      <c r="CR811" s="197"/>
      <c r="CS811" s="197"/>
      <c r="CT811" s="328"/>
      <c r="CU811" s="259"/>
      <c r="CV811" s="209"/>
      <c r="CW811" s="227"/>
    </row>
    <row r="812" spans="1:101" x14ac:dyDescent="0.2">
      <c r="A812" s="227"/>
      <c r="B812" s="227"/>
      <c r="C812" s="168"/>
      <c r="D812" s="233"/>
      <c r="E812" s="199"/>
      <c r="F812" s="352" t="str">
        <f>IF(SUM(F800:F811)=0,"",SUM(F800:F811))</f>
        <v/>
      </c>
      <c r="G812" s="327" t="s">
        <v>51</v>
      </c>
      <c r="H812" s="353" t="str">
        <f>IF(SUM(H800:H811)=0,"",SUM(H800:H811))</f>
        <v/>
      </c>
      <c r="I812" s="354" t="str">
        <f>IF(COUNTIF(I800:I811,"=x")=0,"",COUNTIF(I800:I811,"=x"))</f>
        <v/>
      </c>
      <c r="J812" s="355" t="str">
        <f>IF(COUNTIF(J800:J811,"=x")=0,"",COUNTIF(J800:J811,"=x"))</f>
        <v/>
      </c>
      <c r="K812" s="356" t="str">
        <f>IF(COUNTIF(K800:K811,"=x")=0,"",COUNTIF(K800:K811,"=x"))</f>
        <v/>
      </c>
      <c r="L812" s="258"/>
      <c r="M812" s="332"/>
      <c r="N812" s="336"/>
      <c r="O812" s="200"/>
      <c r="P812" s="326"/>
      <c r="Q812" s="422">
        <f>SUM(U800:U811)</f>
        <v>0</v>
      </c>
      <c r="R812" s="422">
        <f t="shared" ref="R812:S812" si="1198">SUM(V800:V811)</f>
        <v>0</v>
      </c>
      <c r="S812" s="422">
        <f t="shared" si="1198"/>
        <v>0</v>
      </c>
      <c r="T812" s="325"/>
      <c r="U812" s="197">
        <f>SUM(U800:U811)</f>
        <v>0</v>
      </c>
      <c r="V812" s="197">
        <f t="shared" ref="V812:W812" si="1199">SUM(V800:V811)</f>
        <v>0</v>
      </c>
      <c r="W812" s="197">
        <f t="shared" si="1199"/>
        <v>0</v>
      </c>
      <c r="X812" s="197"/>
      <c r="Y812" s="324"/>
      <c r="Z812" s="422">
        <f>SUM(AD800:AD811)</f>
        <v>0</v>
      </c>
      <c r="AA812" s="422">
        <f t="shared" ref="AA812:AB812" si="1200">SUM(AE800:AE811)</f>
        <v>0</v>
      </c>
      <c r="AB812" s="422">
        <f t="shared" si="1200"/>
        <v>0</v>
      </c>
      <c r="AC812" s="325"/>
      <c r="AD812" s="197">
        <f>SUM(AD800:AD811)</f>
        <v>0</v>
      </c>
      <c r="AE812" s="197">
        <f t="shared" ref="AE812:AF812" si="1201">SUM(AE800:AE811)</f>
        <v>0</v>
      </c>
      <c r="AF812" s="197">
        <f t="shared" si="1201"/>
        <v>0</v>
      </c>
      <c r="AG812" s="197"/>
      <c r="AH812" s="324"/>
      <c r="AI812" s="422">
        <f>SUM(AM800:AM811)</f>
        <v>0</v>
      </c>
      <c r="AJ812" s="422">
        <f t="shared" ref="AJ812:AK812" si="1202">SUM(AN800:AN811)</f>
        <v>0</v>
      </c>
      <c r="AK812" s="422">
        <f t="shared" si="1202"/>
        <v>0</v>
      </c>
      <c r="AL812" s="325"/>
      <c r="AM812" s="197">
        <f>SUM(AM800:AM811)</f>
        <v>0</v>
      </c>
      <c r="AN812" s="197">
        <f t="shared" ref="AN812:AO812" si="1203">SUM(AN800:AN811)</f>
        <v>0</v>
      </c>
      <c r="AO812" s="197">
        <f t="shared" si="1203"/>
        <v>0</v>
      </c>
      <c r="AP812" s="197"/>
      <c r="AQ812" s="324"/>
      <c r="AR812" s="422">
        <f>SUM(AV800:AV811)</f>
        <v>0</v>
      </c>
      <c r="AS812" s="422">
        <f t="shared" ref="AS812:AT812" si="1204">SUM(AW800:AW811)</f>
        <v>0</v>
      </c>
      <c r="AT812" s="422">
        <f t="shared" si="1204"/>
        <v>0</v>
      </c>
      <c r="AU812" s="325"/>
      <c r="AV812" s="197">
        <f>SUM(AV800:AV811)</f>
        <v>0</v>
      </c>
      <c r="AW812" s="197">
        <f t="shared" ref="AW812:AX812" si="1205">SUM(AW800:AW811)</f>
        <v>0</v>
      </c>
      <c r="AX812" s="197">
        <f t="shared" si="1205"/>
        <v>0</v>
      </c>
      <c r="AY812" s="197"/>
      <c r="AZ812" s="324"/>
      <c r="BA812" s="422">
        <f>SUM(BE800:BE811)</f>
        <v>0</v>
      </c>
      <c r="BB812" s="422">
        <f t="shared" ref="BB812:BC812" si="1206">SUM(BF800:BF811)</f>
        <v>0</v>
      </c>
      <c r="BC812" s="422">
        <f t="shared" si="1206"/>
        <v>0</v>
      </c>
      <c r="BD812" s="325"/>
      <c r="BE812" s="197">
        <f>SUM(BE800:BE811)</f>
        <v>0</v>
      </c>
      <c r="BF812" s="197">
        <f t="shared" ref="BF812:BG812" si="1207">SUM(BF800:BF811)</f>
        <v>0</v>
      </c>
      <c r="BG812" s="197">
        <f t="shared" si="1207"/>
        <v>0</v>
      </c>
      <c r="BH812" s="197"/>
      <c r="BI812" s="324"/>
      <c r="BJ812" s="422">
        <f>SUM(BN800:BN811)</f>
        <v>0</v>
      </c>
      <c r="BK812" s="422">
        <f t="shared" ref="BK812" si="1208">SUM(BO800:BO811)</f>
        <v>0</v>
      </c>
      <c r="BL812" s="422">
        <f t="shared" ref="BL812" si="1209">SUM(BP800:BP811)</f>
        <v>0</v>
      </c>
      <c r="BM812" s="325"/>
      <c r="BN812" s="197">
        <f>SUM(BN800:BN811)</f>
        <v>0</v>
      </c>
      <c r="BO812" s="197">
        <f t="shared" ref="BO812:BP812" si="1210">SUM(BO800:BO811)</f>
        <v>0</v>
      </c>
      <c r="BP812" s="197">
        <f t="shared" si="1210"/>
        <v>0</v>
      </c>
      <c r="BQ812" s="197"/>
      <c r="BR812" s="324"/>
      <c r="BS812" s="422">
        <f>SUM(BW800:BW811)</f>
        <v>0</v>
      </c>
      <c r="BT812" s="422">
        <f t="shared" ref="BT812:BU812" si="1211">SUM(BX800:BX811)</f>
        <v>0</v>
      </c>
      <c r="BU812" s="422">
        <f t="shared" si="1211"/>
        <v>0</v>
      </c>
      <c r="BV812" s="325"/>
      <c r="BW812" s="197">
        <f>SUM(BW800:BW811)</f>
        <v>0</v>
      </c>
      <c r="BX812" s="197">
        <f t="shared" ref="BX812:BY812" si="1212">SUM(BX800:BX811)</f>
        <v>0</v>
      </c>
      <c r="BY812" s="197">
        <f t="shared" si="1212"/>
        <v>0</v>
      </c>
      <c r="BZ812" s="197"/>
      <c r="CA812" s="326"/>
      <c r="CB812" s="422">
        <f>SUM(CF800:CF811)</f>
        <v>0</v>
      </c>
      <c r="CC812" s="422">
        <f t="shared" ref="CC812:CD812" si="1213">SUM(CG800:CG811)</f>
        <v>0</v>
      </c>
      <c r="CD812" s="422">
        <f t="shared" si="1213"/>
        <v>0</v>
      </c>
      <c r="CE812" s="325"/>
      <c r="CF812" s="197">
        <f>SUM(CF800:CF811)</f>
        <v>0</v>
      </c>
      <c r="CG812" s="197">
        <f t="shared" ref="CG812:CH812" si="1214">SUM(CG800:CG811)</f>
        <v>0</v>
      </c>
      <c r="CH812" s="197">
        <f t="shared" si="1214"/>
        <v>0</v>
      </c>
      <c r="CI812" s="197"/>
      <c r="CJ812" s="197"/>
      <c r="CK812" s="422">
        <f>SUM(CO800:CO811)</f>
        <v>0</v>
      </c>
      <c r="CL812" s="422">
        <f t="shared" ref="CL812:CM812" si="1215">SUM(CP800:CP811)</f>
        <v>0</v>
      </c>
      <c r="CM812" s="422">
        <f t="shared" si="1215"/>
        <v>0</v>
      </c>
      <c r="CN812" s="325"/>
      <c r="CO812" s="197">
        <f>SUM(CO800:CO811)</f>
        <v>0</v>
      </c>
      <c r="CP812" s="197">
        <f t="shared" ref="CP812:CQ812" si="1216">SUM(CP800:CP811)</f>
        <v>0</v>
      </c>
      <c r="CQ812" s="197">
        <f t="shared" si="1216"/>
        <v>0</v>
      </c>
      <c r="CR812" s="197"/>
      <c r="CS812" s="197"/>
      <c r="CT812" s="197"/>
      <c r="CU812" s="259"/>
      <c r="CV812" s="209"/>
      <c r="CW812" s="228"/>
    </row>
    <row r="813" spans="1:101" x14ac:dyDescent="0.2">
      <c r="A813" s="227"/>
      <c r="B813" s="227"/>
      <c r="C813" s="168"/>
      <c r="D813" s="249"/>
      <c r="E813" s="242"/>
      <c r="F813" s="243"/>
      <c r="G813" s="242"/>
      <c r="H813" s="242"/>
      <c r="I813" s="242"/>
      <c r="J813" s="242"/>
      <c r="K813" s="242"/>
      <c r="L813" s="252"/>
      <c r="M813" s="260"/>
      <c r="N813" s="337"/>
      <c r="O813" s="333"/>
      <c r="P813" s="244"/>
      <c r="Q813" s="245"/>
      <c r="R813" s="245"/>
      <c r="S813" s="245"/>
      <c r="T813" s="246"/>
      <c r="U813" s="247"/>
      <c r="V813" s="247"/>
      <c r="W813" s="247"/>
      <c r="X813" s="247"/>
      <c r="Y813" s="244"/>
      <c r="Z813" s="245"/>
      <c r="AA813" s="245"/>
      <c r="AB813" s="245"/>
      <c r="AC813" s="246"/>
      <c r="AD813" s="247"/>
      <c r="AE813" s="247"/>
      <c r="AF813" s="247"/>
      <c r="AG813" s="247"/>
      <c r="AH813" s="244"/>
      <c r="AI813" s="245"/>
      <c r="AJ813" s="245"/>
      <c r="AK813" s="245"/>
      <c r="AL813" s="246"/>
      <c r="AM813" s="247"/>
      <c r="AN813" s="247"/>
      <c r="AO813" s="247"/>
      <c r="AP813" s="247"/>
      <c r="AQ813" s="244"/>
      <c r="AR813" s="245"/>
      <c r="AS813" s="245"/>
      <c r="AT813" s="245"/>
      <c r="AU813" s="246"/>
      <c r="AV813" s="247"/>
      <c r="AW813" s="247"/>
      <c r="AX813" s="247"/>
      <c r="AY813" s="247"/>
      <c r="AZ813" s="244"/>
      <c r="BA813" s="245"/>
      <c r="BB813" s="245"/>
      <c r="BC813" s="245"/>
      <c r="BD813" s="246"/>
      <c r="BE813" s="247"/>
      <c r="BF813" s="247"/>
      <c r="BG813" s="247"/>
      <c r="BH813" s="247"/>
      <c r="BI813" s="244"/>
      <c r="BJ813" s="244"/>
      <c r="BK813" s="244"/>
      <c r="BL813" s="244"/>
      <c r="BM813" s="244"/>
      <c r="BN813" s="247"/>
      <c r="BO813" s="247"/>
      <c r="BP813" s="247"/>
      <c r="BQ813" s="247"/>
      <c r="BR813" s="244"/>
      <c r="BS813" s="244"/>
      <c r="BT813" s="244"/>
      <c r="BU813" s="244"/>
      <c r="BV813" s="244"/>
      <c r="BW813" s="247"/>
      <c r="BX813" s="247"/>
      <c r="BY813" s="247"/>
      <c r="BZ813" s="247"/>
      <c r="CA813" s="244"/>
      <c r="CB813" s="244"/>
      <c r="CC813" s="244"/>
      <c r="CD813" s="244"/>
      <c r="CE813" s="244"/>
      <c r="CF813" s="247"/>
      <c r="CG813" s="247"/>
      <c r="CH813" s="247"/>
      <c r="CI813" s="247"/>
      <c r="CJ813" s="248"/>
      <c r="CK813" s="248"/>
      <c r="CL813" s="248"/>
      <c r="CM813" s="248"/>
      <c r="CN813" s="248"/>
      <c r="CO813" s="247"/>
      <c r="CP813" s="247"/>
      <c r="CQ813" s="247"/>
      <c r="CR813" s="247"/>
      <c r="CS813" s="248"/>
      <c r="CT813" s="242"/>
      <c r="CU813" s="253"/>
      <c r="CV813" s="209"/>
      <c r="CW813" s="228"/>
    </row>
    <row r="814" spans="1:101" x14ac:dyDescent="0.2">
      <c r="A814" s="219"/>
      <c r="B814" s="219"/>
      <c r="C814" s="175"/>
      <c r="D814" s="176"/>
      <c r="E814" s="210"/>
      <c r="F814" s="211"/>
      <c r="G814" s="210"/>
      <c r="H814" s="210"/>
      <c r="I814" s="210"/>
      <c r="J814" s="210"/>
      <c r="K814" s="210"/>
      <c r="L814" s="212"/>
      <c r="M814" s="213"/>
      <c r="N814" s="213"/>
      <c r="O814" s="213"/>
      <c r="P814" s="213"/>
      <c r="Q814" s="210"/>
      <c r="R814" s="210"/>
      <c r="S814" s="210"/>
      <c r="T814" s="214"/>
      <c r="U814" s="215"/>
      <c r="V814" s="215"/>
      <c r="W814" s="215"/>
      <c r="X814" s="215"/>
      <c r="Y814" s="213"/>
      <c r="Z814" s="210"/>
      <c r="AA814" s="210"/>
      <c r="AB814" s="210"/>
      <c r="AC814" s="214"/>
      <c r="AD814" s="215"/>
      <c r="AE814" s="215"/>
      <c r="AF814" s="215"/>
      <c r="AG814" s="215"/>
      <c r="AH814" s="213"/>
      <c r="AI814" s="210"/>
      <c r="AJ814" s="210"/>
      <c r="AK814" s="210"/>
      <c r="AL814" s="214"/>
      <c r="AM814" s="215"/>
      <c r="AN814" s="215"/>
      <c r="AO814" s="215"/>
      <c r="AP814" s="215"/>
      <c r="AQ814" s="213"/>
      <c r="AR814" s="210"/>
      <c r="AS814" s="210"/>
      <c r="AT814" s="210"/>
      <c r="AU814" s="214"/>
      <c r="AV814" s="215"/>
      <c r="AW814" s="215"/>
      <c r="AX814" s="215"/>
      <c r="AY814" s="215"/>
      <c r="AZ814" s="213"/>
      <c r="BA814" s="210"/>
      <c r="BB814" s="210"/>
      <c r="BC814" s="210"/>
      <c r="BD814" s="214"/>
      <c r="BE814" s="215"/>
      <c r="BF814" s="215"/>
      <c r="BG814" s="215"/>
      <c r="BH814" s="215"/>
      <c r="BI814" s="213"/>
      <c r="BJ814" s="210"/>
      <c r="BK814" s="210"/>
      <c r="BL814" s="210"/>
      <c r="BM814" s="214"/>
      <c r="BN814" s="215"/>
      <c r="BO814" s="215"/>
      <c r="BP814" s="215"/>
      <c r="BQ814" s="215"/>
      <c r="BR814" s="177"/>
      <c r="BS814" s="210"/>
      <c r="BT814" s="210"/>
      <c r="BU814" s="210"/>
      <c r="BV814" s="213"/>
      <c r="BW814" s="215"/>
      <c r="BX814" s="215"/>
      <c r="BY814" s="215"/>
      <c r="BZ814" s="215"/>
      <c r="CA814" s="210"/>
      <c r="CB814" s="216"/>
      <c r="CC814" s="216"/>
      <c r="CD814" s="216"/>
      <c r="CE814" s="216"/>
      <c r="CF814" s="215"/>
      <c r="CG814" s="215"/>
      <c r="CH814" s="215"/>
      <c r="CI814" s="215"/>
      <c r="CJ814" s="210"/>
      <c r="CK814" s="210"/>
      <c r="CL814" s="210"/>
      <c r="CM814" s="210"/>
      <c r="CN814" s="210"/>
      <c r="CO814" s="215"/>
      <c r="CP814" s="215"/>
      <c r="CQ814" s="215"/>
      <c r="CR814" s="215"/>
      <c r="CS814" s="210"/>
      <c r="CT814" s="210"/>
      <c r="CU814" s="210"/>
      <c r="CV814" s="217"/>
      <c r="CW814" s="218"/>
    </row>
    <row r="815" spans="1:101" ht="14.25" thickTop="1" thickBot="1" x14ac:dyDescent="0.25">
      <c r="A815" s="218"/>
      <c r="B815" s="218"/>
      <c r="C815" s="218"/>
      <c r="D815" s="218"/>
      <c r="E815" s="218"/>
      <c r="F815" s="218"/>
      <c r="G815" s="218"/>
      <c r="H815" s="218"/>
      <c r="I815" s="218"/>
      <c r="J815" s="218"/>
      <c r="K815" s="218"/>
      <c r="L815" s="218"/>
      <c r="M815" s="218"/>
      <c r="N815" s="218"/>
      <c r="O815" s="218"/>
      <c r="P815" s="218"/>
      <c r="Q815" s="218"/>
      <c r="R815" s="218"/>
      <c r="S815" s="218"/>
      <c r="T815" s="218"/>
      <c r="U815" s="218"/>
      <c r="V815" s="218"/>
      <c r="W815" s="218"/>
      <c r="X815" s="218"/>
      <c r="Y815" s="218"/>
      <c r="Z815" s="218"/>
      <c r="AA815" s="218"/>
      <c r="AB815" s="218"/>
      <c r="AC815" s="218"/>
      <c r="AD815" s="218"/>
      <c r="AE815" s="218"/>
      <c r="AF815" s="218"/>
      <c r="AG815" s="218"/>
      <c r="AH815" s="218"/>
      <c r="AI815" s="218"/>
      <c r="AJ815" s="218"/>
      <c r="AK815" s="218"/>
      <c r="AL815" s="218"/>
      <c r="AM815" s="218"/>
      <c r="AN815" s="218"/>
      <c r="AO815" s="218"/>
      <c r="AP815" s="218"/>
      <c r="AQ815" s="218"/>
      <c r="AR815" s="218"/>
      <c r="AS815" s="218"/>
      <c r="AT815" s="218"/>
      <c r="AU815" s="218"/>
      <c r="AV815" s="218"/>
      <c r="AW815" s="218"/>
      <c r="AX815" s="218"/>
      <c r="AY815" s="218"/>
      <c r="AZ815" s="218"/>
      <c r="BA815" s="218"/>
      <c r="BB815" s="218"/>
      <c r="BC815" s="218"/>
      <c r="BD815" s="218"/>
      <c r="BE815" s="218"/>
      <c r="BF815" s="218"/>
      <c r="BG815" s="218"/>
      <c r="BH815" s="218"/>
      <c r="BI815" s="218"/>
      <c r="BJ815" s="218"/>
      <c r="BK815" s="218"/>
      <c r="BL815" s="218"/>
      <c r="BM815" s="218"/>
      <c r="BN815" s="218"/>
      <c r="BO815" s="218"/>
      <c r="BP815" s="218"/>
      <c r="BQ815" s="218"/>
      <c r="BR815" s="218"/>
      <c r="BS815" s="218"/>
      <c r="BT815" s="218"/>
      <c r="BU815" s="218"/>
      <c r="BV815" s="218"/>
      <c r="BW815" s="218"/>
      <c r="BX815" s="218"/>
      <c r="BY815" s="218"/>
      <c r="BZ815" s="218"/>
      <c r="CA815" s="218"/>
      <c r="CB815" s="392"/>
      <c r="CC815" s="392"/>
      <c r="CD815" s="392"/>
      <c r="CE815" s="392"/>
      <c r="CF815" s="218"/>
      <c r="CG815" s="218"/>
      <c r="CH815" s="218"/>
      <c r="CI815" s="218"/>
      <c r="CJ815" s="218"/>
      <c r="CK815" s="218"/>
      <c r="CL815" s="218"/>
      <c r="CM815" s="218"/>
      <c r="CN815" s="218"/>
      <c r="CO815" s="218"/>
      <c r="CP815" s="218"/>
      <c r="CQ815" s="218"/>
      <c r="CR815" s="218"/>
      <c r="CS815" s="218"/>
      <c r="CT815" s="218"/>
      <c r="CU815" s="218"/>
      <c r="CV815" s="218"/>
      <c r="CW815" s="218"/>
    </row>
    <row r="816" spans="1:101" ht="21" thickTop="1" x14ac:dyDescent="0.3">
      <c r="A816" s="219"/>
      <c r="B816" s="219"/>
      <c r="C816" s="157"/>
      <c r="D816" s="158"/>
      <c r="E816" s="731" t="s">
        <v>44</v>
      </c>
      <c r="F816" s="229"/>
      <c r="G816" s="229"/>
      <c r="H816" s="229"/>
      <c r="I816" s="877" t="e" vm="1">
        <v>#VALUE!</v>
      </c>
      <c r="J816" s="877"/>
      <c r="K816" s="877"/>
      <c r="L816" s="877"/>
      <c r="M816" s="159"/>
      <c r="N816" s="159"/>
      <c r="O816" s="159"/>
      <c r="P816" s="160"/>
      <c r="Q816" s="159"/>
      <c r="R816" s="159"/>
      <c r="S816" s="159"/>
      <c r="T816" s="161"/>
      <c r="U816" s="162"/>
      <c r="V816" s="162"/>
      <c r="W816" s="162"/>
      <c r="X816" s="162"/>
      <c r="Y816" s="160"/>
      <c r="Z816" s="159"/>
      <c r="AA816" s="159"/>
      <c r="AB816" s="159"/>
      <c r="AC816" s="161"/>
      <c r="AD816" s="162"/>
      <c r="AE816" s="162"/>
      <c r="AF816" s="162"/>
      <c r="AG816" s="162"/>
      <c r="AH816" s="160"/>
      <c r="AI816" s="159"/>
      <c r="AJ816" s="201"/>
      <c r="AK816" s="201"/>
      <c r="AL816" s="164"/>
      <c r="AM816" s="162"/>
      <c r="AN816" s="162"/>
      <c r="AO816" s="162"/>
      <c r="AP816" s="162"/>
      <c r="AQ816" s="202"/>
      <c r="AR816" s="203"/>
      <c r="AS816" s="165"/>
      <c r="AT816" s="166"/>
      <c r="AU816" s="164"/>
      <c r="AV816" s="162"/>
      <c r="AW816" s="162"/>
      <c r="AX816" s="162"/>
      <c r="AY816" s="162"/>
      <c r="AZ816" s="202"/>
      <c r="BA816" s="203"/>
      <c r="BB816" s="166"/>
      <c r="BC816" s="201"/>
      <c r="BD816" s="204"/>
      <c r="BE816" s="162"/>
      <c r="BF816" s="162"/>
      <c r="BG816" s="162"/>
      <c r="BH816" s="162"/>
      <c r="BI816" s="205"/>
      <c r="BJ816" s="201"/>
      <c r="BK816" s="201"/>
      <c r="BL816" s="201"/>
      <c r="BM816" s="204"/>
      <c r="BN816" s="162"/>
      <c r="BO816" s="162"/>
      <c r="BP816" s="162"/>
      <c r="BQ816" s="162"/>
      <c r="BR816" s="167"/>
      <c r="BS816" s="201"/>
      <c r="BT816" s="201"/>
      <c r="BU816" s="201"/>
      <c r="BV816" s="205"/>
      <c r="BW816" s="162"/>
      <c r="BX816" s="162"/>
      <c r="BY816" s="162"/>
      <c r="BZ816" s="162"/>
      <c r="CA816" s="201"/>
      <c r="CB816" s="393"/>
      <c r="CC816" s="393"/>
      <c r="CD816" s="393"/>
      <c r="CE816" s="393"/>
      <c r="CF816" s="162"/>
      <c r="CG816" s="162"/>
      <c r="CH816" s="162"/>
      <c r="CI816" s="162"/>
      <c r="CJ816" s="163"/>
      <c r="CK816" s="163"/>
      <c r="CL816" s="163"/>
      <c r="CM816" s="163"/>
      <c r="CN816" s="163"/>
      <c r="CO816" s="162"/>
      <c r="CP816" s="162"/>
      <c r="CQ816" s="162"/>
      <c r="CR816" s="162"/>
      <c r="CS816" s="163"/>
      <c r="CT816" s="358"/>
      <c r="CU816" s="201"/>
      <c r="CV816" s="206"/>
      <c r="CW816" s="218"/>
    </row>
    <row r="817" spans="1:101" ht="15.75" thickBot="1" x14ac:dyDescent="0.25">
      <c r="A817" s="219"/>
      <c r="B817" s="219"/>
      <c r="C817" s="168"/>
      <c r="D817" s="785"/>
      <c r="E817" s="869" t="s">
        <v>45</v>
      </c>
      <c r="F817" s="363"/>
      <c r="G817" s="363"/>
      <c r="H817" s="363"/>
      <c r="I817" s="878"/>
      <c r="J817" s="878"/>
      <c r="K817" s="878"/>
      <c r="L817" s="878"/>
      <c r="M817" s="363"/>
      <c r="N817" s="363"/>
      <c r="O817" s="363"/>
      <c r="P817" s="363"/>
      <c r="Q817" s="363"/>
      <c r="R817" s="363"/>
      <c r="S817" s="363"/>
      <c r="T817" s="363"/>
      <c r="U817" s="363"/>
      <c r="V817" s="363"/>
      <c r="W817" s="363"/>
      <c r="X817" s="363"/>
      <c r="Y817" s="363"/>
      <c r="Z817" s="363"/>
      <c r="AA817" s="363"/>
      <c r="AB817" s="363"/>
      <c r="AC817" s="363"/>
      <c r="AD817" s="363"/>
      <c r="AE817" s="363"/>
      <c r="AF817" s="363"/>
      <c r="AG817" s="363"/>
      <c r="AH817" s="363"/>
      <c r="AI817" s="363"/>
      <c r="AJ817" s="363"/>
      <c r="AK817" s="363"/>
      <c r="AL817" s="363"/>
      <c r="AM817" s="363"/>
      <c r="AN817" s="363"/>
      <c r="AO817" s="363"/>
      <c r="AP817" s="363"/>
      <c r="AQ817" s="363"/>
      <c r="AR817" s="363"/>
      <c r="AS817" s="363"/>
      <c r="AT817" s="363"/>
      <c r="AU817" s="363"/>
      <c r="AV817" s="363"/>
      <c r="AW817" s="363"/>
      <c r="AX817" s="363"/>
      <c r="AY817" s="363"/>
      <c r="AZ817" s="363"/>
      <c r="BA817" s="363"/>
      <c r="BB817" s="363"/>
      <c r="BC817" s="363"/>
      <c r="BD817" s="363"/>
      <c r="BE817" s="363"/>
      <c r="BF817" s="363"/>
      <c r="BG817" s="363"/>
      <c r="BH817" s="363"/>
      <c r="BI817" s="363"/>
      <c r="BJ817" s="363"/>
      <c r="BK817" s="363"/>
      <c r="BL817" s="363"/>
      <c r="BM817" s="363"/>
      <c r="BN817" s="363"/>
      <c r="BO817" s="363"/>
      <c r="BP817" s="363"/>
      <c r="BQ817" s="363"/>
      <c r="BR817" s="363"/>
      <c r="BS817" s="363"/>
      <c r="BT817" s="363"/>
      <c r="BU817" s="363"/>
      <c r="BV817" s="363"/>
      <c r="BW817" s="363"/>
      <c r="BX817" s="363"/>
      <c r="BY817" s="363"/>
      <c r="BZ817" s="363"/>
      <c r="CA817" s="363"/>
      <c r="CB817" s="394"/>
      <c r="CC817" s="394"/>
      <c r="CD817" s="394"/>
      <c r="CE817" s="394"/>
      <c r="CF817" s="363"/>
      <c r="CG817" s="363"/>
      <c r="CH817" s="363"/>
      <c r="CI817" s="363"/>
      <c r="CJ817" s="363"/>
      <c r="CK817" s="363"/>
      <c r="CL817" s="363"/>
      <c r="CM817" s="363"/>
      <c r="CN817" s="323"/>
      <c r="CO817" s="363"/>
      <c r="CP817" s="363"/>
      <c r="CQ817" s="363"/>
      <c r="CR817" s="363"/>
      <c r="CS817" s="323"/>
      <c r="CT817" s="155"/>
      <c r="CU817" s="269"/>
      <c r="CV817" s="209"/>
      <c r="CW817" s="218"/>
    </row>
    <row r="818" spans="1:101" ht="18.75" thickTop="1" x14ac:dyDescent="0.2">
      <c r="A818" s="219"/>
      <c r="B818" s="219"/>
      <c r="C818" s="174"/>
      <c r="D818" s="778"/>
      <c r="E818" s="777"/>
      <c r="F818" s="235"/>
      <c r="G818" s="234"/>
      <c r="H818" s="234"/>
      <c r="I818" s="875">
        <f>WEEKNUM(E819)</f>
        <v>18</v>
      </c>
      <c r="J818" s="875"/>
      <c r="K818" s="875"/>
      <c r="L818" s="250"/>
      <c r="M818" s="261"/>
      <c r="N818" s="205"/>
      <c r="O818" s="236"/>
      <c r="P818" s="236"/>
      <c r="Q818" s="675" t="str">
        <f>IF($F822="","",SUM(Q834:S834)-S820)</f>
        <v/>
      </c>
      <c r="R818" s="675"/>
      <c r="S818" s="675"/>
      <c r="T818" s="237"/>
      <c r="U818" s="238"/>
      <c r="V818" s="238"/>
      <c r="W818" s="238"/>
      <c r="X818" s="238"/>
      <c r="Y818" s="236"/>
      <c r="Z818" s="675" t="str">
        <f>IF($F822="","",SUM(Z834:AB834)-AB820)</f>
        <v/>
      </c>
      <c r="AA818" s="675"/>
      <c r="AB818" s="675"/>
      <c r="AC818" s="237"/>
      <c r="AD818" s="238"/>
      <c r="AE818" s="238"/>
      <c r="AF818" s="238"/>
      <c r="AG818" s="238"/>
      <c r="AH818" s="236"/>
      <c r="AI818" s="675" t="str">
        <f>IF($F822="","",SUM(AI834:AK834)-AK820)</f>
        <v/>
      </c>
      <c r="AJ818" s="675"/>
      <c r="AK818" s="675"/>
      <c r="AL818" s="237"/>
      <c r="AM818" s="238"/>
      <c r="AN818" s="238"/>
      <c r="AO818" s="238"/>
      <c r="AP818" s="238"/>
      <c r="AQ818" s="236"/>
      <c r="AR818" s="675" t="str">
        <f>IF($F822="","",SUM(AR834:AT834)-AT820)</f>
        <v/>
      </c>
      <c r="AS818" s="675"/>
      <c r="AT818" s="675"/>
      <c r="AU818" s="239"/>
      <c r="AV818" s="238"/>
      <c r="AW818" s="238"/>
      <c r="AX818" s="238"/>
      <c r="AY818" s="238"/>
      <c r="AZ818" s="240"/>
      <c r="BA818" s="675" t="str">
        <f>IF($F822="","",SUM(BA834:BC834)-BC820)</f>
        <v/>
      </c>
      <c r="BB818" s="675"/>
      <c r="BC818" s="675"/>
      <c r="BD818" s="239"/>
      <c r="BE818" s="238"/>
      <c r="BF818" s="238"/>
      <c r="BG818" s="238"/>
      <c r="BH818" s="238"/>
      <c r="BI818" s="240"/>
      <c r="BJ818" s="675" t="str">
        <f>IF($F822="","",SUM(BJ834:BL834)-BL820)</f>
        <v/>
      </c>
      <c r="BK818" s="675"/>
      <c r="BL818" s="675"/>
      <c r="BM818" s="239"/>
      <c r="BN818" s="238"/>
      <c r="BO818" s="238"/>
      <c r="BP818" s="238"/>
      <c r="BQ818" s="238"/>
      <c r="BR818" s="241"/>
      <c r="BS818" s="675" t="str">
        <f>IF($F822="","",SUM(BS834:BU834)-BU820)</f>
        <v/>
      </c>
      <c r="BT818" s="675"/>
      <c r="BU818" s="675"/>
      <c r="BV818" s="240"/>
      <c r="BW818" s="238"/>
      <c r="BX818" s="238"/>
      <c r="BY818" s="238"/>
      <c r="BZ818" s="238"/>
      <c r="CA818" s="241"/>
      <c r="CB818" s="675" t="str">
        <f>IF($F822="","",SUM(CB834:CD834)-CD820)</f>
        <v/>
      </c>
      <c r="CC818" s="675"/>
      <c r="CD818" s="675"/>
      <c r="CE818" s="240"/>
      <c r="CF818" s="238"/>
      <c r="CG818" s="238"/>
      <c r="CH818" s="238"/>
      <c r="CI818" s="238"/>
      <c r="CJ818" s="234"/>
      <c r="CK818" s="675" t="str">
        <f>IF($F822="","",SUM(CK834:CM834))</f>
        <v/>
      </c>
      <c r="CL818" s="675"/>
      <c r="CM818" s="675"/>
      <c r="CN818" s="240"/>
      <c r="CO818" s="238"/>
      <c r="CP818" s="238"/>
      <c r="CQ818" s="238"/>
      <c r="CR818" s="238"/>
      <c r="CS818" s="234"/>
      <c r="CT818" s="234"/>
      <c r="CU818" s="251"/>
      <c r="CV818" s="209"/>
      <c r="CW818" s="218"/>
    </row>
    <row r="819" spans="1:101" x14ac:dyDescent="0.2">
      <c r="A819" s="219"/>
      <c r="B819" s="219"/>
      <c r="C819" s="174"/>
      <c r="D819" s="779"/>
      <c r="E819" s="543">
        <f>E797+7</f>
        <v>46508</v>
      </c>
      <c r="F819" s="178"/>
      <c r="G819" s="179"/>
      <c r="H819" s="179"/>
      <c r="I819" s="876"/>
      <c r="J819" s="876"/>
      <c r="K819" s="876"/>
      <c r="L819" s="254"/>
      <c r="M819" s="329"/>
      <c r="N819" s="208"/>
      <c r="O819" s="180"/>
      <c r="P819" s="180"/>
      <c r="Q819" s="584" t="str">
        <f>IF(Q818="","",Q818/Data!$X$1)</f>
        <v/>
      </c>
      <c r="R819" s="584"/>
      <c r="S819" s="585" t="str">
        <f>IF(SUM(X822:X833)=0,"",SUM(X822:X833))</f>
        <v/>
      </c>
      <c r="T819" s="181"/>
      <c r="U819" s="182"/>
      <c r="V819" s="182"/>
      <c r="W819" s="182"/>
      <c r="X819" s="182"/>
      <c r="Y819" s="180"/>
      <c r="Z819" s="584" t="str">
        <f>IF(Z818="","",Z818/Data!$X$1)</f>
        <v/>
      </c>
      <c r="AA819" s="584"/>
      <c r="AB819" s="585" t="str">
        <f>IF(SUM(AG822:AG833)=0,"",SUM(AG822:AG833))</f>
        <v/>
      </c>
      <c r="AC819" s="181"/>
      <c r="AD819" s="182"/>
      <c r="AE819" s="182"/>
      <c r="AF819" s="182"/>
      <c r="AG819" s="182"/>
      <c r="AH819" s="180"/>
      <c r="AI819" s="584" t="str">
        <f>IF(AI818="","",AI818/Data!$X$1)</f>
        <v/>
      </c>
      <c r="AJ819" s="584"/>
      <c r="AK819" s="585" t="str">
        <f>IF(SUM(AP822:AP833)=0,"",SUM(AP822:AP833))</f>
        <v/>
      </c>
      <c r="AL819" s="181"/>
      <c r="AM819" s="182"/>
      <c r="AN819" s="182"/>
      <c r="AO819" s="182"/>
      <c r="AP819" s="182"/>
      <c r="AQ819" s="180"/>
      <c r="AR819" s="584" t="str">
        <f>IF(AR818="","",AR818/Data!$X$1)</f>
        <v/>
      </c>
      <c r="AS819" s="584"/>
      <c r="AT819" s="585" t="str">
        <f>IF(SUM(AY822:AY833)=0,"",SUM(AY822:AY833))</f>
        <v/>
      </c>
      <c r="AU819" s="183"/>
      <c r="AV819" s="182"/>
      <c r="AW819" s="182"/>
      <c r="AX819" s="182"/>
      <c r="AY819" s="182"/>
      <c r="AZ819" s="184"/>
      <c r="BA819" s="584" t="str">
        <f>IF(BA818="","",BA818/Data!$X$1)</f>
        <v/>
      </c>
      <c r="BB819" s="584"/>
      <c r="BC819" s="585" t="str">
        <f>IF(SUM(BH822:BH833)=0,"",SUM(BH822:BH833))</f>
        <v/>
      </c>
      <c r="BD819" s="183"/>
      <c r="BE819" s="182"/>
      <c r="BF819" s="182"/>
      <c r="BG819" s="182"/>
      <c r="BH819" s="182"/>
      <c r="BI819" s="184"/>
      <c r="BJ819" s="584" t="str">
        <f>IF(BJ818="","",BJ818/Data!$X$1)</f>
        <v/>
      </c>
      <c r="BK819" s="584"/>
      <c r="BL819" s="585" t="str">
        <f>IF(SUM(BQ822:BQ833)=0,"",SUM(BQ822:BQ833))</f>
        <v/>
      </c>
      <c r="BM819" s="183"/>
      <c r="BN819" s="182"/>
      <c r="BO819" s="182"/>
      <c r="BP819" s="182"/>
      <c r="BQ819" s="182"/>
      <c r="BR819" s="185"/>
      <c r="BS819" s="584" t="str">
        <f>IF(BS818="","",BS818/Data!$X$1)</f>
        <v/>
      </c>
      <c r="BT819" s="584"/>
      <c r="BU819" s="585" t="str">
        <f>IF(SUM(BZ822:BZ833)=0,"",SUM(BZ822:BZ833))</f>
        <v/>
      </c>
      <c r="BV819" s="184"/>
      <c r="BW819" s="182"/>
      <c r="BX819" s="182"/>
      <c r="BY819" s="182"/>
      <c r="BZ819" s="182"/>
      <c r="CA819" s="185"/>
      <c r="CB819" s="584" t="str">
        <f>IF(CB818="","",CB818/Data!$X$1)</f>
        <v/>
      </c>
      <c r="CC819" s="584"/>
      <c r="CD819" s="585" t="str">
        <f>IF(SUM(CI822:CI833)=0,"",SUM(CI822:CI833))</f>
        <v/>
      </c>
      <c r="CE819" s="184"/>
      <c r="CF819" s="182"/>
      <c r="CG819" s="182"/>
      <c r="CH819" s="182"/>
      <c r="CI819" s="182"/>
      <c r="CJ819" s="182"/>
      <c r="CK819" s="584" t="str">
        <f>IF(CK818="","",CK818/Data!$X$1)</f>
        <v/>
      </c>
      <c r="CL819" s="584"/>
      <c r="CM819" s="585" t="str">
        <f>IF(SUM(CR822:CR833)=0,"",SUM(CR822:CR833))</f>
        <v/>
      </c>
      <c r="CN819" s="184"/>
      <c r="CO819" s="182"/>
      <c r="CP819" s="182"/>
      <c r="CQ819" s="182"/>
      <c r="CR819" s="182"/>
      <c r="CS819" s="182"/>
      <c r="CT819" s="182"/>
      <c r="CU819" s="255"/>
      <c r="CV819" s="209"/>
      <c r="CW819" s="218"/>
    </row>
    <row r="820" spans="1:101" ht="13.5" thickBot="1" x14ac:dyDescent="0.25">
      <c r="A820" s="219"/>
      <c r="B820" s="219"/>
      <c r="C820" s="174"/>
      <c r="D820" s="230"/>
      <c r="E820" s="359"/>
      <c r="F820" s="186"/>
      <c r="G820" s="187"/>
      <c r="H820" s="187"/>
      <c r="I820" s="673"/>
      <c r="J820" s="674"/>
      <c r="K820" s="674"/>
      <c r="L820" s="256"/>
      <c r="M820" s="330"/>
      <c r="N820" s="334"/>
      <c r="O820" s="187"/>
      <c r="P820" s="187"/>
      <c r="Q820" s="342" t="str">
        <f>Data!$E$11</f>
        <v>AHH</v>
      </c>
      <c r="R820" s="343" t="str">
        <f>IF($F833="","",RANK(Q818,$Q818:$CL818))</f>
        <v/>
      </c>
      <c r="S820" s="466"/>
      <c r="T820" s="181"/>
      <c r="U820" s="182"/>
      <c r="V820" s="182"/>
      <c r="W820" s="182"/>
      <c r="X820" s="197">
        <f>COUNTIF(U822:W833,"&gt;0")</f>
        <v>0</v>
      </c>
      <c r="Y820" s="180"/>
      <c r="Z820" s="342" t="str">
        <f>Data!$E$12</f>
        <v>RB</v>
      </c>
      <c r="AA820" s="343" t="str">
        <f>IF($F833="","",RANK(Z818,$Q818:$CL818))</f>
        <v/>
      </c>
      <c r="AB820" s="466"/>
      <c r="AC820" s="181"/>
      <c r="AD820" s="182"/>
      <c r="AE820" s="182"/>
      <c r="AF820" s="182"/>
      <c r="AG820" s="197">
        <f>COUNTIF(AD822:AF833,"&gt;0")</f>
        <v>0</v>
      </c>
      <c r="AH820" s="180"/>
      <c r="AI820" s="342" t="str">
        <f>Data!$E$13</f>
        <v>EB</v>
      </c>
      <c r="AJ820" s="343" t="str">
        <f>IF($F833="","",RANK(AI818,$Q818:$CL818))</f>
        <v/>
      </c>
      <c r="AK820" s="466"/>
      <c r="AL820" s="181"/>
      <c r="AM820" s="182"/>
      <c r="AN820" s="182"/>
      <c r="AO820" s="182"/>
      <c r="AP820" s="197">
        <f>COUNTIF(AM822:AO833,"&gt;0")</f>
        <v>0</v>
      </c>
      <c r="AQ820" s="180"/>
      <c r="AR820" s="305" t="str">
        <f>Data!$E$14</f>
        <v>KAF</v>
      </c>
      <c r="AS820" s="343" t="str">
        <f>IF($F833="","",RANK(AR818,$Q818:$CL818))</f>
        <v/>
      </c>
      <c r="AT820" s="466"/>
      <c r="AU820" s="181"/>
      <c r="AV820" s="182"/>
      <c r="AW820" s="182"/>
      <c r="AX820" s="182"/>
      <c r="AY820" s="197">
        <f>COUNTIF(AV822:AX833,"&gt;0")</f>
        <v>0</v>
      </c>
      <c r="AZ820" s="180"/>
      <c r="BA820" s="305" t="str">
        <f>Data!$E$15</f>
        <v>ØG</v>
      </c>
      <c r="BB820" s="343" t="str">
        <f>IF($F833="","",RANK(BA818,$Q818:$CL818))</f>
        <v/>
      </c>
      <c r="BC820" s="466"/>
      <c r="BD820" s="181"/>
      <c r="BE820" s="182"/>
      <c r="BF820" s="182"/>
      <c r="BG820" s="182"/>
      <c r="BH820" s="197">
        <f>COUNTIF(BE822:BG833,"&gt;0")</f>
        <v>0</v>
      </c>
      <c r="BI820" s="180"/>
      <c r="BJ820" s="305" t="str">
        <f>Data!$E$16</f>
        <v>JH</v>
      </c>
      <c r="BK820" s="343" t="str">
        <f>IF($F833="","",RANK(BJ818,$Q818:$CL818))</f>
        <v/>
      </c>
      <c r="BL820" s="466"/>
      <c r="BM820" s="181"/>
      <c r="BN820" s="182"/>
      <c r="BO820" s="182"/>
      <c r="BP820" s="182"/>
      <c r="BQ820" s="197">
        <f>COUNTIF(BN822:BP833,"&gt;0")</f>
        <v>0</v>
      </c>
      <c r="BR820" s="188"/>
      <c r="BS820" s="305" t="str">
        <f>Data!$E$17</f>
        <v>TOH</v>
      </c>
      <c r="BT820" s="343" t="str">
        <f>IF($F833="","",RANK(BS818,$Q818:$CL818))</f>
        <v/>
      </c>
      <c r="BU820" s="466"/>
      <c r="BV820" s="180"/>
      <c r="BW820" s="182"/>
      <c r="BX820" s="182"/>
      <c r="BY820" s="182"/>
      <c r="BZ820" s="197">
        <f>COUNTIF(BW822:BY833,"&gt;0")</f>
        <v>0</v>
      </c>
      <c r="CA820" s="188"/>
      <c r="CB820" s="305" t="s">
        <v>26</v>
      </c>
      <c r="CC820" s="343" t="str">
        <f>IF($F833="","",RANK(CB818,$Q818:$CM818))</f>
        <v/>
      </c>
      <c r="CD820" s="467"/>
      <c r="CE820" s="180"/>
      <c r="CF820" s="182"/>
      <c r="CG820" s="182"/>
      <c r="CH820" s="182"/>
      <c r="CI820" s="197">
        <f>COUNTIF(CF822:CH833,"&gt;0")</f>
        <v>0</v>
      </c>
      <c r="CJ820" s="182"/>
      <c r="CK820" s="305" t="s">
        <v>27</v>
      </c>
      <c r="CL820" s="343" t="str">
        <f>IF($F833="","",RANK(CK818,$Q818:$CM818))</f>
        <v/>
      </c>
      <c r="CM820" s="669"/>
      <c r="CN820" s="180"/>
      <c r="CO820" s="182"/>
      <c r="CP820" s="182"/>
      <c r="CQ820" s="182"/>
      <c r="CR820" s="197">
        <f>COUNTIF(CO822:CQ833,"&gt;0")</f>
        <v>0</v>
      </c>
      <c r="CS820" s="182"/>
      <c r="CT820" s="182"/>
      <c r="CU820" s="255"/>
      <c r="CV820" s="209"/>
      <c r="CW820" s="218"/>
    </row>
    <row r="821" spans="1:101" ht="13.5" thickBot="1" x14ac:dyDescent="0.25">
      <c r="A821" s="227"/>
      <c r="B821" s="227"/>
      <c r="C821" s="168"/>
      <c r="D821" s="231"/>
      <c r="E821" s="189"/>
      <c r="F821" s="190"/>
      <c r="G821" s="191"/>
      <c r="H821" s="191"/>
      <c r="I821" s="192" t="s">
        <v>47</v>
      </c>
      <c r="J821" s="193" t="s">
        <v>48</v>
      </c>
      <c r="K821" s="194" t="s">
        <v>49</v>
      </c>
      <c r="L821" s="257"/>
      <c r="M821" s="331"/>
      <c r="N821" s="335"/>
      <c r="O821" s="195"/>
      <c r="P821" s="195"/>
      <c r="Q821" s="192" t="s">
        <v>47</v>
      </c>
      <c r="R821" s="193" t="s">
        <v>48</v>
      </c>
      <c r="S821" s="194" t="s">
        <v>49</v>
      </c>
      <c r="T821" s="196"/>
      <c r="U821" s="197"/>
      <c r="V821" s="197"/>
      <c r="W821" s="197"/>
      <c r="X821" s="197"/>
      <c r="Y821" s="195"/>
      <c r="Z821" s="192" t="s">
        <v>47</v>
      </c>
      <c r="AA821" s="193" t="s">
        <v>48</v>
      </c>
      <c r="AB821" s="194" t="s">
        <v>49</v>
      </c>
      <c r="AC821" s="196"/>
      <c r="AD821" s="197"/>
      <c r="AE821" s="197"/>
      <c r="AF821" s="197"/>
      <c r="AG821" s="197"/>
      <c r="AH821" s="195"/>
      <c r="AI821" s="192" t="s">
        <v>47</v>
      </c>
      <c r="AJ821" s="193" t="s">
        <v>48</v>
      </c>
      <c r="AK821" s="194" t="s">
        <v>49</v>
      </c>
      <c r="AL821" s="196"/>
      <c r="AM821" s="197"/>
      <c r="AN821" s="197"/>
      <c r="AO821" s="197"/>
      <c r="AP821" s="197"/>
      <c r="AQ821" s="195"/>
      <c r="AR821" s="192" t="s">
        <v>47</v>
      </c>
      <c r="AS821" s="193" t="s">
        <v>48</v>
      </c>
      <c r="AT821" s="194" t="s">
        <v>49</v>
      </c>
      <c r="AU821" s="196"/>
      <c r="AV821" s="197"/>
      <c r="AW821" s="197"/>
      <c r="AX821" s="197"/>
      <c r="AY821" s="197"/>
      <c r="AZ821" s="195"/>
      <c r="BA821" s="192" t="s">
        <v>47</v>
      </c>
      <c r="BB821" s="193" t="s">
        <v>48</v>
      </c>
      <c r="BC821" s="194" t="s">
        <v>49</v>
      </c>
      <c r="BD821" s="196"/>
      <c r="BE821" s="197"/>
      <c r="BF821" s="197"/>
      <c r="BG821" s="197"/>
      <c r="BH821" s="197"/>
      <c r="BI821" s="195"/>
      <c r="BJ821" s="192" t="s">
        <v>47</v>
      </c>
      <c r="BK821" s="193" t="s">
        <v>48</v>
      </c>
      <c r="BL821" s="194" t="s">
        <v>49</v>
      </c>
      <c r="BM821" s="196"/>
      <c r="BN821" s="197"/>
      <c r="BO821" s="197"/>
      <c r="BP821" s="197"/>
      <c r="BQ821" s="197"/>
      <c r="BR821" s="195"/>
      <c r="BS821" s="192" t="s">
        <v>47</v>
      </c>
      <c r="BT821" s="193" t="s">
        <v>48</v>
      </c>
      <c r="BU821" s="194" t="s">
        <v>49</v>
      </c>
      <c r="BV821" s="196"/>
      <c r="BW821" s="197"/>
      <c r="BX821" s="197"/>
      <c r="BY821" s="197"/>
      <c r="BZ821" s="197"/>
      <c r="CA821" s="195"/>
      <c r="CB821" s="192" t="s">
        <v>47</v>
      </c>
      <c r="CC821" s="193" t="s">
        <v>48</v>
      </c>
      <c r="CD821" s="194" t="s">
        <v>49</v>
      </c>
      <c r="CE821" s="196"/>
      <c r="CF821" s="197"/>
      <c r="CG821" s="197"/>
      <c r="CH821" s="197"/>
      <c r="CI821" s="197"/>
      <c r="CJ821" s="197"/>
      <c r="CK821" s="192" t="s">
        <v>47</v>
      </c>
      <c r="CL821" s="193" t="s">
        <v>48</v>
      </c>
      <c r="CM821" s="194" t="s">
        <v>49</v>
      </c>
      <c r="CN821" s="196"/>
      <c r="CO821" s="197"/>
      <c r="CP821" s="197"/>
      <c r="CQ821" s="197"/>
      <c r="CR821" s="197"/>
      <c r="CS821" s="197"/>
      <c r="CT821" s="198"/>
      <c r="CU821" s="255"/>
      <c r="CV821" s="209"/>
      <c r="CW821" s="228"/>
    </row>
    <row r="822" spans="1:101" x14ac:dyDescent="0.2">
      <c r="A822" s="227"/>
      <c r="B822" s="227"/>
      <c r="C822" s="168"/>
      <c r="D822" s="232"/>
      <c r="E822" s="134"/>
      <c r="F822" s="424"/>
      <c r="G822" s="428" t="s">
        <v>51</v>
      </c>
      <c r="H822" s="429"/>
      <c r="I822" s="138" t="str">
        <f t="shared" ref="I822:I833" si="1217">IF($F822&gt;$H822,"x","")</f>
        <v/>
      </c>
      <c r="J822" s="344" t="str">
        <f t="shared" ref="J822:J833" si="1218">IF(F822&lt;&gt;"",IF(H822&lt;&gt;"",IF(F822=H822,"x",""),""),"")</f>
        <v/>
      </c>
      <c r="K822" s="345" t="str">
        <f t="shared" ref="K822:K833" si="1219">IF($F822&lt;$H822,"x","")</f>
        <v/>
      </c>
      <c r="L822" s="258"/>
      <c r="M822" s="332"/>
      <c r="N822" s="336"/>
      <c r="O822" s="200"/>
      <c r="P822" s="200"/>
      <c r="Q822" s="436"/>
      <c r="R822" s="437"/>
      <c r="S822" s="438" t="str">
        <f t="shared" ref="S822:S833" si="1220">IF(Q822="","",100-SUM(Q822:R822))</f>
        <v/>
      </c>
      <c r="T822" s="328"/>
      <c r="U822" s="197" t="str">
        <f>IF(AND($I822="x",AND(MAX(Q822:S822)=Q822,Q822&gt;=0)),Data!$BI$2,"")</f>
        <v/>
      </c>
      <c r="V822" s="197" t="str">
        <f>IF(AND($J822="x",AND(MAX(Q822:S822)=R822,R822&gt;=0)),Data!$BJ$2,"")</f>
        <v/>
      </c>
      <c r="W822" s="197" t="str">
        <f>IF(AND($K822="x",AND(MAX(Q822:S822)=S822,S822&gt;=0)),Data!$BK$2,"")</f>
        <v/>
      </c>
      <c r="X822" s="197"/>
      <c r="Y822" s="328"/>
      <c r="Z822" s="451"/>
      <c r="AA822" s="452"/>
      <c r="AB822" s="438" t="str">
        <f t="shared" ref="AB822:AB833" si="1221">IF(Z822="","",100-SUM(Z822:AA822))</f>
        <v/>
      </c>
      <c r="AC822" s="328"/>
      <c r="AD822" s="197" t="str">
        <f>IF(AND($I822="x",AND(MAX(Z822:AB822)=Z822,Z822&lt;&gt;"")),Data!$BI$2,"")</f>
        <v/>
      </c>
      <c r="AE822" s="197" t="str">
        <f>IF(AND($J822="x",AND(MAX(Z822:AB822)=AA822,AA822&lt;&gt;"")),Data!$BJ$2,"")</f>
        <v/>
      </c>
      <c r="AF822" s="197" t="str">
        <f>IF(AND($K822="x",AND(MAX(Z822:AB822)=AB822,AB822&lt;&gt;"")),Data!$BK$2,"")</f>
        <v/>
      </c>
      <c r="AG822" s="197"/>
      <c r="AH822" s="328"/>
      <c r="AI822" s="451"/>
      <c r="AJ822" s="452"/>
      <c r="AK822" s="438" t="str">
        <f t="shared" ref="AK822:AK833" si="1222">IF(AI822="","",100-SUM(AI822:AJ822))</f>
        <v/>
      </c>
      <c r="AL822" s="328"/>
      <c r="AM822" s="197" t="str">
        <f>IF(AND($I822="x",AND(MAX(AI822:AK822)=AI822,AI822&lt;&gt;"")),Data!$BI$2,"")</f>
        <v/>
      </c>
      <c r="AN822" s="197" t="str">
        <f>IF(AND($J822="x",AND(MAX(AI822:AK822)=AJ822,AJ822&lt;&gt;"")),Data!$BJ$2,"")</f>
        <v/>
      </c>
      <c r="AO822" s="197" t="str">
        <f>IF(AND($K822="x",AND(MAX(AI822:AK822)=AK822,AK822&lt;&gt;"")),Data!$BK$2,"")</f>
        <v/>
      </c>
      <c r="AP822" s="197"/>
      <c r="AQ822" s="328"/>
      <c r="AR822" s="451"/>
      <c r="AS822" s="452"/>
      <c r="AT822" s="438" t="str">
        <f t="shared" ref="AT822:AT833" si="1223">IF(AR822="","",100-SUM(AR822:AS822))</f>
        <v/>
      </c>
      <c r="AU822" s="328"/>
      <c r="AV822" s="197" t="str">
        <f>IF(AND($I822="x",AND(MAX(AR822:AT822)=AR822,AR822&lt;&gt;"")),Data!$BI$2,"")</f>
        <v/>
      </c>
      <c r="AW822" s="197" t="str">
        <f>IF(AND($J822="x",AND(MAX(AR822:AT822)=AS822,AS822&lt;&gt;"")),Data!$BJ$2,"")</f>
        <v/>
      </c>
      <c r="AX822" s="197" t="str">
        <f>IF(AND($K822="x",AND(MAX(AR822:AT822)=AT822,AT822&lt;&gt;"")),Data!$BK$2,"")</f>
        <v/>
      </c>
      <c r="AY822" s="197"/>
      <c r="AZ822" s="328"/>
      <c r="BA822" s="451"/>
      <c r="BB822" s="452"/>
      <c r="BC822" s="438" t="str">
        <f t="shared" ref="BC822:BC833" si="1224">IF(BA822="","",100-SUM(BA822:BB822))</f>
        <v/>
      </c>
      <c r="BD822" s="328"/>
      <c r="BE822" s="197" t="str">
        <f>IF(AND($I822="x",AND(MAX(BA822:BC822)=BA822,BA822&lt;&gt;"")),Data!$BI$2,"")</f>
        <v/>
      </c>
      <c r="BF822" s="197" t="str">
        <f>IF(AND($J822="x",AND(MAX(BA822:BC822)=BB822,BB822&lt;&gt;"")),Data!$BJ$2,"")</f>
        <v/>
      </c>
      <c r="BG822" s="197" t="str">
        <f>IF(AND($K822="x",AND(MAX(BA822:BC822)=BC822,BC822&lt;&gt;"")),Data!$BK$2,"")</f>
        <v/>
      </c>
      <c r="BH822" s="197"/>
      <c r="BI822" s="328"/>
      <c r="BJ822" s="451"/>
      <c r="BK822" s="452"/>
      <c r="BL822" s="438" t="str">
        <f t="shared" ref="BL822:BL833" si="1225">IF(BJ822="","",100-SUM(BJ822:BK822))</f>
        <v/>
      </c>
      <c r="BM822" s="328"/>
      <c r="BN822" s="197" t="str">
        <f>IF(AND($I822="x",AND(MAX(BJ822:BL822)=BJ822,BJ822&lt;&gt;"")),Data!$BI$2,"")</f>
        <v/>
      </c>
      <c r="BO822" s="197" t="str">
        <f>IF(AND($J822="x",AND(MAX(BJ822:BL822)=BK822,BK822&lt;&gt;"")),Data!$BJ$2,"")</f>
        <v/>
      </c>
      <c r="BP822" s="197" t="str">
        <f>IF(AND($K822="x",AND(MAX(BJ822:BL822)=BL822,BL822&lt;&gt;"")),Data!$BK$2,"")</f>
        <v/>
      </c>
      <c r="BQ822" s="197"/>
      <c r="BR822" s="328"/>
      <c r="BS822" s="451"/>
      <c r="BT822" s="452"/>
      <c r="BU822" s="438" t="str">
        <f t="shared" ref="BU822:BU833" si="1226">IF(BS822="","",100-SUM(BS822:BT822))</f>
        <v/>
      </c>
      <c r="BV822" s="328"/>
      <c r="BW822" s="197" t="str">
        <f>IF(AND($I822="x",AND(MAX(BS822:BU822)=BS822,BS822&lt;&gt;"")),Data!$BI$2,"")</f>
        <v/>
      </c>
      <c r="BX822" s="197" t="str">
        <f>IF(AND($J822="x",AND(MAX(BS822:BU822)=BT822,BT822&lt;&gt;"")),Data!$BJ$2,"")</f>
        <v/>
      </c>
      <c r="BY822" s="197" t="str">
        <f>IF(AND($K822="x",AND(MAX(BS822:BU822)=BU822,BU822&lt;&gt;"")),Data!$BK$2,"")</f>
        <v/>
      </c>
      <c r="BZ822" s="197"/>
      <c r="CA822" s="328"/>
      <c r="CB822" s="457" t="str">
        <f t="shared" ref="CB822:CB833" si="1227">IFERROR(ROUNDUP((SUM(Q822,Z822,AI822,AR822,BA822,BJ822,BS822)/SUM($Q822:$S822,$Z822:$AB822,$AI822:$AK822,$AR822:$AT822,$BA822:$BC822,$BJ822:$BL822,$BS822:$BU822))*100,-1),"")</f>
        <v/>
      </c>
      <c r="CC822" s="458" t="str">
        <f t="shared" ref="CC822:CC833" si="1228">IFERROR(ROUNDDOWN((SUM(R822,AA822,AJ822,AS822,BB822,BK822,BT822)/SUM($Q822:$S822,$Z822:$AB822,$AI822:$AK822,$AR822:$AT822,$BA822:$BC822,$BJ822:$BL822,$BS822:$BU822))*100,-1),"")</f>
        <v/>
      </c>
      <c r="CD822" s="459" t="str">
        <f t="shared" ref="CD822:CD833" si="1229">IF(CB822="","",100-SUM(CB822:CC822))</f>
        <v/>
      </c>
      <c r="CE822" s="328"/>
      <c r="CF822" s="197" t="str">
        <f>IF(AND($I822="x",AND(MAX(CB822:CD822)=CB822,CB822&lt;&gt;"")),Data!$BI$2,"")</f>
        <v/>
      </c>
      <c r="CG822" s="197" t="str">
        <f>IF(AND($J822="x",AND(MAX(CB822:CD822)=CC822,CC822&lt;&gt;"")),Data!$BJ$2,"")</f>
        <v/>
      </c>
      <c r="CH822" s="197" t="str">
        <f>IF(AND($K822="x",AND(MAX(CB822:CD822)=CD822,CD822&lt;&gt;"")),Data!$BK$2,"")</f>
        <v/>
      </c>
      <c r="CI822" s="197"/>
      <c r="CJ822" s="197"/>
      <c r="CK822" s="451"/>
      <c r="CL822" s="452"/>
      <c r="CM822" s="438" t="str">
        <f t="shared" ref="CM822:CM833" si="1230">IF(CK822="","",100-SUM(CK822:CL822))</f>
        <v/>
      </c>
      <c r="CN822" s="328"/>
      <c r="CO822" s="197" t="str">
        <f>IF(AND($I822="x",AND(MAX(CK822:CM822)=CK822,CK822&lt;&gt;"")),Data!$BI$2,"")</f>
        <v/>
      </c>
      <c r="CP822" s="197" t="str">
        <f>IF(AND($J822="x",AND(MAX(CK822:CM822)=CL822,CL822&lt;&gt;"")),Data!$BJ$2,"")</f>
        <v/>
      </c>
      <c r="CQ822" s="197" t="str">
        <f>IF(AND($K822="x",AND(MAX(CK822:CM822)=CM822,CM822&lt;&gt;"")),Data!$BK$2,"")</f>
        <v/>
      </c>
      <c r="CR822" s="197"/>
      <c r="CS822" s="197"/>
      <c r="CT822" s="328"/>
      <c r="CU822" s="255"/>
      <c r="CV822" s="209"/>
      <c r="CW822" s="227"/>
    </row>
    <row r="823" spans="1:101" x14ac:dyDescent="0.2">
      <c r="A823" s="227"/>
      <c r="B823" s="227"/>
      <c r="C823" s="168"/>
      <c r="D823" s="232"/>
      <c r="E823" s="135"/>
      <c r="F823" s="425"/>
      <c r="G823" s="430" t="s">
        <v>51</v>
      </c>
      <c r="H823" s="431"/>
      <c r="I823" s="346" t="str">
        <f t="shared" si="1217"/>
        <v/>
      </c>
      <c r="J823" s="347" t="str">
        <f t="shared" si="1218"/>
        <v/>
      </c>
      <c r="K823" s="348" t="str">
        <f t="shared" si="1219"/>
        <v/>
      </c>
      <c r="L823" s="258"/>
      <c r="M823" s="332"/>
      <c r="N823" s="336"/>
      <c r="O823" s="200"/>
      <c r="P823" s="200"/>
      <c r="Q823" s="439"/>
      <c r="R823" s="440"/>
      <c r="S823" s="441" t="str">
        <f t="shared" si="1220"/>
        <v/>
      </c>
      <c r="T823" s="328"/>
      <c r="U823" s="197" t="str">
        <f>IF(AND($I823="x",AND(MAX(Q823:S823)=Q823,Q823&gt;=0)),Data!$BI$2,"")</f>
        <v/>
      </c>
      <c r="V823" s="197" t="str">
        <f>IF(AND($J823="x",AND(MAX(Q823:S823)=R823,R823&gt;=0)),Data!$BJ$2,"")</f>
        <v/>
      </c>
      <c r="W823" s="197" t="str">
        <f>IF(AND($K823="x",AND(MAX(Q823:S823)=S823,S823&gt;=0)),Data!$BK$2,"")</f>
        <v/>
      </c>
      <c r="X823" s="197"/>
      <c r="Y823" s="328"/>
      <c r="Z823" s="453"/>
      <c r="AA823" s="454"/>
      <c r="AB823" s="441" t="str">
        <f t="shared" si="1221"/>
        <v/>
      </c>
      <c r="AC823" s="328"/>
      <c r="AD823" s="197" t="str">
        <f>IF(AND($I823="x",AND(MAX(Z823:AB823)=Z823,Z823&lt;&gt;"")),Data!$BI$2,"")</f>
        <v/>
      </c>
      <c r="AE823" s="197" t="str">
        <f>IF(AND($J823="x",AND(MAX(Z823:AB823)=AA823,AA823&lt;&gt;"")),Data!$BJ$2,"")</f>
        <v/>
      </c>
      <c r="AF823" s="197" t="str">
        <f>IF(AND($K823="x",AND(MAX(Z823:AB823)=AB823,AB823&lt;&gt;"")),Data!$BK$2,"")</f>
        <v/>
      </c>
      <c r="AG823" s="197"/>
      <c r="AH823" s="328"/>
      <c r="AI823" s="453"/>
      <c r="AJ823" s="454"/>
      <c r="AK823" s="441" t="str">
        <f t="shared" si="1222"/>
        <v/>
      </c>
      <c r="AL823" s="328"/>
      <c r="AM823" s="197" t="str">
        <f>IF(AND($I823="x",AND(MAX(AI823:AK823)=AI823,AI823&lt;&gt;"")),Data!$BI$2,"")</f>
        <v/>
      </c>
      <c r="AN823" s="197" t="str">
        <f>IF(AND($J823="x",AND(MAX(AI823:AK823)=AJ823,AJ823&lt;&gt;"")),Data!$BJ$2,"")</f>
        <v/>
      </c>
      <c r="AO823" s="197" t="str">
        <f>IF(AND($K823="x",AND(MAX(AI823:AK823)=AK823,AK823&lt;&gt;"")),Data!$BK$2,"")</f>
        <v/>
      </c>
      <c r="AP823" s="197"/>
      <c r="AQ823" s="328"/>
      <c r="AR823" s="453"/>
      <c r="AS823" s="454"/>
      <c r="AT823" s="441" t="str">
        <f t="shared" si="1223"/>
        <v/>
      </c>
      <c r="AU823" s="328"/>
      <c r="AV823" s="197" t="str">
        <f>IF(AND($I823="x",AND(MAX(AR823:AT823)=AR823,AR823&lt;&gt;"")),Data!$BI$2,"")</f>
        <v/>
      </c>
      <c r="AW823" s="197" t="str">
        <f>IF(AND($J823="x",AND(MAX(AR823:AT823)=AS823,AS823&lt;&gt;"")),Data!$BJ$2,"")</f>
        <v/>
      </c>
      <c r="AX823" s="197" t="str">
        <f>IF(AND($K823="x",AND(MAX(AR823:AT823)=AT823,AT823&lt;&gt;"")),Data!$BK$2,"")</f>
        <v/>
      </c>
      <c r="AY823" s="197"/>
      <c r="AZ823" s="328"/>
      <c r="BA823" s="453"/>
      <c r="BB823" s="454"/>
      <c r="BC823" s="441" t="str">
        <f t="shared" si="1224"/>
        <v/>
      </c>
      <c r="BD823" s="328"/>
      <c r="BE823" s="197" t="str">
        <f>IF(AND($I823="x",AND(MAX(BA823:BC823)=BA823,BA823&lt;&gt;"")),Data!$BI$2,"")</f>
        <v/>
      </c>
      <c r="BF823" s="197" t="str">
        <f>IF(AND($J823="x",AND(MAX(BA823:BC823)=BB823,BB823&lt;&gt;"")),Data!$BJ$2,"")</f>
        <v/>
      </c>
      <c r="BG823" s="197" t="str">
        <f>IF(AND($K823="x",AND(MAX(BA823:BC823)=BC823,BC823&lt;&gt;"")),Data!$BK$2,"")</f>
        <v/>
      </c>
      <c r="BH823" s="197"/>
      <c r="BI823" s="328"/>
      <c r="BJ823" s="453"/>
      <c r="BK823" s="454"/>
      <c r="BL823" s="441" t="str">
        <f t="shared" si="1225"/>
        <v/>
      </c>
      <c r="BM823" s="328"/>
      <c r="BN823" s="197" t="str">
        <f>IF(AND($I823="x",AND(MAX(BJ823:BL823)=BJ823,BJ823&lt;&gt;"")),Data!$BI$2,"")</f>
        <v/>
      </c>
      <c r="BO823" s="197" t="str">
        <f>IF(AND($J823="x",AND(MAX(BJ823:BL823)=BK823,BK823&lt;&gt;"")),Data!$BJ$2,"")</f>
        <v/>
      </c>
      <c r="BP823" s="197" t="str">
        <f>IF(AND($K823="x",AND(MAX(BJ823:BL823)=BL823,BL823&lt;&gt;"")),Data!$BK$2,"")</f>
        <v/>
      </c>
      <c r="BQ823" s="197"/>
      <c r="BR823" s="328"/>
      <c r="BS823" s="453"/>
      <c r="BT823" s="454"/>
      <c r="BU823" s="441" t="str">
        <f t="shared" si="1226"/>
        <v/>
      </c>
      <c r="BV823" s="328"/>
      <c r="BW823" s="197" t="str">
        <f>IF(AND($I823="x",AND(MAX(BS823:BU823)=BS823,BS823&lt;&gt;"")),Data!$BI$2,"")</f>
        <v/>
      </c>
      <c r="BX823" s="197" t="str">
        <f>IF(AND($J823="x",AND(MAX(BS823:BU823)=BT823,BT823&lt;&gt;"")),Data!$BJ$2,"")</f>
        <v/>
      </c>
      <c r="BY823" s="197" t="str">
        <f>IF(AND($K823="x",AND(MAX(BS823:BU823)=BU823,BU823&lt;&gt;"")),Data!$BK$2,"")</f>
        <v/>
      </c>
      <c r="BZ823" s="197"/>
      <c r="CA823" s="328"/>
      <c r="CB823" s="460" t="str">
        <f t="shared" si="1227"/>
        <v/>
      </c>
      <c r="CC823" s="461" t="str">
        <f t="shared" si="1228"/>
        <v/>
      </c>
      <c r="CD823" s="462" t="str">
        <f t="shared" si="1229"/>
        <v/>
      </c>
      <c r="CE823" s="328"/>
      <c r="CF823" s="197" t="str">
        <f>IF(AND($I823="x",AND(MAX(CB823:CD823)=CB823,CB823&lt;&gt;"")),Data!$BI$2,"")</f>
        <v/>
      </c>
      <c r="CG823" s="197" t="str">
        <f>IF(AND($J823="x",AND(MAX(CB823:CD823)=CC823,CC823&lt;&gt;"")),Data!$BJ$2,"")</f>
        <v/>
      </c>
      <c r="CH823" s="197" t="str">
        <f>IF(AND($K823="x",AND(MAX(CB823:CD823)=CD823,CD823&lt;&gt;"")),Data!$BK$2,"")</f>
        <v/>
      </c>
      <c r="CI823" s="197"/>
      <c r="CJ823" s="197"/>
      <c r="CK823" s="453"/>
      <c r="CL823" s="454"/>
      <c r="CM823" s="441" t="str">
        <f t="shared" si="1230"/>
        <v/>
      </c>
      <c r="CN823" s="328"/>
      <c r="CO823" s="197" t="str">
        <f>IF(AND($I823="x",AND(MAX(CK823:CM823)=CK823,CK823&lt;&gt;"")),Data!$BI$2,"")</f>
        <v/>
      </c>
      <c r="CP823" s="197" t="str">
        <f>IF(AND($J823="x",AND(MAX(CK823:CM823)=CL823,CL823&lt;&gt;"")),Data!$BJ$2,"")</f>
        <v/>
      </c>
      <c r="CQ823" s="197" t="str">
        <f>IF(AND($K823="x",AND(MAX(CK823:CM823)=CM823,CM823&lt;&gt;"")),Data!$BK$2,"")</f>
        <v/>
      </c>
      <c r="CR823" s="197"/>
      <c r="CS823" s="197"/>
      <c r="CT823" s="328"/>
      <c r="CU823" s="255"/>
      <c r="CV823" s="209"/>
      <c r="CW823" s="227"/>
    </row>
    <row r="824" spans="1:101" x14ac:dyDescent="0.2">
      <c r="A824" s="227"/>
      <c r="B824" s="227"/>
      <c r="C824" s="168"/>
      <c r="D824" s="232"/>
      <c r="E824" s="136"/>
      <c r="F824" s="426"/>
      <c r="G824" s="432" t="s">
        <v>51</v>
      </c>
      <c r="H824" s="433"/>
      <c r="I824" s="349" t="str">
        <f t="shared" si="1217"/>
        <v/>
      </c>
      <c r="J824" s="350" t="str">
        <f t="shared" si="1218"/>
        <v/>
      </c>
      <c r="K824" s="351" t="str">
        <f t="shared" si="1219"/>
        <v/>
      </c>
      <c r="L824" s="258"/>
      <c r="M824" s="332"/>
      <c r="N824" s="336"/>
      <c r="O824" s="200"/>
      <c r="P824" s="200"/>
      <c r="Q824" s="442"/>
      <c r="R824" s="443"/>
      <c r="S824" s="444" t="str">
        <f t="shared" si="1220"/>
        <v/>
      </c>
      <c r="T824" s="328"/>
      <c r="U824" s="197" t="str">
        <f>IF(AND($I824="x",AND(MAX(Q824:S824)=Q824,Q824&gt;=0)),Data!$BI$2,"")</f>
        <v/>
      </c>
      <c r="V824" s="197" t="str">
        <f>IF(AND($J824="x",AND(MAX(Q824:S824)=R824,R824&gt;=0)),Data!$BJ$2,"")</f>
        <v/>
      </c>
      <c r="W824" s="197" t="str">
        <f>IF(AND($K824="x",AND(MAX(Q824:S824)=S824,S824&gt;=0)),Data!$BK$2,"")</f>
        <v/>
      </c>
      <c r="X824" s="197"/>
      <c r="Y824" s="328"/>
      <c r="Z824" s="455"/>
      <c r="AA824" s="456"/>
      <c r="AB824" s="444" t="str">
        <f t="shared" si="1221"/>
        <v/>
      </c>
      <c r="AC824" s="328"/>
      <c r="AD824" s="197" t="str">
        <f>IF(AND($I824="x",AND(MAX(Z824:AB824)=Z824,Z824&lt;&gt;"")),Data!$BI$2,"")</f>
        <v/>
      </c>
      <c r="AE824" s="197" t="str">
        <f>IF(AND($J824="x",AND(MAX(Z824:AB824)=AA824,AA824&lt;&gt;"")),Data!$BJ$2,"")</f>
        <v/>
      </c>
      <c r="AF824" s="197" t="str">
        <f>IF(AND($K824="x",AND(MAX(Z824:AB824)=AB824,AB824&lt;&gt;"")),Data!$BK$2,"")</f>
        <v/>
      </c>
      <c r="AG824" s="197"/>
      <c r="AH824" s="328"/>
      <c r="AI824" s="455"/>
      <c r="AJ824" s="456"/>
      <c r="AK824" s="444" t="str">
        <f t="shared" si="1222"/>
        <v/>
      </c>
      <c r="AL824" s="328"/>
      <c r="AM824" s="197" t="str">
        <f>IF(AND($I824="x",AND(MAX(AI824:AK824)=AI824,AI824&lt;&gt;"")),Data!$BI$2,"")</f>
        <v/>
      </c>
      <c r="AN824" s="197" t="str">
        <f>IF(AND($J824="x",AND(MAX(AI824:AK824)=AJ824,AJ824&lt;&gt;"")),Data!$BJ$2,"")</f>
        <v/>
      </c>
      <c r="AO824" s="197" t="str">
        <f>IF(AND($K824="x",AND(MAX(AI824:AK824)=AK824,AK824&lt;&gt;"")),Data!$BK$2,"")</f>
        <v/>
      </c>
      <c r="AP824" s="197"/>
      <c r="AQ824" s="328"/>
      <c r="AR824" s="455"/>
      <c r="AS824" s="456"/>
      <c r="AT824" s="444" t="str">
        <f t="shared" si="1223"/>
        <v/>
      </c>
      <c r="AU824" s="328"/>
      <c r="AV824" s="197" t="str">
        <f>IF(AND($I824="x",AND(MAX(AR824:AT824)=AR824,AR824&lt;&gt;"")),Data!$BI$2,"")</f>
        <v/>
      </c>
      <c r="AW824" s="197" t="str">
        <f>IF(AND($J824="x",AND(MAX(AR824:AT824)=AS824,AS824&lt;&gt;"")),Data!$BJ$2,"")</f>
        <v/>
      </c>
      <c r="AX824" s="197" t="str">
        <f>IF(AND($K824="x",AND(MAX(AR824:AT824)=AT824,AT824&lt;&gt;"")),Data!$BK$2,"")</f>
        <v/>
      </c>
      <c r="AY824" s="197"/>
      <c r="AZ824" s="328"/>
      <c r="BA824" s="455"/>
      <c r="BB824" s="456"/>
      <c r="BC824" s="444" t="str">
        <f t="shared" si="1224"/>
        <v/>
      </c>
      <c r="BD824" s="328"/>
      <c r="BE824" s="197" t="str">
        <f>IF(AND($I824="x",AND(MAX(BA824:BC824)=BA824,BA824&lt;&gt;"")),Data!$BI$2,"")</f>
        <v/>
      </c>
      <c r="BF824" s="197" t="str">
        <f>IF(AND($J824="x",AND(MAX(BA824:BC824)=BB824,BB824&lt;&gt;"")),Data!$BJ$2,"")</f>
        <v/>
      </c>
      <c r="BG824" s="197" t="str">
        <f>IF(AND($K824="x",AND(MAX(BA824:BC824)=BC824,BC824&lt;&gt;"")),Data!$BK$2,"")</f>
        <v/>
      </c>
      <c r="BH824" s="197"/>
      <c r="BI824" s="328"/>
      <c r="BJ824" s="455"/>
      <c r="BK824" s="456"/>
      <c r="BL824" s="444" t="str">
        <f t="shared" si="1225"/>
        <v/>
      </c>
      <c r="BM824" s="328"/>
      <c r="BN824" s="197" t="str">
        <f>IF(AND($I824="x",AND(MAX(BJ824:BL824)=BJ824,BJ824&lt;&gt;"")),Data!$BI$2,"")</f>
        <v/>
      </c>
      <c r="BO824" s="197" t="str">
        <f>IF(AND($J824="x",AND(MAX(BJ824:BL824)=BK824,BK824&lt;&gt;"")),Data!$BJ$2,"")</f>
        <v/>
      </c>
      <c r="BP824" s="197" t="str">
        <f>IF(AND($K824="x",AND(MAX(BJ824:BL824)=BL824,BL824&lt;&gt;"")),Data!$BK$2,"")</f>
        <v/>
      </c>
      <c r="BQ824" s="197"/>
      <c r="BR824" s="328"/>
      <c r="BS824" s="455"/>
      <c r="BT824" s="456"/>
      <c r="BU824" s="444" t="str">
        <f t="shared" si="1226"/>
        <v/>
      </c>
      <c r="BV824" s="328"/>
      <c r="BW824" s="197" t="str">
        <f>IF(AND($I824="x",AND(MAX(BS824:BU824)=BS824,BS824&lt;&gt;"")),Data!$BI$2,"")</f>
        <v/>
      </c>
      <c r="BX824" s="197" t="str">
        <f>IF(AND($J824="x",AND(MAX(BS824:BU824)=BT824,BT824&lt;&gt;"")),Data!$BJ$2,"")</f>
        <v/>
      </c>
      <c r="BY824" s="197" t="str">
        <f>IF(AND($K824="x",AND(MAX(BS824:BU824)=BU824,BU824&lt;&gt;"")),Data!$BK$2,"")</f>
        <v/>
      </c>
      <c r="BZ824" s="197"/>
      <c r="CA824" s="328"/>
      <c r="CB824" s="463" t="str">
        <f t="shared" si="1227"/>
        <v/>
      </c>
      <c r="CC824" s="464" t="str">
        <f t="shared" si="1228"/>
        <v/>
      </c>
      <c r="CD824" s="465" t="str">
        <f t="shared" si="1229"/>
        <v/>
      </c>
      <c r="CE824" s="328"/>
      <c r="CF824" s="197" t="str">
        <f>IF(AND($I824="x",AND(MAX(CB824:CD824)=CB824,CB824&lt;&gt;"")),Data!$BI$2,"")</f>
        <v/>
      </c>
      <c r="CG824" s="197" t="str">
        <f>IF(AND($J824="x",AND(MAX(CB824:CD824)=CC824,CC824&lt;&gt;"")),Data!$BJ$2,"")</f>
        <v/>
      </c>
      <c r="CH824" s="197" t="str">
        <f>IF(AND($K824="x",AND(MAX(CB824:CD824)=CD824,CD824&lt;&gt;"")),Data!$BK$2,"")</f>
        <v/>
      </c>
      <c r="CI824" s="197"/>
      <c r="CJ824" s="197"/>
      <c r="CK824" s="455"/>
      <c r="CL824" s="456"/>
      <c r="CM824" s="444" t="str">
        <f t="shared" si="1230"/>
        <v/>
      </c>
      <c r="CN824" s="328"/>
      <c r="CO824" s="197" t="str">
        <f>IF(AND($I824="x",AND(MAX(CK824:CM824)=CK824,CK824&lt;&gt;"")),Data!$BI$2,"")</f>
        <v/>
      </c>
      <c r="CP824" s="197" t="str">
        <f>IF(AND($J824="x",AND(MAX(CK824:CM824)=CL824,CL824&lt;&gt;"")),Data!$BJ$2,"")</f>
        <v/>
      </c>
      <c r="CQ824" s="197" t="str">
        <f>IF(AND($K824="x",AND(MAX(CK824:CM824)=CM824,CM824&lt;&gt;"")),Data!$BK$2,"")</f>
        <v/>
      </c>
      <c r="CR824" s="197"/>
      <c r="CS824" s="197"/>
      <c r="CT824" s="328"/>
      <c r="CU824" s="255"/>
      <c r="CV824" s="209"/>
      <c r="CW824" s="227"/>
    </row>
    <row r="825" spans="1:101" x14ac:dyDescent="0.2">
      <c r="A825" s="227"/>
      <c r="B825" s="227"/>
      <c r="C825" s="168"/>
      <c r="D825" s="232"/>
      <c r="E825" s="134"/>
      <c r="F825" s="424"/>
      <c r="G825" s="428" t="s">
        <v>51</v>
      </c>
      <c r="H825" s="429"/>
      <c r="I825" s="138" t="str">
        <f t="shared" si="1217"/>
        <v/>
      </c>
      <c r="J825" s="344" t="str">
        <f t="shared" si="1218"/>
        <v/>
      </c>
      <c r="K825" s="345" t="str">
        <f t="shared" si="1219"/>
        <v/>
      </c>
      <c r="L825" s="258"/>
      <c r="M825" s="332"/>
      <c r="N825" s="336"/>
      <c r="O825" s="200"/>
      <c r="P825" s="200"/>
      <c r="Q825" s="436"/>
      <c r="R825" s="437"/>
      <c r="S825" s="438" t="str">
        <f t="shared" si="1220"/>
        <v/>
      </c>
      <c r="T825" s="328"/>
      <c r="U825" s="197" t="str">
        <f>IF(AND($I825="x",AND(MAX(Q825:S825)=Q825,Q825&gt;=0)),Data!$BI$2,"")</f>
        <v/>
      </c>
      <c r="V825" s="197" t="str">
        <f>IF(AND($J825="x",AND(MAX(Q825:S825)=R825,R825&gt;=0)),Data!$BJ$2,"")</f>
        <v/>
      </c>
      <c r="W825" s="197" t="str">
        <f>IF(AND($K825="x",AND(MAX(Q825:S825)=S825,S825&gt;=0)),Data!$BK$2,"")</f>
        <v/>
      </c>
      <c r="X825" s="197"/>
      <c r="Y825" s="328"/>
      <c r="Z825" s="451"/>
      <c r="AA825" s="452"/>
      <c r="AB825" s="438" t="str">
        <f t="shared" si="1221"/>
        <v/>
      </c>
      <c r="AC825" s="328"/>
      <c r="AD825" s="197" t="str">
        <f>IF(AND($I825="x",AND(MAX(Z825:AB825)=Z825,Z825&lt;&gt;"")),Data!$BI$2,"")</f>
        <v/>
      </c>
      <c r="AE825" s="197" t="str">
        <f>IF(AND($J825="x",AND(MAX(Z825:AB825)=AA825,AA825&lt;&gt;"")),Data!$BJ$2,"")</f>
        <v/>
      </c>
      <c r="AF825" s="197" t="str">
        <f>IF(AND($K825="x",AND(MAX(Z825:AB825)=AB825,AB825&lt;&gt;"")),Data!$BK$2,"")</f>
        <v/>
      </c>
      <c r="AG825" s="197"/>
      <c r="AH825" s="328"/>
      <c r="AI825" s="451"/>
      <c r="AJ825" s="452"/>
      <c r="AK825" s="438" t="str">
        <f t="shared" si="1222"/>
        <v/>
      </c>
      <c r="AL825" s="328"/>
      <c r="AM825" s="197" t="str">
        <f>IF(AND($I825="x",AND(MAX(AI825:AK825)=AI825,AI825&lt;&gt;"")),Data!$BI$2,"")</f>
        <v/>
      </c>
      <c r="AN825" s="197" t="str">
        <f>IF(AND($J825="x",AND(MAX(AI825:AK825)=AJ825,AJ825&lt;&gt;"")),Data!$BJ$2,"")</f>
        <v/>
      </c>
      <c r="AO825" s="197" t="str">
        <f>IF(AND($K825="x",AND(MAX(AI825:AK825)=AK825,AK825&lt;&gt;"")),Data!$BK$2,"")</f>
        <v/>
      </c>
      <c r="AP825" s="197"/>
      <c r="AQ825" s="328"/>
      <c r="AR825" s="451"/>
      <c r="AS825" s="452"/>
      <c r="AT825" s="438" t="str">
        <f t="shared" si="1223"/>
        <v/>
      </c>
      <c r="AU825" s="328"/>
      <c r="AV825" s="197" t="str">
        <f>IF(AND($I825="x",AND(MAX(AR825:AT825)=AR825,AR825&lt;&gt;"")),Data!$BI$2,"")</f>
        <v/>
      </c>
      <c r="AW825" s="197" t="str">
        <f>IF(AND($J825="x",AND(MAX(AR825:AT825)=AS825,AS825&lt;&gt;"")),Data!$BJ$2,"")</f>
        <v/>
      </c>
      <c r="AX825" s="197" t="str">
        <f>IF(AND($K825="x",AND(MAX(AR825:AT825)=AT825,AT825&lt;&gt;"")),Data!$BK$2,"")</f>
        <v/>
      </c>
      <c r="AY825" s="197"/>
      <c r="AZ825" s="328"/>
      <c r="BA825" s="451"/>
      <c r="BB825" s="452"/>
      <c r="BC825" s="438" t="str">
        <f t="shared" si="1224"/>
        <v/>
      </c>
      <c r="BD825" s="328"/>
      <c r="BE825" s="197" t="str">
        <f>IF(AND($I825="x",AND(MAX(BA825:BC825)=BA825,BA825&lt;&gt;"")),Data!$BI$2,"")</f>
        <v/>
      </c>
      <c r="BF825" s="197" t="str">
        <f>IF(AND($J825="x",AND(MAX(BA825:BC825)=BB825,BB825&lt;&gt;"")),Data!$BJ$2,"")</f>
        <v/>
      </c>
      <c r="BG825" s="197" t="str">
        <f>IF(AND($K825="x",AND(MAX(BA825:BC825)=BC825,BC825&lt;&gt;"")),Data!$BK$2,"")</f>
        <v/>
      </c>
      <c r="BH825" s="197"/>
      <c r="BI825" s="328"/>
      <c r="BJ825" s="451"/>
      <c r="BK825" s="452"/>
      <c r="BL825" s="438" t="str">
        <f t="shared" si="1225"/>
        <v/>
      </c>
      <c r="BM825" s="328"/>
      <c r="BN825" s="197" t="str">
        <f>IF(AND($I825="x",AND(MAX(BJ825:BL825)=BJ825,BJ825&lt;&gt;"")),Data!$BI$2,"")</f>
        <v/>
      </c>
      <c r="BO825" s="197" t="str">
        <f>IF(AND($J825="x",AND(MAX(BJ825:BL825)=BK825,BK825&lt;&gt;"")),Data!$BJ$2,"")</f>
        <v/>
      </c>
      <c r="BP825" s="197" t="str">
        <f>IF(AND($K825="x",AND(MAX(BJ825:BL825)=BL825,BL825&lt;&gt;"")),Data!$BK$2,"")</f>
        <v/>
      </c>
      <c r="BQ825" s="197"/>
      <c r="BR825" s="328"/>
      <c r="BS825" s="451"/>
      <c r="BT825" s="452"/>
      <c r="BU825" s="438" t="str">
        <f t="shared" si="1226"/>
        <v/>
      </c>
      <c r="BV825" s="328"/>
      <c r="BW825" s="197" t="str">
        <f>IF(AND($I825="x",AND(MAX(BS825:BU825)=BS825,BS825&lt;&gt;"")),Data!$BI$2,"")</f>
        <v/>
      </c>
      <c r="BX825" s="197" t="str">
        <f>IF(AND($J825="x",AND(MAX(BS825:BU825)=BT825,BT825&lt;&gt;"")),Data!$BJ$2,"")</f>
        <v/>
      </c>
      <c r="BY825" s="197" t="str">
        <f>IF(AND($K825="x",AND(MAX(BS825:BU825)=BU825,BU825&lt;&gt;"")),Data!$BK$2,"")</f>
        <v/>
      </c>
      <c r="BZ825" s="197"/>
      <c r="CA825" s="328"/>
      <c r="CB825" s="457" t="str">
        <f t="shared" si="1227"/>
        <v/>
      </c>
      <c r="CC825" s="458" t="str">
        <f t="shared" si="1228"/>
        <v/>
      </c>
      <c r="CD825" s="459" t="str">
        <f t="shared" si="1229"/>
        <v/>
      </c>
      <c r="CE825" s="328"/>
      <c r="CF825" s="197" t="str">
        <f>IF(AND($I825="x",AND(MAX(CB825:CD825)=CB825,CB825&lt;&gt;"")),Data!$BI$2,"")</f>
        <v/>
      </c>
      <c r="CG825" s="197" t="str">
        <f>IF(AND($J825="x",AND(MAX(CB825:CD825)=CC825,CC825&lt;&gt;"")),Data!$BJ$2,"")</f>
        <v/>
      </c>
      <c r="CH825" s="197" t="str">
        <f>IF(AND($K825="x",AND(MAX(CB825:CD825)=CD825,CD825&lt;&gt;"")),Data!$BK$2,"")</f>
        <v/>
      </c>
      <c r="CI825" s="197"/>
      <c r="CJ825" s="197"/>
      <c r="CK825" s="451"/>
      <c r="CL825" s="452"/>
      <c r="CM825" s="438" t="str">
        <f t="shared" si="1230"/>
        <v/>
      </c>
      <c r="CN825" s="328"/>
      <c r="CO825" s="197" t="str">
        <f>IF(AND($I825="x",AND(MAX(CK825:CM825)=CK825,CK825&lt;&gt;"")),Data!$BI$2,"")</f>
        <v/>
      </c>
      <c r="CP825" s="197" t="str">
        <f>IF(AND($J825="x",AND(MAX(CK825:CM825)=CL825,CL825&lt;&gt;"")),Data!$BJ$2,"")</f>
        <v/>
      </c>
      <c r="CQ825" s="197" t="str">
        <f>IF(AND($K825="x",AND(MAX(CK825:CM825)=CM825,CM825&lt;&gt;"")),Data!$BK$2,"")</f>
        <v/>
      </c>
      <c r="CR825" s="197"/>
      <c r="CS825" s="197"/>
      <c r="CT825" s="328"/>
      <c r="CU825" s="255"/>
      <c r="CV825" s="209"/>
      <c r="CW825" s="227"/>
    </row>
    <row r="826" spans="1:101" x14ac:dyDescent="0.2">
      <c r="A826" s="227"/>
      <c r="B826" s="227"/>
      <c r="C826" s="168"/>
      <c r="D826" s="232"/>
      <c r="E826" s="135"/>
      <c r="F826" s="425"/>
      <c r="G826" s="430" t="s">
        <v>51</v>
      </c>
      <c r="H826" s="431"/>
      <c r="I826" s="346" t="str">
        <f t="shared" si="1217"/>
        <v/>
      </c>
      <c r="J826" s="347" t="str">
        <f t="shared" si="1218"/>
        <v/>
      </c>
      <c r="K826" s="348" t="str">
        <f t="shared" si="1219"/>
        <v/>
      </c>
      <c r="L826" s="258"/>
      <c r="M826" s="332"/>
      <c r="N826" s="336"/>
      <c r="O826" s="200"/>
      <c r="P826" s="200"/>
      <c r="Q826" s="439"/>
      <c r="R826" s="440"/>
      <c r="S826" s="441" t="str">
        <f t="shared" si="1220"/>
        <v/>
      </c>
      <c r="T826" s="328"/>
      <c r="U826" s="197" t="str">
        <f>IF(AND($I826="x",AND(MAX(Q826:S826)=Q826,Q826&gt;=0)),Data!$BI$2,"")</f>
        <v/>
      </c>
      <c r="V826" s="197" t="str">
        <f>IF(AND($J826="x",AND(MAX(Q826:S826)=R826,R826&gt;=0)),Data!$BJ$2,"")</f>
        <v/>
      </c>
      <c r="W826" s="197" t="str">
        <f>IF(AND($K826="x",AND(MAX(Q826:S826)=S826,S826&gt;=0)),Data!$BK$2,"")</f>
        <v/>
      </c>
      <c r="X826" s="197"/>
      <c r="Y826" s="328"/>
      <c r="Z826" s="453"/>
      <c r="AA826" s="454"/>
      <c r="AB826" s="441" t="str">
        <f t="shared" si="1221"/>
        <v/>
      </c>
      <c r="AC826" s="328"/>
      <c r="AD826" s="197" t="str">
        <f>IF(AND($I826="x",AND(MAX(Z826:AB826)=Z826,Z826&lt;&gt;"")),Data!$BI$2,"")</f>
        <v/>
      </c>
      <c r="AE826" s="197" t="str">
        <f>IF(AND($J826="x",AND(MAX(Z826:AB826)=AA826,AA826&lt;&gt;"")),Data!$BJ$2,"")</f>
        <v/>
      </c>
      <c r="AF826" s="197" t="str">
        <f>IF(AND($K826="x",AND(MAX(Z826:AB826)=AB826,AB826&lt;&gt;"")),Data!$BK$2,"")</f>
        <v/>
      </c>
      <c r="AG826" s="197"/>
      <c r="AH826" s="328"/>
      <c r="AI826" s="453"/>
      <c r="AJ826" s="454"/>
      <c r="AK826" s="441" t="str">
        <f t="shared" si="1222"/>
        <v/>
      </c>
      <c r="AL826" s="328"/>
      <c r="AM826" s="197" t="str">
        <f>IF(AND($I826="x",AND(MAX(AI826:AK826)=AI826,AI826&lt;&gt;"")),Data!$BI$2,"")</f>
        <v/>
      </c>
      <c r="AN826" s="197" t="str">
        <f>IF(AND($J826="x",AND(MAX(AI826:AK826)=AJ826,AJ826&lt;&gt;"")),Data!$BJ$2,"")</f>
        <v/>
      </c>
      <c r="AO826" s="197" t="str">
        <f>IF(AND($K826="x",AND(MAX(AI826:AK826)=AK826,AK826&lt;&gt;"")),Data!$BK$2,"")</f>
        <v/>
      </c>
      <c r="AP826" s="197"/>
      <c r="AQ826" s="328"/>
      <c r="AR826" s="453"/>
      <c r="AS826" s="454"/>
      <c r="AT826" s="441" t="str">
        <f t="shared" si="1223"/>
        <v/>
      </c>
      <c r="AU826" s="328"/>
      <c r="AV826" s="197" t="str">
        <f>IF(AND($I826="x",AND(MAX(AR826:AT826)=AR826,AR826&lt;&gt;"")),Data!$BI$2,"")</f>
        <v/>
      </c>
      <c r="AW826" s="197" t="str">
        <f>IF(AND($J826="x",AND(MAX(AR826:AT826)=AS826,AS826&lt;&gt;"")),Data!$BJ$2,"")</f>
        <v/>
      </c>
      <c r="AX826" s="197" t="str">
        <f>IF(AND($K826="x",AND(MAX(AR826:AT826)=AT826,AT826&lt;&gt;"")),Data!$BK$2,"")</f>
        <v/>
      </c>
      <c r="AY826" s="197"/>
      <c r="AZ826" s="328"/>
      <c r="BA826" s="453"/>
      <c r="BB826" s="454"/>
      <c r="BC826" s="441" t="str">
        <f t="shared" si="1224"/>
        <v/>
      </c>
      <c r="BD826" s="328"/>
      <c r="BE826" s="197" t="str">
        <f>IF(AND($I826="x",AND(MAX(BA826:BC826)=BA826,BA826&lt;&gt;"")),Data!$BI$2,"")</f>
        <v/>
      </c>
      <c r="BF826" s="197" t="str">
        <f>IF(AND($J826="x",AND(MAX(BA826:BC826)=BB826,BB826&lt;&gt;"")),Data!$BJ$2,"")</f>
        <v/>
      </c>
      <c r="BG826" s="197" t="str">
        <f>IF(AND($K826="x",AND(MAX(BA826:BC826)=BC826,BC826&lt;&gt;"")),Data!$BK$2,"")</f>
        <v/>
      </c>
      <c r="BH826" s="197"/>
      <c r="BI826" s="328"/>
      <c r="BJ826" s="453"/>
      <c r="BK826" s="454"/>
      <c r="BL826" s="441" t="str">
        <f t="shared" si="1225"/>
        <v/>
      </c>
      <c r="BM826" s="328"/>
      <c r="BN826" s="197" t="str">
        <f>IF(AND($I826="x",AND(MAX(BJ826:BL826)=BJ826,BJ826&lt;&gt;"")),Data!$BI$2,"")</f>
        <v/>
      </c>
      <c r="BO826" s="197" t="str">
        <f>IF(AND($J826="x",AND(MAX(BJ826:BL826)=BK826,BK826&lt;&gt;"")),Data!$BJ$2,"")</f>
        <v/>
      </c>
      <c r="BP826" s="197" t="str">
        <f>IF(AND($K826="x",AND(MAX(BJ826:BL826)=BL826,BL826&lt;&gt;"")),Data!$BK$2,"")</f>
        <v/>
      </c>
      <c r="BQ826" s="197"/>
      <c r="BR826" s="328"/>
      <c r="BS826" s="453"/>
      <c r="BT826" s="454"/>
      <c r="BU826" s="441" t="str">
        <f t="shared" si="1226"/>
        <v/>
      </c>
      <c r="BV826" s="328"/>
      <c r="BW826" s="197" t="str">
        <f>IF(AND($I826="x",AND(MAX(BS826:BU826)=BS826,BS826&lt;&gt;"")),Data!$BI$2,"")</f>
        <v/>
      </c>
      <c r="BX826" s="197" t="str">
        <f>IF(AND($J826="x",AND(MAX(BS826:BU826)=BT826,BT826&lt;&gt;"")),Data!$BJ$2,"")</f>
        <v/>
      </c>
      <c r="BY826" s="197" t="str">
        <f>IF(AND($K826="x",AND(MAX(BS826:BU826)=BU826,BU826&lt;&gt;"")),Data!$BK$2,"")</f>
        <v/>
      </c>
      <c r="BZ826" s="197"/>
      <c r="CA826" s="328"/>
      <c r="CB826" s="460" t="str">
        <f t="shared" si="1227"/>
        <v/>
      </c>
      <c r="CC826" s="461" t="str">
        <f t="shared" si="1228"/>
        <v/>
      </c>
      <c r="CD826" s="462" t="str">
        <f t="shared" si="1229"/>
        <v/>
      </c>
      <c r="CE826" s="328"/>
      <c r="CF826" s="197" t="str">
        <f>IF(AND($I826="x",AND(MAX(CB826:CD826)=CB826,CB826&lt;&gt;"")),Data!$BI$2,"")</f>
        <v/>
      </c>
      <c r="CG826" s="197" t="str">
        <f>IF(AND($J826="x",AND(MAX(CB826:CD826)=CC826,CC826&lt;&gt;"")),Data!$BJ$2,"")</f>
        <v/>
      </c>
      <c r="CH826" s="197" t="str">
        <f>IF(AND($K826="x",AND(MAX(CB826:CD826)=CD826,CD826&lt;&gt;"")),Data!$BK$2,"")</f>
        <v/>
      </c>
      <c r="CI826" s="197"/>
      <c r="CJ826" s="197"/>
      <c r="CK826" s="453"/>
      <c r="CL826" s="454"/>
      <c r="CM826" s="441" t="str">
        <f t="shared" si="1230"/>
        <v/>
      </c>
      <c r="CN826" s="328"/>
      <c r="CO826" s="197" t="str">
        <f>IF(AND($I826="x",AND(MAX(CK826:CM826)=CK826,CK826&lt;&gt;"")),Data!$BI$2,"")</f>
        <v/>
      </c>
      <c r="CP826" s="197" t="str">
        <f>IF(AND($J826="x",AND(MAX(CK826:CM826)=CL826,CL826&lt;&gt;"")),Data!$BJ$2,"")</f>
        <v/>
      </c>
      <c r="CQ826" s="197" t="str">
        <f>IF(AND($K826="x",AND(MAX(CK826:CM826)=CM826,CM826&lt;&gt;"")),Data!$BK$2,"")</f>
        <v/>
      </c>
      <c r="CR826" s="197"/>
      <c r="CS826" s="197"/>
      <c r="CT826" s="328"/>
      <c r="CU826" s="255"/>
      <c r="CV826" s="209"/>
      <c r="CW826" s="227"/>
    </row>
    <row r="827" spans="1:101" x14ac:dyDescent="0.2">
      <c r="A827" s="227"/>
      <c r="B827" s="227"/>
      <c r="C827" s="168"/>
      <c r="D827" s="232"/>
      <c r="E827" s="136"/>
      <c r="F827" s="426"/>
      <c r="G827" s="432" t="s">
        <v>51</v>
      </c>
      <c r="H827" s="433"/>
      <c r="I827" s="349" t="str">
        <f t="shared" si="1217"/>
        <v/>
      </c>
      <c r="J827" s="350" t="str">
        <f t="shared" si="1218"/>
        <v/>
      </c>
      <c r="K827" s="351" t="str">
        <f t="shared" si="1219"/>
        <v/>
      </c>
      <c r="L827" s="258"/>
      <c r="M827" s="332"/>
      <c r="N827" s="336"/>
      <c r="O827" s="200"/>
      <c r="P827" s="200"/>
      <c r="Q827" s="445"/>
      <c r="R827" s="446"/>
      <c r="S827" s="447" t="str">
        <f t="shared" si="1220"/>
        <v/>
      </c>
      <c r="T827" s="328"/>
      <c r="U827" s="197" t="str">
        <f>IF(AND($I827="x",AND(MAX(Q827:S827)=Q827,Q827&gt;=0)),Data!$BI$2,"")</f>
        <v/>
      </c>
      <c r="V827" s="197" t="str">
        <f>IF(AND($J827="x",AND(MAX(Q827:S827)=R827,R827&gt;=0)),Data!$BJ$2,"")</f>
        <v/>
      </c>
      <c r="W827" s="197" t="str">
        <f>IF(AND($K827="x",AND(MAX(Q827:S827)=S827,S827&gt;=0)),Data!$BK$2,"")</f>
        <v/>
      </c>
      <c r="X827" s="197"/>
      <c r="Y827" s="328"/>
      <c r="Z827" s="455"/>
      <c r="AA827" s="456"/>
      <c r="AB827" s="447" t="str">
        <f t="shared" si="1221"/>
        <v/>
      </c>
      <c r="AC827" s="328"/>
      <c r="AD827" s="197" t="str">
        <f>IF(AND($I827="x",AND(MAX(Z827:AB827)=Z827,Z827&lt;&gt;"")),Data!$BI$2,"")</f>
        <v/>
      </c>
      <c r="AE827" s="197" t="str">
        <f>IF(AND($J827="x",AND(MAX(Z827:AB827)=AA827,AA827&lt;&gt;"")),Data!$BJ$2,"")</f>
        <v/>
      </c>
      <c r="AF827" s="197" t="str">
        <f>IF(AND($K827="x",AND(MAX(Z827:AB827)=AB827,AB827&lt;&gt;"")),Data!$BK$2,"")</f>
        <v/>
      </c>
      <c r="AG827" s="197"/>
      <c r="AH827" s="328"/>
      <c r="AI827" s="455"/>
      <c r="AJ827" s="456"/>
      <c r="AK827" s="447" t="str">
        <f t="shared" si="1222"/>
        <v/>
      </c>
      <c r="AL827" s="328"/>
      <c r="AM827" s="197" t="str">
        <f>IF(AND($I827="x",AND(MAX(AI827:AK827)=AI827,AI827&lt;&gt;"")),Data!$BI$2,"")</f>
        <v/>
      </c>
      <c r="AN827" s="197" t="str">
        <f>IF(AND($J827="x",AND(MAX(AI827:AK827)=AJ827,AJ827&lt;&gt;"")),Data!$BJ$2,"")</f>
        <v/>
      </c>
      <c r="AO827" s="197" t="str">
        <f>IF(AND($K827="x",AND(MAX(AI827:AK827)=AK827,AK827&lt;&gt;"")),Data!$BK$2,"")</f>
        <v/>
      </c>
      <c r="AP827" s="197"/>
      <c r="AQ827" s="328"/>
      <c r="AR827" s="455"/>
      <c r="AS827" s="456"/>
      <c r="AT827" s="447" t="str">
        <f t="shared" si="1223"/>
        <v/>
      </c>
      <c r="AU827" s="328"/>
      <c r="AV827" s="197" t="str">
        <f>IF(AND($I827="x",AND(MAX(AR827:AT827)=AR827,AR827&lt;&gt;"")),Data!$BI$2,"")</f>
        <v/>
      </c>
      <c r="AW827" s="197" t="str">
        <f>IF(AND($J827="x",AND(MAX(AR827:AT827)=AS827,AS827&lt;&gt;"")),Data!$BJ$2,"")</f>
        <v/>
      </c>
      <c r="AX827" s="197" t="str">
        <f>IF(AND($K827="x",AND(MAX(AR827:AT827)=AT827,AT827&lt;&gt;"")),Data!$BK$2,"")</f>
        <v/>
      </c>
      <c r="AY827" s="197"/>
      <c r="AZ827" s="328"/>
      <c r="BA827" s="455"/>
      <c r="BB827" s="456"/>
      <c r="BC827" s="447" t="str">
        <f t="shared" si="1224"/>
        <v/>
      </c>
      <c r="BD827" s="328"/>
      <c r="BE827" s="197" t="str">
        <f>IF(AND($I827="x",AND(MAX(BA827:BC827)=BA827,BA827&lt;&gt;"")),Data!$BI$2,"")</f>
        <v/>
      </c>
      <c r="BF827" s="197" t="str">
        <f>IF(AND($J827="x",AND(MAX(BA827:BC827)=BB827,BB827&lt;&gt;"")),Data!$BJ$2,"")</f>
        <v/>
      </c>
      <c r="BG827" s="197" t="str">
        <f>IF(AND($K827="x",AND(MAX(BA827:BC827)=BC827,BC827&lt;&gt;"")),Data!$BK$2,"")</f>
        <v/>
      </c>
      <c r="BH827" s="197"/>
      <c r="BI827" s="328"/>
      <c r="BJ827" s="455"/>
      <c r="BK827" s="456"/>
      <c r="BL827" s="447" t="str">
        <f t="shared" si="1225"/>
        <v/>
      </c>
      <c r="BM827" s="328"/>
      <c r="BN827" s="197" t="str">
        <f>IF(AND($I827="x",AND(MAX(BJ827:BL827)=BJ827,BJ827&lt;&gt;"")),Data!$BI$2,"")</f>
        <v/>
      </c>
      <c r="BO827" s="197" t="str">
        <f>IF(AND($J827="x",AND(MAX(BJ827:BL827)=BK827,BK827&lt;&gt;"")),Data!$BJ$2,"")</f>
        <v/>
      </c>
      <c r="BP827" s="197" t="str">
        <f>IF(AND($K827="x",AND(MAX(BJ827:BL827)=BL827,BL827&lt;&gt;"")),Data!$BK$2,"")</f>
        <v/>
      </c>
      <c r="BQ827" s="197"/>
      <c r="BR827" s="328"/>
      <c r="BS827" s="455"/>
      <c r="BT827" s="456"/>
      <c r="BU827" s="447" t="str">
        <f t="shared" si="1226"/>
        <v/>
      </c>
      <c r="BV827" s="328"/>
      <c r="BW827" s="197" t="str">
        <f>IF(AND($I827="x",AND(MAX(BS827:BU827)=BS827,BS827&lt;&gt;"")),Data!$BI$2,"")</f>
        <v/>
      </c>
      <c r="BX827" s="197" t="str">
        <f>IF(AND($J827="x",AND(MAX(BS827:BU827)=BT827,BT827&lt;&gt;"")),Data!$BJ$2,"")</f>
        <v/>
      </c>
      <c r="BY827" s="197" t="str">
        <f>IF(AND($K827="x",AND(MAX(BS827:BU827)=BU827,BU827&lt;&gt;"")),Data!$BK$2,"")</f>
        <v/>
      </c>
      <c r="BZ827" s="197"/>
      <c r="CA827" s="328"/>
      <c r="CB827" s="463" t="str">
        <f t="shared" si="1227"/>
        <v/>
      </c>
      <c r="CC827" s="464" t="str">
        <f t="shared" si="1228"/>
        <v/>
      </c>
      <c r="CD827" s="465" t="str">
        <f t="shared" si="1229"/>
        <v/>
      </c>
      <c r="CE827" s="328"/>
      <c r="CF827" s="197" t="str">
        <f>IF(AND($I827="x",AND(MAX(CB827:CD827)=CB827,CB827&lt;&gt;"")),Data!$BI$2,"")</f>
        <v/>
      </c>
      <c r="CG827" s="197" t="str">
        <f>IF(AND($J827="x",AND(MAX(CB827:CD827)=CC827,CC827&lt;&gt;"")),Data!$BJ$2,"")</f>
        <v/>
      </c>
      <c r="CH827" s="197" t="str">
        <f>IF(AND($K827="x",AND(MAX(CB827:CD827)=CD827,CD827&lt;&gt;"")),Data!$BK$2,"")</f>
        <v/>
      </c>
      <c r="CI827" s="197"/>
      <c r="CJ827" s="197"/>
      <c r="CK827" s="455"/>
      <c r="CL827" s="456"/>
      <c r="CM827" s="447" t="str">
        <f t="shared" si="1230"/>
        <v/>
      </c>
      <c r="CN827" s="328"/>
      <c r="CO827" s="197" t="str">
        <f>IF(AND($I827="x",AND(MAX(CK827:CM827)=CK827,CK827&lt;&gt;"")),Data!$BI$2,"")</f>
        <v/>
      </c>
      <c r="CP827" s="197" t="str">
        <f>IF(AND($J827="x",AND(MAX(CK827:CM827)=CL827,CL827&lt;&gt;"")),Data!$BJ$2,"")</f>
        <v/>
      </c>
      <c r="CQ827" s="197" t="str">
        <f>IF(AND($K827="x",AND(MAX(CK827:CM827)=CM827,CM827&lt;&gt;"")),Data!$BK$2,"")</f>
        <v/>
      </c>
      <c r="CR827" s="197"/>
      <c r="CS827" s="197"/>
      <c r="CT827" s="328"/>
      <c r="CU827" s="255"/>
      <c r="CV827" s="209"/>
      <c r="CW827" s="227"/>
    </row>
    <row r="828" spans="1:101" x14ac:dyDescent="0.2">
      <c r="A828" s="227"/>
      <c r="B828" s="227"/>
      <c r="C828" s="168"/>
      <c r="D828" s="232"/>
      <c r="E828" s="134"/>
      <c r="F828" s="424"/>
      <c r="G828" s="428" t="s">
        <v>51</v>
      </c>
      <c r="H828" s="429"/>
      <c r="I828" s="138" t="str">
        <f t="shared" si="1217"/>
        <v/>
      </c>
      <c r="J828" s="344" t="str">
        <f t="shared" si="1218"/>
        <v/>
      </c>
      <c r="K828" s="345" t="str">
        <f t="shared" si="1219"/>
        <v/>
      </c>
      <c r="L828" s="258"/>
      <c r="M828" s="332"/>
      <c r="N828" s="336"/>
      <c r="O828" s="200"/>
      <c r="P828" s="200"/>
      <c r="Q828" s="436"/>
      <c r="R828" s="437"/>
      <c r="S828" s="438" t="str">
        <f t="shared" si="1220"/>
        <v/>
      </c>
      <c r="T828" s="328"/>
      <c r="U828" s="197" t="str">
        <f>IF(AND($I828="x",AND(MAX(Q828:S828)=Q828,Q828&gt;=0)),Data!$BI$2,"")</f>
        <v/>
      </c>
      <c r="V828" s="197" t="str">
        <f>IF(AND($J828="x",AND(MAX(Q828:S828)=R828,R828&gt;=0)),Data!$BJ$2,"")</f>
        <v/>
      </c>
      <c r="W828" s="197" t="str">
        <f>IF(AND($K828="x",AND(MAX(Q828:S828)=S828,S828&gt;=0)),Data!$BK$2,"")</f>
        <v/>
      </c>
      <c r="X828" s="197"/>
      <c r="Y828" s="328"/>
      <c r="Z828" s="451"/>
      <c r="AA828" s="452"/>
      <c r="AB828" s="438" t="str">
        <f t="shared" si="1221"/>
        <v/>
      </c>
      <c r="AC828" s="328"/>
      <c r="AD828" s="197" t="str">
        <f>IF(AND($I828="x",AND(MAX(Z828:AB828)=Z828,Z828&lt;&gt;"")),Data!$BI$2,"")</f>
        <v/>
      </c>
      <c r="AE828" s="197" t="str">
        <f>IF(AND($J828="x",AND(MAX(Z828:AB828)=AA828,AA828&lt;&gt;"")),Data!$BJ$2,"")</f>
        <v/>
      </c>
      <c r="AF828" s="197" t="str">
        <f>IF(AND($K828="x",AND(MAX(Z828:AB828)=AB828,AB828&lt;&gt;"")),Data!$BK$2,"")</f>
        <v/>
      </c>
      <c r="AG828" s="197"/>
      <c r="AH828" s="328"/>
      <c r="AI828" s="451"/>
      <c r="AJ828" s="452"/>
      <c r="AK828" s="438" t="str">
        <f t="shared" si="1222"/>
        <v/>
      </c>
      <c r="AL828" s="328"/>
      <c r="AM828" s="197" t="str">
        <f>IF(AND($I828="x",AND(MAX(AI828:AK828)=AI828,AI828&lt;&gt;"")),Data!$BI$2,"")</f>
        <v/>
      </c>
      <c r="AN828" s="197" t="str">
        <f>IF(AND($J828="x",AND(MAX(AI828:AK828)=AJ828,AJ828&lt;&gt;"")),Data!$BJ$2,"")</f>
        <v/>
      </c>
      <c r="AO828" s="197" t="str">
        <f>IF(AND($K828="x",AND(MAX(AI828:AK828)=AK828,AK828&lt;&gt;"")),Data!$BK$2,"")</f>
        <v/>
      </c>
      <c r="AP828" s="197"/>
      <c r="AQ828" s="328"/>
      <c r="AR828" s="451"/>
      <c r="AS828" s="452"/>
      <c r="AT828" s="438" t="str">
        <f t="shared" si="1223"/>
        <v/>
      </c>
      <c r="AU828" s="328"/>
      <c r="AV828" s="197" t="str">
        <f>IF(AND($I828="x",AND(MAX(AR828:AT828)=AR828,AR828&lt;&gt;"")),Data!$BI$2,"")</f>
        <v/>
      </c>
      <c r="AW828" s="197" t="str">
        <f>IF(AND($J828="x",AND(MAX(AR828:AT828)=AS828,AS828&lt;&gt;"")),Data!$BJ$2,"")</f>
        <v/>
      </c>
      <c r="AX828" s="197" t="str">
        <f>IF(AND($K828="x",AND(MAX(AR828:AT828)=AT828,AT828&lt;&gt;"")),Data!$BK$2,"")</f>
        <v/>
      </c>
      <c r="AY828" s="197"/>
      <c r="AZ828" s="328"/>
      <c r="BA828" s="451"/>
      <c r="BB828" s="452"/>
      <c r="BC828" s="438" t="str">
        <f t="shared" si="1224"/>
        <v/>
      </c>
      <c r="BD828" s="328"/>
      <c r="BE828" s="197" t="str">
        <f>IF(AND($I828="x",AND(MAX(BA828:BC828)=BA828,BA828&lt;&gt;"")),Data!$BI$2,"")</f>
        <v/>
      </c>
      <c r="BF828" s="197" t="str">
        <f>IF(AND($J828="x",AND(MAX(BA828:BC828)=BB828,BB828&lt;&gt;"")),Data!$BJ$2,"")</f>
        <v/>
      </c>
      <c r="BG828" s="197" t="str">
        <f>IF(AND($K828="x",AND(MAX(BA828:BC828)=BC828,BC828&lt;&gt;"")),Data!$BK$2,"")</f>
        <v/>
      </c>
      <c r="BH828" s="197"/>
      <c r="BI828" s="328"/>
      <c r="BJ828" s="451"/>
      <c r="BK828" s="452"/>
      <c r="BL828" s="438" t="str">
        <f t="shared" si="1225"/>
        <v/>
      </c>
      <c r="BM828" s="328"/>
      <c r="BN828" s="197" t="str">
        <f>IF(AND($I828="x",AND(MAX(BJ828:BL828)=BJ828,BJ828&lt;&gt;"")),Data!$BI$2,"")</f>
        <v/>
      </c>
      <c r="BO828" s="197" t="str">
        <f>IF(AND($J828="x",AND(MAX(BJ828:BL828)=BK828,BK828&lt;&gt;"")),Data!$BJ$2,"")</f>
        <v/>
      </c>
      <c r="BP828" s="197" t="str">
        <f>IF(AND($K828="x",AND(MAX(BJ828:BL828)=BL828,BL828&lt;&gt;"")),Data!$BK$2,"")</f>
        <v/>
      </c>
      <c r="BQ828" s="197"/>
      <c r="BR828" s="328"/>
      <c r="BS828" s="451"/>
      <c r="BT828" s="452"/>
      <c r="BU828" s="438" t="str">
        <f t="shared" si="1226"/>
        <v/>
      </c>
      <c r="BV828" s="328"/>
      <c r="BW828" s="197" t="str">
        <f>IF(AND($I828="x",AND(MAX(BS828:BU828)=BS828,BS828&lt;&gt;"")),Data!$BI$2,"")</f>
        <v/>
      </c>
      <c r="BX828" s="197" t="str">
        <f>IF(AND($J828="x",AND(MAX(BS828:BU828)=BT828,BT828&lt;&gt;"")),Data!$BJ$2,"")</f>
        <v/>
      </c>
      <c r="BY828" s="197" t="str">
        <f>IF(AND($K828="x",AND(MAX(BS828:BU828)=BU828,BU828&lt;&gt;"")),Data!$BK$2,"")</f>
        <v/>
      </c>
      <c r="BZ828" s="197"/>
      <c r="CA828" s="328"/>
      <c r="CB828" s="457" t="str">
        <f t="shared" si="1227"/>
        <v/>
      </c>
      <c r="CC828" s="458" t="str">
        <f t="shared" si="1228"/>
        <v/>
      </c>
      <c r="CD828" s="459" t="str">
        <f t="shared" si="1229"/>
        <v/>
      </c>
      <c r="CE828" s="328"/>
      <c r="CF828" s="197" t="str">
        <f>IF(AND($I828="x",AND(MAX(CB828:CD828)=CB828,CB828&lt;&gt;"")),Data!$BI$2,"")</f>
        <v/>
      </c>
      <c r="CG828" s="197" t="str">
        <f>IF(AND($J828="x",AND(MAX(CB828:CD828)=CC828,CC828&lt;&gt;"")),Data!$BJ$2,"")</f>
        <v/>
      </c>
      <c r="CH828" s="197" t="str">
        <f>IF(AND($K828="x",AND(MAX(CB828:CD828)=CD828,CD828&lt;&gt;"")),Data!$BK$2,"")</f>
        <v/>
      </c>
      <c r="CI828" s="197"/>
      <c r="CJ828" s="197"/>
      <c r="CK828" s="451"/>
      <c r="CL828" s="452"/>
      <c r="CM828" s="438" t="str">
        <f t="shared" si="1230"/>
        <v/>
      </c>
      <c r="CN828" s="328"/>
      <c r="CO828" s="197" t="str">
        <f>IF(AND($I828="x",AND(MAX(CK828:CM828)=CK828,CK828&lt;&gt;"")),Data!$BI$2,"")</f>
        <v/>
      </c>
      <c r="CP828" s="197" t="str">
        <f>IF(AND($J828="x",AND(MAX(CK828:CM828)=CL828,CL828&lt;&gt;"")),Data!$BJ$2,"")</f>
        <v/>
      </c>
      <c r="CQ828" s="197" t="str">
        <f>IF(AND($K828="x",AND(MAX(CK828:CM828)=CM828,CM828&lt;&gt;"")),Data!$BK$2,"")</f>
        <v/>
      </c>
      <c r="CR828" s="197"/>
      <c r="CS828" s="197"/>
      <c r="CT828" s="328"/>
      <c r="CU828" s="259"/>
      <c r="CV828" s="209"/>
      <c r="CW828" s="227"/>
    </row>
    <row r="829" spans="1:101" x14ac:dyDescent="0.2">
      <c r="A829" s="227"/>
      <c r="B829" s="227"/>
      <c r="C829" s="168"/>
      <c r="D829" s="232"/>
      <c r="E829" s="135"/>
      <c r="F829" s="425"/>
      <c r="G829" s="430" t="s">
        <v>51</v>
      </c>
      <c r="H829" s="431"/>
      <c r="I829" s="346" t="str">
        <f t="shared" si="1217"/>
        <v/>
      </c>
      <c r="J829" s="347" t="str">
        <f t="shared" si="1218"/>
        <v/>
      </c>
      <c r="K829" s="348" t="str">
        <f t="shared" si="1219"/>
        <v/>
      </c>
      <c r="L829" s="258"/>
      <c r="M829" s="332"/>
      <c r="N829" s="336"/>
      <c r="O829" s="200"/>
      <c r="P829" s="200"/>
      <c r="Q829" s="439"/>
      <c r="R829" s="440"/>
      <c r="S829" s="441" t="str">
        <f t="shared" si="1220"/>
        <v/>
      </c>
      <c r="T829" s="328"/>
      <c r="U829" s="197" t="str">
        <f>IF(AND($I829="x",AND(MAX(Q829:S829)=Q829,Q829&gt;=0)),Data!$BI$2,"")</f>
        <v/>
      </c>
      <c r="V829" s="197" t="str">
        <f>IF(AND($J829="x",AND(MAX(Q829:S829)=R829,R829&gt;=0)),Data!$BJ$2,"")</f>
        <v/>
      </c>
      <c r="W829" s="197" t="str">
        <f>IF(AND($K829="x",AND(MAX(Q829:S829)=S829,S829&gt;=0)),Data!$BK$2,"")</f>
        <v/>
      </c>
      <c r="X829" s="197"/>
      <c r="Y829" s="328"/>
      <c r="Z829" s="453"/>
      <c r="AA829" s="454"/>
      <c r="AB829" s="441" t="str">
        <f t="shared" si="1221"/>
        <v/>
      </c>
      <c r="AC829" s="328"/>
      <c r="AD829" s="197" t="str">
        <f>IF(AND($I829="x",AND(MAX(Z829:AB829)=Z829,Z829&lt;&gt;"")),Data!$BI$2,"")</f>
        <v/>
      </c>
      <c r="AE829" s="197" t="str">
        <f>IF(AND($J829="x",AND(MAX(Z829:AB829)=AA829,AA829&lt;&gt;"")),Data!$BJ$2,"")</f>
        <v/>
      </c>
      <c r="AF829" s="197" t="str">
        <f>IF(AND($K829="x",AND(MAX(Z829:AB829)=AB829,AB829&lt;&gt;"")),Data!$BK$2,"")</f>
        <v/>
      </c>
      <c r="AG829" s="197"/>
      <c r="AH829" s="328"/>
      <c r="AI829" s="453"/>
      <c r="AJ829" s="454"/>
      <c r="AK829" s="441" t="str">
        <f t="shared" si="1222"/>
        <v/>
      </c>
      <c r="AL829" s="328"/>
      <c r="AM829" s="197" t="str">
        <f>IF(AND($I829="x",AND(MAX(AI829:AK829)=AI829,AI829&lt;&gt;"")),Data!$BI$2,"")</f>
        <v/>
      </c>
      <c r="AN829" s="197" t="str">
        <f>IF(AND($J829="x",AND(MAX(AI829:AK829)=AJ829,AJ829&lt;&gt;"")),Data!$BJ$2,"")</f>
        <v/>
      </c>
      <c r="AO829" s="197" t="str">
        <f>IF(AND($K829="x",AND(MAX(AI829:AK829)=AK829,AK829&lt;&gt;"")),Data!$BK$2,"")</f>
        <v/>
      </c>
      <c r="AP829" s="197"/>
      <c r="AQ829" s="328"/>
      <c r="AR829" s="453"/>
      <c r="AS829" s="454"/>
      <c r="AT829" s="441" t="str">
        <f t="shared" si="1223"/>
        <v/>
      </c>
      <c r="AU829" s="328"/>
      <c r="AV829" s="197" t="str">
        <f>IF(AND($I829="x",AND(MAX(AR829:AT829)=AR829,AR829&lt;&gt;"")),Data!$BI$2,"")</f>
        <v/>
      </c>
      <c r="AW829" s="197" t="str">
        <f>IF(AND($J829="x",AND(MAX(AR829:AT829)=AS829,AS829&lt;&gt;"")),Data!$BJ$2,"")</f>
        <v/>
      </c>
      <c r="AX829" s="197" t="str">
        <f>IF(AND($K829="x",AND(MAX(AR829:AT829)=AT829,AT829&lt;&gt;"")),Data!$BK$2,"")</f>
        <v/>
      </c>
      <c r="AY829" s="197"/>
      <c r="AZ829" s="328"/>
      <c r="BA829" s="453"/>
      <c r="BB829" s="454"/>
      <c r="BC829" s="441" t="str">
        <f t="shared" si="1224"/>
        <v/>
      </c>
      <c r="BD829" s="328"/>
      <c r="BE829" s="197" t="str">
        <f>IF(AND($I829="x",AND(MAX(BA829:BC829)=BA829,BA829&lt;&gt;"")),Data!$BI$2,"")</f>
        <v/>
      </c>
      <c r="BF829" s="197" t="str">
        <f>IF(AND($J829="x",AND(MAX(BA829:BC829)=BB829,BB829&lt;&gt;"")),Data!$BJ$2,"")</f>
        <v/>
      </c>
      <c r="BG829" s="197" t="str">
        <f>IF(AND($K829="x",AND(MAX(BA829:BC829)=BC829,BC829&lt;&gt;"")),Data!$BK$2,"")</f>
        <v/>
      </c>
      <c r="BH829" s="197"/>
      <c r="BI829" s="328"/>
      <c r="BJ829" s="453"/>
      <c r="BK829" s="454"/>
      <c r="BL829" s="441" t="str">
        <f t="shared" si="1225"/>
        <v/>
      </c>
      <c r="BM829" s="328"/>
      <c r="BN829" s="197" t="str">
        <f>IF(AND($I829="x",AND(MAX(BJ829:BL829)=BJ829,BJ829&lt;&gt;"")),Data!$BI$2,"")</f>
        <v/>
      </c>
      <c r="BO829" s="197" t="str">
        <f>IF(AND($J829="x",AND(MAX(BJ829:BL829)=BK829,BK829&lt;&gt;"")),Data!$BJ$2,"")</f>
        <v/>
      </c>
      <c r="BP829" s="197" t="str">
        <f>IF(AND($K829="x",AND(MAX(BJ829:BL829)=BL829,BL829&lt;&gt;"")),Data!$BK$2,"")</f>
        <v/>
      </c>
      <c r="BQ829" s="197"/>
      <c r="BR829" s="328"/>
      <c r="BS829" s="453"/>
      <c r="BT829" s="454"/>
      <c r="BU829" s="441" t="str">
        <f t="shared" si="1226"/>
        <v/>
      </c>
      <c r="BV829" s="328"/>
      <c r="BW829" s="197" t="str">
        <f>IF(AND($I829="x",AND(MAX(BS829:BU829)=BS829,BS829&lt;&gt;"")),Data!$BI$2,"")</f>
        <v/>
      </c>
      <c r="BX829" s="197" t="str">
        <f>IF(AND($J829="x",AND(MAX(BS829:BU829)=BT829,BT829&lt;&gt;"")),Data!$BJ$2,"")</f>
        <v/>
      </c>
      <c r="BY829" s="197" t="str">
        <f>IF(AND($K829="x",AND(MAX(BS829:BU829)=BU829,BU829&lt;&gt;"")),Data!$BK$2,"")</f>
        <v/>
      </c>
      <c r="BZ829" s="197"/>
      <c r="CA829" s="328"/>
      <c r="CB829" s="460" t="str">
        <f t="shared" si="1227"/>
        <v/>
      </c>
      <c r="CC829" s="461" t="str">
        <f t="shared" si="1228"/>
        <v/>
      </c>
      <c r="CD829" s="462" t="str">
        <f t="shared" si="1229"/>
        <v/>
      </c>
      <c r="CE829" s="328"/>
      <c r="CF829" s="197" t="str">
        <f>IF(AND($I829="x",AND(MAX(CB829:CD829)=CB829,CB829&lt;&gt;"")),Data!$BI$2,"")</f>
        <v/>
      </c>
      <c r="CG829" s="197" t="str">
        <f>IF(AND($J829="x",AND(MAX(CB829:CD829)=CC829,CC829&lt;&gt;"")),Data!$BJ$2,"")</f>
        <v/>
      </c>
      <c r="CH829" s="197" t="str">
        <f>IF(AND($K829="x",AND(MAX(CB829:CD829)=CD829,CD829&lt;&gt;"")),Data!$BK$2,"")</f>
        <v/>
      </c>
      <c r="CI829" s="197"/>
      <c r="CJ829" s="197"/>
      <c r="CK829" s="453"/>
      <c r="CL829" s="454"/>
      <c r="CM829" s="441" t="str">
        <f t="shared" si="1230"/>
        <v/>
      </c>
      <c r="CN829" s="328"/>
      <c r="CO829" s="197" t="str">
        <f>IF(AND($I829="x",AND(MAX(CK829:CM829)=CK829,CK829&lt;&gt;"")),Data!$BI$2,"")</f>
        <v/>
      </c>
      <c r="CP829" s="197" t="str">
        <f>IF(AND($J829="x",AND(MAX(CK829:CM829)=CL829,CL829&lt;&gt;"")),Data!$BJ$2,"")</f>
        <v/>
      </c>
      <c r="CQ829" s="197" t="str">
        <f>IF(AND($K829="x",AND(MAX(CK829:CM829)=CM829,CM829&lt;&gt;"")),Data!$BK$2,"")</f>
        <v/>
      </c>
      <c r="CR829" s="197"/>
      <c r="CS829" s="197"/>
      <c r="CT829" s="328"/>
      <c r="CU829" s="259"/>
      <c r="CV829" s="209"/>
      <c r="CW829" s="227"/>
    </row>
    <row r="830" spans="1:101" x14ac:dyDescent="0.2">
      <c r="A830" s="227"/>
      <c r="B830" s="227"/>
      <c r="C830" s="168"/>
      <c r="D830" s="232"/>
      <c r="E830" s="136"/>
      <c r="F830" s="426"/>
      <c r="G830" s="432" t="s">
        <v>51</v>
      </c>
      <c r="H830" s="433"/>
      <c r="I830" s="349" t="str">
        <f t="shared" si="1217"/>
        <v/>
      </c>
      <c r="J830" s="350" t="str">
        <f t="shared" si="1218"/>
        <v/>
      </c>
      <c r="K830" s="351" t="str">
        <f t="shared" si="1219"/>
        <v/>
      </c>
      <c r="L830" s="258"/>
      <c r="M830" s="332"/>
      <c r="N830" s="336"/>
      <c r="O830" s="200"/>
      <c r="P830" s="200"/>
      <c r="Q830" s="445"/>
      <c r="R830" s="446"/>
      <c r="S830" s="447" t="str">
        <f t="shared" si="1220"/>
        <v/>
      </c>
      <c r="T830" s="328"/>
      <c r="U830" s="197" t="str">
        <f>IF(AND($I830="x",AND(MAX(Q830:S830)=Q830,Q830&gt;=0)),Data!$BI$2,"")</f>
        <v/>
      </c>
      <c r="V830" s="197" t="str">
        <f>IF(AND($J830="x",AND(MAX(Q830:S830)=R830,R830&gt;=0)),Data!$BJ$2,"")</f>
        <v/>
      </c>
      <c r="W830" s="197" t="str">
        <f>IF(AND($K830="x",AND(MAX(Q830:S830)=S830,S830&gt;=0)),Data!$BK$2,"")</f>
        <v/>
      </c>
      <c r="X830" s="197"/>
      <c r="Y830" s="328"/>
      <c r="Z830" s="455"/>
      <c r="AA830" s="456"/>
      <c r="AB830" s="447" t="str">
        <f t="shared" si="1221"/>
        <v/>
      </c>
      <c r="AC830" s="328"/>
      <c r="AD830" s="197" t="str">
        <f>IF(AND($I830="x",AND(MAX(Z830:AB830)=Z830,Z830&lt;&gt;"")),Data!$BI$2,"")</f>
        <v/>
      </c>
      <c r="AE830" s="197" t="str">
        <f>IF(AND($J830="x",AND(MAX(Z830:AB830)=AA830,AA830&lt;&gt;"")),Data!$BJ$2,"")</f>
        <v/>
      </c>
      <c r="AF830" s="197" t="str">
        <f>IF(AND($K830="x",AND(MAX(Z830:AB830)=AB830,AB830&lt;&gt;"")),Data!$BK$2,"")</f>
        <v/>
      </c>
      <c r="AG830" s="197"/>
      <c r="AH830" s="328"/>
      <c r="AI830" s="455"/>
      <c r="AJ830" s="456"/>
      <c r="AK830" s="447" t="str">
        <f t="shared" si="1222"/>
        <v/>
      </c>
      <c r="AL830" s="328"/>
      <c r="AM830" s="197" t="str">
        <f>IF(AND($I830="x",AND(MAX(AI830:AK830)=AI830,AI830&lt;&gt;"")),Data!$BI$2,"")</f>
        <v/>
      </c>
      <c r="AN830" s="197" t="str">
        <f>IF(AND($J830="x",AND(MAX(AI830:AK830)=AJ830,AJ830&lt;&gt;"")),Data!$BJ$2,"")</f>
        <v/>
      </c>
      <c r="AO830" s="197" t="str">
        <f>IF(AND($K830="x",AND(MAX(AI830:AK830)=AK830,AK830&lt;&gt;"")),Data!$BK$2,"")</f>
        <v/>
      </c>
      <c r="AP830" s="197"/>
      <c r="AQ830" s="328"/>
      <c r="AR830" s="455"/>
      <c r="AS830" s="456"/>
      <c r="AT830" s="447" t="str">
        <f t="shared" si="1223"/>
        <v/>
      </c>
      <c r="AU830" s="328"/>
      <c r="AV830" s="197" t="str">
        <f>IF(AND($I830="x",AND(MAX(AR830:AT830)=AR830,AR830&lt;&gt;"")),Data!$BI$2,"")</f>
        <v/>
      </c>
      <c r="AW830" s="197" t="str">
        <f>IF(AND($J830="x",AND(MAX(AR830:AT830)=AS830,AS830&lt;&gt;"")),Data!$BJ$2,"")</f>
        <v/>
      </c>
      <c r="AX830" s="197" t="str">
        <f>IF(AND($K830="x",AND(MAX(AR830:AT830)=AT830,AT830&lt;&gt;"")),Data!$BK$2,"")</f>
        <v/>
      </c>
      <c r="AY830" s="197"/>
      <c r="AZ830" s="328"/>
      <c r="BA830" s="455"/>
      <c r="BB830" s="456"/>
      <c r="BC830" s="447" t="str">
        <f t="shared" si="1224"/>
        <v/>
      </c>
      <c r="BD830" s="328"/>
      <c r="BE830" s="197" t="str">
        <f>IF(AND($I830="x",AND(MAX(BA830:BC830)=BA830,BA830&lt;&gt;"")),Data!$BI$2,"")</f>
        <v/>
      </c>
      <c r="BF830" s="197" t="str">
        <f>IF(AND($J830="x",AND(MAX(BA830:BC830)=BB830,BB830&lt;&gt;"")),Data!$BJ$2,"")</f>
        <v/>
      </c>
      <c r="BG830" s="197" t="str">
        <f>IF(AND($K830="x",AND(MAX(BA830:BC830)=BC830,BC830&lt;&gt;"")),Data!$BK$2,"")</f>
        <v/>
      </c>
      <c r="BH830" s="197"/>
      <c r="BI830" s="328"/>
      <c r="BJ830" s="455"/>
      <c r="BK830" s="456"/>
      <c r="BL830" s="447" t="str">
        <f t="shared" si="1225"/>
        <v/>
      </c>
      <c r="BM830" s="328"/>
      <c r="BN830" s="197" t="str">
        <f>IF(AND($I830="x",AND(MAX(BJ830:BL830)=BJ830,BJ830&lt;&gt;"")),Data!$BI$2,"")</f>
        <v/>
      </c>
      <c r="BO830" s="197" t="str">
        <f>IF(AND($J830="x",AND(MAX(BJ830:BL830)=BK830,BK830&lt;&gt;"")),Data!$BJ$2,"")</f>
        <v/>
      </c>
      <c r="BP830" s="197" t="str">
        <f>IF(AND($K830="x",AND(MAX(BJ830:BL830)=BL830,BL830&lt;&gt;"")),Data!$BK$2,"")</f>
        <v/>
      </c>
      <c r="BQ830" s="197"/>
      <c r="BR830" s="328"/>
      <c r="BS830" s="455"/>
      <c r="BT830" s="456"/>
      <c r="BU830" s="447" t="str">
        <f t="shared" si="1226"/>
        <v/>
      </c>
      <c r="BV830" s="328"/>
      <c r="BW830" s="197" t="str">
        <f>IF(AND($I830="x",AND(MAX(BS830:BU830)=BS830,BS830&lt;&gt;"")),Data!$BI$2,"")</f>
        <v/>
      </c>
      <c r="BX830" s="197" t="str">
        <f>IF(AND($J830="x",AND(MAX(BS830:BU830)=BT830,BT830&lt;&gt;"")),Data!$BJ$2,"")</f>
        <v/>
      </c>
      <c r="BY830" s="197" t="str">
        <f>IF(AND($K830="x",AND(MAX(BS830:BU830)=BU830,BU830&lt;&gt;"")),Data!$BK$2,"")</f>
        <v/>
      </c>
      <c r="BZ830" s="197"/>
      <c r="CA830" s="328"/>
      <c r="CB830" s="463" t="str">
        <f t="shared" si="1227"/>
        <v/>
      </c>
      <c r="CC830" s="464" t="str">
        <f t="shared" si="1228"/>
        <v/>
      </c>
      <c r="CD830" s="465" t="str">
        <f t="shared" si="1229"/>
        <v/>
      </c>
      <c r="CE830" s="328"/>
      <c r="CF830" s="197" t="str">
        <f>IF(AND($I830="x",AND(MAX(CB830:CD830)=CB830,CB830&lt;&gt;"")),Data!$BI$2,"")</f>
        <v/>
      </c>
      <c r="CG830" s="197" t="str">
        <f>IF(AND($J830="x",AND(MAX(CB830:CD830)=CC830,CC830&lt;&gt;"")),Data!$BJ$2,"")</f>
        <v/>
      </c>
      <c r="CH830" s="197" t="str">
        <f>IF(AND($K830="x",AND(MAX(CB830:CD830)=CD830,CD830&lt;&gt;"")),Data!$BK$2,"")</f>
        <v/>
      </c>
      <c r="CI830" s="197"/>
      <c r="CJ830" s="197"/>
      <c r="CK830" s="455"/>
      <c r="CL830" s="456"/>
      <c r="CM830" s="447" t="str">
        <f t="shared" si="1230"/>
        <v/>
      </c>
      <c r="CN830" s="328"/>
      <c r="CO830" s="197" t="str">
        <f>IF(AND($I830="x",AND(MAX(CK830:CM830)=CK830,CK830&lt;&gt;"")),Data!$BI$2,"")</f>
        <v/>
      </c>
      <c r="CP830" s="197" t="str">
        <f>IF(AND($J830="x",AND(MAX(CK830:CM830)=CL830,CL830&lt;&gt;"")),Data!$BJ$2,"")</f>
        <v/>
      </c>
      <c r="CQ830" s="197" t="str">
        <f>IF(AND($K830="x",AND(MAX(CK830:CM830)=CM830,CM830&lt;&gt;"")),Data!$BK$2,"")</f>
        <v/>
      </c>
      <c r="CR830" s="197"/>
      <c r="CS830" s="197"/>
      <c r="CT830" s="328"/>
      <c r="CU830" s="259"/>
      <c r="CV830" s="209"/>
      <c r="CW830" s="227"/>
    </row>
    <row r="831" spans="1:101" x14ac:dyDescent="0.2">
      <c r="A831" s="227"/>
      <c r="B831" s="227"/>
      <c r="C831" s="168"/>
      <c r="D831" s="232"/>
      <c r="E831" s="137"/>
      <c r="F831" s="427"/>
      <c r="G831" s="434" t="s">
        <v>51</v>
      </c>
      <c r="H831" s="435"/>
      <c r="I831" s="138" t="str">
        <f t="shared" si="1217"/>
        <v/>
      </c>
      <c r="J831" s="344" t="str">
        <f t="shared" si="1218"/>
        <v/>
      </c>
      <c r="K831" s="345" t="str">
        <f t="shared" si="1219"/>
        <v/>
      </c>
      <c r="L831" s="258"/>
      <c r="M831" s="332"/>
      <c r="N831" s="336"/>
      <c r="O831" s="200"/>
      <c r="P831" s="200"/>
      <c r="Q831" s="448"/>
      <c r="R831" s="449"/>
      <c r="S831" s="450" t="str">
        <f t="shared" si="1220"/>
        <v/>
      </c>
      <c r="T831" s="328"/>
      <c r="U831" s="197" t="str">
        <f>IF(AND($I831="x",AND(MAX(Q831:S831)=Q831,Q831&gt;=0)),Data!$BI$2,"")</f>
        <v/>
      </c>
      <c r="V831" s="197" t="str">
        <f>IF(AND($J831="x",AND(MAX(Q831:S831)=R831,R831&gt;=0)),Data!$BJ$2,"")</f>
        <v/>
      </c>
      <c r="W831" s="197" t="str">
        <f>IF(AND($K831="x",AND(MAX(Q831:S831)=S831,S831&gt;=0)),Data!$BK$2,"")</f>
        <v/>
      </c>
      <c r="X831" s="197"/>
      <c r="Y831" s="328"/>
      <c r="Z831" s="451"/>
      <c r="AA831" s="452"/>
      <c r="AB831" s="450" t="str">
        <f t="shared" si="1221"/>
        <v/>
      </c>
      <c r="AC831" s="328"/>
      <c r="AD831" s="197" t="str">
        <f>IF(AND($I831="x",AND(MAX(Z831:AB831)=Z831,Z831&lt;&gt;"")),Data!$BI$2,"")</f>
        <v/>
      </c>
      <c r="AE831" s="197" t="str">
        <f>IF(AND($J831="x",AND(MAX(Z831:AB831)=AA831,AA831&lt;&gt;"")),Data!$BJ$2,"")</f>
        <v/>
      </c>
      <c r="AF831" s="197" t="str">
        <f>IF(AND($K831="x",AND(MAX(Z831:AB831)=AB831,AB831&lt;&gt;"")),Data!$BK$2,"")</f>
        <v/>
      </c>
      <c r="AG831" s="197"/>
      <c r="AH831" s="328"/>
      <c r="AI831" s="451"/>
      <c r="AJ831" s="452"/>
      <c r="AK831" s="450" t="str">
        <f t="shared" si="1222"/>
        <v/>
      </c>
      <c r="AL831" s="328"/>
      <c r="AM831" s="197" t="str">
        <f>IF(AND($I831="x",AND(MAX(AI831:AK831)=AI831,AI831&lt;&gt;"")),Data!$BI$2,"")</f>
        <v/>
      </c>
      <c r="AN831" s="197" t="str">
        <f>IF(AND($J831="x",AND(MAX(AI831:AK831)=AJ831,AJ831&lt;&gt;"")),Data!$BJ$2,"")</f>
        <v/>
      </c>
      <c r="AO831" s="197" t="str">
        <f>IF(AND($K831="x",AND(MAX(AI831:AK831)=AK831,AK831&lt;&gt;"")),Data!$BK$2,"")</f>
        <v/>
      </c>
      <c r="AP831" s="197"/>
      <c r="AQ831" s="328"/>
      <c r="AR831" s="451"/>
      <c r="AS831" s="452"/>
      <c r="AT831" s="450" t="str">
        <f t="shared" si="1223"/>
        <v/>
      </c>
      <c r="AU831" s="328"/>
      <c r="AV831" s="197" t="str">
        <f>IF(AND($I831="x",AND(MAX(AR831:AT831)=AR831,AR831&lt;&gt;"")),Data!$BI$2,"")</f>
        <v/>
      </c>
      <c r="AW831" s="197" t="str">
        <f>IF(AND($J831="x",AND(MAX(AR831:AT831)=AS831,AS831&lt;&gt;"")),Data!$BJ$2,"")</f>
        <v/>
      </c>
      <c r="AX831" s="197" t="str">
        <f>IF(AND($K831="x",AND(MAX(AR831:AT831)=AT831,AT831&lt;&gt;"")),Data!$BK$2,"")</f>
        <v/>
      </c>
      <c r="AY831" s="197"/>
      <c r="AZ831" s="328"/>
      <c r="BA831" s="451"/>
      <c r="BB831" s="452"/>
      <c r="BC831" s="450" t="str">
        <f t="shared" si="1224"/>
        <v/>
      </c>
      <c r="BD831" s="328"/>
      <c r="BE831" s="197" t="str">
        <f>IF(AND($I831="x",AND(MAX(BA831:BC831)=BA831,BA831&lt;&gt;"")),Data!$BI$2,"")</f>
        <v/>
      </c>
      <c r="BF831" s="197" t="str">
        <f>IF(AND($J831="x",AND(MAX(BA831:BC831)=BB831,BB831&lt;&gt;"")),Data!$BJ$2,"")</f>
        <v/>
      </c>
      <c r="BG831" s="197" t="str">
        <f>IF(AND($K831="x",AND(MAX(BA831:BC831)=BC831,BC831&lt;&gt;"")),Data!$BK$2,"")</f>
        <v/>
      </c>
      <c r="BH831" s="197"/>
      <c r="BI831" s="328"/>
      <c r="BJ831" s="451"/>
      <c r="BK831" s="452"/>
      <c r="BL831" s="450" t="str">
        <f t="shared" si="1225"/>
        <v/>
      </c>
      <c r="BM831" s="328"/>
      <c r="BN831" s="197" t="str">
        <f>IF(AND($I831="x",AND(MAX(BJ831:BL831)=BJ831,BJ831&lt;&gt;"")),Data!$BI$2,"")</f>
        <v/>
      </c>
      <c r="BO831" s="197" t="str">
        <f>IF(AND($J831="x",AND(MAX(BJ831:BL831)=BK831,BK831&lt;&gt;"")),Data!$BJ$2,"")</f>
        <v/>
      </c>
      <c r="BP831" s="197" t="str">
        <f>IF(AND($K831="x",AND(MAX(BJ831:BL831)=BL831,BL831&lt;&gt;"")),Data!$BK$2,"")</f>
        <v/>
      </c>
      <c r="BQ831" s="197"/>
      <c r="BR831" s="328"/>
      <c r="BS831" s="451"/>
      <c r="BT831" s="452"/>
      <c r="BU831" s="450" t="str">
        <f t="shared" si="1226"/>
        <v/>
      </c>
      <c r="BV831" s="328"/>
      <c r="BW831" s="197" t="str">
        <f>IF(AND($I831="x",AND(MAX(BS831:BU831)=BS831,BS831&lt;&gt;"")),Data!$BI$2,"")</f>
        <v/>
      </c>
      <c r="BX831" s="197" t="str">
        <f>IF(AND($J831="x",AND(MAX(BS831:BU831)=BT831,BT831&lt;&gt;"")),Data!$BJ$2,"")</f>
        <v/>
      </c>
      <c r="BY831" s="197" t="str">
        <f>IF(AND($K831="x",AND(MAX(BS831:BU831)=BU831,BU831&lt;&gt;"")),Data!$BK$2,"")</f>
        <v/>
      </c>
      <c r="BZ831" s="197"/>
      <c r="CA831" s="328"/>
      <c r="CB831" s="457" t="str">
        <f t="shared" si="1227"/>
        <v/>
      </c>
      <c r="CC831" s="458" t="str">
        <f t="shared" si="1228"/>
        <v/>
      </c>
      <c r="CD831" s="459" t="str">
        <f t="shared" si="1229"/>
        <v/>
      </c>
      <c r="CE831" s="328"/>
      <c r="CF831" s="197" t="str">
        <f>IF(AND($I831="x",AND(MAX(CB831:CD831)=CB831,CB831&lt;&gt;"")),Data!$BI$2,"")</f>
        <v/>
      </c>
      <c r="CG831" s="197" t="str">
        <f>IF(AND($J831="x",AND(MAX(CB831:CD831)=CC831,CC831&lt;&gt;"")),Data!$BJ$2,"")</f>
        <v/>
      </c>
      <c r="CH831" s="197" t="str">
        <f>IF(AND($K831="x",AND(MAX(CB831:CD831)=CD831,CD831&lt;&gt;"")),Data!$BK$2,"")</f>
        <v/>
      </c>
      <c r="CI831" s="197"/>
      <c r="CJ831" s="197"/>
      <c r="CK831" s="451"/>
      <c r="CL831" s="452"/>
      <c r="CM831" s="450" t="str">
        <f t="shared" si="1230"/>
        <v/>
      </c>
      <c r="CN831" s="328"/>
      <c r="CO831" s="197" t="str">
        <f>IF(AND($I831="x",AND(MAX(CK831:CM831)=CK831,CK831&lt;&gt;"")),Data!$BI$2,"")</f>
        <v/>
      </c>
      <c r="CP831" s="197" t="str">
        <f>IF(AND($J831="x",AND(MAX(CK831:CM831)=CL831,CL831&lt;&gt;"")),Data!$BJ$2,"")</f>
        <v/>
      </c>
      <c r="CQ831" s="197" t="str">
        <f>IF(AND($K831="x",AND(MAX(CK831:CM831)=CM831,CM831&lt;&gt;"")),Data!$BK$2,"")</f>
        <v/>
      </c>
      <c r="CR831" s="197"/>
      <c r="CS831" s="197"/>
      <c r="CT831" s="328"/>
      <c r="CU831" s="259"/>
      <c r="CV831" s="209"/>
      <c r="CW831" s="227"/>
    </row>
    <row r="832" spans="1:101" x14ac:dyDescent="0.2">
      <c r="A832" s="227"/>
      <c r="B832" s="227"/>
      <c r="C832" s="168"/>
      <c r="D832" s="232"/>
      <c r="E832" s="135"/>
      <c r="F832" s="425"/>
      <c r="G832" s="430" t="s">
        <v>51</v>
      </c>
      <c r="H832" s="431"/>
      <c r="I832" s="346" t="str">
        <f t="shared" si="1217"/>
        <v/>
      </c>
      <c r="J832" s="347" t="str">
        <f t="shared" si="1218"/>
        <v/>
      </c>
      <c r="K832" s="348" t="str">
        <f t="shared" si="1219"/>
        <v/>
      </c>
      <c r="L832" s="258"/>
      <c r="M832" s="332"/>
      <c r="N832" s="336"/>
      <c r="O832" s="200"/>
      <c r="P832" s="200"/>
      <c r="Q832" s="439"/>
      <c r="R832" s="440"/>
      <c r="S832" s="441" t="str">
        <f t="shared" si="1220"/>
        <v/>
      </c>
      <c r="T832" s="328"/>
      <c r="U832" s="197" t="str">
        <f>IF(AND($I832="x",AND(MAX(Q832:S832)=Q832,Q832&gt;=0)),Data!$BI$2,"")</f>
        <v/>
      </c>
      <c r="V832" s="197" t="str">
        <f>IF(AND($J832="x",AND(MAX(Q832:S832)=R832,R832&gt;=0)),Data!$BJ$2,"")</f>
        <v/>
      </c>
      <c r="W832" s="197" t="str">
        <f>IF(AND($K832="x",AND(MAX(Q832:S832)=S832,S832&gt;=0)),Data!$BK$2,"")</f>
        <v/>
      </c>
      <c r="X832" s="197"/>
      <c r="Y832" s="328"/>
      <c r="Z832" s="453"/>
      <c r="AA832" s="454"/>
      <c r="AB832" s="441" t="str">
        <f t="shared" si="1221"/>
        <v/>
      </c>
      <c r="AC832" s="328"/>
      <c r="AD832" s="197" t="str">
        <f>IF(AND($I832="x",AND(MAX(Z832:AB832)=Z832,Z832&lt;&gt;"")),Data!$BI$2,"")</f>
        <v/>
      </c>
      <c r="AE832" s="197" t="str">
        <f>IF(AND($J832="x",AND(MAX(Z832:AB832)=AA832,AA832&lt;&gt;"")),Data!$BJ$2,"")</f>
        <v/>
      </c>
      <c r="AF832" s="197" t="str">
        <f>IF(AND($K832="x",AND(MAX(Z832:AB832)=AB832,AB832&lt;&gt;"")),Data!$BK$2,"")</f>
        <v/>
      </c>
      <c r="AG832" s="197"/>
      <c r="AH832" s="328"/>
      <c r="AI832" s="453"/>
      <c r="AJ832" s="454"/>
      <c r="AK832" s="441" t="str">
        <f t="shared" si="1222"/>
        <v/>
      </c>
      <c r="AL832" s="328"/>
      <c r="AM832" s="197" t="str">
        <f>IF(AND($I832="x",AND(MAX(AI832:AK832)=AI832,AI832&lt;&gt;"")),Data!$BI$2,"")</f>
        <v/>
      </c>
      <c r="AN832" s="197" t="str">
        <f>IF(AND($J832="x",AND(MAX(AI832:AK832)=AJ832,AJ832&lt;&gt;"")),Data!$BJ$2,"")</f>
        <v/>
      </c>
      <c r="AO832" s="197" t="str">
        <f>IF(AND($K832="x",AND(MAX(AI832:AK832)=AK832,AK832&lt;&gt;"")),Data!$BK$2,"")</f>
        <v/>
      </c>
      <c r="AP832" s="197"/>
      <c r="AQ832" s="328"/>
      <c r="AR832" s="453"/>
      <c r="AS832" s="454"/>
      <c r="AT832" s="441" t="str">
        <f t="shared" si="1223"/>
        <v/>
      </c>
      <c r="AU832" s="328"/>
      <c r="AV832" s="197" t="str">
        <f>IF(AND($I832="x",AND(MAX(AR832:AT832)=AR832,AR832&lt;&gt;"")),Data!$BI$2,"")</f>
        <v/>
      </c>
      <c r="AW832" s="197" t="str">
        <f>IF(AND($J832="x",AND(MAX(AR832:AT832)=AS832,AS832&lt;&gt;"")),Data!$BJ$2,"")</f>
        <v/>
      </c>
      <c r="AX832" s="197" t="str">
        <f>IF(AND($K832="x",AND(MAX(AR832:AT832)=AT832,AT832&lt;&gt;"")),Data!$BK$2,"")</f>
        <v/>
      </c>
      <c r="AY832" s="197"/>
      <c r="AZ832" s="328"/>
      <c r="BA832" s="453"/>
      <c r="BB832" s="454"/>
      <c r="BC832" s="441" t="str">
        <f t="shared" si="1224"/>
        <v/>
      </c>
      <c r="BD832" s="328"/>
      <c r="BE832" s="197" t="str">
        <f>IF(AND($I832="x",AND(MAX(BA832:BC832)=BA832,BA832&lt;&gt;"")),Data!$BI$2,"")</f>
        <v/>
      </c>
      <c r="BF832" s="197" t="str">
        <f>IF(AND($J832="x",AND(MAX(BA832:BC832)=BB832,BB832&lt;&gt;"")),Data!$BJ$2,"")</f>
        <v/>
      </c>
      <c r="BG832" s="197" t="str">
        <f>IF(AND($K832="x",AND(MAX(BA832:BC832)=BC832,BC832&lt;&gt;"")),Data!$BK$2,"")</f>
        <v/>
      </c>
      <c r="BH832" s="197"/>
      <c r="BI832" s="328"/>
      <c r="BJ832" s="453"/>
      <c r="BK832" s="454"/>
      <c r="BL832" s="441" t="str">
        <f t="shared" si="1225"/>
        <v/>
      </c>
      <c r="BM832" s="328"/>
      <c r="BN832" s="197" t="str">
        <f>IF(AND($I832="x",AND(MAX(BJ832:BL832)=BJ832,BJ832&lt;&gt;"")),Data!$BI$2,"")</f>
        <v/>
      </c>
      <c r="BO832" s="197" t="str">
        <f>IF(AND($J832="x",AND(MAX(BJ832:BL832)=BK832,BK832&lt;&gt;"")),Data!$BJ$2,"")</f>
        <v/>
      </c>
      <c r="BP832" s="197" t="str">
        <f>IF(AND($K832="x",AND(MAX(BJ832:BL832)=BL832,BL832&lt;&gt;"")),Data!$BK$2,"")</f>
        <v/>
      </c>
      <c r="BQ832" s="197"/>
      <c r="BR832" s="328"/>
      <c r="BS832" s="453"/>
      <c r="BT832" s="454"/>
      <c r="BU832" s="441" t="str">
        <f t="shared" si="1226"/>
        <v/>
      </c>
      <c r="BV832" s="328"/>
      <c r="BW832" s="197" t="str">
        <f>IF(AND($I832="x",AND(MAX(BS832:BU832)=BS832,BS832&lt;&gt;"")),Data!$BI$2,"")</f>
        <v/>
      </c>
      <c r="BX832" s="197" t="str">
        <f>IF(AND($J832="x",AND(MAX(BS832:BU832)=BT832,BT832&lt;&gt;"")),Data!$BJ$2,"")</f>
        <v/>
      </c>
      <c r="BY832" s="197" t="str">
        <f>IF(AND($K832="x",AND(MAX(BS832:BU832)=BU832,BU832&lt;&gt;"")),Data!$BK$2,"")</f>
        <v/>
      </c>
      <c r="BZ832" s="197"/>
      <c r="CA832" s="328"/>
      <c r="CB832" s="460" t="str">
        <f t="shared" si="1227"/>
        <v/>
      </c>
      <c r="CC832" s="461" t="str">
        <f t="shared" si="1228"/>
        <v/>
      </c>
      <c r="CD832" s="462" t="str">
        <f t="shared" si="1229"/>
        <v/>
      </c>
      <c r="CE832" s="328"/>
      <c r="CF832" s="197" t="str">
        <f>IF(AND($I832="x",AND(MAX(CB832:CD832)=CB832,CB832&lt;&gt;"")),Data!$BI$2,"")</f>
        <v/>
      </c>
      <c r="CG832" s="197" t="str">
        <f>IF(AND($J832="x",AND(MAX(CB832:CD832)=CC832,CC832&lt;&gt;"")),Data!$BJ$2,"")</f>
        <v/>
      </c>
      <c r="CH832" s="197" t="str">
        <f>IF(AND($K832="x",AND(MAX(CB832:CD832)=CD832,CD832&lt;&gt;"")),Data!$BK$2,"")</f>
        <v/>
      </c>
      <c r="CI832" s="197"/>
      <c r="CJ832" s="197"/>
      <c r="CK832" s="453"/>
      <c r="CL832" s="454"/>
      <c r="CM832" s="441" t="str">
        <f t="shared" si="1230"/>
        <v/>
      </c>
      <c r="CN832" s="328"/>
      <c r="CO832" s="197" t="str">
        <f>IF(AND($I832="x",AND(MAX(CK832:CM832)=CK832,CK832&lt;&gt;"")),Data!$BI$2,"")</f>
        <v/>
      </c>
      <c r="CP832" s="197" t="str">
        <f>IF(AND($J832="x",AND(MAX(CK832:CM832)=CL832,CL832&lt;&gt;"")),Data!$BJ$2,"")</f>
        <v/>
      </c>
      <c r="CQ832" s="197" t="str">
        <f>IF(AND($K832="x",AND(MAX(CK832:CM832)=CM832,CM832&lt;&gt;"")),Data!$BK$2,"")</f>
        <v/>
      </c>
      <c r="CR832" s="197"/>
      <c r="CS832" s="197"/>
      <c r="CT832" s="328"/>
      <c r="CU832" s="259"/>
      <c r="CV832" s="209"/>
      <c r="CW832" s="227"/>
    </row>
    <row r="833" spans="1:101" x14ac:dyDescent="0.2">
      <c r="A833" s="227"/>
      <c r="B833" s="227"/>
      <c r="C833" s="168"/>
      <c r="D833" s="232"/>
      <c r="E833" s="136"/>
      <c r="F833" s="426"/>
      <c r="G833" s="432" t="s">
        <v>51</v>
      </c>
      <c r="H833" s="433"/>
      <c r="I833" s="349" t="str">
        <f t="shared" si="1217"/>
        <v/>
      </c>
      <c r="J833" s="350" t="str">
        <f t="shared" si="1218"/>
        <v/>
      </c>
      <c r="K833" s="351" t="str">
        <f t="shared" si="1219"/>
        <v/>
      </c>
      <c r="L833" s="258"/>
      <c r="M833" s="332"/>
      <c r="N833" s="336"/>
      <c r="O833" s="200"/>
      <c r="P833" s="200"/>
      <c r="Q833" s="445"/>
      <c r="R833" s="446"/>
      <c r="S833" s="447" t="str">
        <f t="shared" si="1220"/>
        <v/>
      </c>
      <c r="T833" s="328"/>
      <c r="U833" s="197" t="str">
        <f>IF(AND($I833="x",AND(MAX(Q833:S833)=Q833,Q833&gt;=0)),Data!$BI$2,"")</f>
        <v/>
      </c>
      <c r="V833" s="197" t="str">
        <f>IF(AND($J833="x",AND(MAX(Q833:S833)=R833,R833&gt;=0)),Data!$BJ$2,"")</f>
        <v/>
      </c>
      <c r="W833" s="197" t="str">
        <f>IF(AND($K833="x",AND(MAX(Q833:S833)=S833,S833&gt;=0)),Data!$BK$2,"")</f>
        <v/>
      </c>
      <c r="X833" s="197"/>
      <c r="Y833" s="328"/>
      <c r="Z833" s="455"/>
      <c r="AA833" s="456"/>
      <c r="AB833" s="447" t="str">
        <f t="shared" si="1221"/>
        <v/>
      </c>
      <c r="AC833" s="328"/>
      <c r="AD833" s="197" t="str">
        <f>IF(AND($I833="x",AND(MAX(Z833:AB833)=Z833,Z833&lt;&gt;"")),Data!$BI$2,"")</f>
        <v/>
      </c>
      <c r="AE833" s="197" t="str">
        <f>IF(AND($J833="x",AND(MAX(Z833:AB833)=AA833,AA833&lt;&gt;"")),Data!$BJ$2,"")</f>
        <v/>
      </c>
      <c r="AF833" s="197" t="str">
        <f>IF(AND($K833="x",AND(MAX(Z833:AB833)=AB833,AB833&lt;&gt;"")),Data!$BK$2,"")</f>
        <v/>
      </c>
      <c r="AG833" s="197"/>
      <c r="AH833" s="328"/>
      <c r="AI833" s="455"/>
      <c r="AJ833" s="456"/>
      <c r="AK833" s="447" t="str">
        <f t="shared" si="1222"/>
        <v/>
      </c>
      <c r="AL833" s="328"/>
      <c r="AM833" s="197" t="str">
        <f>IF(AND($I833="x",AND(MAX(AI833:AK833)=AI833,AI833&lt;&gt;"")),Data!$BI$2,"")</f>
        <v/>
      </c>
      <c r="AN833" s="197" t="str">
        <f>IF(AND($J833="x",AND(MAX(AI833:AK833)=AJ833,AJ833&lt;&gt;"")),Data!$BJ$2,"")</f>
        <v/>
      </c>
      <c r="AO833" s="197" t="str">
        <f>IF(AND($K833="x",AND(MAX(AI833:AK833)=AK833,AK833&lt;&gt;"")),Data!$BK$2,"")</f>
        <v/>
      </c>
      <c r="AP833" s="197"/>
      <c r="AQ833" s="328"/>
      <c r="AR833" s="455"/>
      <c r="AS833" s="456"/>
      <c r="AT833" s="447" t="str">
        <f t="shared" si="1223"/>
        <v/>
      </c>
      <c r="AU833" s="328"/>
      <c r="AV833" s="197" t="str">
        <f>IF(AND($I833="x",AND(MAX(AR833:AT833)=AR833,AR833&lt;&gt;"")),Data!$BI$2,"")</f>
        <v/>
      </c>
      <c r="AW833" s="197" t="str">
        <f>IF(AND($J833="x",AND(MAX(AR833:AT833)=AS833,AS833&lt;&gt;"")),Data!$BJ$2,"")</f>
        <v/>
      </c>
      <c r="AX833" s="197" t="str">
        <f>IF(AND($K833="x",AND(MAX(AR833:AT833)=AT833,AT833&lt;&gt;"")),Data!$BK$2,"")</f>
        <v/>
      </c>
      <c r="AY833" s="197"/>
      <c r="AZ833" s="328"/>
      <c r="BA833" s="455"/>
      <c r="BB833" s="456"/>
      <c r="BC833" s="447" t="str">
        <f t="shared" si="1224"/>
        <v/>
      </c>
      <c r="BD833" s="328"/>
      <c r="BE833" s="197" t="str">
        <f>IF(AND($I833="x",AND(MAX(BA833:BC833)=BA833,BA833&lt;&gt;"")),Data!$BI$2,"")</f>
        <v/>
      </c>
      <c r="BF833" s="197" t="str">
        <f>IF(AND($J833="x",AND(MAX(BA833:BC833)=BB833,BB833&lt;&gt;"")),Data!$BJ$2,"")</f>
        <v/>
      </c>
      <c r="BG833" s="197" t="str">
        <f>IF(AND($K833="x",AND(MAX(BA833:BC833)=BC833,BC833&lt;&gt;"")),Data!$BK$2,"")</f>
        <v/>
      </c>
      <c r="BH833" s="197"/>
      <c r="BI833" s="328"/>
      <c r="BJ833" s="455"/>
      <c r="BK833" s="456"/>
      <c r="BL833" s="447" t="str">
        <f t="shared" si="1225"/>
        <v/>
      </c>
      <c r="BM833" s="328"/>
      <c r="BN833" s="197" t="str">
        <f>IF(AND($I833="x",AND(MAX(BJ833:BL833)=BJ833,BJ833&lt;&gt;"")),Data!$BI$2,"")</f>
        <v/>
      </c>
      <c r="BO833" s="197" t="str">
        <f>IF(AND($J833="x",AND(MAX(BJ833:BL833)=BK833,BK833&lt;&gt;"")),Data!$BJ$2,"")</f>
        <v/>
      </c>
      <c r="BP833" s="197" t="str">
        <f>IF(AND($K833="x",AND(MAX(BJ833:BL833)=BL833,BL833&lt;&gt;"")),Data!$BK$2,"")</f>
        <v/>
      </c>
      <c r="BQ833" s="197"/>
      <c r="BR833" s="328"/>
      <c r="BS833" s="455"/>
      <c r="BT833" s="456"/>
      <c r="BU833" s="447" t="str">
        <f t="shared" si="1226"/>
        <v/>
      </c>
      <c r="BV833" s="328"/>
      <c r="BW833" s="197" t="str">
        <f>IF(AND($I833="x",AND(MAX(BS833:BU833)=BS833,BS833&lt;&gt;"")),Data!$BI$2,"")</f>
        <v/>
      </c>
      <c r="BX833" s="197" t="str">
        <f>IF(AND($J833="x",AND(MAX(BS833:BU833)=BT833,BT833&lt;&gt;"")),Data!$BJ$2,"")</f>
        <v/>
      </c>
      <c r="BY833" s="197" t="str">
        <f>IF(AND($K833="x",AND(MAX(BS833:BU833)=BU833,BU833&lt;&gt;"")),Data!$BK$2,"")</f>
        <v/>
      </c>
      <c r="BZ833" s="197"/>
      <c r="CA833" s="328"/>
      <c r="CB833" s="463" t="str">
        <f t="shared" si="1227"/>
        <v/>
      </c>
      <c r="CC833" s="464" t="str">
        <f t="shared" si="1228"/>
        <v/>
      </c>
      <c r="CD833" s="465" t="str">
        <f t="shared" si="1229"/>
        <v/>
      </c>
      <c r="CE833" s="328"/>
      <c r="CF833" s="197" t="str">
        <f>IF(AND($I833="x",AND(MAX(CB833:CD833)=CB833,CB833&lt;&gt;"")),Data!$BI$2,"")</f>
        <v/>
      </c>
      <c r="CG833" s="197" t="str">
        <f>IF(AND($J833="x",AND(MAX(CB833:CD833)=CC833,CC833&lt;&gt;"")),Data!$BJ$2,"")</f>
        <v/>
      </c>
      <c r="CH833" s="197" t="str">
        <f>IF(AND($K833="x",AND(MAX(CB833:CD833)=CD833,CD833&lt;&gt;"")),Data!$BK$2,"")</f>
        <v/>
      </c>
      <c r="CI833" s="197"/>
      <c r="CJ833" s="197"/>
      <c r="CK833" s="455"/>
      <c r="CL833" s="456"/>
      <c r="CM833" s="447" t="str">
        <f t="shared" si="1230"/>
        <v/>
      </c>
      <c r="CN833" s="328"/>
      <c r="CO833" s="197" t="str">
        <f>IF(AND($I833="x",AND(MAX(CK833:CM833)=CK833,CK833&lt;&gt;"")),Data!$BI$2,"")</f>
        <v/>
      </c>
      <c r="CP833" s="197" t="str">
        <f>IF(AND($J833="x",AND(MAX(CK833:CM833)=CL833,CL833&lt;&gt;"")),Data!$BJ$2,"")</f>
        <v/>
      </c>
      <c r="CQ833" s="197" t="str">
        <f>IF(AND($K833="x",AND(MAX(CK833:CM833)=CM833,CM833&lt;&gt;"")),Data!$BK$2,"")</f>
        <v/>
      </c>
      <c r="CR833" s="197"/>
      <c r="CS833" s="197"/>
      <c r="CT833" s="328"/>
      <c r="CU833" s="259"/>
      <c r="CV833" s="209"/>
      <c r="CW833" s="227"/>
    </row>
    <row r="834" spans="1:101" x14ac:dyDescent="0.2">
      <c r="A834" s="227"/>
      <c r="B834" s="227"/>
      <c r="C834" s="168"/>
      <c r="D834" s="233"/>
      <c r="E834" s="199"/>
      <c r="F834" s="352" t="str">
        <f>IF(SUM(F822:F833)=0,"",SUM(F822:F833))</f>
        <v/>
      </c>
      <c r="G834" s="327" t="s">
        <v>51</v>
      </c>
      <c r="H834" s="353" t="str">
        <f>IF(SUM(H822:H833)=0,"",SUM(H822:H833))</f>
        <v/>
      </c>
      <c r="I834" s="354" t="str">
        <f>IF(COUNTIF(I822:I833,"=x")=0,"",COUNTIF(I822:I833,"=x"))</f>
        <v/>
      </c>
      <c r="J834" s="355" t="str">
        <f>IF(COUNTIF(J822:J833,"=x")=0,"",COUNTIF(J822:J833,"=x"))</f>
        <v/>
      </c>
      <c r="K834" s="356" t="str">
        <f>IF(COUNTIF(K822:K833,"=x")=0,"",COUNTIF(K822:K833,"=x"))</f>
        <v/>
      </c>
      <c r="L834" s="258"/>
      <c r="M834" s="332"/>
      <c r="N834" s="336"/>
      <c r="O834" s="200"/>
      <c r="P834" s="326"/>
      <c r="Q834" s="422">
        <f>SUM(U822:U833)</f>
        <v>0</v>
      </c>
      <c r="R834" s="422">
        <f t="shared" ref="R834:S834" si="1231">SUM(V822:V833)</f>
        <v>0</v>
      </c>
      <c r="S834" s="422">
        <f t="shared" si="1231"/>
        <v>0</v>
      </c>
      <c r="T834" s="325"/>
      <c r="U834" s="197">
        <f>SUM(U822:U833)</f>
        <v>0</v>
      </c>
      <c r="V834" s="197">
        <f t="shared" ref="V834:W834" si="1232">SUM(V822:V833)</f>
        <v>0</v>
      </c>
      <c r="W834" s="197">
        <f t="shared" si="1232"/>
        <v>0</v>
      </c>
      <c r="X834" s="197"/>
      <c r="Y834" s="324"/>
      <c r="Z834" s="422">
        <f>SUM(AD822:AD833)</f>
        <v>0</v>
      </c>
      <c r="AA834" s="422">
        <f t="shared" ref="AA834:AB834" si="1233">SUM(AE822:AE833)</f>
        <v>0</v>
      </c>
      <c r="AB834" s="422">
        <f t="shared" si="1233"/>
        <v>0</v>
      </c>
      <c r="AC834" s="325"/>
      <c r="AD834" s="197">
        <f>SUM(AD822:AD833)</f>
        <v>0</v>
      </c>
      <c r="AE834" s="197">
        <f t="shared" ref="AE834:AF834" si="1234">SUM(AE822:AE833)</f>
        <v>0</v>
      </c>
      <c r="AF834" s="197">
        <f t="shared" si="1234"/>
        <v>0</v>
      </c>
      <c r="AG834" s="197"/>
      <c r="AH834" s="324"/>
      <c r="AI834" s="422">
        <f>SUM(AM822:AM833)</f>
        <v>0</v>
      </c>
      <c r="AJ834" s="422">
        <f t="shared" ref="AJ834:AK834" si="1235">SUM(AN822:AN833)</f>
        <v>0</v>
      </c>
      <c r="AK834" s="422">
        <f t="shared" si="1235"/>
        <v>0</v>
      </c>
      <c r="AL834" s="325"/>
      <c r="AM834" s="197">
        <f>SUM(AM822:AM833)</f>
        <v>0</v>
      </c>
      <c r="AN834" s="197">
        <f t="shared" ref="AN834:AO834" si="1236">SUM(AN822:AN833)</f>
        <v>0</v>
      </c>
      <c r="AO834" s="197">
        <f t="shared" si="1236"/>
        <v>0</v>
      </c>
      <c r="AP834" s="197"/>
      <c r="AQ834" s="324"/>
      <c r="AR834" s="422">
        <f>SUM(AV822:AV833)</f>
        <v>0</v>
      </c>
      <c r="AS834" s="422">
        <f t="shared" ref="AS834:AT834" si="1237">SUM(AW822:AW833)</f>
        <v>0</v>
      </c>
      <c r="AT834" s="422">
        <f t="shared" si="1237"/>
        <v>0</v>
      </c>
      <c r="AU834" s="325"/>
      <c r="AV834" s="197">
        <f>SUM(AV822:AV833)</f>
        <v>0</v>
      </c>
      <c r="AW834" s="197">
        <f t="shared" ref="AW834:AX834" si="1238">SUM(AW822:AW833)</f>
        <v>0</v>
      </c>
      <c r="AX834" s="197">
        <f t="shared" si="1238"/>
        <v>0</v>
      </c>
      <c r="AY834" s="197"/>
      <c r="AZ834" s="324"/>
      <c r="BA834" s="422">
        <f>SUM(BE822:BE833)</f>
        <v>0</v>
      </c>
      <c r="BB834" s="422">
        <f t="shared" ref="BB834:BC834" si="1239">SUM(BF822:BF833)</f>
        <v>0</v>
      </c>
      <c r="BC834" s="422">
        <f t="shared" si="1239"/>
        <v>0</v>
      </c>
      <c r="BD834" s="325"/>
      <c r="BE834" s="197">
        <f>SUM(BE822:BE833)</f>
        <v>0</v>
      </c>
      <c r="BF834" s="197">
        <f t="shared" ref="BF834:BG834" si="1240">SUM(BF822:BF833)</f>
        <v>0</v>
      </c>
      <c r="BG834" s="197">
        <f t="shared" si="1240"/>
        <v>0</v>
      </c>
      <c r="BH834" s="197"/>
      <c r="BI834" s="324"/>
      <c r="BJ834" s="422">
        <f>SUM(BN822:BN833)</f>
        <v>0</v>
      </c>
      <c r="BK834" s="422">
        <f t="shared" ref="BK834" si="1241">SUM(BO822:BO833)</f>
        <v>0</v>
      </c>
      <c r="BL834" s="422">
        <f t="shared" ref="BL834" si="1242">SUM(BP822:BP833)</f>
        <v>0</v>
      </c>
      <c r="BM834" s="325"/>
      <c r="BN834" s="197">
        <f>SUM(BN822:BN833)</f>
        <v>0</v>
      </c>
      <c r="BO834" s="197">
        <f t="shared" ref="BO834:BP834" si="1243">SUM(BO822:BO833)</f>
        <v>0</v>
      </c>
      <c r="BP834" s="197">
        <f t="shared" si="1243"/>
        <v>0</v>
      </c>
      <c r="BQ834" s="197"/>
      <c r="BR834" s="324"/>
      <c r="BS834" s="422">
        <f>SUM(BW822:BW833)</f>
        <v>0</v>
      </c>
      <c r="BT834" s="422">
        <f t="shared" ref="BT834:BU834" si="1244">SUM(BX822:BX833)</f>
        <v>0</v>
      </c>
      <c r="BU834" s="422">
        <f t="shared" si="1244"/>
        <v>0</v>
      </c>
      <c r="BV834" s="325"/>
      <c r="BW834" s="197">
        <f>SUM(BW822:BW833)</f>
        <v>0</v>
      </c>
      <c r="BX834" s="197">
        <f t="shared" ref="BX834:BY834" si="1245">SUM(BX822:BX833)</f>
        <v>0</v>
      </c>
      <c r="BY834" s="197">
        <f t="shared" si="1245"/>
        <v>0</v>
      </c>
      <c r="BZ834" s="197"/>
      <c r="CA834" s="326"/>
      <c r="CB834" s="422">
        <f>SUM(CF822:CF833)</f>
        <v>0</v>
      </c>
      <c r="CC834" s="422">
        <f t="shared" ref="CC834:CD834" si="1246">SUM(CG822:CG833)</f>
        <v>0</v>
      </c>
      <c r="CD834" s="422">
        <f t="shared" si="1246"/>
        <v>0</v>
      </c>
      <c r="CE834" s="325"/>
      <c r="CF834" s="197">
        <f>SUM(CF822:CF833)</f>
        <v>0</v>
      </c>
      <c r="CG834" s="197">
        <f t="shared" ref="CG834:CH834" si="1247">SUM(CG822:CG833)</f>
        <v>0</v>
      </c>
      <c r="CH834" s="197">
        <f t="shared" si="1247"/>
        <v>0</v>
      </c>
      <c r="CI834" s="197"/>
      <c r="CJ834" s="197"/>
      <c r="CK834" s="422">
        <f>SUM(CO822:CO833)</f>
        <v>0</v>
      </c>
      <c r="CL834" s="422">
        <f t="shared" ref="CL834:CM834" si="1248">SUM(CP822:CP833)</f>
        <v>0</v>
      </c>
      <c r="CM834" s="422">
        <f t="shared" si="1248"/>
        <v>0</v>
      </c>
      <c r="CN834" s="325"/>
      <c r="CO834" s="197">
        <f>SUM(CO822:CO833)</f>
        <v>0</v>
      </c>
      <c r="CP834" s="197">
        <f t="shared" ref="CP834:CQ834" si="1249">SUM(CP822:CP833)</f>
        <v>0</v>
      </c>
      <c r="CQ834" s="197">
        <f t="shared" si="1249"/>
        <v>0</v>
      </c>
      <c r="CR834" s="197"/>
      <c r="CS834" s="197"/>
      <c r="CT834" s="197"/>
      <c r="CU834" s="259"/>
      <c r="CV834" s="209"/>
      <c r="CW834" s="228"/>
    </row>
    <row r="835" spans="1:101" x14ac:dyDescent="0.2">
      <c r="A835" s="227"/>
      <c r="B835" s="227"/>
      <c r="C835" s="168"/>
      <c r="D835" s="249"/>
      <c r="E835" s="242"/>
      <c r="F835" s="243"/>
      <c r="G835" s="242"/>
      <c r="H835" s="242"/>
      <c r="I835" s="242"/>
      <c r="J835" s="242"/>
      <c r="K835" s="242"/>
      <c r="L835" s="252"/>
      <c r="M835" s="260"/>
      <c r="N835" s="337"/>
      <c r="O835" s="333"/>
      <c r="P835" s="244"/>
      <c r="Q835" s="245"/>
      <c r="R835" s="245"/>
      <c r="S835" s="245"/>
      <c r="T835" s="246"/>
      <c r="U835" s="247"/>
      <c r="V835" s="247"/>
      <c r="W835" s="247"/>
      <c r="X835" s="247"/>
      <c r="Y835" s="244"/>
      <c r="Z835" s="245"/>
      <c r="AA835" s="245"/>
      <c r="AB835" s="245"/>
      <c r="AC835" s="246"/>
      <c r="AD835" s="247"/>
      <c r="AE835" s="247"/>
      <c r="AF835" s="247"/>
      <c r="AG835" s="247"/>
      <c r="AH835" s="244"/>
      <c r="AI835" s="245"/>
      <c r="AJ835" s="245"/>
      <c r="AK835" s="245"/>
      <c r="AL835" s="246"/>
      <c r="AM835" s="247"/>
      <c r="AN835" s="247"/>
      <c r="AO835" s="247"/>
      <c r="AP835" s="247"/>
      <c r="AQ835" s="244"/>
      <c r="AR835" s="245"/>
      <c r="AS835" s="245"/>
      <c r="AT835" s="245"/>
      <c r="AU835" s="246"/>
      <c r="AV835" s="247"/>
      <c r="AW835" s="247"/>
      <c r="AX835" s="247"/>
      <c r="AY835" s="247"/>
      <c r="AZ835" s="244"/>
      <c r="BA835" s="245"/>
      <c r="BB835" s="245"/>
      <c r="BC835" s="245"/>
      <c r="BD835" s="246"/>
      <c r="BE835" s="247"/>
      <c r="BF835" s="247"/>
      <c r="BG835" s="247"/>
      <c r="BH835" s="247"/>
      <c r="BI835" s="244"/>
      <c r="BJ835" s="244"/>
      <c r="BK835" s="244"/>
      <c r="BL835" s="244"/>
      <c r="BM835" s="244"/>
      <c r="BN835" s="247"/>
      <c r="BO835" s="247"/>
      <c r="BP835" s="247"/>
      <c r="BQ835" s="247"/>
      <c r="BR835" s="244"/>
      <c r="BS835" s="244"/>
      <c r="BT835" s="244"/>
      <c r="BU835" s="244"/>
      <c r="BV835" s="244"/>
      <c r="BW835" s="247"/>
      <c r="BX835" s="247"/>
      <c r="BY835" s="247"/>
      <c r="BZ835" s="247"/>
      <c r="CA835" s="244"/>
      <c r="CB835" s="244"/>
      <c r="CC835" s="244"/>
      <c r="CD835" s="244"/>
      <c r="CE835" s="244"/>
      <c r="CF835" s="247"/>
      <c r="CG835" s="247"/>
      <c r="CH835" s="247"/>
      <c r="CI835" s="247"/>
      <c r="CJ835" s="248"/>
      <c r="CK835" s="248"/>
      <c r="CL835" s="248"/>
      <c r="CM835" s="248"/>
      <c r="CN835" s="248"/>
      <c r="CO835" s="247"/>
      <c r="CP835" s="247"/>
      <c r="CQ835" s="247"/>
      <c r="CR835" s="247"/>
      <c r="CS835" s="248"/>
      <c r="CT835" s="242"/>
      <c r="CU835" s="253"/>
      <c r="CV835" s="209"/>
      <c r="CW835" s="228"/>
    </row>
    <row r="836" spans="1:101" x14ac:dyDescent="0.2">
      <c r="A836" s="219"/>
      <c r="B836" s="219"/>
      <c r="C836" s="175"/>
      <c r="D836" s="176"/>
      <c r="E836" s="210"/>
      <c r="F836" s="211"/>
      <c r="G836" s="210"/>
      <c r="H836" s="210"/>
      <c r="I836" s="210"/>
      <c r="J836" s="210"/>
      <c r="K836" s="210"/>
      <c r="L836" s="212"/>
      <c r="M836" s="213"/>
      <c r="N836" s="213"/>
      <c r="O836" s="213"/>
      <c r="P836" s="213"/>
      <c r="Q836" s="210"/>
      <c r="R836" s="210"/>
      <c r="S836" s="210"/>
      <c r="T836" s="214"/>
      <c r="U836" s="215"/>
      <c r="V836" s="215"/>
      <c r="W836" s="215"/>
      <c r="X836" s="215"/>
      <c r="Y836" s="213"/>
      <c r="Z836" s="210"/>
      <c r="AA836" s="210"/>
      <c r="AB836" s="210"/>
      <c r="AC836" s="214"/>
      <c r="AD836" s="215"/>
      <c r="AE836" s="215"/>
      <c r="AF836" s="215"/>
      <c r="AG836" s="215"/>
      <c r="AH836" s="213"/>
      <c r="AI836" s="210"/>
      <c r="AJ836" s="210"/>
      <c r="AK836" s="210"/>
      <c r="AL836" s="214"/>
      <c r="AM836" s="215"/>
      <c r="AN836" s="215"/>
      <c r="AO836" s="215"/>
      <c r="AP836" s="215"/>
      <c r="AQ836" s="213"/>
      <c r="AR836" s="210"/>
      <c r="AS836" s="210"/>
      <c r="AT836" s="210"/>
      <c r="AU836" s="214"/>
      <c r="AV836" s="215"/>
      <c r="AW836" s="215"/>
      <c r="AX836" s="215"/>
      <c r="AY836" s="215"/>
      <c r="AZ836" s="213"/>
      <c r="BA836" s="210"/>
      <c r="BB836" s="210"/>
      <c r="BC836" s="210"/>
      <c r="BD836" s="214"/>
      <c r="BE836" s="215"/>
      <c r="BF836" s="215"/>
      <c r="BG836" s="215"/>
      <c r="BH836" s="215"/>
      <c r="BI836" s="213"/>
      <c r="BJ836" s="210"/>
      <c r="BK836" s="210"/>
      <c r="BL836" s="210"/>
      <c r="BM836" s="214"/>
      <c r="BN836" s="215"/>
      <c r="BO836" s="215"/>
      <c r="BP836" s="215"/>
      <c r="BQ836" s="215"/>
      <c r="BR836" s="177"/>
      <c r="BS836" s="210"/>
      <c r="BT836" s="210"/>
      <c r="BU836" s="210"/>
      <c r="BV836" s="213"/>
      <c r="BW836" s="215"/>
      <c r="BX836" s="215"/>
      <c r="BY836" s="215"/>
      <c r="BZ836" s="215"/>
      <c r="CA836" s="210"/>
      <c r="CB836" s="216"/>
      <c r="CC836" s="216"/>
      <c r="CD836" s="216"/>
      <c r="CE836" s="216"/>
      <c r="CF836" s="215"/>
      <c r="CG836" s="215"/>
      <c r="CH836" s="215"/>
      <c r="CI836" s="215"/>
      <c r="CJ836" s="210"/>
      <c r="CK836" s="210"/>
      <c r="CL836" s="210"/>
      <c r="CM836" s="210"/>
      <c r="CN836" s="210"/>
      <c r="CO836" s="215"/>
      <c r="CP836" s="215"/>
      <c r="CQ836" s="215"/>
      <c r="CR836" s="215"/>
      <c r="CS836" s="210"/>
      <c r="CT836" s="210"/>
      <c r="CU836" s="210"/>
      <c r="CV836" s="217"/>
      <c r="CW836" s="218"/>
    </row>
    <row r="837" spans="1:101" ht="14.25" thickTop="1" thickBot="1" x14ac:dyDescent="0.25">
      <c r="A837" s="218"/>
      <c r="B837" s="218"/>
      <c r="C837" s="218"/>
      <c r="D837" s="218"/>
      <c r="E837" s="218"/>
      <c r="F837" s="218"/>
      <c r="G837" s="218"/>
      <c r="H837" s="218"/>
      <c r="I837" s="218"/>
      <c r="J837" s="218"/>
      <c r="K837" s="218"/>
      <c r="L837" s="218"/>
      <c r="M837" s="218"/>
      <c r="N837" s="218"/>
      <c r="O837" s="218"/>
      <c r="P837" s="218"/>
      <c r="Q837" s="218"/>
      <c r="R837" s="218"/>
      <c r="S837" s="218"/>
      <c r="T837" s="218"/>
      <c r="U837" s="218"/>
      <c r="V837" s="218"/>
      <c r="W837" s="218"/>
      <c r="X837" s="218"/>
      <c r="Y837" s="218"/>
      <c r="Z837" s="218"/>
      <c r="AA837" s="218"/>
      <c r="AB837" s="218"/>
      <c r="AC837" s="218"/>
      <c r="AD837" s="218"/>
      <c r="AE837" s="218"/>
      <c r="AF837" s="218"/>
      <c r="AG837" s="218"/>
      <c r="AH837" s="218"/>
      <c r="AI837" s="218"/>
      <c r="AJ837" s="218"/>
      <c r="AK837" s="218"/>
      <c r="AL837" s="218"/>
      <c r="AM837" s="218"/>
      <c r="AN837" s="218"/>
      <c r="AO837" s="218"/>
      <c r="AP837" s="218"/>
      <c r="AQ837" s="218"/>
      <c r="AR837" s="218"/>
      <c r="AS837" s="218"/>
      <c r="AT837" s="218"/>
      <c r="AU837" s="218"/>
      <c r="AV837" s="218"/>
      <c r="AW837" s="218"/>
      <c r="AX837" s="218"/>
      <c r="AY837" s="218"/>
      <c r="AZ837" s="218"/>
      <c r="BA837" s="218"/>
      <c r="BB837" s="218"/>
      <c r="BC837" s="218"/>
      <c r="BD837" s="218"/>
      <c r="BE837" s="218"/>
      <c r="BF837" s="218"/>
      <c r="BG837" s="218"/>
      <c r="BH837" s="218"/>
      <c r="BI837" s="218"/>
      <c r="BJ837" s="218"/>
      <c r="BK837" s="218"/>
      <c r="BL837" s="218"/>
      <c r="BM837" s="218"/>
      <c r="BN837" s="218"/>
      <c r="BO837" s="218"/>
      <c r="BP837" s="218"/>
      <c r="BQ837" s="218"/>
      <c r="BR837" s="218"/>
      <c r="BS837" s="218"/>
      <c r="BT837" s="218"/>
      <c r="BU837" s="218"/>
      <c r="BV837" s="218"/>
      <c r="BW837" s="218"/>
      <c r="BX837" s="218"/>
      <c r="BY837" s="218"/>
      <c r="BZ837" s="218"/>
      <c r="CA837" s="218"/>
      <c r="CB837" s="392"/>
      <c r="CC837" s="392"/>
      <c r="CD837" s="392"/>
      <c r="CE837" s="392"/>
      <c r="CF837" s="218"/>
      <c r="CG837" s="218"/>
      <c r="CH837" s="218"/>
      <c r="CI837" s="218"/>
      <c r="CJ837" s="218"/>
      <c r="CK837" s="218"/>
      <c r="CL837" s="218"/>
      <c r="CM837" s="218"/>
      <c r="CN837" s="218"/>
      <c r="CO837" s="218"/>
      <c r="CP837" s="218"/>
      <c r="CQ837" s="218"/>
      <c r="CR837" s="218"/>
      <c r="CS837" s="218"/>
      <c r="CT837" s="218"/>
      <c r="CU837" s="218"/>
      <c r="CV837" s="218"/>
      <c r="CW837" s="218"/>
    </row>
    <row r="838" spans="1:101" ht="21" thickTop="1" x14ac:dyDescent="0.3">
      <c r="A838" s="219"/>
      <c r="B838" s="219"/>
      <c r="C838" s="157"/>
      <c r="D838" s="158"/>
      <c r="E838" s="731" t="s">
        <v>44</v>
      </c>
      <c r="F838" s="229"/>
      <c r="G838" s="229"/>
      <c r="H838" s="229"/>
      <c r="I838" s="877" t="e" vm="1">
        <v>#VALUE!</v>
      </c>
      <c r="J838" s="877"/>
      <c r="K838" s="877"/>
      <c r="L838" s="877"/>
      <c r="M838" s="159"/>
      <c r="N838" s="159"/>
      <c r="O838" s="159"/>
      <c r="P838" s="160"/>
      <c r="Q838" s="159"/>
      <c r="R838" s="159"/>
      <c r="S838" s="159"/>
      <c r="T838" s="161"/>
      <c r="U838" s="162"/>
      <c r="V838" s="162"/>
      <c r="W838" s="162"/>
      <c r="X838" s="162"/>
      <c r="Y838" s="160"/>
      <c r="Z838" s="159"/>
      <c r="AA838" s="159"/>
      <c r="AB838" s="159"/>
      <c r="AC838" s="161"/>
      <c r="AD838" s="162"/>
      <c r="AE838" s="162"/>
      <c r="AF838" s="162"/>
      <c r="AG838" s="162"/>
      <c r="AH838" s="160"/>
      <c r="AI838" s="159"/>
      <c r="AJ838" s="201"/>
      <c r="AK838" s="201"/>
      <c r="AL838" s="164"/>
      <c r="AM838" s="162"/>
      <c r="AN838" s="162"/>
      <c r="AO838" s="162"/>
      <c r="AP838" s="162"/>
      <c r="AQ838" s="202"/>
      <c r="AR838" s="203"/>
      <c r="AS838" s="165"/>
      <c r="AT838" s="166"/>
      <c r="AU838" s="164"/>
      <c r="AV838" s="162"/>
      <c r="AW838" s="162"/>
      <c r="AX838" s="162"/>
      <c r="AY838" s="162"/>
      <c r="AZ838" s="202"/>
      <c r="BA838" s="203"/>
      <c r="BB838" s="166"/>
      <c r="BC838" s="201"/>
      <c r="BD838" s="204"/>
      <c r="BE838" s="162"/>
      <c r="BF838" s="162"/>
      <c r="BG838" s="162"/>
      <c r="BH838" s="162"/>
      <c r="BI838" s="205"/>
      <c r="BJ838" s="201"/>
      <c r="BK838" s="201"/>
      <c r="BL838" s="201"/>
      <c r="BM838" s="204"/>
      <c r="BN838" s="162"/>
      <c r="BO838" s="162"/>
      <c r="BP838" s="162"/>
      <c r="BQ838" s="162"/>
      <c r="BR838" s="167"/>
      <c r="BS838" s="201"/>
      <c r="BT838" s="201"/>
      <c r="BU838" s="201"/>
      <c r="BV838" s="205"/>
      <c r="BW838" s="162"/>
      <c r="BX838" s="162"/>
      <c r="BY838" s="162"/>
      <c r="BZ838" s="162"/>
      <c r="CA838" s="201"/>
      <c r="CB838" s="393"/>
      <c r="CC838" s="393"/>
      <c r="CD838" s="393"/>
      <c r="CE838" s="393"/>
      <c r="CF838" s="162"/>
      <c r="CG838" s="162"/>
      <c r="CH838" s="162"/>
      <c r="CI838" s="162"/>
      <c r="CJ838" s="163"/>
      <c r="CK838" s="163"/>
      <c r="CL838" s="163"/>
      <c r="CM838" s="163"/>
      <c r="CN838" s="163"/>
      <c r="CO838" s="162"/>
      <c r="CP838" s="162"/>
      <c r="CQ838" s="162"/>
      <c r="CR838" s="162"/>
      <c r="CS838" s="163"/>
      <c r="CT838" s="358"/>
      <c r="CU838" s="201"/>
      <c r="CV838" s="206"/>
      <c r="CW838" s="218"/>
    </row>
    <row r="839" spans="1:101" ht="15.75" thickBot="1" x14ac:dyDescent="0.25">
      <c r="A839" s="219"/>
      <c r="B839" s="219"/>
      <c r="C839" s="168"/>
      <c r="D839" s="785"/>
      <c r="E839" s="869" t="s">
        <v>45</v>
      </c>
      <c r="F839" s="363"/>
      <c r="G839" s="363"/>
      <c r="H839" s="363"/>
      <c r="I839" s="878"/>
      <c r="J839" s="878"/>
      <c r="K839" s="878"/>
      <c r="L839" s="878"/>
      <c r="M839" s="363"/>
      <c r="N839" s="363"/>
      <c r="O839" s="363"/>
      <c r="P839" s="363"/>
      <c r="Q839" s="363"/>
      <c r="R839" s="363"/>
      <c r="S839" s="363"/>
      <c r="T839" s="363"/>
      <c r="U839" s="363"/>
      <c r="V839" s="363"/>
      <c r="W839" s="363"/>
      <c r="X839" s="363"/>
      <c r="Y839" s="363"/>
      <c r="Z839" s="363"/>
      <c r="AA839" s="363"/>
      <c r="AB839" s="363"/>
      <c r="AC839" s="363"/>
      <c r="AD839" s="363"/>
      <c r="AE839" s="363"/>
      <c r="AF839" s="363"/>
      <c r="AG839" s="363"/>
      <c r="AH839" s="363"/>
      <c r="AI839" s="363"/>
      <c r="AJ839" s="363"/>
      <c r="AK839" s="363"/>
      <c r="AL839" s="363"/>
      <c r="AM839" s="363"/>
      <c r="AN839" s="363"/>
      <c r="AO839" s="363"/>
      <c r="AP839" s="363"/>
      <c r="AQ839" s="363"/>
      <c r="AR839" s="363"/>
      <c r="AS839" s="363"/>
      <c r="AT839" s="363"/>
      <c r="AU839" s="363"/>
      <c r="AV839" s="363"/>
      <c r="AW839" s="363"/>
      <c r="AX839" s="363"/>
      <c r="AY839" s="363"/>
      <c r="AZ839" s="363"/>
      <c r="BA839" s="363"/>
      <c r="BB839" s="363"/>
      <c r="BC839" s="363"/>
      <c r="BD839" s="363"/>
      <c r="BE839" s="363"/>
      <c r="BF839" s="363"/>
      <c r="BG839" s="363"/>
      <c r="BH839" s="363"/>
      <c r="BI839" s="363"/>
      <c r="BJ839" s="363"/>
      <c r="BK839" s="363"/>
      <c r="BL839" s="363"/>
      <c r="BM839" s="363"/>
      <c r="BN839" s="363"/>
      <c r="BO839" s="363"/>
      <c r="BP839" s="363"/>
      <c r="BQ839" s="363"/>
      <c r="BR839" s="363"/>
      <c r="BS839" s="363"/>
      <c r="BT839" s="363"/>
      <c r="BU839" s="363"/>
      <c r="BV839" s="363"/>
      <c r="BW839" s="363"/>
      <c r="BX839" s="363"/>
      <c r="BY839" s="363"/>
      <c r="BZ839" s="363"/>
      <c r="CA839" s="363"/>
      <c r="CB839" s="394"/>
      <c r="CC839" s="394"/>
      <c r="CD839" s="394"/>
      <c r="CE839" s="394"/>
      <c r="CF839" s="363"/>
      <c r="CG839" s="363"/>
      <c r="CH839" s="363"/>
      <c r="CI839" s="363"/>
      <c r="CJ839" s="363"/>
      <c r="CK839" s="363"/>
      <c r="CL839" s="363"/>
      <c r="CM839" s="363"/>
      <c r="CN839" s="323"/>
      <c r="CO839" s="363"/>
      <c r="CP839" s="363"/>
      <c r="CQ839" s="363"/>
      <c r="CR839" s="363"/>
      <c r="CS839" s="323"/>
      <c r="CT839" s="155"/>
      <c r="CU839" s="269"/>
      <c r="CV839" s="209"/>
      <c r="CW839" s="218"/>
    </row>
    <row r="840" spans="1:101" ht="18.75" thickTop="1" x14ac:dyDescent="0.2">
      <c r="A840" s="219"/>
      <c r="B840" s="219"/>
      <c r="C840" s="174"/>
      <c r="D840" s="778"/>
      <c r="E840" s="777"/>
      <c r="F840" s="235"/>
      <c r="G840" s="234"/>
      <c r="H840" s="234"/>
      <c r="I840" s="875">
        <f>WEEKNUM(E841)</f>
        <v>19</v>
      </c>
      <c r="J840" s="875"/>
      <c r="K840" s="875"/>
      <c r="L840" s="250"/>
      <c r="M840" s="261"/>
      <c r="N840" s="205"/>
      <c r="O840" s="236"/>
      <c r="P840" s="236"/>
      <c r="Q840" s="675" t="str">
        <f>IF($F844="","",SUM(Q856:S856)-S842)</f>
        <v/>
      </c>
      <c r="R840" s="675"/>
      <c r="S840" s="675"/>
      <c r="T840" s="237"/>
      <c r="U840" s="238"/>
      <c r="V840" s="238"/>
      <c r="W840" s="238"/>
      <c r="X840" s="238"/>
      <c r="Y840" s="236"/>
      <c r="Z840" s="675" t="str">
        <f>IF($F844="","",SUM(Z856:AB856)-AB842)</f>
        <v/>
      </c>
      <c r="AA840" s="675"/>
      <c r="AB840" s="675"/>
      <c r="AC840" s="237"/>
      <c r="AD840" s="238"/>
      <c r="AE840" s="238"/>
      <c r="AF840" s="238"/>
      <c r="AG840" s="238"/>
      <c r="AH840" s="236"/>
      <c r="AI840" s="675" t="str">
        <f>IF($F844="","",SUM(AI856:AK856)-AK842)</f>
        <v/>
      </c>
      <c r="AJ840" s="675"/>
      <c r="AK840" s="675"/>
      <c r="AL840" s="237"/>
      <c r="AM840" s="238"/>
      <c r="AN840" s="238"/>
      <c r="AO840" s="238"/>
      <c r="AP840" s="238"/>
      <c r="AQ840" s="236"/>
      <c r="AR840" s="675" t="str">
        <f>IF($F844="","",SUM(AR856:AT856)-AT842)</f>
        <v/>
      </c>
      <c r="AS840" s="675"/>
      <c r="AT840" s="675"/>
      <c r="AU840" s="239"/>
      <c r="AV840" s="238"/>
      <c r="AW840" s="238"/>
      <c r="AX840" s="238"/>
      <c r="AY840" s="238"/>
      <c r="AZ840" s="240"/>
      <c r="BA840" s="675" t="str">
        <f>IF($F844="","",SUM(BA856:BC856)-BC842)</f>
        <v/>
      </c>
      <c r="BB840" s="675"/>
      <c r="BC840" s="675"/>
      <c r="BD840" s="239"/>
      <c r="BE840" s="238"/>
      <c r="BF840" s="238"/>
      <c r="BG840" s="238"/>
      <c r="BH840" s="238"/>
      <c r="BI840" s="240"/>
      <c r="BJ840" s="675" t="str">
        <f>IF($F844="","",SUM(BJ856:BL856)-BL842)</f>
        <v/>
      </c>
      <c r="BK840" s="675"/>
      <c r="BL840" s="675"/>
      <c r="BM840" s="239"/>
      <c r="BN840" s="238"/>
      <c r="BO840" s="238"/>
      <c r="BP840" s="238"/>
      <c r="BQ840" s="238"/>
      <c r="BR840" s="241"/>
      <c r="BS840" s="675" t="str">
        <f>IF($F844="","",SUM(BS856:BU856)-BU842)</f>
        <v/>
      </c>
      <c r="BT840" s="675"/>
      <c r="BU840" s="675"/>
      <c r="BV840" s="240"/>
      <c r="BW840" s="238"/>
      <c r="BX840" s="238"/>
      <c r="BY840" s="238"/>
      <c r="BZ840" s="238"/>
      <c r="CA840" s="241"/>
      <c r="CB840" s="675" t="str">
        <f>IF($F844="","",SUM(CB856:CD856)-CD842)</f>
        <v/>
      </c>
      <c r="CC840" s="675"/>
      <c r="CD840" s="675"/>
      <c r="CE840" s="240"/>
      <c r="CF840" s="238"/>
      <c r="CG840" s="238"/>
      <c r="CH840" s="238"/>
      <c r="CI840" s="238"/>
      <c r="CJ840" s="234"/>
      <c r="CK840" s="675" t="str">
        <f>IF($F844="","",SUM(CK856:CM856))</f>
        <v/>
      </c>
      <c r="CL840" s="675"/>
      <c r="CM840" s="675"/>
      <c r="CN840" s="240"/>
      <c r="CO840" s="238"/>
      <c r="CP840" s="238"/>
      <c r="CQ840" s="238"/>
      <c r="CR840" s="238"/>
      <c r="CS840" s="234"/>
      <c r="CT840" s="234"/>
      <c r="CU840" s="251"/>
      <c r="CV840" s="209"/>
      <c r="CW840" s="218"/>
    </row>
    <row r="841" spans="1:101" x14ac:dyDescent="0.2">
      <c r="A841" s="219"/>
      <c r="B841" s="219"/>
      <c r="C841" s="174"/>
      <c r="D841" s="779"/>
      <c r="E841" s="543">
        <f>E819+7</f>
        <v>46515</v>
      </c>
      <c r="F841" s="178"/>
      <c r="G841" s="179"/>
      <c r="H841" s="179"/>
      <c r="I841" s="876"/>
      <c r="J841" s="876"/>
      <c r="K841" s="876"/>
      <c r="L841" s="254"/>
      <c r="M841" s="329"/>
      <c r="N841" s="208"/>
      <c r="O841" s="180"/>
      <c r="P841" s="180"/>
      <c r="Q841" s="584" t="str">
        <f>IF(Q840="","",Q840/Data!$X$1)</f>
        <v/>
      </c>
      <c r="R841" s="584"/>
      <c r="S841" s="585" t="str">
        <f>IF(SUM(X844:X855)=0,"",SUM(X844:X855))</f>
        <v/>
      </c>
      <c r="T841" s="181"/>
      <c r="U841" s="182"/>
      <c r="V841" s="182"/>
      <c r="W841" s="182"/>
      <c r="X841" s="182"/>
      <c r="Y841" s="180"/>
      <c r="Z841" s="584" t="str">
        <f>IF(Z840="","",Z840/Data!$X$1)</f>
        <v/>
      </c>
      <c r="AA841" s="584"/>
      <c r="AB841" s="585" t="str">
        <f>IF(SUM(AG844:AG855)=0,"",SUM(AG844:AG855))</f>
        <v/>
      </c>
      <c r="AC841" s="181"/>
      <c r="AD841" s="182"/>
      <c r="AE841" s="182"/>
      <c r="AF841" s="182"/>
      <c r="AG841" s="182"/>
      <c r="AH841" s="180"/>
      <c r="AI841" s="584" t="str">
        <f>IF(AI840="","",AI840/Data!$X$1)</f>
        <v/>
      </c>
      <c r="AJ841" s="584"/>
      <c r="AK841" s="585" t="str">
        <f>IF(SUM(AP844:AP855)=0,"",SUM(AP844:AP855))</f>
        <v/>
      </c>
      <c r="AL841" s="181"/>
      <c r="AM841" s="182"/>
      <c r="AN841" s="182"/>
      <c r="AO841" s="182"/>
      <c r="AP841" s="182"/>
      <c r="AQ841" s="180"/>
      <c r="AR841" s="584" t="str">
        <f>IF(AR840="","",AR840/Data!$X$1)</f>
        <v/>
      </c>
      <c r="AS841" s="584"/>
      <c r="AT841" s="585" t="str">
        <f>IF(SUM(AY844:AY855)=0,"",SUM(AY844:AY855))</f>
        <v/>
      </c>
      <c r="AU841" s="183"/>
      <c r="AV841" s="182"/>
      <c r="AW841" s="182"/>
      <c r="AX841" s="182"/>
      <c r="AY841" s="182"/>
      <c r="AZ841" s="184"/>
      <c r="BA841" s="584" t="str">
        <f>IF(BA840="","",BA840/Data!$X$1)</f>
        <v/>
      </c>
      <c r="BB841" s="584"/>
      <c r="BC841" s="585" t="str">
        <f>IF(SUM(BH844:BH855)=0,"",SUM(BH844:BH855))</f>
        <v/>
      </c>
      <c r="BD841" s="183"/>
      <c r="BE841" s="182"/>
      <c r="BF841" s="182"/>
      <c r="BG841" s="182"/>
      <c r="BH841" s="182"/>
      <c r="BI841" s="184"/>
      <c r="BJ841" s="584" t="str">
        <f>IF(BJ840="","",BJ840/Data!$X$1)</f>
        <v/>
      </c>
      <c r="BK841" s="584"/>
      <c r="BL841" s="585" t="str">
        <f>IF(SUM(BQ844:BQ855)=0,"",SUM(BQ844:BQ855))</f>
        <v/>
      </c>
      <c r="BM841" s="183"/>
      <c r="BN841" s="182"/>
      <c r="BO841" s="182"/>
      <c r="BP841" s="182"/>
      <c r="BQ841" s="182"/>
      <c r="BR841" s="185"/>
      <c r="BS841" s="584" t="str">
        <f>IF(BS840="","",BS840/Data!$X$1)</f>
        <v/>
      </c>
      <c r="BT841" s="584"/>
      <c r="BU841" s="585" t="str">
        <f>IF(SUM(BZ844:BZ855)=0,"",SUM(BZ844:BZ855))</f>
        <v/>
      </c>
      <c r="BV841" s="184"/>
      <c r="BW841" s="182"/>
      <c r="BX841" s="182"/>
      <c r="BY841" s="182"/>
      <c r="BZ841" s="182"/>
      <c r="CA841" s="185"/>
      <c r="CB841" s="584" t="str">
        <f>IF(CB840="","",CB840/Data!$X$1)</f>
        <v/>
      </c>
      <c r="CC841" s="584"/>
      <c r="CD841" s="585" t="str">
        <f>IF(SUM(CI844:CI855)=0,"",SUM(CI844:CI855))</f>
        <v/>
      </c>
      <c r="CE841" s="184"/>
      <c r="CF841" s="182"/>
      <c r="CG841" s="182"/>
      <c r="CH841" s="182"/>
      <c r="CI841" s="182"/>
      <c r="CJ841" s="182"/>
      <c r="CK841" s="584" t="str">
        <f>IF(CK840="","",CK840/Data!$X$1)</f>
        <v/>
      </c>
      <c r="CL841" s="584"/>
      <c r="CM841" s="585" t="str">
        <f>IF(SUM(CR844:CR855)=0,"",SUM(CR844:CR855))</f>
        <v/>
      </c>
      <c r="CN841" s="184"/>
      <c r="CO841" s="182"/>
      <c r="CP841" s="182"/>
      <c r="CQ841" s="182"/>
      <c r="CR841" s="182"/>
      <c r="CS841" s="182"/>
      <c r="CT841" s="182"/>
      <c r="CU841" s="255"/>
      <c r="CV841" s="209"/>
      <c r="CW841" s="218"/>
    </row>
    <row r="842" spans="1:101" ht="13.5" thickBot="1" x14ac:dyDescent="0.25">
      <c r="A842" s="219"/>
      <c r="B842" s="219"/>
      <c r="C842" s="174"/>
      <c r="D842" s="230"/>
      <c r="E842" s="359"/>
      <c r="F842" s="186"/>
      <c r="G842" s="187"/>
      <c r="H842" s="187"/>
      <c r="I842" s="673"/>
      <c r="J842" s="674"/>
      <c r="K842" s="674"/>
      <c r="L842" s="256"/>
      <c r="M842" s="330"/>
      <c r="N842" s="334"/>
      <c r="O842" s="187"/>
      <c r="P842" s="187"/>
      <c r="Q842" s="342" t="str">
        <f>Data!$E$11</f>
        <v>AHH</v>
      </c>
      <c r="R842" s="343" t="str">
        <f>IF($F855="","",RANK(Q840,$Q840:$CL840))</f>
        <v/>
      </c>
      <c r="S842" s="466"/>
      <c r="T842" s="181"/>
      <c r="U842" s="182"/>
      <c r="V842" s="182"/>
      <c r="W842" s="182"/>
      <c r="X842" s="197">
        <f>COUNTIF(U844:W855,"&gt;0")</f>
        <v>0</v>
      </c>
      <c r="Y842" s="180"/>
      <c r="Z842" s="342" t="str">
        <f>Data!$E$12</f>
        <v>RB</v>
      </c>
      <c r="AA842" s="343" t="str">
        <f>IF($F855="","",RANK(Z840,$Q840:$CL840))</f>
        <v/>
      </c>
      <c r="AB842" s="466"/>
      <c r="AC842" s="181"/>
      <c r="AD842" s="182"/>
      <c r="AE842" s="182"/>
      <c r="AF842" s="182"/>
      <c r="AG842" s="197">
        <f>COUNTIF(AD844:AF855,"&gt;0")</f>
        <v>0</v>
      </c>
      <c r="AH842" s="180"/>
      <c r="AI842" s="342" t="str">
        <f>Data!$E$13</f>
        <v>EB</v>
      </c>
      <c r="AJ842" s="343" t="str">
        <f>IF($F855="","",RANK(AI840,$Q840:$CL840))</f>
        <v/>
      </c>
      <c r="AK842" s="466"/>
      <c r="AL842" s="181"/>
      <c r="AM842" s="182"/>
      <c r="AN842" s="182"/>
      <c r="AO842" s="182"/>
      <c r="AP842" s="197">
        <f>COUNTIF(AM844:AO855,"&gt;0")</f>
        <v>0</v>
      </c>
      <c r="AQ842" s="180"/>
      <c r="AR842" s="305" t="str">
        <f>Data!$E$14</f>
        <v>KAF</v>
      </c>
      <c r="AS842" s="343" t="str">
        <f>IF($F855="","",RANK(AR840,$Q840:$CL840))</f>
        <v/>
      </c>
      <c r="AT842" s="466"/>
      <c r="AU842" s="181"/>
      <c r="AV842" s="182"/>
      <c r="AW842" s="182"/>
      <c r="AX842" s="182"/>
      <c r="AY842" s="197">
        <f>COUNTIF(AV844:AX855,"&gt;0")</f>
        <v>0</v>
      </c>
      <c r="AZ842" s="180"/>
      <c r="BA842" s="305" t="str">
        <f>Data!$E$15</f>
        <v>ØG</v>
      </c>
      <c r="BB842" s="343" t="str">
        <f>IF($F855="","",RANK(BA840,$Q840:$CL840))</f>
        <v/>
      </c>
      <c r="BC842" s="466"/>
      <c r="BD842" s="181"/>
      <c r="BE842" s="182"/>
      <c r="BF842" s="182"/>
      <c r="BG842" s="182"/>
      <c r="BH842" s="197">
        <f>COUNTIF(BE844:BG855,"&gt;0")</f>
        <v>0</v>
      </c>
      <c r="BI842" s="180"/>
      <c r="BJ842" s="305" t="str">
        <f>Data!$E$16</f>
        <v>JH</v>
      </c>
      <c r="BK842" s="343" t="str">
        <f>IF($F855="","",RANK(BJ840,$Q840:$CL840))</f>
        <v/>
      </c>
      <c r="BL842" s="466"/>
      <c r="BM842" s="181"/>
      <c r="BN842" s="182"/>
      <c r="BO842" s="182"/>
      <c r="BP842" s="182"/>
      <c r="BQ842" s="197">
        <f>COUNTIF(BN844:BP855,"&gt;0")</f>
        <v>0</v>
      </c>
      <c r="BR842" s="188"/>
      <c r="BS842" s="305" t="str">
        <f>Data!$E$17</f>
        <v>TOH</v>
      </c>
      <c r="BT842" s="343" t="str">
        <f>IF($F855="","",RANK(BS840,$Q840:$CL840))</f>
        <v/>
      </c>
      <c r="BU842" s="466"/>
      <c r="BV842" s="180"/>
      <c r="BW842" s="182"/>
      <c r="BX842" s="182"/>
      <c r="BY842" s="182"/>
      <c r="BZ842" s="197">
        <f>COUNTIF(BW844:BY855,"&gt;0")</f>
        <v>0</v>
      </c>
      <c r="CA842" s="188"/>
      <c r="CB842" s="305" t="s">
        <v>26</v>
      </c>
      <c r="CC842" s="343" t="str">
        <f>IF($F855="","",RANK(CB840,$Q840:$CM840))</f>
        <v/>
      </c>
      <c r="CD842" s="467"/>
      <c r="CE842" s="180"/>
      <c r="CF842" s="182"/>
      <c r="CG842" s="182"/>
      <c r="CH842" s="182"/>
      <c r="CI842" s="197">
        <f>COUNTIF(CF844:CH855,"&gt;0")</f>
        <v>0</v>
      </c>
      <c r="CJ842" s="182"/>
      <c r="CK842" s="305" t="s">
        <v>27</v>
      </c>
      <c r="CL842" s="343" t="str">
        <f>IF($F855="","",RANK(CK840,$Q840:$CM840))</f>
        <v/>
      </c>
      <c r="CM842" s="669"/>
      <c r="CN842" s="180"/>
      <c r="CO842" s="182"/>
      <c r="CP842" s="182"/>
      <c r="CQ842" s="182"/>
      <c r="CR842" s="197">
        <f>COUNTIF(CO844:CQ855,"&gt;0")</f>
        <v>0</v>
      </c>
      <c r="CS842" s="182"/>
      <c r="CT842" s="182"/>
      <c r="CU842" s="255"/>
      <c r="CV842" s="209"/>
      <c r="CW842" s="218"/>
    </row>
    <row r="843" spans="1:101" ht="13.5" thickBot="1" x14ac:dyDescent="0.25">
      <c r="A843" s="227"/>
      <c r="B843" s="227"/>
      <c r="C843" s="168"/>
      <c r="D843" s="231"/>
      <c r="E843" s="189"/>
      <c r="F843" s="190"/>
      <c r="G843" s="191"/>
      <c r="H843" s="191"/>
      <c r="I843" s="192" t="s">
        <v>47</v>
      </c>
      <c r="J843" s="193" t="s">
        <v>48</v>
      </c>
      <c r="K843" s="194" t="s">
        <v>49</v>
      </c>
      <c r="L843" s="257"/>
      <c r="M843" s="331"/>
      <c r="N843" s="335"/>
      <c r="O843" s="195"/>
      <c r="P843" s="195"/>
      <c r="Q843" s="192" t="s">
        <v>47</v>
      </c>
      <c r="R843" s="193" t="s">
        <v>48</v>
      </c>
      <c r="S843" s="194" t="s">
        <v>49</v>
      </c>
      <c r="T843" s="196"/>
      <c r="U843" s="197"/>
      <c r="V843" s="197"/>
      <c r="W843" s="197"/>
      <c r="X843" s="197"/>
      <c r="Y843" s="195"/>
      <c r="Z843" s="192" t="s">
        <v>47</v>
      </c>
      <c r="AA843" s="193" t="s">
        <v>48</v>
      </c>
      <c r="AB843" s="194" t="s">
        <v>49</v>
      </c>
      <c r="AC843" s="196"/>
      <c r="AD843" s="197"/>
      <c r="AE843" s="197"/>
      <c r="AF843" s="197"/>
      <c r="AG843" s="197"/>
      <c r="AH843" s="195"/>
      <c r="AI843" s="192" t="s">
        <v>47</v>
      </c>
      <c r="AJ843" s="193" t="s">
        <v>48</v>
      </c>
      <c r="AK843" s="194" t="s">
        <v>49</v>
      </c>
      <c r="AL843" s="196"/>
      <c r="AM843" s="197"/>
      <c r="AN843" s="197"/>
      <c r="AO843" s="197"/>
      <c r="AP843" s="197"/>
      <c r="AQ843" s="195"/>
      <c r="AR843" s="192" t="s">
        <v>47</v>
      </c>
      <c r="AS843" s="193" t="s">
        <v>48</v>
      </c>
      <c r="AT843" s="194" t="s">
        <v>49</v>
      </c>
      <c r="AU843" s="196"/>
      <c r="AV843" s="197"/>
      <c r="AW843" s="197"/>
      <c r="AX843" s="197"/>
      <c r="AY843" s="197"/>
      <c r="AZ843" s="195"/>
      <c r="BA843" s="192" t="s">
        <v>47</v>
      </c>
      <c r="BB843" s="193" t="s">
        <v>48</v>
      </c>
      <c r="BC843" s="194" t="s">
        <v>49</v>
      </c>
      <c r="BD843" s="196"/>
      <c r="BE843" s="197"/>
      <c r="BF843" s="197"/>
      <c r="BG843" s="197"/>
      <c r="BH843" s="197"/>
      <c r="BI843" s="195"/>
      <c r="BJ843" s="192" t="s">
        <v>47</v>
      </c>
      <c r="BK843" s="193" t="s">
        <v>48</v>
      </c>
      <c r="BL843" s="194" t="s">
        <v>49</v>
      </c>
      <c r="BM843" s="196"/>
      <c r="BN843" s="197"/>
      <c r="BO843" s="197"/>
      <c r="BP843" s="197"/>
      <c r="BQ843" s="197"/>
      <c r="BR843" s="195"/>
      <c r="BS843" s="192" t="s">
        <v>47</v>
      </c>
      <c r="BT843" s="193" t="s">
        <v>48</v>
      </c>
      <c r="BU843" s="194" t="s">
        <v>49</v>
      </c>
      <c r="BV843" s="196"/>
      <c r="BW843" s="197"/>
      <c r="BX843" s="197"/>
      <c r="BY843" s="197"/>
      <c r="BZ843" s="197"/>
      <c r="CA843" s="195"/>
      <c r="CB843" s="192" t="s">
        <v>47</v>
      </c>
      <c r="CC843" s="193" t="s">
        <v>48</v>
      </c>
      <c r="CD843" s="194" t="s">
        <v>49</v>
      </c>
      <c r="CE843" s="196"/>
      <c r="CF843" s="197"/>
      <c r="CG843" s="197"/>
      <c r="CH843" s="197"/>
      <c r="CI843" s="197"/>
      <c r="CJ843" s="197"/>
      <c r="CK843" s="192" t="s">
        <v>47</v>
      </c>
      <c r="CL843" s="193" t="s">
        <v>48</v>
      </c>
      <c r="CM843" s="194" t="s">
        <v>49</v>
      </c>
      <c r="CN843" s="196"/>
      <c r="CO843" s="197"/>
      <c r="CP843" s="197"/>
      <c r="CQ843" s="197"/>
      <c r="CR843" s="197"/>
      <c r="CS843" s="197"/>
      <c r="CT843" s="198"/>
      <c r="CU843" s="255"/>
      <c r="CV843" s="209"/>
      <c r="CW843" s="228"/>
    </row>
    <row r="844" spans="1:101" x14ac:dyDescent="0.2">
      <c r="A844" s="227"/>
      <c r="B844" s="227"/>
      <c r="C844" s="168"/>
      <c r="D844" s="232"/>
      <c r="E844" s="134"/>
      <c r="F844" s="424"/>
      <c r="G844" s="428" t="s">
        <v>51</v>
      </c>
      <c r="H844" s="429"/>
      <c r="I844" s="138" t="str">
        <f t="shared" ref="I844:I855" si="1250">IF($F844&gt;$H844,"x","")</f>
        <v/>
      </c>
      <c r="J844" s="344" t="str">
        <f t="shared" ref="J844:J855" si="1251">IF(F844&lt;&gt;"",IF(H844&lt;&gt;"",IF(F844=H844,"x",""),""),"")</f>
        <v/>
      </c>
      <c r="K844" s="345" t="str">
        <f t="shared" ref="K844:K855" si="1252">IF($F844&lt;$H844,"x","")</f>
        <v/>
      </c>
      <c r="L844" s="258"/>
      <c r="M844" s="332"/>
      <c r="N844" s="336"/>
      <c r="O844" s="200"/>
      <c r="P844" s="200"/>
      <c r="Q844" s="436"/>
      <c r="R844" s="437"/>
      <c r="S844" s="438" t="str">
        <f t="shared" ref="S844:S855" si="1253">IF(Q844="","",100-SUM(Q844:R844))</f>
        <v/>
      </c>
      <c r="T844" s="328"/>
      <c r="U844" s="197" t="str">
        <f>IF(AND($I844="x",AND(MAX(Q844:S844)=Q844,Q844&gt;=0)),Data!$BI$2,"")</f>
        <v/>
      </c>
      <c r="V844" s="197" t="str">
        <f>IF(AND($J844="x",AND(MAX(Q844:S844)=R844,R844&gt;=0)),Data!$BJ$2,"")</f>
        <v/>
      </c>
      <c r="W844" s="197" t="str">
        <f>IF(AND($K844="x",AND(MAX(Q844:S844)=S844,S844&gt;=0)),Data!$BK$2,"")</f>
        <v/>
      </c>
      <c r="X844" s="197"/>
      <c r="Y844" s="328"/>
      <c r="Z844" s="451"/>
      <c r="AA844" s="452"/>
      <c r="AB844" s="438" t="str">
        <f t="shared" ref="AB844:AB855" si="1254">IF(Z844="","",100-SUM(Z844:AA844))</f>
        <v/>
      </c>
      <c r="AC844" s="328"/>
      <c r="AD844" s="197" t="str">
        <f>IF(AND($I844="x",AND(MAX(Z844:AB844)=Z844,Z844&lt;&gt;"")),Data!$BI$2,"")</f>
        <v/>
      </c>
      <c r="AE844" s="197" t="str">
        <f>IF(AND($J844="x",AND(MAX(Z844:AB844)=AA844,AA844&lt;&gt;"")),Data!$BJ$2,"")</f>
        <v/>
      </c>
      <c r="AF844" s="197" t="str">
        <f>IF(AND($K844="x",AND(MAX(Z844:AB844)=AB844,AB844&lt;&gt;"")),Data!$BK$2,"")</f>
        <v/>
      </c>
      <c r="AG844" s="197"/>
      <c r="AH844" s="328"/>
      <c r="AI844" s="451"/>
      <c r="AJ844" s="452"/>
      <c r="AK844" s="438" t="str">
        <f t="shared" ref="AK844:AK855" si="1255">IF(AI844="","",100-SUM(AI844:AJ844))</f>
        <v/>
      </c>
      <c r="AL844" s="328"/>
      <c r="AM844" s="197" t="str">
        <f>IF(AND($I844="x",AND(MAX(AI844:AK844)=AI844,AI844&lt;&gt;"")),Data!$BI$2,"")</f>
        <v/>
      </c>
      <c r="AN844" s="197" t="str">
        <f>IF(AND($J844="x",AND(MAX(AI844:AK844)=AJ844,AJ844&lt;&gt;"")),Data!$BJ$2,"")</f>
        <v/>
      </c>
      <c r="AO844" s="197" t="str">
        <f>IF(AND($K844="x",AND(MAX(AI844:AK844)=AK844,AK844&lt;&gt;"")),Data!$BK$2,"")</f>
        <v/>
      </c>
      <c r="AP844" s="197"/>
      <c r="AQ844" s="328"/>
      <c r="AR844" s="451"/>
      <c r="AS844" s="452"/>
      <c r="AT844" s="438" t="str">
        <f t="shared" ref="AT844:AT855" si="1256">IF(AR844="","",100-SUM(AR844:AS844))</f>
        <v/>
      </c>
      <c r="AU844" s="328"/>
      <c r="AV844" s="197" t="str">
        <f>IF(AND($I844="x",AND(MAX(AR844:AT844)=AR844,AR844&lt;&gt;"")),Data!$BI$2,"")</f>
        <v/>
      </c>
      <c r="AW844" s="197" t="str">
        <f>IF(AND($J844="x",AND(MAX(AR844:AT844)=AS844,AS844&lt;&gt;"")),Data!$BJ$2,"")</f>
        <v/>
      </c>
      <c r="AX844" s="197" t="str">
        <f>IF(AND($K844="x",AND(MAX(AR844:AT844)=AT844,AT844&lt;&gt;"")),Data!$BK$2,"")</f>
        <v/>
      </c>
      <c r="AY844" s="197"/>
      <c r="AZ844" s="328"/>
      <c r="BA844" s="451"/>
      <c r="BB844" s="452"/>
      <c r="BC844" s="438" t="str">
        <f t="shared" ref="BC844:BC855" si="1257">IF(BA844="","",100-SUM(BA844:BB844))</f>
        <v/>
      </c>
      <c r="BD844" s="328"/>
      <c r="BE844" s="197" t="str">
        <f>IF(AND($I844="x",AND(MAX(BA844:BC844)=BA844,BA844&lt;&gt;"")),Data!$BI$2,"")</f>
        <v/>
      </c>
      <c r="BF844" s="197" t="str">
        <f>IF(AND($J844="x",AND(MAX(BA844:BC844)=BB844,BB844&lt;&gt;"")),Data!$BJ$2,"")</f>
        <v/>
      </c>
      <c r="BG844" s="197" t="str">
        <f>IF(AND($K844="x",AND(MAX(BA844:BC844)=BC844,BC844&lt;&gt;"")),Data!$BK$2,"")</f>
        <v/>
      </c>
      <c r="BH844" s="197"/>
      <c r="BI844" s="328"/>
      <c r="BJ844" s="451"/>
      <c r="BK844" s="452"/>
      <c r="BL844" s="438" t="str">
        <f t="shared" ref="BL844:BL855" si="1258">IF(BJ844="","",100-SUM(BJ844:BK844))</f>
        <v/>
      </c>
      <c r="BM844" s="328"/>
      <c r="BN844" s="197" t="str">
        <f>IF(AND($I844="x",AND(MAX(BJ844:BL844)=BJ844,BJ844&lt;&gt;"")),Data!$BI$2,"")</f>
        <v/>
      </c>
      <c r="BO844" s="197" t="str">
        <f>IF(AND($J844="x",AND(MAX(BJ844:BL844)=BK844,BK844&lt;&gt;"")),Data!$BJ$2,"")</f>
        <v/>
      </c>
      <c r="BP844" s="197" t="str">
        <f>IF(AND($K844="x",AND(MAX(BJ844:BL844)=BL844,BL844&lt;&gt;"")),Data!$BK$2,"")</f>
        <v/>
      </c>
      <c r="BQ844" s="197"/>
      <c r="BR844" s="328"/>
      <c r="BS844" s="451"/>
      <c r="BT844" s="452"/>
      <c r="BU844" s="438" t="str">
        <f t="shared" ref="BU844:BU855" si="1259">IF(BS844="","",100-SUM(BS844:BT844))</f>
        <v/>
      </c>
      <c r="BV844" s="328"/>
      <c r="BW844" s="197" t="str">
        <f>IF(AND($I844="x",AND(MAX(BS844:BU844)=BS844,BS844&lt;&gt;"")),Data!$BI$2,"")</f>
        <v/>
      </c>
      <c r="BX844" s="197" t="str">
        <f>IF(AND($J844="x",AND(MAX(BS844:BU844)=BT844,BT844&lt;&gt;"")),Data!$BJ$2,"")</f>
        <v/>
      </c>
      <c r="BY844" s="197" t="str">
        <f>IF(AND($K844="x",AND(MAX(BS844:BU844)=BU844,BU844&lt;&gt;"")),Data!$BK$2,"")</f>
        <v/>
      </c>
      <c r="BZ844" s="197"/>
      <c r="CA844" s="328"/>
      <c r="CB844" s="457" t="str">
        <f t="shared" ref="CB844:CB855" si="1260">IFERROR(ROUNDUP((SUM(Q844,Z844,AI844,AR844,BA844,BJ844,BS844)/SUM($Q844:$S844,$Z844:$AB844,$AI844:$AK844,$AR844:$AT844,$BA844:$BC844,$BJ844:$BL844,$BS844:$BU844))*100,-1),"")</f>
        <v/>
      </c>
      <c r="CC844" s="458" t="str">
        <f t="shared" ref="CC844:CC855" si="1261">IFERROR(ROUNDDOWN((SUM(R844,AA844,AJ844,AS844,BB844,BK844,BT844)/SUM($Q844:$S844,$Z844:$AB844,$AI844:$AK844,$AR844:$AT844,$BA844:$BC844,$BJ844:$BL844,$BS844:$BU844))*100,-1),"")</f>
        <v/>
      </c>
      <c r="CD844" s="459" t="str">
        <f t="shared" ref="CD844:CD855" si="1262">IF(CB844="","",100-SUM(CB844:CC844))</f>
        <v/>
      </c>
      <c r="CE844" s="328"/>
      <c r="CF844" s="197" t="str">
        <f>IF(AND($I844="x",AND(MAX(CB844:CD844)=CB844,CB844&lt;&gt;"")),Data!$BI$2,"")</f>
        <v/>
      </c>
      <c r="CG844" s="197" t="str">
        <f>IF(AND($J844="x",AND(MAX(CB844:CD844)=CC844,CC844&lt;&gt;"")),Data!$BJ$2,"")</f>
        <v/>
      </c>
      <c r="CH844" s="197" t="str">
        <f>IF(AND($K844="x",AND(MAX(CB844:CD844)=CD844,CD844&lt;&gt;"")),Data!$BK$2,"")</f>
        <v/>
      </c>
      <c r="CI844" s="197"/>
      <c r="CJ844" s="197"/>
      <c r="CK844" s="451"/>
      <c r="CL844" s="452"/>
      <c r="CM844" s="438" t="str">
        <f t="shared" ref="CM844:CM855" si="1263">IF(CK844="","",100-SUM(CK844:CL844))</f>
        <v/>
      </c>
      <c r="CN844" s="328"/>
      <c r="CO844" s="197" t="str">
        <f>IF(AND($I844="x",AND(MAX(CK844:CM844)=CK844,CK844&lt;&gt;"")),Data!$BI$2,"")</f>
        <v/>
      </c>
      <c r="CP844" s="197" t="str">
        <f>IF(AND($J844="x",AND(MAX(CK844:CM844)=CL844,CL844&lt;&gt;"")),Data!$BJ$2,"")</f>
        <v/>
      </c>
      <c r="CQ844" s="197" t="str">
        <f>IF(AND($K844="x",AND(MAX(CK844:CM844)=CM844,CM844&lt;&gt;"")),Data!$BK$2,"")</f>
        <v/>
      </c>
      <c r="CR844" s="197"/>
      <c r="CS844" s="197"/>
      <c r="CT844" s="328"/>
      <c r="CU844" s="255"/>
      <c r="CV844" s="209"/>
      <c r="CW844" s="227"/>
    </row>
    <row r="845" spans="1:101" x14ac:dyDescent="0.2">
      <c r="A845" s="227"/>
      <c r="B845" s="227"/>
      <c r="C845" s="168"/>
      <c r="D845" s="232"/>
      <c r="E845" s="135"/>
      <c r="F845" s="425"/>
      <c r="G845" s="430" t="s">
        <v>51</v>
      </c>
      <c r="H845" s="431"/>
      <c r="I845" s="346" t="str">
        <f t="shared" si="1250"/>
        <v/>
      </c>
      <c r="J845" s="347" t="str">
        <f t="shared" si="1251"/>
        <v/>
      </c>
      <c r="K845" s="348" t="str">
        <f t="shared" si="1252"/>
        <v/>
      </c>
      <c r="L845" s="258"/>
      <c r="M845" s="332"/>
      <c r="N845" s="336"/>
      <c r="O845" s="200"/>
      <c r="P845" s="200"/>
      <c r="Q845" s="439"/>
      <c r="R845" s="440"/>
      <c r="S845" s="441" t="str">
        <f t="shared" si="1253"/>
        <v/>
      </c>
      <c r="T845" s="328"/>
      <c r="U845" s="197" t="str">
        <f>IF(AND($I845="x",AND(MAX(Q845:S845)=Q845,Q845&gt;=0)),Data!$BI$2,"")</f>
        <v/>
      </c>
      <c r="V845" s="197" t="str">
        <f>IF(AND($J845="x",AND(MAX(Q845:S845)=R845,R845&gt;=0)),Data!$BJ$2,"")</f>
        <v/>
      </c>
      <c r="W845" s="197" t="str">
        <f>IF(AND($K845="x",AND(MAX(Q845:S845)=S845,S845&gt;=0)),Data!$BK$2,"")</f>
        <v/>
      </c>
      <c r="X845" s="197"/>
      <c r="Y845" s="328"/>
      <c r="Z845" s="453"/>
      <c r="AA845" s="454"/>
      <c r="AB845" s="441" t="str">
        <f t="shared" si="1254"/>
        <v/>
      </c>
      <c r="AC845" s="328"/>
      <c r="AD845" s="197" t="str">
        <f>IF(AND($I845="x",AND(MAX(Z845:AB845)=Z845,Z845&lt;&gt;"")),Data!$BI$2,"")</f>
        <v/>
      </c>
      <c r="AE845" s="197" t="str">
        <f>IF(AND($J845="x",AND(MAX(Z845:AB845)=AA845,AA845&lt;&gt;"")),Data!$BJ$2,"")</f>
        <v/>
      </c>
      <c r="AF845" s="197" t="str">
        <f>IF(AND($K845="x",AND(MAX(Z845:AB845)=AB845,AB845&lt;&gt;"")),Data!$BK$2,"")</f>
        <v/>
      </c>
      <c r="AG845" s="197"/>
      <c r="AH845" s="328"/>
      <c r="AI845" s="453"/>
      <c r="AJ845" s="454"/>
      <c r="AK845" s="441" t="str">
        <f t="shared" si="1255"/>
        <v/>
      </c>
      <c r="AL845" s="328"/>
      <c r="AM845" s="197" t="str">
        <f>IF(AND($I845="x",AND(MAX(AI845:AK845)=AI845,AI845&lt;&gt;"")),Data!$BI$2,"")</f>
        <v/>
      </c>
      <c r="AN845" s="197" t="str">
        <f>IF(AND($J845="x",AND(MAX(AI845:AK845)=AJ845,AJ845&lt;&gt;"")),Data!$BJ$2,"")</f>
        <v/>
      </c>
      <c r="AO845" s="197" t="str">
        <f>IF(AND($K845="x",AND(MAX(AI845:AK845)=AK845,AK845&lt;&gt;"")),Data!$BK$2,"")</f>
        <v/>
      </c>
      <c r="AP845" s="197"/>
      <c r="AQ845" s="328"/>
      <c r="AR845" s="453"/>
      <c r="AS845" s="454"/>
      <c r="AT845" s="441" t="str">
        <f t="shared" si="1256"/>
        <v/>
      </c>
      <c r="AU845" s="328"/>
      <c r="AV845" s="197" t="str">
        <f>IF(AND($I845="x",AND(MAX(AR845:AT845)=AR845,AR845&lt;&gt;"")),Data!$BI$2,"")</f>
        <v/>
      </c>
      <c r="AW845" s="197" t="str">
        <f>IF(AND($J845="x",AND(MAX(AR845:AT845)=AS845,AS845&lt;&gt;"")),Data!$BJ$2,"")</f>
        <v/>
      </c>
      <c r="AX845" s="197" t="str">
        <f>IF(AND($K845="x",AND(MAX(AR845:AT845)=AT845,AT845&lt;&gt;"")),Data!$BK$2,"")</f>
        <v/>
      </c>
      <c r="AY845" s="197"/>
      <c r="AZ845" s="328"/>
      <c r="BA845" s="453"/>
      <c r="BB845" s="454"/>
      <c r="BC845" s="441" t="str">
        <f t="shared" si="1257"/>
        <v/>
      </c>
      <c r="BD845" s="328"/>
      <c r="BE845" s="197" t="str">
        <f>IF(AND($I845="x",AND(MAX(BA845:BC845)=BA845,BA845&lt;&gt;"")),Data!$BI$2,"")</f>
        <v/>
      </c>
      <c r="BF845" s="197" t="str">
        <f>IF(AND($J845="x",AND(MAX(BA845:BC845)=BB845,BB845&lt;&gt;"")),Data!$BJ$2,"")</f>
        <v/>
      </c>
      <c r="BG845" s="197" t="str">
        <f>IF(AND($K845="x",AND(MAX(BA845:BC845)=BC845,BC845&lt;&gt;"")),Data!$BK$2,"")</f>
        <v/>
      </c>
      <c r="BH845" s="197"/>
      <c r="BI845" s="328"/>
      <c r="BJ845" s="453"/>
      <c r="BK845" s="454"/>
      <c r="BL845" s="441" t="str">
        <f t="shared" si="1258"/>
        <v/>
      </c>
      <c r="BM845" s="328"/>
      <c r="BN845" s="197" t="str">
        <f>IF(AND($I845="x",AND(MAX(BJ845:BL845)=BJ845,BJ845&lt;&gt;"")),Data!$BI$2,"")</f>
        <v/>
      </c>
      <c r="BO845" s="197" t="str">
        <f>IF(AND($J845="x",AND(MAX(BJ845:BL845)=BK845,BK845&lt;&gt;"")),Data!$BJ$2,"")</f>
        <v/>
      </c>
      <c r="BP845" s="197" t="str">
        <f>IF(AND($K845="x",AND(MAX(BJ845:BL845)=BL845,BL845&lt;&gt;"")),Data!$BK$2,"")</f>
        <v/>
      </c>
      <c r="BQ845" s="197"/>
      <c r="BR845" s="328"/>
      <c r="BS845" s="453"/>
      <c r="BT845" s="454"/>
      <c r="BU845" s="441" t="str">
        <f t="shared" si="1259"/>
        <v/>
      </c>
      <c r="BV845" s="328"/>
      <c r="BW845" s="197" t="str">
        <f>IF(AND($I845="x",AND(MAX(BS845:BU845)=BS845,BS845&lt;&gt;"")),Data!$BI$2,"")</f>
        <v/>
      </c>
      <c r="BX845" s="197" t="str">
        <f>IF(AND($J845="x",AND(MAX(BS845:BU845)=BT845,BT845&lt;&gt;"")),Data!$BJ$2,"")</f>
        <v/>
      </c>
      <c r="BY845" s="197" t="str">
        <f>IF(AND($K845="x",AND(MAX(BS845:BU845)=BU845,BU845&lt;&gt;"")),Data!$BK$2,"")</f>
        <v/>
      </c>
      <c r="BZ845" s="197"/>
      <c r="CA845" s="328"/>
      <c r="CB845" s="460" t="str">
        <f t="shared" si="1260"/>
        <v/>
      </c>
      <c r="CC845" s="461" t="str">
        <f t="shared" si="1261"/>
        <v/>
      </c>
      <c r="CD845" s="462" t="str">
        <f t="shared" si="1262"/>
        <v/>
      </c>
      <c r="CE845" s="328"/>
      <c r="CF845" s="197" t="str">
        <f>IF(AND($I845="x",AND(MAX(CB845:CD845)=CB845,CB845&lt;&gt;"")),Data!$BI$2,"")</f>
        <v/>
      </c>
      <c r="CG845" s="197" t="str">
        <f>IF(AND($J845="x",AND(MAX(CB845:CD845)=CC845,CC845&lt;&gt;"")),Data!$BJ$2,"")</f>
        <v/>
      </c>
      <c r="CH845" s="197" t="str">
        <f>IF(AND($K845="x",AND(MAX(CB845:CD845)=CD845,CD845&lt;&gt;"")),Data!$BK$2,"")</f>
        <v/>
      </c>
      <c r="CI845" s="197"/>
      <c r="CJ845" s="197"/>
      <c r="CK845" s="453"/>
      <c r="CL845" s="454"/>
      <c r="CM845" s="441" t="str">
        <f t="shared" si="1263"/>
        <v/>
      </c>
      <c r="CN845" s="328"/>
      <c r="CO845" s="197" t="str">
        <f>IF(AND($I845="x",AND(MAX(CK845:CM845)=CK845,CK845&lt;&gt;"")),Data!$BI$2,"")</f>
        <v/>
      </c>
      <c r="CP845" s="197" t="str">
        <f>IF(AND($J845="x",AND(MAX(CK845:CM845)=CL845,CL845&lt;&gt;"")),Data!$BJ$2,"")</f>
        <v/>
      </c>
      <c r="CQ845" s="197" t="str">
        <f>IF(AND($K845="x",AND(MAX(CK845:CM845)=CM845,CM845&lt;&gt;"")),Data!$BK$2,"")</f>
        <v/>
      </c>
      <c r="CR845" s="197"/>
      <c r="CS845" s="197"/>
      <c r="CT845" s="328"/>
      <c r="CU845" s="255"/>
      <c r="CV845" s="209"/>
      <c r="CW845" s="227"/>
    </row>
    <row r="846" spans="1:101" x14ac:dyDescent="0.2">
      <c r="A846" s="227"/>
      <c r="B846" s="227"/>
      <c r="C846" s="168"/>
      <c r="D846" s="232"/>
      <c r="E846" s="136"/>
      <c r="F846" s="426"/>
      <c r="G846" s="432" t="s">
        <v>51</v>
      </c>
      <c r="H846" s="433"/>
      <c r="I846" s="349" t="str">
        <f t="shared" si="1250"/>
        <v/>
      </c>
      <c r="J846" s="350" t="str">
        <f t="shared" si="1251"/>
        <v/>
      </c>
      <c r="K846" s="351" t="str">
        <f t="shared" si="1252"/>
        <v/>
      </c>
      <c r="L846" s="258"/>
      <c r="M846" s="332"/>
      <c r="N846" s="336"/>
      <c r="O846" s="200"/>
      <c r="P846" s="200"/>
      <c r="Q846" s="442"/>
      <c r="R846" s="443"/>
      <c r="S846" s="444" t="str">
        <f t="shared" si="1253"/>
        <v/>
      </c>
      <c r="T846" s="328"/>
      <c r="U846" s="197" t="str">
        <f>IF(AND($I846="x",AND(MAX(Q846:S846)=Q846,Q846&gt;=0)),Data!$BI$2,"")</f>
        <v/>
      </c>
      <c r="V846" s="197" t="str">
        <f>IF(AND($J846="x",AND(MAX(Q846:S846)=R846,R846&gt;=0)),Data!$BJ$2,"")</f>
        <v/>
      </c>
      <c r="W846" s="197" t="str">
        <f>IF(AND($K846="x",AND(MAX(Q846:S846)=S846,S846&gt;=0)),Data!$BK$2,"")</f>
        <v/>
      </c>
      <c r="X846" s="197"/>
      <c r="Y846" s="328"/>
      <c r="Z846" s="455"/>
      <c r="AA846" s="456"/>
      <c r="AB846" s="444" t="str">
        <f t="shared" si="1254"/>
        <v/>
      </c>
      <c r="AC846" s="328"/>
      <c r="AD846" s="197" t="str">
        <f>IF(AND($I846="x",AND(MAX(Z846:AB846)=Z846,Z846&lt;&gt;"")),Data!$BI$2,"")</f>
        <v/>
      </c>
      <c r="AE846" s="197" t="str">
        <f>IF(AND($J846="x",AND(MAX(Z846:AB846)=AA846,AA846&lt;&gt;"")),Data!$BJ$2,"")</f>
        <v/>
      </c>
      <c r="AF846" s="197" t="str">
        <f>IF(AND($K846="x",AND(MAX(Z846:AB846)=AB846,AB846&lt;&gt;"")),Data!$BK$2,"")</f>
        <v/>
      </c>
      <c r="AG846" s="197"/>
      <c r="AH846" s="328"/>
      <c r="AI846" s="455"/>
      <c r="AJ846" s="456"/>
      <c r="AK846" s="444" t="str">
        <f t="shared" si="1255"/>
        <v/>
      </c>
      <c r="AL846" s="328"/>
      <c r="AM846" s="197" t="str">
        <f>IF(AND($I846="x",AND(MAX(AI846:AK846)=AI846,AI846&lt;&gt;"")),Data!$BI$2,"")</f>
        <v/>
      </c>
      <c r="AN846" s="197" t="str">
        <f>IF(AND($J846="x",AND(MAX(AI846:AK846)=AJ846,AJ846&lt;&gt;"")),Data!$BJ$2,"")</f>
        <v/>
      </c>
      <c r="AO846" s="197" t="str">
        <f>IF(AND($K846="x",AND(MAX(AI846:AK846)=AK846,AK846&lt;&gt;"")),Data!$BK$2,"")</f>
        <v/>
      </c>
      <c r="AP846" s="197"/>
      <c r="AQ846" s="328"/>
      <c r="AR846" s="455"/>
      <c r="AS846" s="456"/>
      <c r="AT846" s="444" t="str">
        <f t="shared" si="1256"/>
        <v/>
      </c>
      <c r="AU846" s="328"/>
      <c r="AV846" s="197" t="str">
        <f>IF(AND($I846="x",AND(MAX(AR846:AT846)=AR846,AR846&lt;&gt;"")),Data!$BI$2,"")</f>
        <v/>
      </c>
      <c r="AW846" s="197" t="str">
        <f>IF(AND($J846="x",AND(MAX(AR846:AT846)=AS846,AS846&lt;&gt;"")),Data!$BJ$2,"")</f>
        <v/>
      </c>
      <c r="AX846" s="197" t="str">
        <f>IF(AND($K846="x",AND(MAX(AR846:AT846)=AT846,AT846&lt;&gt;"")),Data!$BK$2,"")</f>
        <v/>
      </c>
      <c r="AY846" s="197"/>
      <c r="AZ846" s="328"/>
      <c r="BA846" s="455"/>
      <c r="BB846" s="456"/>
      <c r="BC846" s="444" t="str">
        <f t="shared" si="1257"/>
        <v/>
      </c>
      <c r="BD846" s="328"/>
      <c r="BE846" s="197" t="str">
        <f>IF(AND($I846="x",AND(MAX(BA846:BC846)=BA846,BA846&lt;&gt;"")),Data!$BI$2,"")</f>
        <v/>
      </c>
      <c r="BF846" s="197" t="str">
        <f>IF(AND($J846="x",AND(MAX(BA846:BC846)=BB846,BB846&lt;&gt;"")),Data!$BJ$2,"")</f>
        <v/>
      </c>
      <c r="BG846" s="197" t="str">
        <f>IF(AND($K846="x",AND(MAX(BA846:BC846)=BC846,BC846&lt;&gt;"")),Data!$BK$2,"")</f>
        <v/>
      </c>
      <c r="BH846" s="197"/>
      <c r="BI846" s="328"/>
      <c r="BJ846" s="455"/>
      <c r="BK846" s="456"/>
      <c r="BL846" s="444" t="str">
        <f t="shared" si="1258"/>
        <v/>
      </c>
      <c r="BM846" s="328"/>
      <c r="BN846" s="197" t="str">
        <f>IF(AND($I846="x",AND(MAX(BJ846:BL846)=BJ846,BJ846&lt;&gt;"")),Data!$BI$2,"")</f>
        <v/>
      </c>
      <c r="BO846" s="197" t="str">
        <f>IF(AND($J846="x",AND(MAX(BJ846:BL846)=BK846,BK846&lt;&gt;"")),Data!$BJ$2,"")</f>
        <v/>
      </c>
      <c r="BP846" s="197" t="str">
        <f>IF(AND($K846="x",AND(MAX(BJ846:BL846)=BL846,BL846&lt;&gt;"")),Data!$BK$2,"")</f>
        <v/>
      </c>
      <c r="BQ846" s="197"/>
      <c r="BR846" s="328"/>
      <c r="BS846" s="455"/>
      <c r="BT846" s="456"/>
      <c r="BU846" s="444" t="str">
        <f t="shared" si="1259"/>
        <v/>
      </c>
      <c r="BV846" s="328"/>
      <c r="BW846" s="197" t="str">
        <f>IF(AND($I846="x",AND(MAX(BS846:BU846)=BS846,BS846&lt;&gt;"")),Data!$BI$2,"")</f>
        <v/>
      </c>
      <c r="BX846" s="197" t="str">
        <f>IF(AND($J846="x",AND(MAX(BS846:BU846)=BT846,BT846&lt;&gt;"")),Data!$BJ$2,"")</f>
        <v/>
      </c>
      <c r="BY846" s="197" t="str">
        <f>IF(AND($K846="x",AND(MAX(BS846:BU846)=BU846,BU846&lt;&gt;"")),Data!$BK$2,"")</f>
        <v/>
      </c>
      <c r="BZ846" s="197"/>
      <c r="CA846" s="328"/>
      <c r="CB846" s="463" t="str">
        <f t="shared" si="1260"/>
        <v/>
      </c>
      <c r="CC846" s="464" t="str">
        <f t="shared" si="1261"/>
        <v/>
      </c>
      <c r="CD846" s="465" t="str">
        <f t="shared" si="1262"/>
        <v/>
      </c>
      <c r="CE846" s="328"/>
      <c r="CF846" s="197" t="str">
        <f>IF(AND($I846="x",AND(MAX(CB846:CD846)=CB846,CB846&lt;&gt;"")),Data!$BI$2,"")</f>
        <v/>
      </c>
      <c r="CG846" s="197" t="str">
        <f>IF(AND($J846="x",AND(MAX(CB846:CD846)=CC846,CC846&lt;&gt;"")),Data!$BJ$2,"")</f>
        <v/>
      </c>
      <c r="CH846" s="197" t="str">
        <f>IF(AND($K846="x",AND(MAX(CB846:CD846)=CD846,CD846&lt;&gt;"")),Data!$BK$2,"")</f>
        <v/>
      </c>
      <c r="CI846" s="197"/>
      <c r="CJ846" s="197"/>
      <c r="CK846" s="455"/>
      <c r="CL846" s="456"/>
      <c r="CM846" s="444" t="str">
        <f t="shared" si="1263"/>
        <v/>
      </c>
      <c r="CN846" s="328"/>
      <c r="CO846" s="197" t="str">
        <f>IF(AND($I846="x",AND(MAX(CK846:CM846)=CK846,CK846&lt;&gt;"")),Data!$BI$2,"")</f>
        <v/>
      </c>
      <c r="CP846" s="197" t="str">
        <f>IF(AND($J846="x",AND(MAX(CK846:CM846)=CL846,CL846&lt;&gt;"")),Data!$BJ$2,"")</f>
        <v/>
      </c>
      <c r="CQ846" s="197" t="str">
        <f>IF(AND($K846="x",AND(MAX(CK846:CM846)=CM846,CM846&lt;&gt;"")),Data!$BK$2,"")</f>
        <v/>
      </c>
      <c r="CR846" s="197"/>
      <c r="CS846" s="197"/>
      <c r="CT846" s="328"/>
      <c r="CU846" s="255"/>
      <c r="CV846" s="209"/>
      <c r="CW846" s="227"/>
    </row>
    <row r="847" spans="1:101" x14ac:dyDescent="0.2">
      <c r="A847" s="227"/>
      <c r="B847" s="227"/>
      <c r="C847" s="168"/>
      <c r="D847" s="232"/>
      <c r="E847" s="134"/>
      <c r="F847" s="424"/>
      <c r="G847" s="428" t="s">
        <v>51</v>
      </c>
      <c r="H847" s="429"/>
      <c r="I847" s="138" t="str">
        <f t="shared" si="1250"/>
        <v/>
      </c>
      <c r="J847" s="344" t="str">
        <f t="shared" si="1251"/>
        <v/>
      </c>
      <c r="K847" s="345" t="str">
        <f t="shared" si="1252"/>
        <v/>
      </c>
      <c r="L847" s="258"/>
      <c r="M847" s="332"/>
      <c r="N847" s="336"/>
      <c r="O847" s="200"/>
      <c r="P847" s="200"/>
      <c r="Q847" s="436"/>
      <c r="R847" s="437"/>
      <c r="S847" s="438" t="str">
        <f t="shared" si="1253"/>
        <v/>
      </c>
      <c r="T847" s="328"/>
      <c r="U847" s="197" t="str">
        <f>IF(AND($I847="x",AND(MAX(Q847:S847)=Q847,Q847&gt;=0)),Data!$BI$2,"")</f>
        <v/>
      </c>
      <c r="V847" s="197" t="str">
        <f>IF(AND($J847="x",AND(MAX(Q847:S847)=R847,R847&gt;=0)),Data!$BJ$2,"")</f>
        <v/>
      </c>
      <c r="W847" s="197" t="str">
        <f>IF(AND($K847="x",AND(MAX(Q847:S847)=S847,S847&gt;=0)),Data!$BK$2,"")</f>
        <v/>
      </c>
      <c r="X847" s="197"/>
      <c r="Y847" s="328"/>
      <c r="Z847" s="451"/>
      <c r="AA847" s="452"/>
      <c r="AB847" s="438" t="str">
        <f t="shared" si="1254"/>
        <v/>
      </c>
      <c r="AC847" s="328"/>
      <c r="AD847" s="197" t="str">
        <f>IF(AND($I847="x",AND(MAX(Z847:AB847)=Z847,Z847&lt;&gt;"")),Data!$BI$2,"")</f>
        <v/>
      </c>
      <c r="AE847" s="197" t="str">
        <f>IF(AND($J847="x",AND(MAX(Z847:AB847)=AA847,AA847&lt;&gt;"")),Data!$BJ$2,"")</f>
        <v/>
      </c>
      <c r="AF847" s="197" t="str">
        <f>IF(AND($K847="x",AND(MAX(Z847:AB847)=AB847,AB847&lt;&gt;"")),Data!$BK$2,"")</f>
        <v/>
      </c>
      <c r="AG847" s="197"/>
      <c r="AH847" s="328"/>
      <c r="AI847" s="451"/>
      <c r="AJ847" s="452"/>
      <c r="AK847" s="438" t="str">
        <f t="shared" si="1255"/>
        <v/>
      </c>
      <c r="AL847" s="328"/>
      <c r="AM847" s="197" t="str">
        <f>IF(AND($I847="x",AND(MAX(AI847:AK847)=AI847,AI847&lt;&gt;"")),Data!$BI$2,"")</f>
        <v/>
      </c>
      <c r="AN847" s="197" t="str">
        <f>IF(AND($J847="x",AND(MAX(AI847:AK847)=AJ847,AJ847&lt;&gt;"")),Data!$BJ$2,"")</f>
        <v/>
      </c>
      <c r="AO847" s="197" t="str">
        <f>IF(AND($K847="x",AND(MAX(AI847:AK847)=AK847,AK847&lt;&gt;"")),Data!$BK$2,"")</f>
        <v/>
      </c>
      <c r="AP847" s="197"/>
      <c r="AQ847" s="328"/>
      <c r="AR847" s="451"/>
      <c r="AS847" s="452"/>
      <c r="AT847" s="438" t="str">
        <f t="shared" si="1256"/>
        <v/>
      </c>
      <c r="AU847" s="328"/>
      <c r="AV847" s="197" t="str">
        <f>IF(AND($I847="x",AND(MAX(AR847:AT847)=AR847,AR847&lt;&gt;"")),Data!$BI$2,"")</f>
        <v/>
      </c>
      <c r="AW847" s="197" t="str">
        <f>IF(AND($J847="x",AND(MAX(AR847:AT847)=AS847,AS847&lt;&gt;"")),Data!$BJ$2,"")</f>
        <v/>
      </c>
      <c r="AX847" s="197" t="str">
        <f>IF(AND($K847="x",AND(MAX(AR847:AT847)=AT847,AT847&lt;&gt;"")),Data!$BK$2,"")</f>
        <v/>
      </c>
      <c r="AY847" s="197"/>
      <c r="AZ847" s="328"/>
      <c r="BA847" s="451"/>
      <c r="BB847" s="452"/>
      <c r="BC847" s="438" t="str">
        <f t="shared" si="1257"/>
        <v/>
      </c>
      <c r="BD847" s="328"/>
      <c r="BE847" s="197" t="str">
        <f>IF(AND($I847="x",AND(MAX(BA847:BC847)=BA847,BA847&lt;&gt;"")),Data!$BI$2,"")</f>
        <v/>
      </c>
      <c r="BF847" s="197" t="str">
        <f>IF(AND($J847="x",AND(MAX(BA847:BC847)=BB847,BB847&lt;&gt;"")),Data!$BJ$2,"")</f>
        <v/>
      </c>
      <c r="BG847" s="197" t="str">
        <f>IF(AND($K847="x",AND(MAX(BA847:BC847)=BC847,BC847&lt;&gt;"")),Data!$BK$2,"")</f>
        <v/>
      </c>
      <c r="BH847" s="197"/>
      <c r="BI847" s="328"/>
      <c r="BJ847" s="451"/>
      <c r="BK847" s="452"/>
      <c r="BL847" s="438" t="str">
        <f t="shared" si="1258"/>
        <v/>
      </c>
      <c r="BM847" s="328"/>
      <c r="BN847" s="197" t="str">
        <f>IF(AND($I847="x",AND(MAX(BJ847:BL847)=BJ847,BJ847&lt;&gt;"")),Data!$BI$2,"")</f>
        <v/>
      </c>
      <c r="BO847" s="197" t="str">
        <f>IF(AND($J847="x",AND(MAX(BJ847:BL847)=BK847,BK847&lt;&gt;"")),Data!$BJ$2,"")</f>
        <v/>
      </c>
      <c r="BP847" s="197" t="str">
        <f>IF(AND($K847="x",AND(MAX(BJ847:BL847)=BL847,BL847&lt;&gt;"")),Data!$BK$2,"")</f>
        <v/>
      </c>
      <c r="BQ847" s="197"/>
      <c r="BR847" s="328"/>
      <c r="BS847" s="451"/>
      <c r="BT847" s="452"/>
      <c r="BU847" s="438" t="str">
        <f t="shared" si="1259"/>
        <v/>
      </c>
      <c r="BV847" s="328"/>
      <c r="BW847" s="197" t="str">
        <f>IF(AND($I847="x",AND(MAX(BS847:BU847)=BS847,BS847&lt;&gt;"")),Data!$BI$2,"")</f>
        <v/>
      </c>
      <c r="BX847" s="197" t="str">
        <f>IF(AND($J847="x",AND(MAX(BS847:BU847)=BT847,BT847&lt;&gt;"")),Data!$BJ$2,"")</f>
        <v/>
      </c>
      <c r="BY847" s="197" t="str">
        <f>IF(AND($K847="x",AND(MAX(BS847:BU847)=BU847,BU847&lt;&gt;"")),Data!$BK$2,"")</f>
        <v/>
      </c>
      <c r="BZ847" s="197"/>
      <c r="CA847" s="328"/>
      <c r="CB847" s="457" t="str">
        <f t="shared" si="1260"/>
        <v/>
      </c>
      <c r="CC847" s="458" t="str">
        <f t="shared" si="1261"/>
        <v/>
      </c>
      <c r="CD847" s="459" t="str">
        <f t="shared" si="1262"/>
        <v/>
      </c>
      <c r="CE847" s="328"/>
      <c r="CF847" s="197" t="str">
        <f>IF(AND($I847="x",AND(MAX(CB847:CD847)=CB847,CB847&lt;&gt;"")),Data!$BI$2,"")</f>
        <v/>
      </c>
      <c r="CG847" s="197" t="str">
        <f>IF(AND($J847="x",AND(MAX(CB847:CD847)=CC847,CC847&lt;&gt;"")),Data!$BJ$2,"")</f>
        <v/>
      </c>
      <c r="CH847" s="197" t="str">
        <f>IF(AND($K847="x",AND(MAX(CB847:CD847)=CD847,CD847&lt;&gt;"")),Data!$BK$2,"")</f>
        <v/>
      </c>
      <c r="CI847" s="197"/>
      <c r="CJ847" s="197"/>
      <c r="CK847" s="451"/>
      <c r="CL847" s="452"/>
      <c r="CM847" s="438" t="str">
        <f t="shared" si="1263"/>
        <v/>
      </c>
      <c r="CN847" s="328"/>
      <c r="CO847" s="197" t="str">
        <f>IF(AND($I847="x",AND(MAX(CK847:CM847)=CK847,CK847&lt;&gt;"")),Data!$BI$2,"")</f>
        <v/>
      </c>
      <c r="CP847" s="197" t="str">
        <f>IF(AND($J847="x",AND(MAX(CK847:CM847)=CL847,CL847&lt;&gt;"")),Data!$BJ$2,"")</f>
        <v/>
      </c>
      <c r="CQ847" s="197" t="str">
        <f>IF(AND($K847="x",AND(MAX(CK847:CM847)=CM847,CM847&lt;&gt;"")),Data!$BK$2,"")</f>
        <v/>
      </c>
      <c r="CR847" s="197"/>
      <c r="CS847" s="197"/>
      <c r="CT847" s="328"/>
      <c r="CU847" s="255"/>
      <c r="CV847" s="209"/>
      <c r="CW847" s="227"/>
    </row>
    <row r="848" spans="1:101" x14ac:dyDescent="0.2">
      <c r="A848" s="227"/>
      <c r="B848" s="227"/>
      <c r="C848" s="168"/>
      <c r="D848" s="232"/>
      <c r="E848" s="135"/>
      <c r="F848" s="425"/>
      <c r="G848" s="430" t="s">
        <v>51</v>
      </c>
      <c r="H848" s="431"/>
      <c r="I848" s="346" t="str">
        <f t="shared" si="1250"/>
        <v/>
      </c>
      <c r="J848" s="347" t="str">
        <f t="shared" si="1251"/>
        <v/>
      </c>
      <c r="K848" s="348" t="str">
        <f t="shared" si="1252"/>
        <v/>
      </c>
      <c r="L848" s="258"/>
      <c r="M848" s="332"/>
      <c r="N848" s="336"/>
      <c r="O848" s="200"/>
      <c r="P848" s="200"/>
      <c r="Q848" s="439"/>
      <c r="R848" s="440"/>
      <c r="S848" s="441" t="str">
        <f t="shared" si="1253"/>
        <v/>
      </c>
      <c r="T848" s="328"/>
      <c r="U848" s="197" t="str">
        <f>IF(AND($I848="x",AND(MAX(Q848:S848)=Q848,Q848&gt;=0)),Data!$BI$2,"")</f>
        <v/>
      </c>
      <c r="V848" s="197" t="str">
        <f>IF(AND($J848="x",AND(MAX(Q848:S848)=R848,R848&gt;=0)),Data!$BJ$2,"")</f>
        <v/>
      </c>
      <c r="W848" s="197" t="str">
        <f>IF(AND($K848="x",AND(MAX(Q848:S848)=S848,S848&gt;=0)),Data!$BK$2,"")</f>
        <v/>
      </c>
      <c r="X848" s="197"/>
      <c r="Y848" s="328"/>
      <c r="Z848" s="453"/>
      <c r="AA848" s="454"/>
      <c r="AB848" s="441" t="str">
        <f t="shared" si="1254"/>
        <v/>
      </c>
      <c r="AC848" s="328"/>
      <c r="AD848" s="197" t="str">
        <f>IF(AND($I848="x",AND(MAX(Z848:AB848)=Z848,Z848&lt;&gt;"")),Data!$BI$2,"")</f>
        <v/>
      </c>
      <c r="AE848" s="197" t="str">
        <f>IF(AND($J848="x",AND(MAX(Z848:AB848)=AA848,AA848&lt;&gt;"")),Data!$BJ$2,"")</f>
        <v/>
      </c>
      <c r="AF848" s="197" t="str">
        <f>IF(AND($K848="x",AND(MAX(Z848:AB848)=AB848,AB848&lt;&gt;"")),Data!$BK$2,"")</f>
        <v/>
      </c>
      <c r="AG848" s="197"/>
      <c r="AH848" s="328"/>
      <c r="AI848" s="453"/>
      <c r="AJ848" s="454"/>
      <c r="AK848" s="441" t="str">
        <f t="shared" si="1255"/>
        <v/>
      </c>
      <c r="AL848" s="328"/>
      <c r="AM848" s="197" t="str">
        <f>IF(AND($I848="x",AND(MAX(AI848:AK848)=AI848,AI848&lt;&gt;"")),Data!$BI$2,"")</f>
        <v/>
      </c>
      <c r="AN848" s="197" t="str">
        <f>IF(AND($J848="x",AND(MAX(AI848:AK848)=AJ848,AJ848&lt;&gt;"")),Data!$BJ$2,"")</f>
        <v/>
      </c>
      <c r="AO848" s="197" t="str">
        <f>IF(AND($K848="x",AND(MAX(AI848:AK848)=AK848,AK848&lt;&gt;"")),Data!$BK$2,"")</f>
        <v/>
      </c>
      <c r="AP848" s="197"/>
      <c r="AQ848" s="328"/>
      <c r="AR848" s="453"/>
      <c r="AS848" s="454"/>
      <c r="AT848" s="441" t="str">
        <f t="shared" si="1256"/>
        <v/>
      </c>
      <c r="AU848" s="328"/>
      <c r="AV848" s="197" t="str">
        <f>IF(AND($I848="x",AND(MAX(AR848:AT848)=AR848,AR848&lt;&gt;"")),Data!$BI$2,"")</f>
        <v/>
      </c>
      <c r="AW848" s="197" t="str">
        <f>IF(AND($J848="x",AND(MAX(AR848:AT848)=AS848,AS848&lt;&gt;"")),Data!$BJ$2,"")</f>
        <v/>
      </c>
      <c r="AX848" s="197" t="str">
        <f>IF(AND($K848="x",AND(MAX(AR848:AT848)=AT848,AT848&lt;&gt;"")),Data!$BK$2,"")</f>
        <v/>
      </c>
      <c r="AY848" s="197"/>
      <c r="AZ848" s="328"/>
      <c r="BA848" s="453"/>
      <c r="BB848" s="454"/>
      <c r="BC848" s="441" t="str">
        <f t="shared" si="1257"/>
        <v/>
      </c>
      <c r="BD848" s="328"/>
      <c r="BE848" s="197" t="str">
        <f>IF(AND($I848="x",AND(MAX(BA848:BC848)=BA848,BA848&lt;&gt;"")),Data!$BI$2,"")</f>
        <v/>
      </c>
      <c r="BF848" s="197" t="str">
        <f>IF(AND($J848="x",AND(MAX(BA848:BC848)=BB848,BB848&lt;&gt;"")),Data!$BJ$2,"")</f>
        <v/>
      </c>
      <c r="BG848" s="197" t="str">
        <f>IF(AND($K848="x",AND(MAX(BA848:BC848)=BC848,BC848&lt;&gt;"")),Data!$BK$2,"")</f>
        <v/>
      </c>
      <c r="BH848" s="197"/>
      <c r="BI848" s="328"/>
      <c r="BJ848" s="453"/>
      <c r="BK848" s="454"/>
      <c r="BL848" s="441" t="str">
        <f t="shared" si="1258"/>
        <v/>
      </c>
      <c r="BM848" s="328"/>
      <c r="BN848" s="197" t="str">
        <f>IF(AND($I848="x",AND(MAX(BJ848:BL848)=BJ848,BJ848&lt;&gt;"")),Data!$BI$2,"")</f>
        <v/>
      </c>
      <c r="BO848" s="197" t="str">
        <f>IF(AND($J848="x",AND(MAX(BJ848:BL848)=BK848,BK848&lt;&gt;"")),Data!$BJ$2,"")</f>
        <v/>
      </c>
      <c r="BP848" s="197" t="str">
        <f>IF(AND($K848="x",AND(MAX(BJ848:BL848)=BL848,BL848&lt;&gt;"")),Data!$BK$2,"")</f>
        <v/>
      </c>
      <c r="BQ848" s="197"/>
      <c r="BR848" s="328"/>
      <c r="BS848" s="453"/>
      <c r="BT848" s="454"/>
      <c r="BU848" s="441" t="str">
        <f t="shared" si="1259"/>
        <v/>
      </c>
      <c r="BV848" s="328"/>
      <c r="BW848" s="197" t="str">
        <f>IF(AND($I848="x",AND(MAX(BS848:BU848)=BS848,BS848&lt;&gt;"")),Data!$BI$2,"")</f>
        <v/>
      </c>
      <c r="BX848" s="197" t="str">
        <f>IF(AND($J848="x",AND(MAX(BS848:BU848)=BT848,BT848&lt;&gt;"")),Data!$BJ$2,"")</f>
        <v/>
      </c>
      <c r="BY848" s="197" t="str">
        <f>IF(AND($K848="x",AND(MAX(BS848:BU848)=BU848,BU848&lt;&gt;"")),Data!$BK$2,"")</f>
        <v/>
      </c>
      <c r="BZ848" s="197"/>
      <c r="CA848" s="328"/>
      <c r="CB848" s="460" t="str">
        <f t="shared" si="1260"/>
        <v/>
      </c>
      <c r="CC848" s="461" t="str">
        <f t="shared" si="1261"/>
        <v/>
      </c>
      <c r="CD848" s="462" t="str">
        <f t="shared" si="1262"/>
        <v/>
      </c>
      <c r="CE848" s="328"/>
      <c r="CF848" s="197" t="str">
        <f>IF(AND($I848="x",AND(MAX(CB848:CD848)=CB848,CB848&lt;&gt;"")),Data!$BI$2,"")</f>
        <v/>
      </c>
      <c r="CG848" s="197" t="str">
        <f>IF(AND($J848="x",AND(MAX(CB848:CD848)=CC848,CC848&lt;&gt;"")),Data!$BJ$2,"")</f>
        <v/>
      </c>
      <c r="CH848" s="197" t="str">
        <f>IF(AND($K848="x",AND(MAX(CB848:CD848)=CD848,CD848&lt;&gt;"")),Data!$BK$2,"")</f>
        <v/>
      </c>
      <c r="CI848" s="197"/>
      <c r="CJ848" s="197"/>
      <c r="CK848" s="453"/>
      <c r="CL848" s="454"/>
      <c r="CM848" s="441" t="str">
        <f t="shared" si="1263"/>
        <v/>
      </c>
      <c r="CN848" s="328"/>
      <c r="CO848" s="197" t="str">
        <f>IF(AND($I848="x",AND(MAX(CK848:CM848)=CK848,CK848&lt;&gt;"")),Data!$BI$2,"")</f>
        <v/>
      </c>
      <c r="CP848" s="197" t="str">
        <f>IF(AND($J848="x",AND(MAX(CK848:CM848)=CL848,CL848&lt;&gt;"")),Data!$BJ$2,"")</f>
        <v/>
      </c>
      <c r="CQ848" s="197" t="str">
        <f>IF(AND($K848="x",AND(MAX(CK848:CM848)=CM848,CM848&lt;&gt;"")),Data!$BK$2,"")</f>
        <v/>
      </c>
      <c r="CR848" s="197"/>
      <c r="CS848" s="197"/>
      <c r="CT848" s="328"/>
      <c r="CU848" s="255"/>
      <c r="CV848" s="209"/>
      <c r="CW848" s="227"/>
    </row>
    <row r="849" spans="1:101" x14ac:dyDescent="0.2">
      <c r="A849" s="227"/>
      <c r="B849" s="227"/>
      <c r="C849" s="168"/>
      <c r="D849" s="232"/>
      <c r="E849" s="136"/>
      <c r="F849" s="426"/>
      <c r="G849" s="432" t="s">
        <v>51</v>
      </c>
      <c r="H849" s="433"/>
      <c r="I849" s="349" t="str">
        <f t="shared" si="1250"/>
        <v/>
      </c>
      <c r="J849" s="350" t="str">
        <f t="shared" si="1251"/>
        <v/>
      </c>
      <c r="K849" s="351" t="str">
        <f t="shared" si="1252"/>
        <v/>
      </c>
      <c r="L849" s="258"/>
      <c r="M849" s="332"/>
      <c r="N849" s="336"/>
      <c r="O849" s="200"/>
      <c r="P849" s="200"/>
      <c r="Q849" s="445"/>
      <c r="R849" s="446"/>
      <c r="S849" s="447" t="str">
        <f t="shared" si="1253"/>
        <v/>
      </c>
      <c r="T849" s="328"/>
      <c r="U849" s="197" t="str">
        <f>IF(AND($I849="x",AND(MAX(Q849:S849)=Q849,Q849&gt;=0)),Data!$BI$2,"")</f>
        <v/>
      </c>
      <c r="V849" s="197" t="str">
        <f>IF(AND($J849="x",AND(MAX(Q849:S849)=R849,R849&gt;=0)),Data!$BJ$2,"")</f>
        <v/>
      </c>
      <c r="W849" s="197" t="str">
        <f>IF(AND($K849="x",AND(MAX(Q849:S849)=S849,S849&gt;=0)),Data!$BK$2,"")</f>
        <v/>
      </c>
      <c r="X849" s="197"/>
      <c r="Y849" s="328"/>
      <c r="Z849" s="455"/>
      <c r="AA849" s="456"/>
      <c r="AB849" s="447" t="str">
        <f t="shared" si="1254"/>
        <v/>
      </c>
      <c r="AC849" s="328"/>
      <c r="AD849" s="197" t="str">
        <f>IF(AND($I849="x",AND(MAX(Z849:AB849)=Z849,Z849&lt;&gt;"")),Data!$BI$2,"")</f>
        <v/>
      </c>
      <c r="AE849" s="197" t="str">
        <f>IF(AND($J849="x",AND(MAX(Z849:AB849)=AA849,AA849&lt;&gt;"")),Data!$BJ$2,"")</f>
        <v/>
      </c>
      <c r="AF849" s="197" t="str">
        <f>IF(AND($K849="x",AND(MAX(Z849:AB849)=AB849,AB849&lt;&gt;"")),Data!$BK$2,"")</f>
        <v/>
      </c>
      <c r="AG849" s="197"/>
      <c r="AH849" s="328"/>
      <c r="AI849" s="455"/>
      <c r="AJ849" s="456"/>
      <c r="AK849" s="447" t="str">
        <f t="shared" si="1255"/>
        <v/>
      </c>
      <c r="AL849" s="328"/>
      <c r="AM849" s="197" t="str">
        <f>IF(AND($I849="x",AND(MAX(AI849:AK849)=AI849,AI849&lt;&gt;"")),Data!$BI$2,"")</f>
        <v/>
      </c>
      <c r="AN849" s="197" t="str">
        <f>IF(AND($J849="x",AND(MAX(AI849:AK849)=AJ849,AJ849&lt;&gt;"")),Data!$BJ$2,"")</f>
        <v/>
      </c>
      <c r="AO849" s="197" t="str">
        <f>IF(AND($K849="x",AND(MAX(AI849:AK849)=AK849,AK849&lt;&gt;"")),Data!$BK$2,"")</f>
        <v/>
      </c>
      <c r="AP849" s="197"/>
      <c r="AQ849" s="328"/>
      <c r="AR849" s="455"/>
      <c r="AS849" s="456"/>
      <c r="AT849" s="447" t="str">
        <f t="shared" si="1256"/>
        <v/>
      </c>
      <c r="AU849" s="328"/>
      <c r="AV849" s="197" t="str">
        <f>IF(AND($I849="x",AND(MAX(AR849:AT849)=AR849,AR849&lt;&gt;"")),Data!$BI$2,"")</f>
        <v/>
      </c>
      <c r="AW849" s="197" t="str">
        <f>IF(AND($J849="x",AND(MAX(AR849:AT849)=AS849,AS849&lt;&gt;"")),Data!$BJ$2,"")</f>
        <v/>
      </c>
      <c r="AX849" s="197" t="str">
        <f>IF(AND($K849="x",AND(MAX(AR849:AT849)=AT849,AT849&lt;&gt;"")),Data!$BK$2,"")</f>
        <v/>
      </c>
      <c r="AY849" s="197"/>
      <c r="AZ849" s="328"/>
      <c r="BA849" s="455"/>
      <c r="BB849" s="456"/>
      <c r="BC849" s="447" t="str">
        <f t="shared" si="1257"/>
        <v/>
      </c>
      <c r="BD849" s="328"/>
      <c r="BE849" s="197" t="str">
        <f>IF(AND($I849="x",AND(MAX(BA849:BC849)=BA849,BA849&lt;&gt;"")),Data!$BI$2,"")</f>
        <v/>
      </c>
      <c r="BF849" s="197" t="str">
        <f>IF(AND($J849="x",AND(MAX(BA849:BC849)=BB849,BB849&lt;&gt;"")),Data!$BJ$2,"")</f>
        <v/>
      </c>
      <c r="BG849" s="197" t="str">
        <f>IF(AND($K849="x",AND(MAX(BA849:BC849)=BC849,BC849&lt;&gt;"")),Data!$BK$2,"")</f>
        <v/>
      </c>
      <c r="BH849" s="197"/>
      <c r="BI849" s="328"/>
      <c r="BJ849" s="455"/>
      <c r="BK849" s="456"/>
      <c r="BL849" s="447" t="str">
        <f t="shared" si="1258"/>
        <v/>
      </c>
      <c r="BM849" s="328"/>
      <c r="BN849" s="197" t="str">
        <f>IF(AND($I849="x",AND(MAX(BJ849:BL849)=BJ849,BJ849&lt;&gt;"")),Data!$BI$2,"")</f>
        <v/>
      </c>
      <c r="BO849" s="197" t="str">
        <f>IF(AND($J849="x",AND(MAX(BJ849:BL849)=BK849,BK849&lt;&gt;"")),Data!$BJ$2,"")</f>
        <v/>
      </c>
      <c r="BP849" s="197" t="str">
        <f>IF(AND($K849="x",AND(MAX(BJ849:BL849)=BL849,BL849&lt;&gt;"")),Data!$BK$2,"")</f>
        <v/>
      </c>
      <c r="BQ849" s="197"/>
      <c r="BR849" s="328"/>
      <c r="BS849" s="455"/>
      <c r="BT849" s="456"/>
      <c r="BU849" s="447" t="str">
        <f t="shared" si="1259"/>
        <v/>
      </c>
      <c r="BV849" s="328"/>
      <c r="BW849" s="197" t="str">
        <f>IF(AND($I849="x",AND(MAX(BS849:BU849)=BS849,BS849&lt;&gt;"")),Data!$BI$2,"")</f>
        <v/>
      </c>
      <c r="BX849" s="197" t="str">
        <f>IF(AND($J849="x",AND(MAX(BS849:BU849)=BT849,BT849&lt;&gt;"")),Data!$BJ$2,"")</f>
        <v/>
      </c>
      <c r="BY849" s="197" t="str">
        <f>IF(AND($K849="x",AND(MAX(BS849:BU849)=BU849,BU849&lt;&gt;"")),Data!$BK$2,"")</f>
        <v/>
      </c>
      <c r="BZ849" s="197"/>
      <c r="CA849" s="328"/>
      <c r="CB849" s="463" t="str">
        <f t="shared" si="1260"/>
        <v/>
      </c>
      <c r="CC849" s="464" t="str">
        <f t="shared" si="1261"/>
        <v/>
      </c>
      <c r="CD849" s="465" t="str">
        <f t="shared" si="1262"/>
        <v/>
      </c>
      <c r="CE849" s="328"/>
      <c r="CF849" s="197" t="str">
        <f>IF(AND($I849="x",AND(MAX(CB849:CD849)=CB849,CB849&lt;&gt;"")),Data!$BI$2,"")</f>
        <v/>
      </c>
      <c r="CG849" s="197" t="str">
        <f>IF(AND($J849="x",AND(MAX(CB849:CD849)=CC849,CC849&lt;&gt;"")),Data!$BJ$2,"")</f>
        <v/>
      </c>
      <c r="CH849" s="197" t="str">
        <f>IF(AND($K849="x",AND(MAX(CB849:CD849)=CD849,CD849&lt;&gt;"")),Data!$BK$2,"")</f>
        <v/>
      </c>
      <c r="CI849" s="197"/>
      <c r="CJ849" s="197"/>
      <c r="CK849" s="455"/>
      <c r="CL849" s="456"/>
      <c r="CM849" s="447" t="str">
        <f t="shared" si="1263"/>
        <v/>
      </c>
      <c r="CN849" s="328"/>
      <c r="CO849" s="197" t="str">
        <f>IF(AND($I849="x",AND(MAX(CK849:CM849)=CK849,CK849&lt;&gt;"")),Data!$BI$2,"")</f>
        <v/>
      </c>
      <c r="CP849" s="197" t="str">
        <f>IF(AND($J849="x",AND(MAX(CK849:CM849)=CL849,CL849&lt;&gt;"")),Data!$BJ$2,"")</f>
        <v/>
      </c>
      <c r="CQ849" s="197" t="str">
        <f>IF(AND($K849="x",AND(MAX(CK849:CM849)=CM849,CM849&lt;&gt;"")),Data!$BK$2,"")</f>
        <v/>
      </c>
      <c r="CR849" s="197"/>
      <c r="CS849" s="197"/>
      <c r="CT849" s="328"/>
      <c r="CU849" s="255"/>
      <c r="CV849" s="209"/>
      <c r="CW849" s="227"/>
    </row>
    <row r="850" spans="1:101" x14ac:dyDescent="0.2">
      <c r="A850" s="227"/>
      <c r="B850" s="227"/>
      <c r="C850" s="168"/>
      <c r="D850" s="232"/>
      <c r="E850" s="134"/>
      <c r="F850" s="424"/>
      <c r="G850" s="428" t="s">
        <v>51</v>
      </c>
      <c r="H850" s="429"/>
      <c r="I850" s="138" t="str">
        <f t="shared" si="1250"/>
        <v/>
      </c>
      <c r="J850" s="344" t="str">
        <f t="shared" si="1251"/>
        <v/>
      </c>
      <c r="K850" s="345" t="str">
        <f t="shared" si="1252"/>
        <v/>
      </c>
      <c r="L850" s="258"/>
      <c r="M850" s="332"/>
      <c r="N850" s="336"/>
      <c r="O850" s="200"/>
      <c r="P850" s="200"/>
      <c r="Q850" s="436"/>
      <c r="R850" s="437"/>
      <c r="S850" s="438" t="str">
        <f t="shared" si="1253"/>
        <v/>
      </c>
      <c r="T850" s="328"/>
      <c r="U850" s="197" t="str">
        <f>IF(AND($I850="x",AND(MAX(Q850:S850)=Q850,Q850&gt;=0)),Data!$BI$2,"")</f>
        <v/>
      </c>
      <c r="V850" s="197" t="str">
        <f>IF(AND($J850="x",AND(MAX(Q850:S850)=R850,R850&gt;=0)),Data!$BJ$2,"")</f>
        <v/>
      </c>
      <c r="W850" s="197" t="str">
        <f>IF(AND($K850="x",AND(MAX(Q850:S850)=S850,S850&gt;=0)),Data!$BK$2,"")</f>
        <v/>
      </c>
      <c r="X850" s="197"/>
      <c r="Y850" s="328"/>
      <c r="Z850" s="451"/>
      <c r="AA850" s="452"/>
      <c r="AB850" s="438" t="str">
        <f t="shared" si="1254"/>
        <v/>
      </c>
      <c r="AC850" s="328"/>
      <c r="AD850" s="197" t="str">
        <f>IF(AND($I850="x",AND(MAX(Z850:AB850)=Z850,Z850&lt;&gt;"")),Data!$BI$2,"")</f>
        <v/>
      </c>
      <c r="AE850" s="197" t="str">
        <f>IF(AND($J850="x",AND(MAX(Z850:AB850)=AA850,AA850&lt;&gt;"")),Data!$BJ$2,"")</f>
        <v/>
      </c>
      <c r="AF850" s="197" t="str">
        <f>IF(AND($K850="x",AND(MAX(Z850:AB850)=AB850,AB850&lt;&gt;"")),Data!$BK$2,"")</f>
        <v/>
      </c>
      <c r="AG850" s="197"/>
      <c r="AH850" s="328"/>
      <c r="AI850" s="451"/>
      <c r="AJ850" s="452"/>
      <c r="AK850" s="438" t="str">
        <f t="shared" si="1255"/>
        <v/>
      </c>
      <c r="AL850" s="328"/>
      <c r="AM850" s="197" t="str">
        <f>IF(AND($I850="x",AND(MAX(AI850:AK850)=AI850,AI850&lt;&gt;"")),Data!$BI$2,"")</f>
        <v/>
      </c>
      <c r="AN850" s="197" t="str">
        <f>IF(AND($J850="x",AND(MAX(AI850:AK850)=AJ850,AJ850&lt;&gt;"")),Data!$BJ$2,"")</f>
        <v/>
      </c>
      <c r="AO850" s="197" t="str">
        <f>IF(AND($K850="x",AND(MAX(AI850:AK850)=AK850,AK850&lt;&gt;"")),Data!$BK$2,"")</f>
        <v/>
      </c>
      <c r="AP850" s="197"/>
      <c r="AQ850" s="328"/>
      <c r="AR850" s="451"/>
      <c r="AS850" s="452"/>
      <c r="AT850" s="438" t="str">
        <f t="shared" si="1256"/>
        <v/>
      </c>
      <c r="AU850" s="328"/>
      <c r="AV850" s="197" t="str">
        <f>IF(AND($I850="x",AND(MAX(AR850:AT850)=AR850,AR850&lt;&gt;"")),Data!$BI$2,"")</f>
        <v/>
      </c>
      <c r="AW850" s="197" t="str">
        <f>IF(AND($J850="x",AND(MAX(AR850:AT850)=AS850,AS850&lt;&gt;"")),Data!$BJ$2,"")</f>
        <v/>
      </c>
      <c r="AX850" s="197" t="str">
        <f>IF(AND($K850="x",AND(MAX(AR850:AT850)=AT850,AT850&lt;&gt;"")),Data!$BK$2,"")</f>
        <v/>
      </c>
      <c r="AY850" s="197"/>
      <c r="AZ850" s="328"/>
      <c r="BA850" s="451"/>
      <c r="BB850" s="452"/>
      <c r="BC850" s="438" t="str">
        <f t="shared" si="1257"/>
        <v/>
      </c>
      <c r="BD850" s="328"/>
      <c r="BE850" s="197" t="str">
        <f>IF(AND($I850="x",AND(MAX(BA850:BC850)=BA850,BA850&lt;&gt;"")),Data!$BI$2,"")</f>
        <v/>
      </c>
      <c r="BF850" s="197" t="str">
        <f>IF(AND($J850="x",AND(MAX(BA850:BC850)=BB850,BB850&lt;&gt;"")),Data!$BJ$2,"")</f>
        <v/>
      </c>
      <c r="BG850" s="197" t="str">
        <f>IF(AND($K850="x",AND(MAX(BA850:BC850)=BC850,BC850&lt;&gt;"")),Data!$BK$2,"")</f>
        <v/>
      </c>
      <c r="BH850" s="197"/>
      <c r="BI850" s="328"/>
      <c r="BJ850" s="451"/>
      <c r="BK850" s="452"/>
      <c r="BL850" s="438" t="str">
        <f t="shared" si="1258"/>
        <v/>
      </c>
      <c r="BM850" s="328"/>
      <c r="BN850" s="197" t="str">
        <f>IF(AND($I850="x",AND(MAX(BJ850:BL850)=BJ850,BJ850&lt;&gt;"")),Data!$BI$2,"")</f>
        <v/>
      </c>
      <c r="BO850" s="197" t="str">
        <f>IF(AND($J850="x",AND(MAX(BJ850:BL850)=BK850,BK850&lt;&gt;"")),Data!$BJ$2,"")</f>
        <v/>
      </c>
      <c r="BP850" s="197" t="str">
        <f>IF(AND($K850="x",AND(MAX(BJ850:BL850)=BL850,BL850&lt;&gt;"")),Data!$BK$2,"")</f>
        <v/>
      </c>
      <c r="BQ850" s="197"/>
      <c r="BR850" s="328"/>
      <c r="BS850" s="451"/>
      <c r="BT850" s="452"/>
      <c r="BU850" s="438" t="str">
        <f t="shared" si="1259"/>
        <v/>
      </c>
      <c r="BV850" s="328"/>
      <c r="BW850" s="197" t="str">
        <f>IF(AND($I850="x",AND(MAX(BS850:BU850)=BS850,BS850&lt;&gt;"")),Data!$BI$2,"")</f>
        <v/>
      </c>
      <c r="BX850" s="197" t="str">
        <f>IF(AND($J850="x",AND(MAX(BS850:BU850)=BT850,BT850&lt;&gt;"")),Data!$BJ$2,"")</f>
        <v/>
      </c>
      <c r="BY850" s="197" t="str">
        <f>IF(AND($K850="x",AND(MAX(BS850:BU850)=BU850,BU850&lt;&gt;"")),Data!$BK$2,"")</f>
        <v/>
      </c>
      <c r="BZ850" s="197"/>
      <c r="CA850" s="328"/>
      <c r="CB850" s="457" t="str">
        <f t="shared" si="1260"/>
        <v/>
      </c>
      <c r="CC850" s="458" t="str">
        <f t="shared" si="1261"/>
        <v/>
      </c>
      <c r="CD850" s="459" t="str">
        <f t="shared" si="1262"/>
        <v/>
      </c>
      <c r="CE850" s="328"/>
      <c r="CF850" s="197" t="str">
        <f>IF(AND($I850="x",AND(MAX(CB850:CD850)=CB850,CB850&lt;&gt;"")),Data!$BI$2,"")</f>
        <v/>
      </c>
      <c r="CG850" s="197" t="str">
        <f>IF(AND($J850="x",AND(MAX(CB850:CD850)=CC850,CC850&lt;&gt;"")),Data!$BJ$2,"")</f>
        <v/>
      </c>
      <c r="CH850" s="197" t="str">
        <f>IF(AND($K850="x",AND(MAX(CB850:CD850)=CD850,CD850&lt;&gt;"")),Data!$BK$2,"")</f>
        <v/>
      </c>
      <c r="CI850" s="197"/>
      <c r="CJ850" s="197"/>
      <c r="CK850" s="451"/>
      <c r="CL850" s="452"/>
      <c r="CM850" s="438" t="str">
        <f t="shared" si="1263"/>
        <v/>
      </c>
      <c r="CN850" s="328"/>
      <c r="CO850" s="197" t="str">
        <f>IF(AND($I850="x",AND(MAX(CK850:CM850)=CK850,CK850&lt;&gt;"")),Data!$BI$2,"")</f>
        <v/>
      </c>
      <c r="CP850" s="197" t="str">
        <f>IF(AND($J850="x",AND(MAX(CK850:CM850)=CL850,CL850&lt;&gt;"")),Data!$BJ$2,"")</f>
        <v/>
      </c>
      <c r="CQ850" s="197" t="str">
        <f>IF(AND($K850="x",AND(MAX(CK850:CM850)=CM850,CM850&lt;&gt;"")),Data!$BK$2,"")</f>
        <v/>
      </c>
      <c r="CR850" s="197"/>
      <c r="CS850" s="197"/>
      <c r="CT850" s="328"/>
      <c r="CU850" s="259"/>
      <c r="CV850" s="209"/>
      <c r="CW850" s="227"/>
    </row>
    <row r="851" spans="1:101" x14ac:dyDescent="0.2">
      <c r="A851" s="227"/>
      <c r="B851" s="227"/>
      <c r="C851" s="168"/>
      <c r="D851" s="232"/>
      <c r="E851" s="135"/>
      <c r="F851" s="425"/>
      <c r="G851" s="430" t="s">
        <v>51</v>
      </c>
      <c r="H851" s="431"/>
      <c r="I851" s="346" t="str">
        <f t="shared" si="1250"/>
        <v/>
      </c>
      <c r="J851" s="347" t="str">
        <f t="shared" si="1251"/>
        <v/>
      </c>
      <c r="K851" s="348" t="str">
        <f t="shared" si="1252"/>
        <v/>
      </c>
      <c r="L851" s="258"/>
      <c r="M851" s="332"/>
      <c r="N851" s="336"/>
      <c r="O851" s="200"/>
      <c r="P851" s="200"/>
      <c r="Q851" s="439"/>
      <c r="R851" s="440"/>
      <c r="S851" s="441" t="str">
        <f t="shared" si="1253"/>
        <v/>
      </c>
      <c r="T851" s="328"/>
      <c r="U851" s="197" t="str">
        <f>IF(AND($I851="x",AND(MAX(Q851:S851)=Q851,Q851&gt;=0)),Data!$BI$2,"")</f>
        <v/>
      </c>
      <c r="V851" s="197" t="str">
        <f>IF(AND($J851="x",AND(MAX(Q851:S851)=R851,R851&gt;=0)),Data!$BJ$2,"")</f>
        <v/>
      </c>
      <c r="W851" s="197" t="str">
        <f>IF(AND($K851="x",AND(MAX(Q851:S851)=S851,S851&gt;=0)),Data!$BK$2,"")</f>
        <v/>
      </c>
      <c r="X851" s="197"/>
      <c r="Y851" s="328"/>
      <c r="Z851" s="453"/>
      <c r="AA851" s="454"/>
      <c r="AB851" s="441" t="str">
        <f t="shared" si="1254"/>
        <v/>
      </c>
      <c r="AC851" s="328"/>
      <c r="AD851" s="197" t="str">
        <f>IF(AND($I851="x",AND(MAX(Z851:AB851)=Z851,Z851&lt;&gt;"")),Data!$BI$2,"")</f>
        <v/>
      </c>
      <c r="AE851" s="197" t="str">
        <f>IF(AND($J851="x",AND(MAX(Z851:AB851)=AA851,AA851&lt;&gt;"")),Data!$BJ$2,"")</f>
        <v/>
      </c>
      <c r="AF851" s="197" t="str">
        <f>IF(AND($K851="x",AND(MAX(Z851:AB851)=AB851,AB851&lt;&gt;"")),Data!$BK$2,"")</f>
        <v/>
      </c>
      <c r="AG851" s="197"/>
      <c r="AH851" s="328"/>
      <c r="AI851" s="453"/>
      <c r="AJ851" s="454"/>
      <c r="AK851" s="441" t="str">
        <f t="shared" si="1255"/>
        <v/>
      </c>
      <c r="AL851" s="328"/>
      <c r="AM851" s="197" t="str">
        <f>IF(AND($I851="x",AND(MAX(AI851:AK851)=AI851,AI851&lt;&gt;"")),Data!$BI$2,"")</f>
        <v/>
      </c>
      <c r="AN851" s="197" t="str">
        <f>IF(AND($J851="x",AND(MAX(AI851:AK851)=AJ851,AJ851&lt;&gt;"")),Data!$BJ$2,"")</f>
        <v/>
      </c>
      <c r="AO851" s="197" t="str">
        <f>IF(AND($K851="x",AND(MAX(AI851:AK851)=AK851,AK851&lt;&gt;"")),Data!$BK$2,"")</f>
        <v/>
      </c>
      <c r="AP851" s="197"/>
      <c r="AQ851" s="328"/>
      <c r="AR851" s="453"/>
      <c r="AS851" s="454"/>
      <c r="AT851" s="441" t="str">
        <f t="shared" si="1256"/>
        <v/>
      </c>
      <c r="AU851" s="328"/>
      <c r="AV851" s="197" t="str">
        <f>IF(AND($I851="x",AND(MAX(AR851:AT851)=AR851,AR851&lt;&gt;"")),Data!$BI$2,"")</f>
        <v/>
      </c>
      <c r="AW851" s="197" t="str">
        <f>IF(AND($J851="x",AND(MAX(AR851:AT851)=AS851,AS851&lt;&gt;"")),Data!$BJ$2,"")</f>
        <v/>
      </c>
      <c r="AX851" s="197" t="str">
        <f>IF(AND($K851="x",AND(MAX(AR851:AT851)=AT851,AT851&lt;&gt;"")),Data!$BK$2,"")</f>
        <v/>
      </c>
      <c r="AY851" s="197"/>
      <c r="AZ851" s="328"/>
      <c r="BA851" s="453"/>
      <c r="BB851" s="454"/>
      <c r="BC851" s="441" t="str">
        <f t="shared" si="1257"/>
        <v/>
      </c>
      <c r="BD851" s="328"/>
      <c r="BE851" s="197" t="str">
        <f>IF(AND($I851="x",AND(MAX(BA851:BC851)=BA851,BA851&lt;&gt;"")),Data!$BI$2,"")</f>
        <v/>
      </c>
      <c r="BF851" s="197" t="str">
        <f>IF(AND($J851="x",AND(MAX(BA851:BC851)=BB851,BB851&lt;&gt;"")),Data!$BJ$2,"")</f>
        <v/>
      </c>
      <c r="BG851" s="197" t="str">
        <f>IF(AND($K851="x",AND(MAX(BA851:BC851)=BC851,BC851&lt;&gt;"")),Data!$BK$2,"")</f>
        <v/>
      </c>
      <c r="BH851" s="197"/>
      <c r="BI851" s="328"/>
      <c r="BJ851" s="453"/>
      <c r="BK851" s="454"/>
      <c r="BL851" s="441" t="str">
        <f t="shared" si="1258"/>
        <v/>
      </c>
      <c r="BM851" s="328"/>
      <c r="BN851" s="197" t="str">
        <f>IF(AND($I851="x",AND(MAX(BJ851:BL851)=BJ851,BJ851&lt;&gt;"")),Data!$BI$2,"")</f>
        <v/>
      </c>
      <c r="BO851" s="197" t="str">
        <f>IF(AND($J851="x",AND(MAX(BJ851:BL851)=BK851,BK851&lt;&gt;"")),Data!$BJ$2,"")</f>
        <v/>
      </c>
      <c r="BP851" s="197" t="str">
        <f>IF(AND($K851="x",AND(MAX(BJ851:BL851)=BL851,BL851&lt;&gt;"")),Data!$BK$2,"")</f>
        <v/>
      </c>
      <c r="BQ851" s="197"/>
      <c r="BR851" s="328"/>
      <c r="BS851" s="453"/>
      <c r="BT851" s="454"/>
      <c r="BU851" s="441" t="str">
        <f t="shared" si="1259"/>
        <v/>
      </c>
      <c r="BV851" s="328"/>
      <c r="BW851" s="197" t="str">
        <f>IF(AND($I851="x",AND(MAX(BS851:BU851)=BS851,BS851&lt;&gt;"")),Data!$BI$2,"")</f>
        <v/>
      </c>
      <c r="BX851" s="197" t="str">
        <f>IF(AND($J851="x",AND(MAX(BS851:BU851)=BT851,BT851&lt;&gt;"")),Data!$BJ$2,"")</f>
        <v/>
      </c>
      <c r="BY851" s="197" t="str">
        <f>IF(AND($K851="x",AND(MAX(BS851:BU851)=BU851,BU851&lt;&gt;"")),Data!$BK$2,"")</f>
        <v/>
      </c>
      <c r="BZ851" s="197"/>
      <c r="CA851" s="328"/>
      <c r="CB851" s="460" t="str">
        <f t="shared" si="1260"/>
        <v/>
      </c>
      <c r="CC851" s="461" t="str">
        <f t="shared" si="1261"/>
        <v/>
      </c>
      <c r="CD851" s="462" t="str">
        <f t="shared" si="1262"/>
        <v/>
      </c>
      <c r="CE851" s="328"/>
      <c r="CF851" s="197" t="str">
        <f>IF(AND($I851="x",AND(MAX(CB851:CD851)=CB851,CB851&lt;&gt;"")),Data!$BI$2,"")</f>
        <v/>
      </c>
      <c r="CG851" s="197" t="str">
        <f>IF(AND($J851="x",AND(MAX(CB851:CD851)=CC851,CC851&lt;&gt;"")),Data!$BJ$2,"")</f>
        <v/>
      </c>
      <c r="CH851" s="197" t="str">
        <f>IF(AND($K851="x",AND(MAX(CB851:CD851)=CD851,CD851&lt;&gt;"")),Data!$BK$2,"")</f>
        <v/>
      </c>
      <c r="CI851" s="197"/>
      <c r="CJ851" s="197"/>
      <c r="CK851" s="453"/>
      <c r="CL851" s="454"/>
      <c r="CM851" s="441" t="str">
        <f t="shared" si="1263"/>
        <v/>
      </c>
      <c r="CN851" s="328"/>
      <c r="CO851" s="197" t="str">
        <f>IF(AND($I851="x",AND(MAX(CK851:CM851)=CK851,CK851&lt;&gt;"")),Data!$BI$2,"")</f>
        <v/>
      </c>
      <c r="CP851" s="197" t="str">
        <f>IF(AND($J851="x",AND(MAX(CK851:CM851)=CL851,CL851&lt;&gt;"")),Data!$BJ$2,"")</f>
        <v/>
      </c>
      <c r="CQ851" s="197" t="str">
        <f>IF(AND($K851="x",AND(MAX(CK851:CM851)=CM851,CM851&lt;&gt;"")),Data!$BK$2,"")</f>
        <v/>
      </c>
      <c r="CR851" s="197"/>
      <c r="CS851" s="197"/>
      <c r="CT851" s="328"/>
      <c r="CU851" s="259"/>
      <c r="CV851" s="209"/>
      <c r="CW851" s="227"/>
    </row>
    <row r="852" spans="1:101" x14ac:dyDescent="0.2">
      <c r="A852" s="227"/>
      <c r="B852" s="227"/>
      <c r="C852" s="168"/>
      <c r="D852" s="232"/>
      <c r="E852" s="136"/>
      <c r="F852" s="426"/>
      <c r="G852" s="432" t="s">
        <v>51</v>
      </c>
      <c r="H852" s="433"/>
      <c r="I852" s="349" t="str">
        <f t="shared" si="1250"/>
        <v/>
      </c>
      <c r="J852" s="350" t="str">
        <f t="shared" si="1251"/>
        <v/>
      </c>
      <c r="K852" s="351" t="str">
        <f t="shared" si="1252"/>
        <v/>
      </c>
      <c r="L852" s="258"/>
      <c r="M852" s="332"/>
      <c r="N852" s="336"/>
      <c r="O852" s="200"/>
      <c r="P852" s="200"/>
      <c r="Q852" s="445"/>
      <c r="R852" s="446"/>
      <c r="S852" s="447" t="str">
        <f t="shared" si="1253"/>
        <v/>
      </c>
      <c r="T852" s="328"/>
      <c r="U852" s="197" t="str">
        <f>IF(AND($I852="x",AND(MAX(Q852:S852)=Q852,Q852&gt;=0)),Data!$BI$2,"")</f>
        <v/>
      </c>
      <c r="V852" s="197" t="str">
        <f>IF(AND($J852="x",AND(MAX(Q852:S852)=R852,R852&gt;=0)),Data!$BJ$2,"")</f>
        <v/>
      </c>
      <c r="W852" s="197" t="str">
        <f>IF(AND($K852="x",AND(MAX(Q852:S852)=S852,S852&gt;=0)),Data!$BK$2,"")</f>
        <v/>
      </c>
      <c r="X852" s="197"/>
      <c r="Y852" s="328"/>
      <c r="Z852" s="455"/>
      <c r="AA852" s="456"/>
      <c r="AB852" s="447" t="str">
        <f t="shared" si="1254"/>
        <v/>
      </c>
      <c r="AC852" s="328"/>
      <c r="AD852" s="197" t="str">
        <f>IF(AND($I852="x",AND(MAX(Z852:AB852)=Z852,Z852&lt;&gt;"")),Data!$BI$2,"")</f>
        <v/>
      </c>
      <c r="AE852" s="197" t="str">
        <f>IF(AND($J852="x",AND(MAX(Z852:AB852)=AA852,AA852&lt;&gt;"")),Data!$BJ$2,"")</f>
        <v/>
      </c>
      <c r="AF852" s="197" t="str">
        <f>IF(AND($K852="x",AND(MAX(Z852:AB852)=AB852,AB852&lt;&gt;"")),Data!$BK$2,"")</f>
        <v/>
      </c>
      <c r="AG852" s="197"/>
      <c r="AH852" s="328"/>
      <c r="AI852" s="455"/>
      <c r="AJ852" s="456"/>
      <c r="AK852" s="447" t="str">
        <f t="shared" si="1255"/>
        <v/>
      </c>
      <c r="AL852" s="328"/>
      <c r="AM852" s="197" t="str">
        <f>IF(AND($I852="x",AND(MAX(AI852:AK852)=AI852,AI852&lt;&gt;"")),Data!$BI$2,"")</f>
        <v/>
      </c>
      <c r="AN852" s="197" t="str">
        <f>IF(AND($J852="x",AND(MAX(AI852:AK852)=AJ852,AJ852&lt;&gt;"")),Data!$BJ$2,"")</f>
        <v/>
      </c>
      <c r="AO852" s="197" t="str">
        <f>IF(AND($K852="x",AND(MAX(AI852:AK852)=AK852,AK852&lt;&gt;"")),Data!$BK$2,"")</f>
        <v/>
      </c>
      <c r="AP852" s="197"/>
      <c r="AQ852" s="328"/>
      <c r="AR852" s="455"/>
      <c r="AS852" s="456"/>
      <c r="AT852" s="447" t="str">
        <f t="shared" si="1256"/>
        <v/>
      </c>
      <c r="AU852" s="328"/>
      <c r="AV852" s="197" t="str">
        <f>IF(AND($I852="x",AND(MAX(AR852:AT852)=AR852,AR852&lt;&gt;"")),Data!$BI$2,"")</f>
        <v/>
      </c>
      <c r="AW852" s="197" t="str">
        <f>IF(AND($J852="x",AND(MAX(AR852:AT852)=AS852,AS852&lt;&gt;"")),Data!$BJ$2,"")</f>
        <v/>
      </c>
      <c r="AX852" s="197" t="str">
        <f>IF(AND($K852="x",AND(MAX(AR852:AT852)=AT852,AT852&lt;&gt;"")),Data!$BK$2,"")</f>
        <v/>
      </c>
      <c r="AY852" s="197"/>
      <c r="AZ852" s="328"/>
      <c r="BA852" s="455"/>
      <c r="BB852" s="456"/>
      <c r="BC852" s="447" t="str">
        <f t="shared" si="1257"/>
        <v/>
      </c>
      <c r="BD852" s="328"/>
      <c r="BE852" s="197" t="str">
        <f>IF(AND($I852="x",AND(MAX(BA852:BC852)=BA852,BA852&lt;&gt;"")),Data!$BI$2,"")</f>
        <v/>
      </c>
      <c r="BF852" s="197" t="str">
        <f>IF(AND($J852="x",AND(MAX(BA852:BC852)=BB852,BB852&lt;&gt;"")),Data!$BJ$2,"")</f>
        <v/>
      </c>
      <c r="BG852" s="197" t="str">
        <f>IF(AND($K852="x",AND(MAX(BA852:BC852)=BC852,BC852&lt;&gt;"")),Data!$BK$2,"")</f>
        <v/>
      </c>
      <c r="BH852" s="197"/>
      <c r="BI852" s="328"/>
      <c r="BJ852" s="455"/>
      <c r="BK852" s="456"/>
      <c r="BL852" s="447" t="str">
        <f t="shared" si="1258"/>
        <v/>
      </c>
      <c r="BM852" s="328"/>
      <c r="BN852" s="197" t="str">
        <f>IF(AND($I852="x",AND(MAX(BJ852:BL852)=BJ852,BJ852&lt;&gt;"")),Data!$BI$2,"")</f>
        <v/>
      </c>
      <c r="BO852" s="197" t="str">
        <f>IF(AND($J852="x",AND(MAX(BJ852:BL852)=BK852,BK852&lt;&gt;"")),Data!$BJ$2,"")</f>
        <v/>
      </c>
      <c r="BP852" s="197" t="str">
        <f>IF(AND($K852="x",AND(MAX(BJ852:BL852)=BL852,BL852&lt;&gt;"")),Data!$BK$2,"")</f>
        <v/>
      </c>
      <c r="BQ852" s="197"/>
      <c r="BR852" s="328"/>
      <c r="BS852" s="455"/>
      <c r="BT852" s="456"/>
      <c r="BU852" s="447" t="str">
        <f t="shared" si="1259"/>
        <v/>
      </c>
      <c r="BV852" s="328"/>
      <c r="BW852" s="197" t="str">
        <f>IF(AND($I852="x",AND(MAX(BS852:BU852)=BS852,BS852&lt;&gt;"")),Data!$BI$2,"")</f>
        <v/>
      </c>
      <c r="BX852" s="197" t="str">
        <f>IF(AND($J852="x",AND(MAX(BS852:BU852)=BT852,BT852&lt;&gt;"")),Data!$BJ$2,"")</f>
        <v/>
      </c>
      <c r="BY852" s="197" t="str">
        <f>IF(AND($K852="x",AND(MAX(BS852:BU852)=BU852,BU852&lt;&gt;"")),Data!$BK$2,"")</f>
        <v/>
      </c>
      <c r="BZ852" s="197"/>
      <c r="CA852" s="328"/>
      <c r="CB852" s="463" t="str">
        <f t="shared" si="1260"/>
        <v/>
      </c>
      <c r="CC852" s="464" t="str">
        <f t="shared" si="1261"/>
        <v/>
      </c>
      <c r="CD852" s="465" t="str">
        <f t="shared" si="1262"/>
        <v/>
      </c>
      <c r="CE852" s="328"/>
      <c r="CF852" s="197" t="str">
        <f>IF(AND($I852="x",AND(MAX(CB852:CD852)=CB852,CB852&lt;&gt;"")),Data!$BI$2,"")</f>
        <v/>
      </c>
      <c r="CG852" s="197" t="str">
        <f>IF(AND($J852="x",AND(MAX(CB852:CD852)=CC852,CC852&lt;&gt;"")),Data!$BJ$2,"")</f>
        <v/>
      </c>
      <c r="CH852" s="197" t="str">
        <f>IF(AND($K852="x",AND(MAX(CB852:CD852)=CD852,CD852&lt;&gt;"")),Data!$BK$2,"")</f>
        <v/>
      </c>
      <c r="CI852" s="197"/>
      <c r="CJ852" s="197"/>
      <c r="CK852" s="455"/>
      <c r="CL852" s="456"/>
      <c r="CM852" s="447" t="str">
        <f t="shared" si="1263"/>
        <v/>
      </c>
      <c r="CN852" s="328"/>
      <c r="CO852" s="197" t="str">
        <f>IF(AND($I852="x",AND(MAX(CK852:CM852)=CK852,CK852&lt;&gt;"")),Data!$BI$2,"")</f>
        <v/>
      </c>
      <c r="CP852" s="197" t="str">
        <f>IF(AND($J852="x",AND(MAX(CK852:CM852)=CL852,CL852&lt;&gt;"")),Data!$BJ$2,"")</f>
        <v/>
      </c>
      <c r="CQ852" s="197" t="str">
        <f>IF(AND($K852="x",AND(MAX(CK852:CM852)=CM852,CM852&lt;&gt;"")),Data!$BK$2,"")</f>
        <v/>
      </c>
      <c r="CR852" s="197"/>
      <c r="CS852" s="197"/>
      <c r="CT852" s="328"/>
      <c r="CU852" s="259"/>
      <c r="CV852" s="209"/>
      <c r="CW852" s="227"/>
    </row>
    <row r="853" spans="1:101" x14ac:dyDescent="0.2">
      <c r="A853" s="227"/>
      <c r="B853" s="227"/>
      <c r="C853" s="168"/>
      <c r="D853" s="232"/>
      <c r="E853" s="137"/>
      <c r="F853" s="427"/>
      <c r="G853" s="434" t="s">
        <v>51</v>
      </c>
      <c r="H853" s="435"/>
      <c r="I853" s="138" t="str">
        <f t="shared" si="1250"/>
        <v/>
      </c>
      <c r="J853" s="344" t="str">
        <f t="shared" si="1251"/>
        <v/>
      </c>
      <c r="K853" s="345" t="str">
        <f t="shared" si="1252"/>
        <v/>
      </c>
      <c r="L853" s="258"/>
      <c r="M853" s="332"/>
      <c r="N853" s="336"/>
      <c r="O853" s="200"/>
      <c r="P853" s="200"/>
      <c r="Q853" s="448"/>
      <c r="R853" s="449"/>
      <c r="S853" s="450" t="str">
        <f t="shared" si="1253"/>
        <v/>
      </c>
      <c r="T853" s="328"/>
      <c r="U853" s="197" t="str">
        <f>IF(AND($I853="x",AND(MAX(Q853:S853)=Q853,Q853&gt;=0)),Data!$BI$2,"")</f>
        <v/>
      </c>
      <c r="V853" s="197" t="str">
        <f>IF(AND($J853="x",AND(MAX(Q853:S853)=R853,R853&gt;=0)),Data!$BJ$2,"")</f>
        <v/>
      </c>
      <c r="W853" s="197" t="str">
        <f>IF(AND($K853="x",AND(MAX(Q853:S853)=S853,S853&gt;=0)),Data!$BK$2,"")</f>
        <v/>
      </c>
      <c r="X853" s="197"/>
      <c r="Y853" s="328"/>
      <c r="Z853" s="451"/>
      <c r="AA853" s="452"/>
      <c r="AB853" s="450" t="str">
        <f t="shared" si="1254"/>
        <v/>
      </c>
      <c r="AC853" s="328"/>
      <c r="AD853" s="197" t="str">
        <f>IF(AND($I853="x",AND(MAX(Z853:AB853)=Z853,Z853&lt;&gt;"")),Data!$BI$2,"")</f>
        <v/>
      </c>
      <c r="AE853" s="197" t="str">
        <f>IF(AND($J853="x",AND(MAX(Z853:AB853)=AA853,AA853&lt;&gt;"")),Data!$BJ$2,"")</f>
        <v/>
      </c>
      <c r="AF853" s="197" t="str">
        <f>IF(AND($K853="x",AND(MAX(Z853:AB853)=AB853,AB853&lt;&gt;"")),Data!$BK$2,"")</f>
        <v/>
      </c>
      <c r="AG853" s="197"/>
      <c r="AH853" s="328"/>
      <c r="AI853" s="451"/>
      <c r="AJ853" s="452"/>
      <c r="AK853" s="450" t="str">
        <f t="shared" si="1255"/>
        <v/>
      </c>
      <c r="AL853" s="328"/>
      <c r="AM853" s="197" t="str">
        <f>IF(AND($I853="x",AND(MAX(AI853:AK853)=AI853,AI853&lt;&gt;"")),Data!$BI$2,"")</f>
        <v/>
      </c>
      <c r="AN853" s="197" t="str">
        <f>IF(AND($J853="x",AND(MAX(AI853:AK853)=AJ853,AJ853&lt;&gt;"")),Data!$BJ$2,"")</f>
        <v/>
      </c>
      <c r="AO853" s="197" t="str">
        <f>IF(AND($K853="x",AND(MAX(AI853:AK853)=AK853,AK853&lt;&gt;"")),Data!$BK$2,"")</f>
        <v/>
      </c>
      <c r="AP853" s="197"/>
      <c r="AQ853" s="328"/>
      <c r="AR853" s="451"/>
      <c r="AS853" s="452"/>
      <c r="AT853" s="450" t="str">
        <f t="shared" si="1256"/>
        <v/>
      </c>
      <c r="AU853" s="328"/>
      <c r="AV853" s="197" t="str">
        <f>IF(AND($I853="x",AND(MAX(AR853:AT853)=AR853,AR853&lt;&gt;"")),Data!$BI$2,"")</f>
        <v/>
      </c>
      <c r="AW853" s="197" t="str">
        <f>IF(AND($J853="x",AND(MAX(AR853:AT853)=AS853,AS853&lt;&gt;"")),Data!$BJ$2,"")</f>
        <v/>
      </c>
      <c r="AX853" s="197" t="str">
        <f>IF(AND($K853="x",AND(MAX(AR853:AT853)=AT853,AT853&lt;&gt;"")),Data!$BK$2,"")</f>
        <v/>
      </c>
      <c r="AY853" s="197"/>
      <c r="AZ853" s="328"/>
      <c r="BA853" s="451"/>
      <c r="BB853" s="452"/>
      <c r="BC853" s="450" t="str">
        <f t="shared" si="1257"/>
        <v/>
      </c>
      <c r="BD853" s="328"/>
      <c r="BE853" s="197" t="str">
        <f>IF(AND($I853="x",AND(MAX(BA853:BC853)=BA853,BA853&lt;&gt;"")),Data!$BI$2,"")</f>
        <v/>
      </c>
      <c r="BF853" s="197" t="str">
        <f>IF(AND($J853="x",AND(MAX(BA853:BC853)=BB853,BB853&lt;&gt;"")),Data!$BJ$2,"")</f>
        <v/>
      </c>
      <c r="BG853" s="197" t="str">
        <f>IF(AND($K853="x",AND(MAX(BA853:BC853)=BC853,BC853&lt;&gt;"")),Data!$BK$2,"")</f>
        <v/>
      </c>
      <c r="BH853" s="197"/>
      <c r="BI853" s="328"/>
      <c r="BJ853" s="451"/>
      <c r="BK853" s="452"/>
      <c r="BL853" s="450" t="str">
        <f t="shared" si="1258"/>
        <v/>
      </c>
      <c r="BM853" s="328"/>
      <c r="BN853" s="197" t="str">
        <f>IF(AND($I853="x",AND(MAX(BJ853:BL853)=BJ853,BJ853&lt;&gt;"")),Data!$BI$2,"")</f>
        <v/>
      </c>
      <c r="BO853" s="197" t="str">
        <f>IF(AND($J853="x",AND(MAX(BJ853:BL853)=BK853,BK853&lt;&gt;"")),Data!$BJ$2,"")</f>
        <v/>
      </c>
      <c r="BP853" s="197" t="str">
        <f>IF(AND($K853="x",AND(MAX(BJ853:BL853)=BL853,BL853&lt;&gt;"")),Data!$BK$2,"")</f>
        <v/>
      </c>
      <c r="BQ853" s="197"/>
      <c r="BR853" s="328"/>
      <c r="BS853" s="451"/>
      <c r="BT853" s="452"/>
      <c r="BU853" s="450" t="str">
        <f t="shared" si="1259"/>
        <v/>
      </c>
      <c r="BV853" s="328"/>
      <c r="BW853" s="197" t="str">
        <f>IF(AND($I853="x",AND(MAX(BS853:BU853)=BS853,BS853&lt;&gt;"")),Data!$BI$2,"")</f>
        <v/>
      </c>
      <c r="BX853" s="197" t="str">
        <f>IF(AND($J853="x",AND(MAX(BS853:BU853)=BT853,BT853&lt;&gt;"")),Data!$BJ$2,"")</f>
        <v/>
      </c>
      <c r="BY853" s="197" t="str">
        <f>IF(AND($K853="x",AND(MAX(BS853:BU853)=BU853,BU853&lt;&gt;"")),Data!$BK$2,"")</f>
        <v/>
      </c>
      <c r="BZ853" s="197"/>
      <c r="CA853" s="328"/>
      <c r="CB853" s="457" t="str">
        <f t="shared" si="1260"/>
        <v/>
      </c>
      <c r="CC853" s="458" t="str">
        <f t="shared" si="1261"/>
        <v/>
      </c>
      <c r="CD853" s="459" t="str">
        <f t="shared" si="1262"/>
        <v/>
      </c>
      <c r="CE853" s="328"/>
      <c r="CF853" s="197" t="str">
        <f>IF(AND($I853="x",AND(MAX(CB853:CD853)=CB853,CB853&lt;&gt;"")),Data!$BI$2,"")</f>
        <v/>
      </c>
      <c r="CG853" s="197" t="str">
        <f>IF(AND($J853="x",AND(MAX(CB853:CD853)=CC853,CC853&lt;&gt;"")),Data!$BJ$2,"")</f>
        <v/>
      </c>
      <c r="CH853" s="197" t="str">
        <f>IF(AND($K853="x",AND(MAX(CB853:CD853)=CD853,CD853&lt;&gt;"")),Data!$BK$2,"")</f>
        <v/>
      </c>
      <c r="CI853" s="197"/>
      <c r="CJ853" s="197"/>
      <c r="CK853" s="451"/>
      <c r="CL853" s="452"/>
      <c r="CM853" s="450" t="str">
        <f t="shared" si="1263"/>
        <v/>
      </c>
      <c r="CN853" s="328"/>
      <c r="CO853" s="197" t="str">
        <f>IF(AND($I853="x",AND(MAX(CK853:CM853)=CK853,CK853&lt;&gt;"")),Data!$BI$2,"")</f>
        <v/>
      </c>
      <c r="CP853" s="197" t="str">
        <f>IF(AND($J853="x",AND(MAX(CK853:CM853)=CL853,CL853&lt;&gt;"")),Data!$BJ$2,"")</f>
        <v/>
      </c>
      <c r="CQ853" s="197" t="str">
        <f>IF(AND($K853="x",AND(MAX(CK853:CM853)=CM853,CM853&lt;&gt;"")),Data!$BK$2,"")</f>
        <v/>
      </c>
      <c r="CR853" s="197"/>
      <c r="CS853" s="197"/>
      <c r="CT853" s="328"/>
      <c r="CU853" s="259"/>
      <c r="CV853" s="209"/>
      <c r="CW853" s="227"/>
    </row>
    <row r="854" spans="1:101" x14ac:dyDescent="0.2">
      <c r="A854" s="227"/>
      <c r="B854" s="227"/>
      <c r="C854" s="168"/>
      <c r="D854" s="232"/>
      <c r="E854" s="135"/>
      <c r="F854" s="425"/>
      <c r="G854" s="430" t="s">
        <v>51</v>
      </c>
      <c r="H854" s="431"/>
      <c r="I854" s="346" t="str">
        <f t="shared" si="1250"/>
        <v/>
      </c>
      <c r="J854" s="347" t="str">
        <f t="shared" si="1251"/>
        <v/>
      </c>
      <c r="K854" s="348" t="str">
        <f t="shared" si="1252"/>
        <v/>
      </c>
      <c r="L854" s="258"/>
      <c r="M854" s="332"/>
      <c r="N854" s="336"/>
      <c r="O854" s="200"/>
      <c r="P854" s="200"/>
      <c r="Q854" s="439"/>
      <c r="R854" s="440"/>
      <c r="S854" s="441" t="str">
        <f t="shared" si="1253"/>
        <v/>
      </c>
      <c r="T854" s="328"/>
      <c r="U854" s="197" t="str">
        <f>IF(AND($I854="x",AND(MAX(Q854:S854)=Q854,Q854&gt;=0)),Data!$BI$2,"")</f>
        <v/>
      </c>
      <c r="V854" s="197" t="str">
        <f>IF(AND($J854="x",AND(MAX(Q854:S854)=R854,R854&gt;=0)),Data!$BJ$2,"")</f>
        <v/>
      </c>
      <c r="W854" s="197" t="str">
        <f>IF(AND($K854="x",AND(MAX(Q854:S854)=S854,S854&gt;=0)),Data!$BK$2,"")</f>
        <v/>
      </c>
      <c r="X854" s="197"/>
      <c r="Y854" s="328"/>
      <c r="Z854" s="453"/>
      <c r="AA854" s="454"/>
      <c r="AB854" s="441" t="str">
        <f t="shared" si="1254"/>
        <v/>
      </c>
      <c r="AC854" s="328"/>
      <c r="AD854" s="197" t="str">
        <f>IF(AND($I854="x",AND(MAX(Z854:AB854)=Z854,Z854&lt;&gt;"")),Data!$BI$2,"")</f>
        <v/>
      </c>
      <c r="AE854" s="197" t="str">
        <f>IF(AND($J854="x",AND(MAX(Z854:AB854)=AA854,AA854&lt;&gt;"")),Data!$BJ$2,"")</f>
        <v/>
      </c>
      <c r="AF854" s="197" t="str">
        <f>IF(AND($K854="x",AND(MAX(Z854:AB854)=AB854,AB854&lt;&gt;"")),Data!$BK$2,"")</f>
        <v/>
      </c>
      <c r="AG854" s="197"/>
      <c r="AH854" s="328"/>
      <c r="AI854" s="453"/>
      <c r="AJ854" s="454"/>
      <c r="AK854" s="441" t="str">
        <f t="shared" si="1255"/>
        <v/>
      </c>
      <c r="AL854" s="328"/>
      <c r="AM854" s="197" t="str">
        <f>IF(AND($I854="x",AND(MAX(AI854:AK854)=AI854,AI854&lt;&gt;"")),Data!$BI$2,"")</f>
        <v/>
      </c>
      <c r="AN854" s="197" t="str">
        <f>IF(AND($J854="x",AND(MAX(AI854:AK854)=AJ854,AJ854&lt;&gt;"")),Data!$BJ$2,"")</f>
        <v/>
      </c>
      <c r="AO854" s="197" t="str">
        <f>IF(AND($K854="x",AND(MAX(AI854:AK854)=AK854,AK854&lt;&gt;"")),Data!$BK$2,"")</f>
        <v/>
      </c>
      <c r="AP854" s="197"/>
      <c r="AQ854" s="328"/>
      <c r="AR854" s="453"/>
      <c r="AS854" s="454"/>
      <c r="AT854" s="441" t="str">
        <f t="shared" si="1256"/>
        <v/>
      </c>
      <c r="AU854" s="328"/>
      <c r="AV854" s="197" t="str">
        <f>IF(AND($I854="x",AND(MAX(AR854:AT854)=AR854,AR854&lt;&gt;"")),Data!$BI$2,"")</f>
        <v/>
      </c>
      <c r="AW854" s="197" t="str">
        <f>IF(AND($J854="x",AND(MAX(AR854:AT854)=AS854,AS854&lt;&gt;"")),Data!$BJ$2,"")</f>
        <v/>
      </c>
      <c r="AX854" s="197" t="str">
        <f>IF(AND($K854="x",AND(MAX(AR854:AT854)=AT854,AT854&lt;&gt;"")),Data!$BK$2,"")</f>
        <v/>
      </c>
      <c r="AY854" s="197"/>
      <c r="AZ854" s="328"/>
      <c r="BA854" s="453"/>
      <c r="BB854" s="454"/>
      <c r="BC854" s="441" t="str">
        <f t="shared" si="1257"/>
        <v/>
      </c>
      <c r="BD854" s="328"/>
      <c r="BE854" s="197" t="str">
        <f>IF(AND($I854="x",AND(MAX(BA854:BC854)=BA854,BA854&lt;&gt;"")),Data!$BI$2,"")</f>
        <v/>
      </c>
      <c r="BF854" s="197" t="str">
        <f>IF(AND($J854="x",AND(MAX(BA854:BC854)=BB854,BB854&lt;&gt;"")),Data!$BJ$2,"")</f>
        <v/>
      </c>
      <c r="BG854" s="197" t="str">
        <f>IF(AND($K854="x",AND(MAX(BA854:BC854)=BC854,BC854&lt;&gt;"")),Data!$BK$2,"")</f>
        <v/>
      </c>
      <c r="BH854" s="197"/>
      <c r="BI854" s="328"/>
      <c r="BJ854" s="453"/>
      <c r="BK854" s="454"/>
      <c r="BL854" s="441" t="str">
        <f t="shared" si="1258"/>
        <v/>
      </c>
      <c r="BM854" s="328"/>
      <c r="BN854" s="197" t="str">
        <f>IF(AND($I854="x",AND(MAX(BJ854:BL854)=BJ854,BJ854&lt;&gt;"")),Data!$BI$2,"")</f>
        <v/>
      </c>
      <c r="BO854" s="197" t="str">
        <f>IF(AND($J854="x",AND(MAX(BJ854:BL854)=BK854,BK854&lt;&gt;"")),Data!$BJ$2,"")</f>
        <v/>
      </c>
      <c r="BP854" s="197" t="str">
        <f>IF(AND($K854="x",AND(MAX(BJ854:BL854)=BL854,BL854&lt;&gt;"")),Data!$BK$2,"")</f>
        <v/>
      </c>
      <c r="BQ854" s="197"/>
      <c r="BR854" s="328"/>
      <c r="BS854" s="453"/>
      <c r="BT854" s="454"/>
      <c r="BU854" s="441" t="str">
        <f t="shared" si="1259"/>
        <v/>
      </c>
      <c r="BV854" s="328"/>
      <c r="BW854" s="197" t="str">
        <f>IF(AND($I854="x",AND(MAX(BS854:BU854)=BS854,BS854&lt;&gt;"")),Data!$BI$2,"")</f>
        <v/>
      </c>
      <c r="BX854" s="197" t="str">
        <f>IF(AND($J854="x",AND(MAX(BS854:BU854)=BT854,BT854&lt;&gt;"")),Data!$BJ$2,"")</f>
        <v/>
      </c>
      <c r="BY854" s="197" t="str">
        <f>IF(AND($K854="x",AND(MAX(BS854:BU854)=BU854,BU854&lt;&gt;"")),Data!$BK$2,"")</f>
        <v/>
      </c>
      <c r="BZ854" s="197"/>
      <c r="CA854" s="328"/>
      <c r="CB854" s="460" t="str">
        <f t="shared" si="1260"/>
        <v/>
      </c>
      <c r="CC854" s="461" t="str">
        <f t="shared" si="1261"/>
        <v/>
      </c>
      <c r="CD854" s="462" t="str">
        <f t="shared" si="1262"/>
        <v/>
      </c>
      <c r="CE854" s="328"/>
      <c r="CF854" s="197" t="str">
        <f>IF(AND($I854="x",AND(MAX(CB854:CD854)=CB854,CB854&lt;&gt;"")),Data!$BI$2,"")</f>
        <v/>
      </c>
      <c r="CG854" s="197" t="str">
        <f>IF(AND($J854="x",AND(MAX(CB854:CD854)=CC854,CC854&lt;&gt;"")),Data!$BJ$2,"")</f>
        <v/>
      </c>
      <c r="CH854" s="197" t="str">
        <f>IF(AND($K854="x",AND(MAX(CB854:CD854)=CD854,CD854&lt;&gt;"")),Data!$BK$2,"")</f>
        <v/>
      </c>
      <c r="CI854" s="197"/>
      <c r="CJ854" s="197"/>
      <c r="CK854" s="453"/>
      <c r="CL854" s="454"/>
      <c r="CM854" s="441" t="str">
        <f t="shared" si="1263"/>
        <v/>
      </c>
      <c r="CN854" s="328"/>
      <c r="CO854" s="197" t="str">
        <f>IF(AND($I854="x",AND(MAX(CK854:CM854)=CK854,CK854&lt;&gt;"")),Data!$BI$2,"")</f>
        <v/>
      </c>
      <c r="CP854" s="197" t="str">
        <f>IF(AND($J854="x",AND(MAX(CK854:CM854)=CL854,CL854&lt;&gt;"")),Data!$BJ$2,"")</f>
        <v/>
      </c>
      <c r="CQ854" s="197" t="str">
        <f>IF(AND($K854="x",AND(MAX(CK854:CM854)=CM854,CM854&lt;&gt;"")),Data!$BK$2,"")</f>
        <v/>
      </c>
      <c r="CR854" s="197"/>
      <c r="CS854" s="197"/>
      <c r="CT854" s="328"/>
      <c r="CU854" s="259"/>
      <c r="CV854" s="209"/>
      <c r="CW854" s="227"/>
    </row>
    <row r="855" spans="1:101" x14ac:dyDescent="0.2">
      <c r="A855" s="227"/>
      <c r="B855" s="227"/>
      <c r="C855" s="168"/>
      <c r="D855" s="232"/>
      <c r="E855" s="136"/>
      <c r="F855" s="426"/>
      <c r="G855" s="432" t="s">
        <v>51</v>
      </c>
      <c r="H855" s="433"/>
      <c r="I855" s="349" t="str">
        <f t="shared" si="1250"/>
        <v/>
      </c>
      <c r="J855" s="350" t="str">
        <f t="shared" si="1251"/>
        <v/>
      </c>
      <c r="K855" s="351" t="str">
        <f t="shared" si="1252"/>
        <v/>
      </c>
      <c r="L855" s="258"/>
      <c r="M855" s="332"/>
      <c r="N855" s="336"/>
      <c r="O855" s="200"/>
      <c r="P855" s="200"/>
      <c r="Q855" s="445"/>
      <c r="R855" s="446"/>
      <c r="S855" s="447" t="str">
        <f t="shared" si="1253"/>
        <v/>
      </c>
      <c r="T855" s="328"/>
      <c r="U855" s="197" t="str">
        <f>IF(AND($I855="x",AND(MAX(Q855:S855)=Q855,Q855&gt;=0)),Data!$BI$2,"")</f>
        <v/>
      </c>
      <c r="V855" s="197" t="str">
        <f>IF(AND($J855="x",AND(MAX(Q855:S855)=R855,R855&gt;=0)),Data!$BJ$2,"")</f>
        <v/>
      </c>
      <c r="W855" s="197" t="str">
        <f>IF(AND($K855="x",AND(MAX(Q855:S855)=S855,S855&gt;=0)),Data!$BK$2,"")</f>
        <v/>
      </c>
      <c r="X855" s="197"/>
      <c r="Y855" s="328"/>
      <c r="Z855" s="455"/>
      <c r="AA855" s="456"/>
      <c r="AB855" s="447" t="str">
        <f t="shared" si="1254"/>
        <v/>
      </c>
      <c r="AC855" s="328"/>
      <c r="AD855" s="197" t="str">
        <f>IF(AND($I855="x",AND(MAX(Z855:AB855)=Z855,Z855&lt;&gt;"")),Data!$BI$2,"")</f>
        <v/>
      </c>
      <c r="AE855" s="197" t="str">
        <f>IF(AND($J855="x",AND(MAX(Z855:AB855)=AA855,AA855&lt;&gt;"")),Data!$BJ$2,"")</f>
        <v/>
      </c>
      <c r="AF855" s="197" t="str">
        <f>IF(AND($K855="x",AND(MAX(Z855:AB855)=AB855,AB855&lt;&gt;"")),Data!$BK$2,"")</f>
        <v/>
      </c>
      <c r="AG855" s="197"/>
      <c r="AH855" s="328"/>
      <c r="AI855" s="455"/>
      <c r="AJ855" s="456"/>
      <c r="AK855" s="447" t="str">
        <f t="shared" si="1255"/>
        <v/>
      </c>
      <c r="AL855" s="328"/>
      <c r="AM855" s="197" t="str">
        <f>IF(AND($I855="x",AND(MAX(AI855:AK855)=AI855,AI855&lt;&gt;"")),Data!$BI$2,"")</f>
        <v/>
      </c>
      <c r="AN855" s="197" t="str">
        <f>IF(AND($J855="x",AND(MAX(AI855:AK855)=AJ855,AJ855&lt;&gt;"")),Data!$BJ$2,"")</f>
        <v/>
      </c>
      <c r="AO855" s="197" t="str">
        <f>IF(AND($K855="x",AND(MAX(AI855:AK855)=AK855,AK855&lt;&gt;"")),Data!$BK$2,"")</f>
        <v/>
      </c>
      <c r="AP855" s="197"/>
      <c r="AQ855" s="328"/>
      <c r="AR855" s="455"/>
      <c r="AS855" s="456"/>
      <c r="AT855" s="447" t="str">
        <f t="shared" si="1256"/>
        <v/>
      </c>
      <c r="AU855" s="328"/>
      <c r="AV855" s="197" t="str">
        <f>IF(AND($I855="x",AND(MAX(AR855:AT855)=AR855,AR855&lt;&gt;"")),Data!$BI$2,"")</f>
        <v/>
      </c>
      <c r="AW855" s="197" t="str">
        <f>IF(AND($J855="x",AND(MAX(AR855:AT855)=AS855,AS855&lt;&gt;"")),Data!$BJ$2,"")</f>
        <v/>
      </c>
      <c r="AX855" s="197" t="str">
        <f>IF(AND($K855="x",AND(MAX(AR855:AT855)=AT855,AT855&lt;&gt;"")),Data!$BK$2,"")</f>
        <v/>
      </c>
      <c r="AY855" s="197"/>
      <c r="AZ855" s="328"/>
      <c r="BA855" s="455"/>
      <c r="BB855" s="456"/>
      <c r="BC855" s="447" t="str">
        <f t="shared" si="1257"/>
        <v/>
      </c>
      <c r="BD855" s="328"/>
      <c r="BE855" s="197" t="str">
        <f>IF(AND($I855="x",AND(MAX(BA855:BC855)=BA855,BA855&lt;&gt;"")),Data!$BI$2,"")</f>
        <v/>
      </c>
      <c r="BF855" s="197" t="str">
        <f>IF(AND($J855="x",AND(MAX(BA855:BC855)=BB855,BB855&lt;&gt;"")),Data!$BJ$2,"")</f>
        <v/>
      </c>
      <c r="BG855" s="197" t="str">
        <f>IF(AND($K855="x",AND(MAX(BA855:BC855)=BC855,BC855&lt;&gt;"")),Data!$BK$2,"")</f>
        <v/>
      </c>
      <c r="BH855" s="197"/>
      <c r="BI855" s="328"/>
      <c r="BJ855" s="455"/>
      <c r="BK855" s="456"/>
      <c r="BL855" s="447" t="str">
        <f t="shared" si="1258"/>
        <v/>
      </c>
      <c r="BM855" s="328"/>
      <c r="BN855" s="197" t="str">
        <f>IF(AND($I855="x",AND(MAX(BJ855:BL855)=BJ855,BJ855&lt;&gt;"")),Data!$BI$2,"")</f>
        <v/>
      </c>
      <c r="BO855" s="197" t="str">
        <f>IF(AND($J855="x",AND(MAX(BJ855:BL855)=BK855,BK855&lt;&gt;"")),Data!$BJ$2,"")</f>
        <v/>
      </c>
      <c r="BP855" s="197" t="str">
        <f>IF(AND($K855="x",AND(MAX(BJ855:BL855)=BL855,BL855&lt;&gt;"")),Data!$BK$2,"")</f>
        <v/>
      </c>
      <c r="BQ855" s="197"/>
      <c r="BR855" s="328"/>
      <c r="BS855" s="455"/>
      <c r="BT855" s="456"/>
      <c r="BU855" s="447" t="str">
        <f t="shared" si="1259"/>
        <v/>
      </c>
      <c r="BV855" s="328"/>
      <c r="BW855" s="197" t="str">
        <f>IF(AND($I855="x",AND(MAX(BS855:BU855)=BS855,BS855&lt;&gt;"")),Data!$BI$2,"")</f>
        <v/>
      </c>
      <c r="BX855" s="197" t="str">
        <f>IF(AND($J855="x",AND(MAX(BS855:BU855)=BT855,BT855&lt;&gt;"")),Data!$BJ$2,"")</f>
        <v/>
      </c>
      <c r="BY855" s="197" t="str">
        <f>IF(AND($K855="x",AND(MAX(BS855:BU855)=BU855,BU855&lt;&gt;"")),Data!$BK$2,"")</f>
        <v/>
      </c>
      <c r="BZ855" s="197"/>
      <c r="CA855" s="328"/>
      <c r="CB855" s="463" t="str">
        <f t="shared" si="1260"/>
        <v/>
      </c>
      <c r="CC855" s="464" t="str">
        <f t="shared" si="1261"/>
        <v/>
      </c>
      <c r="CD855" s="465" t="str">
        <f t="shared" si="1262"/>
        <v/>
      </c>
      <c r="CE855" s="328"/>
      <c r="CF855" s="197" t="str">
        <f>IF(AND($I855="x",AND(MAX(CB855:CD855)=CB855,CB855&lt;&gt;"")),Data!$BI$2,"")</f>
        <v/>
      </c>
      <c r="CG855" s="197" t="str">
        <f>IF(AND($J855="x",AND(MAX(CB855:CD855)=CC855,CC855&lt;&gt;"")),Data!$BJ$2,"")</f>
        <v/>
      </c>
      <c r="CH855" s="197" t="str">
        <f>IF(AND($K855="x",AND(MAX(CB855:CD855)=CD855,CD855&lt;&gt;"")),Data!$BK$2,"")</f>
        <v/>
      </c>
      <c r="CI855" s="197"/>
      <c r="CJ855" s="197"/>
      <c r="CK855" s="455"/>
      <c r="CL855" s="456"/>
      <c r="CM855" s="447" t="str">
        <f t="shared" si="1263"/>
        <v/>
      </c>
      <c r="CN855" s="328"/>
      <c r="CO855" s="197" t="str">
        <f>IF(AND($I855="x",AND(MAX(CK855:CM855)=CK855,CK855&lt;&gt;"")),Data!$BI$2,"")</f>
        <v/>
      </c>
      <c r="CP855" s="197" t="str">
        <f>IF(AND($J855="x",AND(MAX(CK855:CM855)=CL855,CL855&lt;&gt;"")),Data!$BJ$2,"")</f>
        <v/>
      </c>
      <c r="CQ855" s="197" t="str">
        <f>IF(AND($K855="x",AND(MAX(CK855:CM855)=CM855,CM855&lt;&gt;"")),Data!$BK$2,"")</f>
        <v/>
      </c>
      <c r="CR855" s="197"/>
      <c r="CS855" s="197"/>
      <c r="CT855" s="328"/>
      <c r="CU855" s="259"/>
      <c r="CV855" s="209"/>
      <c r="CW855" s="227"/>
    </row>
    <row r="856" spans="1:101" x14ac:dyDescent="0.2">
      <c r="A856" s="227"/>
      <c r="B856" s="227"/>
      <c r="C856" s="168"/>
      <c r="D856" s="233"/>
      <c r="E856" s="199"/>
      <c r="F856" s="352" t="str">
        <f>IF(SUM(F844:F855)=0,"",SUM(F844:F855))</f>
        <v/>
      </c>
      <c r="G856" s="327" t="s">
        <v>51</v>
      </c>
      <c r="H856" s="353" t="str">
        <f>IF(SUM(H844:H855)=0,"",SUM(H844:H855))</f>
        <v/>
      </c>
      <c r="I856" s="354" t="str">
        <f>IF(COUNTIF(I844:I855,"=x")=0,"",COUNTIF(I844:I855,"=x"))</f>
        <v/>
      </c>
      <c r="J856" s="355" t="str">
        <f>IF(COUNTIF(J844:J855,"=x")=0,"",COUNTIF(J844:J855,"=x"))</f>
        <v/>
      </c>
      <c r="K856" s="356" t="str">
        <f>IF(COUNTIF(K844:K855,"=x")=0,"",COUNTIF(K844:K855,"=x"))</f>
        <v/>
      </c>
      <c r="L856" s="258"/>
      <c r="M856" s="332"/>
      <c r="N856" s="336"/>
      <c r="O856" s="200"/>
      <c r="P856" s="326"/>
      <c r="Q856" s="422">
        <f>SUM(U844:U855)</f>
        <v>0</v>
      </c>
      <c r="R856" s="422">
        <f t="shared" ref="R856:S856" si="1264">SUM(V844:V855)</f>
        <v>0</v>
      </c>
      <c r="S856" s="422">
        <f t="shared" si="1264"/>
        <v>0</v>
      </c>
      <c r="T856" s="325"/>
      <c r="U856" s="197">
        <f>SUM(U844:U855)</f>
        <v>0</v>
      </c>
      <c r="V856" s="197">
        <f t="shared" ref="V856:W856" si="1265">SUM(V844:V855)</f>
        <v>0</v>
      </c>
      <c r="W856" s="197">
        <f t="shared" si="1265"/>
        <v>0</v>
      </c>
      <c r="X856" s="197"/>
      <c r="Y856" s="324"/>
      <c r="Z856" s="422">
        <f>SUM(AD844:AD855)</f>
        <v>0</v>
      </c>
      <c r="AA856" s="422">
        <f t="shared" ref="AA856:AB856" si="1266">SUM(AE844:AE855)</f>
        <v>0</v>
      </c>
      <c r="AB856" s="422">
        <f t="shared" si="1266"/>
        <v>0</v>
      </c>
      <c r="AC856" s="325"/>
      <c r="AD856" s="197">
        <f>SUM(AD844:AD855)</f>
        <v>0</v>
      </c>
      <c r="AE856" s="197">
        <f t="shared" ref="AE856:AF856" si="1267">SUM(AE844:AE855)</f>
        <v>0</v>
      </c>
      <c r="AF856" s="197">
        <f t="shared" si="1267"/>
        <v>0</v>
      </c>
      <c r="AG856" s="197"/>
      <c r="AH856" s="324"/>
      <c r="AI856" s="422">
        <f>SUM(AM844:AM855)</f>
        <v>0</v>
      </c>
      <c r="AJ856" s="422">
        <f t="shared" ref="AJ856:AK856" si="1268">SUM(AN844:AN855)</f>
        <v>0</v>
      </c>
      <c r="AK856" s="422">
        <f t="shared" si="1268"/>
        <v>0</v>
      </c>
      <c r="AL856" s="325"/>
      <c r="AM856" s="197">
        <f>SUM(AM844:AM855)</f>
        <v>0</v>
      </c>
      <c r="AN856" s="197">
        <f t="shared" ref="AN856:AO856" si="1269">SUM(AN844:AN855)</f>
        <v>0</v>
      </c>
      <c r="AO856" s="197">
        <f t="shared" si="1269"/>
        <v>0</v>
      </c>
      <c r="AP856" s="197"/>
      <c r="AQ856" s="324"/>
      <c r="AR856" s="422">
        <f>SUM(AV844:AV855)</f>
        <v>0</v>
      </c>
      <c r="AS856" s="422">
        <f t="shared" ref="AS856:AT856" si="1270">SUM(AW844:AW855)</f>
        <v>0</v>
      </c>
      <c r="AT856" s="422">
        <f t="shared" si="1270"/>
        <v>0</v>
      </c>
      <c r="AU856" s="325"/>
      <c r="AV856" s="197">
        <f>SUM(AV844:AV855)</f>
        <v>0</v>
      </c>
      <c r="AW856" s="197">
        <f t="shared" ref="AW856:AX856" si="1271">SUM(AW844:AW855)</f>
        <v>0</v>
      </c>
      <c r="AX856" s="197">
        <f t="shared" si="1271"/>
        <v>0</v>
      </c>
      <c r="AY856" s="197"/>
      <c r="AZ856" s="324"/>
      <c r="BA856" s="422">
        <f>SUM(BE844:BE855)</f>
        <v>0</v>
      </c>
      <c r="BB856" s="422">
        <f t="shared" ref="BB856:BC856" si="1272">SUM(BF844:BF855)</f>
        <v>0</v>
      </c>
      <c r="BC856" s="422">
        <f t="shared" si="1272"/>
        <v>0</v>
      </c>
      <c r="BD856" s="325"/>
      <c r="BE856" s="197">
        <f>SUM(BE844:BE855)</f>
        <v>0</v>
      </c>
      <c r="BF856" s="197">
        <f t="shared" ref="BF856:BG856" si="1273">SUM(BF844:BF855)</f>
        <v>0</v>
      </c>
      <c r="BG856" s="197">
        <f t="shared" si="1273"/>
        <v>0</v>
      </c>
      <c r="BH856" s="197"/>
      <c r="BI856" s="324"/>
      <c r="BJ856" s="422">
        <f>SUM(BN844:BN855)</f>
        <v>0</v>
      </c>
      <c r="BK856" s="422">
        <f t="shared" ref="BK856" si="1274">SUM(BO844:BO855)</f>
        <v>0</v>
      </c>
      <c r="BL856" s="422">
        <f t="shared" ref="BL856" si="1275">SUM(BP844:BP855)</f>
        <v>0</v>
      </c>
      <c r="BM856" s="325"/>
      <c r="BN856" s="197">
        <f>SUM(BN844:BN855)</f>
        <v>0</v>
      </c>
      <c r="BO856" s="197">
        <f t="shared" ref="BO856:BP856" si="1276">SUM(BO844:BO855)</f>
        <v>0</v>
      </c>
      <c r="BP856" s="197">
        <f t="shared" si="1276"/>
        <v>0</v>
      </c>
      <c r="BQ856" s="197"/>
      <c r="BR856" s="324"/>
      <c r="BS856" s="422">
        <f>SUM(BW844:BW855)</f>
        <v>0</v>
      </c>
      <c r="BT856" s="422">
        <f t="shared" ref="BT856:BU856" si="1277">SUM(BX844:BX855)</f>
        <v>0</v>
      </c>
      <c r="BU856" s="422">
        <f t="shared" si="1277"/>
        <v>0</v>
      </c>
      <c r="BV856" s="325"/>
      <c r="BW856" s="197">
        <f>SUM(BW844:BW855)</f>
        <v>0</v>
      </c>
      <c r="BX856" s="197">
        <f t="shared" ref="BX856:BY856" si="1278">SUM(BX844:BX855)</f>
        <v>0</v>
      </c>
      <c r="BY856" s="197">
        <f t="shared" si="1278"/>
        <v>0</v>
      </c>
      <c r="BZ856" s="197"/>
      <c r="CA856" s="326"/>
      <c r="CB856" s="422">
        <f>SUM(CF844:CF855)</f>
        <v>0</v>
      </c>
      <c r="CC856" s="422">
        <f t="shared" ref="CC856:CD856" si="1279">SUM(CG844:CG855)</f>
        <v>0</v>
      </c>
      <c r="CD856" s="422">
        <f t="shared" si="1279"/>
        <v>0</v>
      </c>
      <c r="CE856" s="325"/>
      <c r="CF856" s="197">
        <f>SUM(CF844:CF855)</f>
        <v>0</v>
      </c>
      <c r="CG856" s="197">
        <f t="shared" ref="CG856:CH856" si="1280">SUM(CG844:CG855)</f>
        <v>0</v>
      </c>
      <c r="CH856" s="197">
        <f t="shared" si="1280"/>
        <v>0</v>
      </c>
      <c r="CI856" s="197"/>
      <c r="CJ856" s="197"/>
      <c r="CK856" s="422">
        <f>SUM(CO844:CO855)</f>
        <v>0</v>
      </c>
      <c r="CL856" s="422">
        <f t="shared" ref="CL856:CM856" si="1281">SUM(CP844:CP855)</f>
        <v>0</v>
      </c>
      <c r="CM856" s="422">
        <f t="shared" si="1281"/>
        <v>0</v>
      </c>
      <c r="CN856" s="325"/>
      <c r="CO856" s="197">
        <f>SUM(CO844:CO855)</f>
        <v>0</v>
      </c>
      <c r="CP856" s="197">
        <f t="shared" ref="CP856:CQ856" si="1282">SUM(CP844:CP855)</f>
        <v>0</v>
      </c>
      <c r="CQ856" s="197">
        <f t="shared" si="1282"/>
        <v>0</v>
      </c>
      <c r="CR856" s="197"/>
      <c r="CS856" s="197"/>
      <c r="CT856" s="197"/>
      <c r="CU856" s="259"/>
      <c r="CV856" s="209"/>
      <c r="CW856" s="228"/>
    </row>
    <row r="857" spans="1:101" x14ac:dyDescent="0.2">
      <c r="A857" s="227"/>
      <c r="B857" s="227"/>
      <c r="C857" s="168"/>
      <c r="D857" s="249"/>
      <c r="E857" s="242"/>
      <c r="F857" s="243"/>
      <c r="G857" s="242"/>
      <c r="H857" s="242"/>
      <c r="I857" s="242"/>
      <c r="J857" s="242"/>
      <c r="K857" s="242"/>
      <c r="L857" s="252"/>
      <c r="M857" s="260"/>
      <c r="N857" s="337"/>
      <c r="O857" s="333"/>
      <c r="P857" s="244"/>
      <c r="Q857" s="245"/>
      <c r="R857" s="245"/>
      <c r="S857" s="245"/>
      <c r="T857" s="246"/>
      <c r="U857" s="247"/>
      <c r="V857" s="247"/>
      <c r="W857" s="247"/>
      <c r="X857" s="247"/>
      <c r="Y857" s="244"/>
      <c r="Z857" s="245"/>
      <c r="AA857" s="245"/>
      <c r="AB857" s="245"/>
      <c r="AC857" s="246"/>
      <c r="AD857" s="247"/>
      <c r="AE857" s="247"/>
      <c r="AF857" s="247"/>
      <c r="AG857" s="247"/>
      <c r="AH857" s="244"/>
      <c r="AI857" s="245"/>
      <c r="AJ857" s="245"/>
      <c r="AK857" s="245"/>
      <c r="AL857" s="246"/>
      <c r="AM857" s="247"/>
      <c r="AN857" s="247"/>
      <c r="AO857" s="247"/>
      <c r="AP857" s="247"/>
      <c r="AQ857" s="244"/>
      <c r="AR857" s="245"/>
      <c r="AS857" s="245"/>
      <c r="AT857" s="245"/>
      <c r="AU857" s="246"/>
      <c r="AV857" s="247"/>
      <c r="AW857" s="247"/>
      <c r="AX857" s="247"/>
      <c r="AY857" s="247"/>
      <c r="AZ857" s="244"/>
      <c r="BA857" s="245"/>
      <c r="BB857" s="245"/>
      <c r="BC857" s="245"/>
      <c r="BD857" s="246"/>
      <c r="BE857" s="247"/>
      <c r="BF857" s="247"/>
      <c r="BG857" s="247"/>
      <c r="BH857" s="247"/>
      <c r="BI857" s="244"/>
      <c r="BJ857" s="244"/>
      <c r="BK857" s="244"/>
      <c r="BL857" s="244"/>
      <c r="BM857" s="244"/>
      <c r="BN857" s="247"/>
      <c r="BO857" s="247"/>
      <c r="BP857" s="247"/>
      <c r="BQ857" s="247"/>
      <c r="BR857" s="244"/>
      <c r="BS857" s="244"/>
      <c r="BT857" s="244"/>
      <c r="BU857" s="244"/>
      <c r="BV857" s="244"/>
      <c r="BW857" s="247"/>
      <c r="BX857" s="247"/>
      <c r="BY857" s="247"/>
      <c r="BZ857" s="247"/>
      <c r="CA857" s="244"/>
      <c r="CB857" s="244"/>
      <c r="CC857" s="244"/>
      <c r="CD857" s="244"/>
      <c r="CE857" s="244"/>
      <c r="CF857" s="247"/>
      <c r="CG857" s="247"/>
      <c r="CH857" s="247"/>
      <c r="CI857" s="247"/>
      <c r="CJ857" s="248"/>
      <c r="CK857" s="248"/>
      <c r="CL857" s="248"/>
      <c r="CM857" s="248"/>
      <c r="CN857" s="248"/>
      <c r="CO857" s="247"/>
      <c r="CP857" s="247"/>
      <c r="CQ857" s="247"/>
      <c r="CR857" s="247"/>
      <c r="CS857" s="248"/>
      <c r="CT857" s="242"/>
      <c r="CU857" s="253"/>
      <c r="CV857" s="209"/>
      <c r="CW857" s="228"/>
    </row>
    <row r="858" spans="1:101" x14ac:dyDescent="0.2">
      <c r="A858" s="219"/>
      <c r="B858" s="219"/>
      <c r="C858" s="175"/>
      <c r="D858" s="176"/>
      <c r="E858" s="210"/>
      <c r="F858" s="211"/>
      <c r="G858" s="210"/>
      <c r="H858" s="210"/>
      <c r="I858" s="210"/>
      <c r="J858" s="210"/>
      <c r="K858" s="210"/>
      <c r="L858" s="212"/>
      <c r="M858" s="213"/>
      <c r="N858" s="213"/>
      <c r="O858" s="213"/>
      <c r="P858" s="213"/>
      <c r="Q858" s="210"/>
      <c r="R858" s="210"/>
      <c r="S858" s="210"/>
      <c r="T858" s="214"/>
      <c r="U858" s="215"/>
      <c r="V858" s="215"/>
      <c r="W858" s="215"/>
      <c r="X858" s="215"/>
      <c r="Y858" s="213"/>
      <c r="Z858" s="210"/>
      <c r="AA858" s="210"/>
      <c r="AB858" s="210"/>
      <c r="AC858" s="214"/>
      <c r="AD858" s="215"/>
      <c r="AE858" s="215"/>
      <c r="AF858" s="215"/>
      <c r="AG858" s="215"/>
      <c r="AH858" s="213"/>
      <c r="AI858" s="210"/>
      <c r="AJ858" s="210"/>
      <c r="AK858" s="210"/>
      <c r="AL858" s="214"/>
      <c r="AM858" s="215"/>
      <c r="AN858" s="215"/>
      <c r="AO858" s="215"/>
      <c r="AP858" s="215"/>
      <c r="AQ858" s="213"/>
      <c r="AR858" s="210"/>
      <c r="AS858" s="210"/>
      <c r="AT858" s="210"/>
      <c r="AU858" s="214"/>
      <c r="AV858" s="215"/>
      <c r="AW858" s="215"/>
      <c r="AX858" s="215"/>
      <c r="AY858" s="215"/>
      <c r="AZ858" s="213"/>
      <c r="BA858" s="210"/>
      <c r="BB858" s="210"/>
      <c r="BC858" s="210"/>
      <c r="BD858" s="214"/>
      <c r="BE858" s="215"/>
      <c r="BF858" s="215"/>
      <c r="BG858" s="215"/>
      <c r="BH858" s="215"/>
      <c r="BI858" s="213"/>
      <c r="BJ858" s="210"/>
      <c r="BK858" s="210"/>
      <c r="BL858" s="210"/>
      <c r="BM858" s="214"/>
      <c r="BN858" s="215"/>
      <c r="BO858" s="215"/>
      <c r="BP858" s="215"/>
      <c r="BQ858" s="215"/>
      <c r="BR858" s="177"/>
      <c r="BS858" s="210"/>
      <c r="BT858" s="210"/>
      <c r="BU858" s="210"/>
      <c r="BV858" s="213"/>
      <c r="BW858" s="215"/>
      <c r="BX858" s="215"/>
      <c r="BY858" s="215"/>
      <c r="BZ858" s="215"/>
      <c r="CA858" s="210"/>
      <c r="CB858" s="216"/>
      <c r="CC858" s="216"/>
      <c r="CD858" s="216"/>
      <c r="CE858" s="216"/>
      <c r="CF858" s="215"/>
      <c r="CG858" s="215"/>
      <c r="CH858" s="215"/>
      <c r="CI858" s="215"/>
      <c r="CJ858" s="210"/>
      <c r="CK858" s="210"/>
      <c r="CL858" s="210"/>
      <c r="CM858" s="210"/>
      <c r="CN858" s="210"/>
      <c r="CO858" s="215"/>
      <c r="CP858" s="215"/>
      <c r="CQ858" s="215"/>
      <c r="CR858" s="215"/>
      <c r="CS858" s="210"/>
      <c r="CT858" s="210"/>
      <c r="CU858" s="210"/>
      <c r="CV858" s="217"/>
      <c r="CW858" s="218"/>
    </row>
    <row r="859" spans="1:101" ht="14.25" thickTop="1" thickBot="1" x14ac:dyDescent="0.25">
      <c r="A859" s="218"/>
      <c r="B859" s="218"/>
      <c r="C859" s="218"/>
      <c r="D859" s="218"/>
      <c r="E859" s="218"/>
      <c r="F859" s="218"/>
      <c r="G859" s="218"/>
      <c r="H859" s="218"/>
      <c r="I859" s="218"/>
      <c r="J859" s="218"/>
      <c r="K859" s="218"/>
      <c r="L859" s="218"/>
      <c r="M859" s="218"/>
      <c r="N859" s="218"/>
      <c r="O859" s="218"/>
      <c r="P859" s="218"/>
      <c r="Q859" s="218"/>
      <c r="R859" s="218"/>
      <c r="S859" s="218"/>
      <c r="T859" s="218"/>
      <c r="U859" s="218"/>
      <c r="V859" s="218"/>
      <c r="W859" s="218"/>
      <c r="X859" s="218"/>
      <c r="Y859" s="218"/>
      <c r="Z859" s="218"/>
      <c r="AA859" s="218"/>
      <c r="AB859" s="218"/>
      <c r="AC859" s="218"/>
      <c r="AD859" s="218"/>
      <c r="AE859" s="218"/>
      <c r="AF859" s="218"/>
      <c r="AG859" s="218"/>
      <c r="AH859" s="218"/>
      <c r="AI859" s="218"/>
      <c r="AJ859" s="218"/>
      <c r="AK859" s="218"/>
      <c r="AL859" s="218"/>
      <c r="AM859" s="218"/>
      <c r="AN859" s="218"/>
      <c r="AO859" s="218"/>
      <c r="AP859" s="218"/>
      <c r="AQ859" s="218"/>
      <c r="AR859" s="218"/>
      <c r="AS859" s="218"/>
      <c r="AT859" s="218"/>
      <c r="AU859" s="218"/>
      <c r="AV859" s="218"/>
      <c r="AW859" s="218"/>
      <c r="AX859" s="218"/>
      <c r="AY859" s="218"/>
      <c r="AZ859" s="218"/>
      <c r="BA859" s="218"/>
      <c r="BB859" s="218"/>
      <c r="BC859" s="218"/>
      <c r="BD859" s="218"/>
      <c r="BE859" s="218"/>
      <c r="BF859" s="218"/>
      <c r="BG859" s="218"/>
      <c r="BH859" s="218"/>
      <c r="BI859" s="218"/>
      <c r="BJ859" s="218"/>
      <c r="BK859" s="218"/>
      <c r="BL859" s="218"/>
      <c r="BM859" s="218"/>
      <c r="BN859" s="218"/>
      <c r="BO859" s="218"/>
      <c r="BP859" s="218"/>
      <c r="BQ859" s="218"/>
      <c r="BR859" s="218"/>
      <c r="BS859" s="218"/>
      <c r="BT859" s="218"/>
      <c r="BU859" s="218"/>
      <c r="BV859" s="218"/>
      <c r="BW859" s="218"/>
      <c r="BX859" s="218"/>
      <c r="BY859" s="218"/>
      <c r="BZ859" s="218"/>
      <c r="CA859" s="218"/>
      <c r="CB859" s="392"/>
      <c r="CC859" s="392"/>
      <c r="CD859" s="392"/>
      <c r="CE859" s="392"/>
      <c r="CF859" s="218"/>
      <c r="CG859" s="218"/>
      <c r="CH859" s="218"/>
      <c r="CI859" s="218"/>
      <c r="CJ859" s="218"/>
      <c r="CK859" s="218"/>
      <c r="CL859" s="218"/>
      <c r="CM859" s="218"/>
      <c r="CN859" s="218"/>
      <c r="CO859" s="218"/>
      <c r="CP859" s="218"/>
      <c r="CQ859" s="218"/>
      <c r="CR859" s="218"/>
      <c r="CS859" s="218"/>
      <c r="CT859" s="218"/>
      <c r="CU859" s="218"/>
      <c r="CV859" s="218"/>
      <c r="CW859" s="218"/>
    </row>
    <row r="860" spans="1:101" ht="21" thickTop="1" x14ac:dyDescent="0.3">
      <c r="A860" s="219"/>
      <c r="B860" s="219"/>
      <c r="C860" s="157"/>
      <c r="D860" s="158"/>
      <c r="E860" s="731" t="s">
        <v>44</v>
      </c>
      <c r="F860" s="229"/>
      <c r="G860" s="229"/>
      <c r="H860" s="229"/>
      <c r="I860" s="877" t="e" vm="1">
        <v>#VALUE!</v>
      </c>
      <c r="J860" s="877"/>
      <c r="K860" s="877"/>
      <c r="L860" s="877"/>
      <c r="M860" s="159"/>
      <c r="N860" s="159"/>
      <c r="O860" s="159"/>
      <c r="P860" s="160"/>
      <c r="Q860" s="159"/>
      <c r="R860" s="159"/>
      <c r="S860" s="159"/>
      <c r="T860" s="161"/>
      <c r="U860" s="162"/>
      <c r="V860" s="162"/>
      <c r="W860" s="162"/>
      <c r="X860" s="162"/>
      <c r="Y860" s="160"/>
      <c r="Z860" s="159"/>
      <c r="AA860" s="159"/>
      <c r="AB860" s="159"/>
      <c r="AC860" s="161"/>
      <c r="AD860" s="162"/>
      <c r="AE860" s="162"/>
      <c r="AF860" s="162"/>
      <c r="AG860" s="162"/>
      <c r="AH860" s="160"/>
      <c r="AI860" s="159"/>
      <c r="AJ860" s="201"/>
      <c r="AK860" s="201"/>
      <c r="AL860" s="164"/>
      <c r="AM860" s="162"/>
      <c r="AN860" s="162"/>
      <c r="AO860" s="162"/>
      <c r="AP860" s="162"/>
      <c r="AQ860" s="202"/>
      <c r="AR860" s="203"/>
      <c r="AS860" s="165"/>
      <c r="AT860" s="166"/>
      <c r="AU860" s="164"/>
      <c r="AV860" s="162"/>
      <c r="AW860" s="162"/>
      <c r="AX860" s="162"/>
      <c r="AY860" s="162"/>
      <c r="AZ860" s="202"/>
      <c r="BA860" s="203"/>
      <c r="BB860" s="166"/>
      <c r="BC860" s="201"/>
      <c r="BD860" s="204"/>
      <c r="BE860" s="162"/>
      <c r="BF860" s="162"/>
      <c r="BG860" s="162"/>
      <c r="BH860" s="162"/>
      <c r="BI860" s="205"/>
      <c r="BJ860" s="201"/>
      <c r="BK860" s="201"/>
      <c r="BL860" s="201"/>
      <c r="BM860" s="204"/>
      <c r="BN860" s="162"/>
      <c r="BO860" s="162"/>
      <c r="BP860" s="162"/>
      <c r="BQ860" s="162"/>
      <c r="BR860" s="167"/>
      <c r="BS860" s="201"/>
      <c r="BT860" s="201"/>
      <c r="BU860" s="201"/>
      <c r="BV860" s="205"/>
      <c r="BW860" s="162"/>
      <c r="BX860" s="162"/>
      <c r="BY860" s="162"/>
      <c r="BZ860" s="162"/>
      <c r="CA860" s="201"/>
      <c r="CB860" s="393"/>
      <c r="CC860" s="393"/>
      <c r="CD860" s="393"/>
      <c r="CE860" s="393"/>
      <c r="CF860" s="162"/>
      <c r="CG860" s="162"/>
      <c r="CH860" s="162"/>
      <c r="CI860" s="162"/>
      <c r="CJ860" s="163"/>
      <c r="CK860" s="163"/>
      <c r="CL860" s="163"/>
      <c r="CM860" s="163"/>
      <c r="CN860" s="163"/>
      <c r="CO860" s="162"/>
      <c r="CP860" s="162"/>
      <c r="CQ860" s="162"/>
      <c r="CR860" s="162"/>
      <c r="CS860" s="163"/>
      <c r="CT860" s="358"/>
      <c r="CU860" s="201"/>
      <c r="CV860" s="206"/>
      <c r="CW860" s="218"/>
    </row>
    <row r="861" spans="1:101" ht="15.75" thickBot="1" x14ac:dyDescent="0.25">
      <c r="A861" s="219"/>
      <c r="B861" s="219"/>
      <c r="C861" s="168"/>
      <c r="D861" s="785"/>
      <c r="E861" s="869" t="s">
        <v>45</v>
      </c>
      <c r="F861" s="363"/>
      <c r="G861" s="363"/>
      <c r="H861" s="363"/>
      <c r="I861" s="878"/>
      <c r="J861" s="878"/>
      <c r="K861" s="878"/>
      <c r="L861" s="878"/>
      <c r="M861" s="363"/>
      <c r="N861" s="363"/>
      <c r="O861" s="363"/>
      <c r="P861" s="363"/>
      <c r="Q861" s="363"/>
      <c r="R861" s="363"/>
      <c r="S861" s="363"/>
      <c r="T861" s="363"/>
      <c r="U861" s="363"/>
      <c r="V861" s="363"/>
      <c r="W861" s="363"/>
      <c r="X861" s="363"/>
      <c r="Y861" s="363"/>
      <c r="Z861" s="363"/>
      <c r="AA861" s="363"/>
      <c r="AB861" s="363"/>
      <c r="AC861" s="363"/>
      <c r="AD861" s="363"/>
      <c r="AE861" s="363"/>
      <c r="AF861" s="363"/>
      <c r="AG861" s="363"/>
      <c r="AH861" s="363"/>
      <c r="AI861" s="363"/>
      <c r="AJ861" s="363"/>
      <c r="AK861" s="363"/>
      <c r="AL861" s="363"/>
      <c r="AM861" s="363"/>
      <c r="AN861" s="363"/>
      <c r="AO861" s="363"/>
      <c r="AP861" s="363"/>
      <c r="AQ861" s="363"/>
      <c r="AR861" s="363"/>
      <c r="AS861" s="363"/>
      <c r="AT861" s="363"/>
      <c r="AU861" s="363"/>
      <c r="AV861" s="363"/>
      <c r="AW861" s="363"/>
      <c r="AX861" s="363"/>
      <c r="AY861" s="363"/>
      <c r="AZ861" s="363"/>
      <c r="BA861" s="363"/>
      <c r="BB861" s="363"/>
      <c r="BC861" s="363"/>
      <c r="BD861" s="363"/>
      <c r="BE861" s="363"/>
      <c r="BF861" s="363"/>
      <c r="BG861" s="363"/>
      <c r="BH861" s="363"/>
      <c r="BI861" s="363"/>
      <c r="BJ861" s="363"/>
      <c r="BK861" s="363"/>
      <c r="BL861" s="363"/>
      <c r="BM861" s="363"/>
      <c r="BN861" s="363"/>
      <c r="BO861" s="363"/>
      <c r="BP861" s="363"/>
      <c r="BQ861" s="363"/>
      <c r="BR861" s="363"/>
      <c r="BS861" s="363"/>
      <c r="BT861" s="363"/>
      <c r="BU861" s="363"/>
      <c r="BV861" s="363"/>
      <c r="BW861" s="363"/>
      <c r="BX861" s="363"/>
      <c r="BY861" s="363"/>
      <c r="BZ861" s="363"/>
      <c r="CA861" s="363"/>
      <c r="CB861" s="394"/>
      <c r="CC861" s="394"/>
      <c r="CD861" s="394"/>
      <c r="CE861" s="394"/>
      <c r="CF861" s="363"/>
      <c r="CG861" s="363"/>
      <c r="CH861" s="363"/>
      <c r="CI861" s="363"/>
      <c r="CJ861" s="363"/>
      <c r="CK861" s="363"/>
      <c r="CL861" s="363"/>
      <c r="CM861" s="363"/>
      <c r="CN861" s="323"/>
      <c r="CO861" s="363"/>
      <c r="CP861" s="363"/>
      <c r="CQ861" s="363"/>
      <c r="CR861" s="363"/>
      <c r="CS861" s="323"/>
      <c r="CT861" s="155"/>
      <c r="CU861" s="269"/>
      <c r="CV861" s="209"/>
      <c r="CW861" s="218"/>
    </row>
    <row r="862" spans="1:101" ht="18.75" thickTop="1" x14ac:dyDescent="0.2">
      <c r="A862" s="219"/>
      <c r="B862" s="219"/>
      <c r="C862" s="174"/>
      <c r="D862" s="778"/>
      <c r="E862" s="777"/>
      <c r="F862" s="235"/>
      <c r="G862" s="234"/>
      <c r="H862" s="234"/>
      <c r="I862" s="875">
        <f>WEEKNUM(E863)</f>
        <v>20</v>
      </c>
      <c r="J862" s="875"/>
      <c r="K862" s="875"/>
      <c r="L862" s="250"/>
      <c r="M862" s="261"/>
      <c r="N862" s="205"/>
      <c r="O862" s="236"/>
      <c r="P862" s="236"/>
      <c r="Q862" s="675" t="str">
        <f>IF($F866="","",SUM(Q878:S878)-S864)</f>
        <v/>
      </c>
      <c r="R862" s="675"/>
      <c r="S862" s="675"/>
      <c r="T862" s="237"/>
      <c r="U862" s="238"/>
      <c r="V862" s="238"/>
      <c r="W862" s="238"/>
      <c r="X862" s="238"/>
      <c r="Y862" s="236"/>
      <c r="Z862" s="675" t="str">
        <f>IF($F866="","",SUM(Z878:AB878)-AB864)</f>
        <v/>
      </c>
      <c r="AA862" s="675"/>
      <c r="AB862" s="675"/>
      <c r="AC862" s="237"/>
      <c r="AD862" s="238"/>
      <c r="AE862" s="238"/>
      <c r="AF862" s="238"/>
      <c r="AG862" s="238"/>
      <c r="AH862" s="236"/>
      <c r="AI862" s="675" t="str">
        <f>IF($F866="","",SUM(AI878:AK878)-AK864)</f>
        <v/>
      </c>
      <c r="AJ862" s="675"/>
      <c r="AK862" s="675"/>
      <c r="AL862" s="237"/>
      <c r="AM862" s="238"/>
      <c r="AN862" s="238"/>
      <c r="AO862" s="238"/>
      <c r="AP862" s="238"/>
      <c r="AQ862" s="236"/>
      <c r="AR862" s="675" t="str">
        <f>IF($F866="","",SUM(AR878:AT878)-AT864)</f>
        <v/>
      </c>
      <c r="AS862" s="675"/>
      <c r="AT862" s="675"/>
      <c r="AU862" s="239"/>
      <c r="AV862" s="238"/>
      <c r="AW862" s="238"/>
      <c r="AX862" s="238"/>
      <c r="AY862" s="238"/>
      <c r="AZ862" s="240"/>
      <c r="BA862" s="675" t="str">
        <f>IF($F866="","",SUM(BA878:BC878)-BC864)</f>
        <v/>
      </c>
      <c r="BB862" s="675"/>
      <c r="BC862" s="675"/>
      <c r="BD862" s="239"/>
      <c r="BE862" s="238"/>
      <c r="BF862" s="238"/>
      <c r="BG862" s="238"/>
      <c r="BH862" s="238"/>
      <c r="BI862" s="240"/>
      <c r="BJ862" s="675" t="str">
        <f>IF($F866="","",SUM(BJ878:BL878)-BL864)</f>
        <v/>
      </c>
      <c r="BK862" s="675"/>
      <c r="BL862" s="675"/>
      <c r="BM862" s="239"/>
      <c r="BN862" s="238"/>
      <c r="BO862" s="238"/>
      <c r="BP862" s="238"/>
      <c r="BQ862" s="238"/>
      <c r="BR862" s="241"/>
      <c r="BS862" s="675" t="str">
        <f>IF($F866="","",SUM(BS878:BU878)-BU864)</f>
        <v/>
      </c>
      <c r="BT862" s="675"/>
      <c r="BU862" s="675"/>
      <c r="BV862" s="240"/>
      <c r="BW862" s="238"/>
      <c r="BX862" s="238"/>
      <c r="BY862" s="238"/>
      <c r="BZ862" s="238"/>
      <c r="CA862" s="241"/>
      <c r="CB862" s="675" t="str">
        <f>IF($F866="","",SUM(CB878:CD878)-CD864)</f>
        <v/>
      </c>
      <c r="CC862" s="675"/>
      <c r="CD862" s="675"/>
      <c r="CE862" s="240"/>
      <c r="CF862" s="238"/>
      <c r="CG862" s="238"/>
      <c r="CH862" s="238"/>
      <c r="CI862" s="238"/>
      <c r="CJ862" s="234"/>
      <c r="CK862" s="675" t="str">
        <f>IF($F866="","",SUM(CK878:CM878))</f>
        <v/>
      </c>
      <c r="CL862" s="675"/>
      <c r="CM862" s="675"/>
      <c r="CN862" s="240"/>
      <c r="CO862" s="238"/>
      <c r="CP862" s="238"/>
      <c r="CQ862" s="238"/>
      <c r="CR862" s="238"/>
      <c r="CS862" s="234"/>
      <c r="CT862" s="234"/>
      <c r="CU862" s="251"/>
      <c r="CV862" s="209"/>
      <c r="CW862" s="218"/>
    </row>
    <row r="863" spans="1:101" x14ac:dyDescent="0.2">
      <c r="A863" s="219"/>
      <c r="B863" s="219"/>
      <c r="C863" s="174"/>
      <c r="D863" s="779"/>
      <c r="E863" s="543">
        <f>E841+7</f>
        <v>46522</v>
      </c>
      <c r="F863" s="178"/>
      <c r="G863" s="179"/>
      <c r="H863" s="179"/>
      <c r="I863" s="876"/>
      <c r="J863" s="876"/>
      <c r="K863" s="876"/>
      <c r="L863" s="254"/>
      <c r="M863" s="329"/>
      <c r="N863" s="208"/>
      <c r="O863" s="180"/>
      <c r="P863" s="180"/>
      <c r="Q863" s="584" t="str">
        <f>IF(Q862="","",Q862/Data!$X$1)</f>
        <v/>
      </c>
      <c r="R863" s="584"/>
      <c r="S863" s="585" t="str">
        <f>IF(SUM(X866:X877)=0,"",SUM(X866:X877))</f>
        <v/>
      </c>
      <c r="T863" s="181"/>
      <c r="U863" s="182"/>
      <c r="V863" s="182"/>
      <c r="W863" s="182"/>
      <c r="X863" s="182"/>
      <c r="Y863" s="180"/>
      <c r="Z863" s="584" t="str">
        <f>IF(Z862="","",Z862/Data!$X$1)</f>
        <v/>
      </c>
      <c r="AA863" s="584"/>
      <c r="AB863" s="585" t="str">
        <f>IF(SUM(AG866:AG877)=0,"",SUM(AG866:AG877))</f>
        <v/>
      </c>
      <c r="AC863" s="181"/>
      <c r="AD863" s="182"/>
      <c r="AE863" s="182"/>
      <c r="AF863" s="182"/>
      <c r="AG863" s="182"/>
      <c r="AH863" s="180"/>
      <c r="AI863" s="584" t="str">
        <f>IF(AI862="","",AI862/Data!$X$1)</f>
        <v/>
      </c>
      <c r="AJ863" s="584"/>
      <c r="AK863" s="585" t="str">
        <f>IF(SUM(AP866:AP877)=0,"",SUM(AP866:AP877))</f>
        <v/>
      </c>
      <c r="AL863" s="181"/>
      <c r="AM863" s="182"/>
      <c r="AN863" s="182"/>
      <c r="AO863" s="182"/>
      <c r="AP863" s="182"/>
      <c r="AQ863" s="180"/>
      <c r="AR863" s="584" t="str">
        <f>IF(AR862="","",AR862/Data!$X$1)</f>
        <v/>
      </c>
      <c r="AS863" s="584"/>
      <c r="AT863" s="585" t="str">
        <f>IF(SUM(AY866:AY877)=0,"",SUM(AY866:AY877))</f>
        <v/>
      </c>
      <c r="AU863" s="183"/>
      <c r="AV863" s="182"/>
      <c r="AW863" s="182"/>
      <c r="AX863" s="182"/>
      <c r="AY863" s="182"/>
      <c r="AZ863" s="184"/>
      <c r="BA863" s="584" t="str">
        <f>IF(BA862="","",BA862/Data!$X$1)</f>
        <v/>
      </c>
      <c r="BB863" s="584"/>
      <c r="BC863" s="585" t="str">
        <f>IF(SUM(BH866:BH877)=0,"",SUM(BH866:BH877))</f>
        <v/>
      </c>
      <c r="BD863" s="183"/>
      <c r="BE863" s="182"/>
      <c r="BF863" s="182"/>
      <c r="BG863" s="182"/>
      <c r="BH863" s="182"/>
      <c r="BI863" s="184"/>
      <c r="BJ863" s="584" t="str">
        <f>IF(BJ862="","",BJ862/Data!$X$1)</f>
        <v/>
      </c>
      <c r="BK863" s="584"/>
      <c r="BL863" s="585" t="str">
        <f>IF(SUM(BQ866:BQ877)=0,"",SUM(BQ866:BQ877))</f>
        <v/>
      </c>
      <c r="BM863" s="183"/>
      <c r="BN863" s="182"/>
      <c r="BO863" s="182"/>
      <c r="BP863" s="182"/>
      <c r="BQ863" s="182"/>
      <c r="BR863" s="185"/>
      <c r="BS863" s="584" t="str">
        <f>IF(BS862="","",BS862/Data!$X$1)</f>
        <v/>
      </c>
      <c r="BT863" s="584"/>
      <c r="BU863" s="585" t="str">
        <f>IF(SUM(BZ866:BZ877)=0,"",SUM(BZ866:BZ877))</f>
        <v/>
      </c>
      <c r="BV863" s="184"/>
      <c r="BW863" s="182"/>
      <c r="BX863" s="182"/>
      <c r="BY863" s="182"/>
      <c r="BZ863" s="182"/>
      <c r="CA863" s="185"/>
      <c r="CB863" s="584" t="str">
        <f>IF(CB862="","",CB862/Data!$X$1)</f>
        <v/>
      </c>
      <c r="CC863" s="584"/>
      <c r="CD863" s="585" t="str">
        <f>IF(SUM(CI866:CI877)=0,"",SUM(CI866:CI877))</f>
        <v/>
      </c>
      <c r="CE863" s="184"/>
      <c r="CF863" s="182"/>
      <c r="CG863" s="182"/>
      <c r="CH863" s="182"/>
      <c r="CI863" s="182"/>
      <c r="CJ863" s="182"/>
      <c r="CK863" s="584" t="str">
        <f>IF(CK862="","",CK862/Data!$X$1)</f>
        <v/>
      </c>
      <c r="CL863" s="584"/>
      <c r="CM863" s="585" t="str">
        <f>IF(SUM(CR866:CR877)=0,"",SUM(CR866:CR877))</f>
        <v/>
      </c>
      <c r="CN863" s="184"/>
      <c r="CO863" s="182"/>
      <c r="CP863" s="182"/>
      <c r="CQ863" s="182"/>
      <c r="CR863" s="182"/>
      <c r="CS863" s="182"/>
      <c r="CT863" s="182"/>
      <c r="CU863" s="255"/>
      <c r="CV863" s="209"/>
      <c r="CW863" s="218"/>
    </row>
    <row r="864" spans="1:101" ht="13.5" thickBot="1" x14ac:dyDescent="0.25">
      <c r="A864" s="219"/>
      <c r="B864" s="219"/>
      <c r="C864" s="174"/>
      <c r="D864" s="230"/>
      <c r="E864" s="359"/>
      <c r="F864" s="186"/>
      <c r="G864" s="187"/>
      <c r="H864" s="187"/>
      <c r="I864" s="673"/>
      <c r="J864" s="674"/>
      <c r="K864" s="674"/>
      <c r="L864" s="256"/>
      <c r="M864" s="330"/>
      <c r="N864" s="334"/>
      <c r="O864" s="187"/>
      <c r="P864" s="187"/>
      <c r="Q864" s="342" t="str">
        <f>Data!$E$11</f>
        <v>AHH</v>
      </c>
      <c r="R864" s="343" t="str">
        <f>IF($F877="","",RANK(Q862,$Q862:$CL862))</f>
        <v/>
      </c>
      <c r="S864" s="466"/>
      <c r="T864" s="181"/>
      <c r="U864" s="182"/>
      <c r="V864" s="182"/>
      <c r="W864" s="182"/>
      <c r="X864" s="197">
        <f>COUNTIF(U866:W877,"&gt;0")</f>
        <v>0</v>
      </c>
      <c r="Y864" s="180"/>
      <c r="Z864" s="342" t="str">
        <f>Data!$E$12</f>
        <v>RB</v>
      </c>
      <c r="AA864" s="343" t="str">
        <f>IF($F877="","",RANK(Z862,$Q862:$CL862))</f>
        <v/>
      </c>
      <c r="AB864" s="466"/>
      <c r="AC864" s="181"/>
      <c r="AD864" s="182"/>
      <c r="AE864" s="182"/>
      <c r="AF864" s="182"/>
      <c r="AG864" s="197">
        <f>COUNTIF(AD866:AF877,"&gt;0")</f>
        <v>0</v>
      </c>
      <c r="AH864" s="180"/>
      <c r="AI864" s="342" t="str">
        <f>Data!$E$13</f>
        <v>EB</v>
      </c>
      <c r="AJ864" s="343" t="str">
        <f>IF($F877="","",RANK(AI862,$Q862:$CL862))</f>
        <v/>
      </c>
      <c r="AK864" s="466"/>
      <c r="AL864" s="181"/>
      <c r="AM864" s="182"/>
      <c r="AN864" s="182"/>
      <c r="AO864" s="182"/>
      <c r="AP864" s="197">
        <f>COUNTIF(AM866:AO877,"&gt;0")</f>
        <v>0</v>
      </c>
      <c r="AQ864" s="180"/>
      <c r="AR864" s="305" t="str">
        <f>Data!$E$14</f>
        <v>KAF</v>
      </c>
      <c r="AS864" s="343" t="str">
        <f>IF($F877="","",RANK(AR862,$Q862:$CL862))</f>
        <v/>
      </c>
      <c r="AT864" s="466"/>
      <c r="AU864" s="181"/>
      <c r="AV864" s="182"/>
      <c r="AW864" s="182"/>
      <c r="AX864" s="182"/>
      <c r="AY864" s="197">
        <f>COUNTIF(AV866:AX877,"&gt;0")</f>
        <v>0</v>
      </c>
      <c r="AZ864" s="180"/>
      <c r="BA864" s="305" t="str">
        <f>Data!$E$15</f>
        <v>ØG</v>
      </c>
      <c r="BB864" s="343" t="str">
        <f>IF($F877="","",RANK(BA862,$Q862:$CL862))</f>
        <v/>
      </c>
      <c r="BC864" s="466"/>
      <c r="BD864" s="181"/>
      <c r="BE864" s="182"/>
      <c r="BF864" s="182"/>
      <c r="BG864" s="182"/>
      <c r="BH864" s="197">
        <f>COUNTIF(BE866:BG877,"&gt;0")</f>
        <v>0</v>
      </c>
      <c r="BI864" s="180"/>
      <c r="BJ864" s="305" t="str">
        <f>Data!$E$16</f>
        <v>JH</v>
      </c>
      <c r="BK864" s="343" t="str">
        <f>IF($F877="","",RANK(BJ862,$Q862:$CL862))</f>
        <v/>
      </c>
      <c r="BL864" s="466"/>
      <c r="BM864" s="181"/>
      <c r="BN864" s="182"/>
      <c r="BO864" s="182"/>
      <c r="BP864" s="182"/>
      <c r="BQ864" s="197">
        <f>COUNTIF(BN866:BP877,"&gt;0")</f>
        <v>0</v>
      </c>
      <c r="BR864" s="188"/>
      <c r="BS864" s="305" t="str">
        <f>Data!$E$17</f>
        <v>TOH</v>
      </c>
      <c r="BT864" s="343" t="str">
        <f>IF($F877="","",RANK(BS862,$Q862:$CL862))</f>
        <v/>
      </c>
      <c r="BU864" s="466"/>
      <c r="BV864" s="180"/>
      <c r="BW864" s="182"/>
      <c r="BX864" s="182"/>
      <c r="BY864" s="182"/>
      <c r="BZ864" s="197">
        <f>COUNTIF(BW866:BY877,"&gt;0")</f>
        <v>0</v>
      </c>
      <c r="CA864" s="188"/>
      <c r="CB864" s="305" t="s">
        <v>26</v>
      </c>
      <c r="CC864" s="343" t="str">
        <f>IF($F877="","",RANK(CB862,$Q862:$CM862))</f>
        <v/>
      </c>
      <c r="CD864" s="467"/>
      <c r="CE864" s="180"/>
      <c r="CF864" s="182"/>
      <c r="CG864" s="182"/>
      <c r="CH864" s="182"/>
      <c r="CI864" s="197">
        <f>COUNTIF(CF866:CH877,"&gt;0")</f>
        <v>0</v>
      </c>
      <c r="CJ864" s="182"/>
      <c r="CK864" s="305" t="s">
        <v>27</v>
      </c>
      <c r="CL864" s="343" t="str">
        <f>IF($F877="","",RANK(CK862,$Q862:$CM862))</f>
        <v/>
      </c>
      <c r="CM864" s="669"/>
      <c r="CN864" s="180"/>
      <c r="CO864" s="182"/>
      <c r="CP864" s="182"/>
      <c r="CQ864" s="182"/>
      <c r="CR864" s="197">
        <f>COUNTIF(CO866:CQ877,"&gt;0")</f>
        <v>0</v>
      </c>
      <c r="CS864" s="182"/>
      <c r="CT864" s="182"/>
      <c r="CU864" s="255"/>
      <c r="CV864" s="209"/>
      <c r="CW864" s="218"/>
    </row>
    <row r="865" spans="1:101" ht="13.5" thickBot="1" x14ac:dyDescent="0.25">
      <c r="A865" s="227"/>
      <c r="B865" s="227"/>
      <c r="C865" s="168"/>
      <c r="D865" s="231"/>
      <c r="E865" s="189"/>
      <c r="F865" s="190"/>
      <c r="G865" s="191"/>
      <c r="H865" s="191"/>
      <c r="I865" s="192" t="s">
        <v>47</v>
      </c>
      <c r="J865" s="193" t="s">
        <v>48</v>
      </c>
      <c r="K865" s="194" t="s">
        <v>49</v>
      </c>
      <c r="L865" s="257"/>
      <c r="M865" s="331"/>
      <c r="N865" s="335"/>
      <c r="O865" s="195"/>
      <c r="P865" s="195"/>
      <c r="Q865" s="192" t="s">
        <v>47</v>
      </c>
      <c r="R865" s="193" t="s">
        <v>48</v>
      </c>
      <c r="S865" s="194" t="s">
        <v>49</v>
      </c>
      <c r="T865" s="196"/>
      <c r="U865" s="197"/>
      <c r="V865" s="197"/>
      <c r="W865" s="197"/>
      <c r="X865" s="197"/>
      <c r="Y865" s="195"/>
      <c r="Z865" s="192" t="s">
        <v>47</v>
      </c>
      <c r="AA865" s="193" t="s">
        <v>48</v>
      </c>
      <c r="AB865" s="194" t="s">
        <v>49</v>
      </c>
      <c r="AC865" s="196"/>
      <c r="AD865" s="197"/>
      <c r="AE865" s="197"/>
      <c r="AF865" s="197"/>
      <c r="AG865" s="197"/>
      <c r="AH865" s="195"/>
      <c r="AI865" s="192" t="s">
        <v>47</v>
      </c>
      <c r="AJ865" s="193" t="s">
        <v>48</v>
      </c>
      <c r="AK865" s="194" t="s">
        <v>49</v>
      </c>
      <c r="AL865" s="196"/>
      <c r="AM865" s="197"/>
      <c r="AN865" s="197"/>
      <c r="AO865" s="197"/>
      <c r="AP865" s="197"/>
      <c r="AQ865" s="195"/>
      <c r="AR865" s="192" t="s">
        <v>47</v>
      </c>
      <c r="AS865" s="193" t="s">
        <v>48</v>
      </c>
      <c r="AT865" s="194" t="s">
        <v>49</v>
      </c>
      <c r="AU865" s="196"/>
      <c r="AV865" s="197"/>
      <c r="AW865" s="197"/>
      <c r="AX865" s="197"/>
      <c r="AY865" s="197"/>
      <c r="AZ865" s="195"/>
      <c r="BA865" s="192" t="s">
        <v>47</v>
      </c>
      <c r="BB865" s="193" t="s">
        <v>48</v>
      </c>
      <c r="BC865" s="194" t="s">
        <v>49</v>
      </c>
      <c r="BD865" s="196"/>
      <c r="BE865" s="197"/>
      <c r="BF865" s="197"/>
      <c r="BG865" s="197"/>
      <c r="BH865" s="197"/>
      <c r="BI865" s="195"/>
      <c r="BJ865" s="192" t="s">
        <v>47</v>
      </c>
      <c r="BK865" s="193" t="s">
        <v>48</v>
      </c>
      <c r="BL865" s="194" t="s">
        <v>49</v>
      </c>
      <c r="BM865" s="196"/>
      <c r="BN865" s="197"/>
      <c r="BO865" s="197"/>
      <c r="BP865" s="197"/>
      <c r="BQ865" s="197"/>
      <c r="BR865" s="195"/>
      <c r="BS865" s="192" t="s">
        <v>47</v>
      </c>
      <c r="BT865" s="193" t="s">
        <v>48</v>
      </c>
      <c r="BU865" s="194" t="s">
        <v>49</v>
      </c>
      <c r="BV865" s="196"/>
      <c r="BW865" s="197"/>
      <c r="BX865" s="197"/>
      <c r="BY865" s="197"/>
      <c r="BZ865" s="197"/>
      <c r="CA865" s="195"/>
      <c r="CB865" s="192" t="s">
        <v>47</v>
      </c>
      <c r="CC865" s="193" t="s">
        <v>48</v>
      </c>
      <c r="CD865" s="194" t="s">
        <v>49</v>
      </c>
      <c r="CE865" s="196"/>
      <c r="CF865" s="197"/>
      <c r="CG865" s="197"/>
      <c r="CH865" s="197"/>
      <c r="CI865" s="197"/>
      <c r="CJ865" s="197"/>
      <c r="CK865" s="192" t="s">
        <v>47</v>
      </c>
      <c r="CL865" s="193" t="s">
        <v>48</v>
      </c>
      <c r="CM865" s="194" t="s">
        <v>49</v>
      </c>
      <c r="CN865" s="196"/>
      <c r="CO865" s="197"/>
      <c r="CP865" s="197"/>
      <c r="CQ865" s="197"/>
      <c r="CR865" s="197"/>
      <c r="CS865" s="197"/>
      <c r="CT865" s="198"/>
      <c r="CU865" s="255"/>
      <c r="CV865" s="209"/>
      <c r="CW865" s="228"/>
    </row>
    <row r="866" spans="1:101" x14ac:dyDescent="0.2">
      <c r="A866" s="227"/>
      <c r="B866" s="227"/>
      <c r="C866" s="168"/>
      <c r="D866" s="232"/>
      <c r="E866" s="134"/>
      <c r="F866" s="424"/>
      <c r="G866" s="428" t="s">
        <v>51</v>
      </c>
      <c r="H866" s="429"/>
      <c r="I866" s="138" t="str">
        <f t="shared" ref="I866:I877" si="1283">IF($F866&gt;$H866,"x","")</f>
        <v/>
      </c>
      <c r="J866" s="344" t="str">
        <f t="shared" ref="J866:J877" si="1284">IF(F866&lt;&gt;"",IF(H866&lt;&gt;"",IF(F866=H866,"x",""),""),"")</f>
        <v/>
      </c>
      <c r="K866" s="345" t="str">
        <f t="shared" ref="K866:K877" si="1285">IF($F866&lt;$H866,"x","")</f>
        <v/>
      </c>
      <c r="L866" s="258"/>
      <c r="M866" s="332"/>
      <c r="N866" s="336"/>
      <c r="O866" s="200"/>
      <c r="P866" s="200"/>
      <c r="Q866" s="436"/>
      <c r="R866" s="437"/>
      <c r="S866" s="438" t="str">
        <f t="shared" ref="S866:S877" si="1286">IF(Q866="","",100-SUM(Q866:R866))</f>
        <v/>
      </c>
      <c r="T866" s="328"/>
      <c r="U866" s="197" t="str">
        <f>IF(AND($I866="x",AND(MAX(Q866:S866)=Q866,Q866&gt;=0)),Data!$BI$2,"")</f>
        <v/>
      </c>
      <c r="V866" s="197" t="str">
        <f>IF(AND($J866="x",AND(MAX(Q866:S866)=R866,R866&gt;=0)),Data!$BJ$2,"")</f>
        <v/>
      </c>
      <c r="W866" s="197" t="str">
        <f>IF(AND($K866="x",AND(MAX(Q866:S866)=S866,S866&gt;=0)),Data!$BK$2,"")</f>
        <v/>
      </c>
      <c r="X866" s="197"/>
      <c r="Y866" s="328"/>
      <c r="Z866" s="451"/>
      <c r="AA866" s="452"/>
      <c r="AB866" s="438" t="str">
        <f t="shared" ref="AB866:AB877" si="1287">IF(Z866="","",100-SUM(Z866:AA866))</f>
        <v/>
      </c>
      <c r="AC866" s="328"/>
      <c r="AD866" s="197" t="str">
        <f>IF(AND($I866="x",AND(MAX(Z866:AB866)=Z866,Z866&lt;&gt;"")),Data!$BI$2,"")</f>
        <v/>
      </c>
      <c r="AE866" s="197" t="str">
        <f>IF(AND($J866="x",AND(MAX(Z866:AB866)=AA866,AA866&lt;&gt;"")),Data!$BJ$2,"")</f>
        <v/>
      </c>
      <c r="AF866" s="197" t="str">
        <f>IF(AND($K866="x",AND(MAX(Z866:AB866)=AB866,AB866&lt;&gt;"")),Data!$BK$2,"")</f>
        <v/>
      </c>
      <c r="AG866" s="197"/>
      <c r="AH866" s="328"/>
      <c r="AI866" s="451"/>
      <c r="AJ866" s="452"/>
      <c r="AK866" s="438" t="str">
        <f t="shared" ref="AK866:AK877" si="1288">IF(AI866="","",100-SUM(AI866:AJ866))</f>
        <v/>
      </c>
      <c r="AL866" s="328"/>
      <c r="AM866" s="197" t="str">
        <f>IF(AND($I866="x",AND(MAX(AI866:AK866)=AI866,AI866&lt;&gt;"")),Data!$BI$2,"")</f>
        <v/>
      </c>
      <c r="AN866" s="197" t="str">
        <f>IF(AND($J866="x",AND(MAX(AI866:AK866)=AJ866,AJ866&lt;&gt;"")),Data!$BJ$2,"")</f>
        <v/>
      </c>
      <c r="AO866" s="197" t="str">
        <f>IF(AND($K866="x",AND(MAX(AI866:AK866)=AK866,AK866&lt;&gt;"")),Data!$BK$2,"")</f>
        <v/>
      </c>
      <c r="AP866" s="197"/>
      <c r="AQ866" s="328"/>
      <c r="AR866" s="451"/>
      <c r="AS866" s="452"/>
      <c r="AT866" s="438" t="str">
        <f t="shared" ref="AT866:AT877" si="1289">IF(AR866="","",100-SUM(AR866:AS866))</f>
        <v/>
      </c>
      <c r="AU866" s="328"/>
      <c r="AV866" s="197" t="str">
        <f>IF(AND($I866="x",AND(MAX(AR866:AT866)=AR866,AR866&lt;&gt;"")),Data!$BI$2,"")</f>
        <v/>
      </c>
      <c r="AW866" s="197" t="str">
        <f>IF(AND($J866="x",AND(MAX(AR866:AT866)=AS866,AS866&lt;&gt;"")),Data!$BJ$2,"")</f>
        <v/>
      </c>
      <c r="AX866" s="197" t="str">
        <f>IF(AND($K866="x",AND(MAX(AR866:AT866)=AT866,AT866&lt;&gt;"")),Data!$BK$2,"")</f>
        <v/>
      </c>
      <c r="AY866" s="197"/>
      <c r="AZ866" s="328"/>
      <c r="BA866" s="451"/>
      <c r="BB866" s="452"/>
      <c r="BC866" s="438" t="str">
        <f t="shared" ref="BC866:BC877" si="1290">IF(BA866="","",100-SUM(BA866:BB866))</f>
        <v/>
      </c>
      <c r="BD866" s="328"/>
      <c r="BE866" s="197" t="str">
        <f>IF(AND($I866="x",AND(MAX(BA866:BC866)=BA866,BA866&lt;&gt;"")),Data!$BI$2,"")</f>
        <v/>
      </c>
      <c r="BF866" s="197" t="str">
        <f>IF(AND($J866="x",AND(MAX(BA866:BC866)=BB866,BB866&lt;&gt;"")),Data!$BJ$2,"")</f>
        <v/>
      </c>
      <c r="BG866" s="197" t="str">
        <f>IF(AND($K866="x",AND(MAX(BA866:BC866)=BC866,BC866&lt;&gt;"")),Data!$BK$2,"")</f>
        <v/>
      </c>
      <c r="BH866" s="197"/>
      <c r="BI866" s="328"/>
      <c r="BJ866" s="451"/>
      <c r="BK866" s="452"/>
      <c r="BL866" s="438" t="str">
        <f t="shared" ref="BL866:BL877" si="1291">IF(BJ866="","",100-SUM(BJ866:BK866))</f>
        <v/>
      </c>
      <c r="BM866" s="328"/>
      <c r="BN866" s="197" t="str">
        <f>IF(AND($I866="x",AND(MAX(BJ866:BL866)=BJ866,BJ866&lt;&gt;"")),Data!$BI$2,"")</f>
        <v/>
      </c>
      <c r="BO866" s="197" t="str">
        <f>IF(AND($J866="x",AND(MAX(BJ866:BL866)=BK866,BK866&lt;&gt;"")),Data!$BJ$2,"")</f>
        <v/>
      </c>
      <c r="BP866" s="197" t="str">
        <f>IF(AND($K866="x",AND(MAX(BJ866:BL866)=BL866,BL866&lt;&gt;"")),Data!$BK$2,"")</f>
        <v/>
      </c>
      <c r="BQ866" s="197"/>
      <c r="BR866" s="328"/>
      <c r="BS866" s="451"/>
      <c r="BT866" s="452"/>
      <c r="BU866" s="438" t="str">
        <f t="shared" ref="BU866:BU877" si="1292">IF(BS866="","",100-SUM(BS866:BT866))</f>
        <v/>
      </c>
      <c r="BV866" s="328"/>
      <c r="BW866" s="197" t="str">
        <f>IF(AND($I866="x",AND(MAX(BS866:BU866)=BS866,BS866&lt;&gt;"")),Data!$BI$2,"")</f>
        <v/>
      </c>
      <c r="BX866" s="197" t="str">
        <f>IF(AND($J866="x",AND(MAX(BS866:BU866)=BT866,BT866&lt;&gt;"")),Data!$BJ$2,"")</f>
        <v/>
      </c>
      <c r="BY866" s="197" t="str">
        <f>IF(AND($K866="x",AND(MAX(BS866:BU866)=BU866,BU866&lt;&gt;"")),Data!$BK$2,"")</f>
        <v/>
      </c>
      <c r="BZ866" s="197"/>
      <c r="CA866" s="328"/>
      <c r="CB866" s="457" t="str">
        <f t="shared" ref="CB866:CB877" si="1293">IFERROR(ROUNDUP((SUM(Q866,Z866,AI866,AR866,BA866,BJ866,BS866)/SUM($Q866:$S866,$Z866:$AB866,$AI866:$AK866,$AR866:$AT866,$BA866:$BC866,$BJ866:$BL866,$BS866:$BU866))*100,-1),"")</f>
        <v/>
      </c>
      <c r="CC866" s="458" t="str">
        <f t="shared" ref="CC866:CC877" si="1294">IFERROR(ROUNDDOWN((SUM(R866,AA866,AJ866,AS866,BB866,BK866,BT866)/SUM($Q866:$S866,$Z866:$AB866,$AI866:$AK866,$AR866:$AT866,$BA866:$BC866,$BJ866:$BL866,$BS866:$BU866))*100,-1),"")</f>
        <v/>
      </c>
      <c r="CD866" s="459" t="str">
        <f t="shared" ref="CD866:CD877" si="1295">IF(CB866="","",100-SUM(CB866:CC866))</f>
        <v/>
      </c>
      <c r="CE866" s="328"/>
      <c r="CF866" s="197" t="str">
        <f>IF(AND($I866="x",AND(MAX(CB866:CD866)=CB866,CB866&lt;&gt;"")),Data!$BI$2,"")</f>
        <v/>
      </c>
      <c r="CG866" s="197" t="str">
        <f>IF(AND($J866="x",AND(MAX(CB866:CD866)=CC866,CC866&lt;&gt;"")),Data!$BJ$2,"")</f>
        <v/>
      </c>
      <c r="CH866" s="197" t="str">
        <f>IF(AND($K866="x",AND(MAX(CB866:CD866)=CD866,CD866&lt;&gt;"")),Data!$BK$2,"")</f>
        <v/>
      </c>
      <c r="CI866" s="197"/>
      <c r="CJ866" s="197"/>
      <c r="CK866" s="451"/>
      <c r="CL866" s="452"/>
      <c r="CM866" s="438" t="str">
        <f t="shared" ref="CM866:CM877" si="1296">IF(CK866="","",100-SUM(CK866:CL866))</f>
        <v/>
      </c>
      <c r="CN866" s="328"/>
      <c r="CO866" s="197" t="str">
        <f>IF(AND($I866="x",AND(MAX(CK866:CM866)=CK866,CK866&lt;&gt;"")),Data!$BI$2,"")</f>
        <v/>
      </c>
      <c r="CP866" s="197" t="str">
        <f>IF(AND($J866="x",AND(MAX(CK866:CM866)=CL866,CL866&lt;&gt;"")),Data!$BJ$2,"")</f>
        <v/>
      </c>
      <c r="CQ866" s="197" t="str">
        <f>IF(AND($K866="x",AND(MAX(CK866:CM866)=CM866,CM866&lt;&gt;"")),Data!$BK$2,"")</f>
        <v/>
      </c>
      <c r="CR866" s="197"/>
      <c r="CS866" s="197"/>
      <c r="CT866" s="328"/>
      <c r="CU866" s="255"/>
      <c r="CV866" s="209"/>
      <c r="CW866" s="227"/>
    </row>
    <row r="867" spans="1:101" x14ac:dyDescent="0.2">
      <c r="A867" s="227"/>
      <c r="B867" s="227"/>
      <c r="C867" s="168"/>
      <c r="D867" s="232"/>
      <c r="E867" s="135"/>
      <c r="F867" s="425"/>
      <c r="G867" s="430" t="s">
        <v>51</v>
      </c>
      <c r="H867" s="431"/>
      <c r="I867" s="346" t="str">
        <f t="shared" si="1283"/>
        <v/>
      </c>
      <c r="J867" s="347" t="str">
        <f t="shared" si="1284"/>
        <v/>
      </c>
      <c r="K867" s="348" t="str">
        <f t="shared" si="1285"/>
        <v/>
      </c>
      <c r="L867" s="258"/>
      <c r="M867" s="332"/>
      <c r="N867" s="336"/>
      <c r="O867" s="200"/>
      <c r="P867" s="200"/>
      <c r="Q867" s="439"/>
      <c r="R867" s="440"/>
      <c r="S867" s="441" t="str">
        <f t="shared" si="1286"/>
        <v/>
      </c>
      <c r="T867" s="328"/>
      <c r="U867" s="197" t="str">
        <f>IF(AND($I867="x",AND(MAX(Q867:S867)=Q867,Q867&gt;=0)),Data!$BI$2,"")</f>
        <v/>
      </c>
      <c r="V867" s="197" t="str">
        <f>IF(AND($J867="x",AND(MAX(Q867:S867)=R867,R867&gt;=0)),Data!$BJ$2,"")</f>
        <v/>
      </c>
      <c r="W867" s="197" t="str">
        <f>IF(AND($K867="x",AND(MAX(Q867:S867)=S867,S867&gt;=0)),Data!$BK$2,"")</f>
        <v/>
      </c>
      <c r="X867" s="197"/>
      <c r="Y867" s="328"/>
      <c r="Z867" s="453"/>
      <c r="AA867" s="454"/>
      <c r="AB867" s="441" t="str">
        <f t="shared" si="1287"/>
        <v/>
      </c>
      <c r="AC867" s="328"/>
      <c r="AD867" s="197" t="str">
        <f>IF(AND($I867="x",AND(MAX(Z867:AB867)=Z867,Z867&lt;&gt;"")),Data!$BI$2,"")</f>
        <v/>
      </c>
      <c r="AE867" s="197" t="str">
        <f>IF(AND($J867="x",AND(MAX(Z867:AB867)=AA867,AA867&lt;&gt;"")),Data!$BJ$2,"")</f>
        <v/>
      </c>
      <c r="AF867" s="197" t="str">
        <f>IF(AND($K867="x",AND(MAX(Z867:AB867)=AB867,AB867&lt;&gt;"")),Data!$BK$2,"")</f>
        <v/>
      </c>
      <c r="AG867" s="197"/>
      <c r="AH867" s="328"/>
      <c r="AI867" s="453"/>
      <c r="AJ867" s="454"/>
      <c r="AK867" s="441" t="str">
        <f t="shared" si="1288"/>
        <v/>
      </c>
      <c r="AL867" s="328"/>
      <c r="AM867" s="197" t="str">
        <f>IF(AND($I867="x",AND(MAX(AI867:AK867)=AI867,AI867&lt;&gt;"")),Data!$BI$2,"")</f>
        <v/>
      </c>
      <c r="AN867" s="197" t="str">
        <f>IF(AND($J867="x",AND(MAX(AI867:AK867)=AJ867,AJ867&lt;&gt;"")),Data!$BJ$2,"")</f>
        <v/>
      </c>
      <c r="AO867" s="197" t="str">
        <f>IF(AND($K867="x",AND(MAX(AI867:AK867)=AK867,AK867&lt;&gt;"")),Data!$BK$2,"")</f>
        <v/>
      </c>
      <c r="AP867" s="197"/>
      <c r="AQ867" s="328"/>
      <c r="AR867" s="453"/>
      <c r="AS867" s="454"/>
      <c r="AT867" s="441" t="str">
        <f t="shared" si="1289"/>
        <v/>
      </c>
      <c r="AU867" s="328"/>
      <c r="AV867" s="197" t="str">
        <f>IF(AND($I867="x",AND(MAX(AR867:AT867)=AR867,AR867&lt;&gt;"")),Data!$BI$2,"")</f>
        <v/>
      </c>
      <c r="AW867" s="197" t="str">
        <f>IF(AND($J867="x",AND(MAX(AR867:AT867)=AS867,AS867&lt;&gt;"")),Data!$BJ$2,"")</f>
        <v/>
      </c>
      <c r="AX867" s="197" t="str">
        <f>IF(AND($K867="x",AND(MAX(AR867:AT867)=AT867,AT867&lt;&gt;"")),Data!$BK$2,"")</f>
        <v/>
      </c>
      <c r="AY867" s="197"/>
      <c r="AZ867" s="328"/>
      <c r="BA867" s="453"/>
      <c r="BB867" s="454"/>
      <c r="BC867" s="441" t="str">
        <f t="shared" si="1290"/>
        <v/>
      </c>
      <c r="BD867" s="328"/>
      <c r="BE867" s="197" t="str">
        <f>IF(AND($I867="x",AND(MAX(BA867:BC867)=BA867,BA867&lt;&gt;"")),Data!$BI$2,"")</f>
        <v/>
      </c>
      <c r="BF867" s="197" t="str">
        <f>IF(AND($J867="x",AND(MAX(BA867:BC867)=BB867,BB867&lt;&gt;"")),Data!$BJ$2,"")</f>
        <v/>
      </c>
      <c r="BG867" s="197" t="str">
        <f>IF(AND($K867="x",AND(MAX(BA867:BC867)=BC867,BC867&lt;&gt;"")),Data!$BK$2,"")</f>
        <v/>
      </c>
      <c r="BH867" s="197"/>
      <c r="BI867" s="328"/>
      <c r="BJ867" s="453"/>
      <c r="BK867" s="454"/>
      <c r="BL867" s="441" t="str">
        <f t="shared" si="1291"/>
        <v/>
      </c>
      <c r="BM867" s="328"/>
      <c r="BN867" s="197" t="str">
        <f>IF(AND($I867="x",AND(MAX(BJ867:BL867)=BJ867,BJ867&lt;&gt;"")),Data!$BI$2,"")</f>
        <v/>
      </c>
      <c r="BO867" s="197" t="str">
        <f>IF(AND($J867="x",AND(MAX(BJ867:BL867)=BK867,BK867&lt;&gt;"")),Data!$BJ$2,"")</f>
        <v/>
      </c>
      <c r="BP867" s="197" t="str">
        <f>IF(AND($K867="x",AND(MAX(BJ867:BL867)=BL867,BL867&lt;&gt;"")),Data!$BK$2,"")</f>
        <v/>
      </c>
      <c r="BQ867" s="197"/>
      <c r="BR867" s="328"/>
      <c r="BS867" s="453"/>
      <c r="BT867" s="454"/>
      <c r="BU867" s="441" t="str">
        <f t="shared" si="1292"/>
        <v/>
      </c>
      <c r="BV867" s="328"/>
      <c r="BW867" s="197" t="str">
        <f>IF(AND($I867="x",AND(MAX(BS867:BU867)=BS867,BS867&lt;&gt;"")),Data!$BI$2,"")</f>
        <v/>
      </c>
      <c r="BX867" s="197" t="str">
        <f>IF(AND($J867="x",AND(MAX(BS867:BU867)=BT867,BT867&lt;&gt;"")),Data!$BJ$2,"")</f>
        <v/>
      </c>
      <c r="BY867" s="197" t="str">
        <f>IF(AND($K867="x",AND(MAX(BS867:BU867)=BU867,BU867&lt;&gt;"")),Data!$BK$2,"")</f>
        <v/>
      </c>
      <c r="BZ867" s="197"/>
      <c r="CA867" s="328"/>
      <c r="CB867" s="460" t="str">
        <f t="shared" si="1293"/>
        <v/>
      </c>
      <c r="CC867" s="461" t="str">
        <f t="shared" si="1294"/>
        <v/>
      </c>
      <c r="CD867" s="462" t="str">
        <f t="shared" si="1295"/>
        <v/>
      </c>
      <c r="CE867" s="328"/>
      <c r="CF867" s="197" t="str">
        <f>IF(AND($I867="x",AND(MAX(CB867:CD867)=CB867,CB867&lt;&gt;"")),Data!$BI$2,"")</f>
        <v/>
      </c>
      <c r="CG867" s="197" t="str">
        <f>IF(AND($J867="x",AND(MAX(CB867:CD867)=CC867,CC867&lt;&gt;"")),Data!$BJ$2,"")</f>
        <v/>
      </c>
      <c r="CH867" s="197" t="str">
        <f>IF(AND($K867="x",AND(MAX(CB867:CD867)=CD867,CD867&lt;&gt;"")),Data!$BK$2,"")</f>
        <v/>
      </c>
      <c r="CI867" s="197"/>
      <c r="CJ867" s="197"/>
      <c r="CK867" s="453"/>
      <c r="CL867" s="454"/>
      <c r="CM867" s="441" t="str">
        <f t="shared" si="1296"/>
        <v/>
      </c>
      <c r="CN867" s="328"/>
      <c r="CO867" s="197" t="str">
        <f>IF(AND($I867="x",AND(MAX(CK867:CM867)=CK867,CK867&lt;&gt;"")),Data!$BI$2,"")</f>
        <v/>
      </c>
      <c r="CP867" s="197" t="str">
        <f>IF(AND($J867="x",AND(MAX(CK867:CM867)=CL867,CL867&lt;&gt;"")),Data!$BJ$2,"")</f>
        <v/>
      </c>
      <c r="CQ867" s="197" t="str">
        <f>IF(AND($K867="x",AND(MAX(CK867:CM867)=CM867,CM867&lt;&gt;"")),Data!$BK$2,"")</f>
        <v/>
      </c>
      <c r="CR867" s="197"/>
      <c r="CS867" s="197"/>
      <c r="CT867" s="328"/>
      <c r="CU867" s="255"/>
      <c r="CV867" s="209"/>
      <c r="CW867" s="227"/>
    </row>
    <row r="868" spans="1:101" x14ac:dyDescent="0.2">
      <c r="A868" s="227"/>
      <c r="B868" s="227"/>
      <c r="C868" s="168"/>
      <c r="D868" s="232"/>
      <c r="E868" s="136"/>
      <c r="F868" s="426"/>
      <c r="G868" s="432" t="s">
        <v>51</v>
      </c>
      <c r="H868" s="433"/>
      <c r="I868" s="349" t="str">
        <f t="shared" si="1283"/>
        <v/>
      </c>
      <c r="J868" s="350" t="str">
        <f t="shared" si="1284"/>
        <v/>
      </c>
      <c r="K868" s="351" t="str">
        <f t="shared" si="1285"/>
        <v/>
      </c>
      <c r="L868" s="258"/>
      <c r="M868" s="332"/>
      <c r="N868" s="336"/>
      <c r="O868" s="200"/>
      <c r="P868" s="200"/>
      <c r="Q868" s="442"/>
      <c r="R868" s="443"/>
      <c r="S868" s="444" t="str">
        <f t="shared" si="1286"/>
        <v/>
      </c>
      <c r="T868" s="328"/>
      <c r="U868" s="197" t="str">
        <f>IF(AND($I868="x",AND(MAX(Q868:S868)=Q868,Q868&gt;=0)),Data!$BI$2,"")</f>
        <v/>
      </c>
      <c r="V868" s="197" t="str">
        <f>IF(AND($J868="x",AND(MAX(Q868:S868)=R868,R868&gt;=0)),Data!$BJ$2,"")</f>
        <v/>
      </c>
      <c r="W868" s="197" t="str">
        <f>IF(AND($K868="x",AND(MAX(Q868:S868)=S868,S868&gt;=0)),Data!$BK$2,"")</f>
        <v/>
      </c>
      <c r="X868" s="197"/>
      <c r="Y868" s="328"/>
      <c r="Z868" s="455"/>
      <c r="AA868" s="456"/>
      <c r="AB868" s="444" t="str">
        <f t="shared" si="1287"/>
        <v/>
      </c>
      <c r="AC868" s="328"/>
      <c r="AD868" s="197" t="str">
        <f>IF(AND($I868="x",AND(MAX(Z868:AB868)=Z868,Z868&lt;&gt;"")),Data!$BI$2,"")</f>
        <v/>
      </c>
      <c r="AE868" s="197" t="str">
        <f>IF(AND($J868="x",AND(MAX(Z868:AB868)=AA868,AA868&lt;&gt;"")),Data!$BJ$2,"")</f>
        <v/>
      </c>
      <c r="AF868" s="197" t="str">
        <f>IF(AND($K868="x",AND(MAX(Z868:AB868)=AB868,AB868&lt;&gt;"")),Data!$BK$2,"")</f>
        <v/>
      </c>
      <c r="AG868" s="197"/>
      <c r="AH868" s="328"/>
      <c r="AI868" s="455"/>
      <c r="AJ868" s="456"/>
      <c r="AK868" s="444" t="str">
        <f t="shared" si="1288"/>
        <v/>
      </c>
      <c r="AL868" s="328"/>
      <c r="AM868" s="197" t="str">
        <f>IF(AND($I868="x",AND(MAX(AI868:AK868)=AI868,AI868&lt;&gt;"")),Data!$BI$2,"")</f>
        <v/>
      </c>
      <c r="AN868" s="197" t="str">
        <f>IF(AND($J868="x",AND(MAX(AI868:AK868)=AJ868,AJ868&lt;&gt;"")),Data!$BJ$2,"")</f>
        <v/>
      </c>
      <c r="AO868" s="197" t="str">
        <f>IF(AND($K868="x",AND(MAX(AI868:AK868)=AK868,AK868&lt;&gt;"")),Data!$BK$2,"")</f>
        <v/>
      </c>
      <c r="AP868" s="197"/>
      <c r="AQ868" s="328"/>
      <c r="AR868" s="455"/>
      <c r="AS868" s="456"/>
      <c r="AT868" s="444" t="str">
        <f t="shared" si="1289"/>
        <v/>
      </c>
      <c r="AU868" s="328"/>
      <c r="AV868" s="197" t="str">
        <f>IF(AND($I868="x",AND(MAX(AR868:AT868)=AR868,AR868&lt;&gt;"")),Data!$BI$2,"")</f>
        <v/>
      </c>
      <c r="AW868" s="197" t="str">
        <f>IF(AND($J868="x",AND(MAX(AR868:AT868)=AS868,AS868&lt;&gt;"")),Data!$BJ$2,"")</f>
        <v/>
      </c>
      <c r="AX868" s="197" t="str">
        <f>IF(AND($K868="x",AND(MAX(AR868:AT868)=AT868,AT868&lt;&gt;"")),Data!$BK$2,"")</f>
        <v/>
      </c>
      <c r="AY868" s="197"/>
      <c r="AZ868" s="328"/>
      <c r="BA868" s="455"/>
      <c r="BB868" s="456"/>
      <c r="BC868" s="444" t="str">
        <f t="shared" si="1290"/>
        <v/>
      </c>
      <c r="BD868" s="328"/>
      <c r="BE868" s="197" t="str">
        <f>IF(AND($I868="x",AND(MAX(BA868:BC868)=BA868,BA868&lt;&gt;"")),Data!$BI$2,"")</f>
        <v/>
      </c>
      <c r="BF868" s="197" t="str">
        <f>IF(AND($J868="x",AND(MAX(BA868:BC868)=BB868,BB868&lt;&gt;"")),Data!$BJ$2,"")</f>
        <v/>
      </c>
      <c r="BG868" s="197" t="str">
        <f>IF(AND($K868="x",AND(MAX(BA868:BC868)=BC868,BC868&lt;&gt;"")),Data!$BK$2,"")</f>
        <v/>
      </c>
      <c r="BH868" s="197"/>
      <c r="BI868" s="328"/>
      <c r="BJ868" s="455"/>
      <c r="BK868" s="456"/>
      <c r="BL868" s="444" t="str">
        <f t="shared" si="1291"/>
        <v/>
      </c>
      <c r="BM868" s="328"/>
      <c r="BN868" s="197" t="str">
        <f>IF(AND($I868="x",AND(MAX(BJ868:BL868)=BJ868,BJ868&lt;&gt;"")),Data!$BI$2,"")</f>
        <v/>
      </c>
      <c r="BO868" s="197" t="str">
        <f>IF(AND($J868="x",AND(MAX(BJ868:BL868)=BK868,BK868&lt;&gt;"")),Data!$BJ$2,"")</f>
        <v/>
      </c>
      <c r="BP868" s="197" t="str">
        <f>IF(AND($K868="x",AND(MAX(BJ868:BL868)=BL868,BL868&lt;&gt;"")),Data!$BK$2,"")</f>
        <v/>
      </c>
      <c r="BQ868" s="197"/>
      <c r="BR868" s="328"/>
      <c r="BS868" s="455"/>
      <c r="BT868" s="456"/>
      <c r="BU868" s="444" t="str">
        <f t="shared" si="1292"/>
        <v/>
      </c>
      <c r="BV868" s="328"/>
      <c r="BW868" s="197" t="str">
        <f>IF(AND($I868="x",AND(MAX(BS868:BU868)=BS868,BS868&lt;&gt;"")),Data!$BI$2,"")</f>
        <v/>
      </c>
      <c r="BX868" s="197" t="str">
        <f>IF(AND($J868="x",AND(MAX(BS868:BU868)=BT868,BT868&lt;&gt;"")),Data!$BJ$2,"")</f>
        <v/>
      </c>
      <c r="BY868" s="197" t="str">
        <f>IF(AND($K868="x",AND(MAX(BS868:BU868)=BU868,BU868&lt;&gt;"")),Data!$BK$2,"")</f>
        <v/>
      </c>
      <c r="BZ868" s="197"/>
      <c r="CA868" s="328"/>
      <c r="CB868" s="463" t="str">
        <f t="shared" si="1293"/>
        <v/>
      </c>
      <c r="CC868" s="464" t="str">
        <f t="shared" si="1294"/>
        <v/>
      </c>
      <c r="CD868" s="465" t="str">
        <f t="shared" si="1295"/>
        <v/>
      </c>
      <c r="CE868" s="328"/>
      <c r="CF868" s="197" t="str">
        <f>IF(AND($I868="x",AND(MAX(CB868:CD868)=CB868,CB868&lt;&gt;"")),Data!$BI$2,"")</f>
        <v/>
      </c>
      <c r="CG868" s="197" t="str">
        <f>IF(AND($J868="x",AND(MAX(CB868:CD868)=CC868,CC868&lt;&gt;"")),Data!$BJ$2,"")</f>
        <v/>
      </c>
      <c r="CH868" s="197" t="str">
        <f>IF(AND($K868="x",AND(MAX(CB868:CD868)=CD868,CD868&lt;&gt;"")),Data!$BK$2,"")</f>
        <v/>
      </c>
      <c r="CI868" s="197"/>
      <c r="CJ868" s="197"/>
      <c r="CK868" s="455"/>
      <c r="CL868" s="456"/>
      <c r="CM868" s="444" t="str">
        <f t="shared" si="1296"/>
        <v/>
      </c>
      <c r="CN868" s="328"/>
      <c r="CO868" s="197" t="str">
        <f>IF(AND($I868="x",AND(MAX(CK868:CM868)=CK868,CK868&lt;&gt;"")),Data!$BI$2,"")</f>
        <v/>
      </c>
      <c r="CP868" s="197" t="str">
        <f>IF(AND($J868="x",AND(MAX(CK868:CM868)=CL868,CL868&lt;&gt;"")),Data!$BJ$2,"")</f>
        <v/>
      </c>
      <c r="CQ868" s="197" t="str">
        <f>IF(AND($K868="x",AND(MAX(CK868:CM868)=CM868,CM868&lt;&gt;"")),Data!$BK$2,"")</f>
        <v/>
      </c>
      <c r="CR868" s="197"/>
      <c r="CS868" s="197"/>
      <c r="CT868" s="328"/>
      <c r="CU868" s="255"/>
      <c r="CV868" s="209"/>
      <c r="CW868" s="227"/>
    </row>
    <row r="869" spans="1:101" x14ac:dyDescent="0.2">
      <c r="A869" s="227"/>
      <c r="B869" s="227"/>
      <c r="C869" s="168"/>
      <c r="D869" s="232"/>
      <c r="E869" s="134"/>
      <c r="F869" s="424"/>
      <c r="G869" s="428" t="s">
        <v>51</v>
      </c>
      <c r="H869" s="429"/>
      <c r="I869" s="138" t="str">
        <f t="shared" si="1283"/>
        <v/>
      </c>
      <c r="J869" s="344" t="str">
        <f t="shared" si="1284"/>
        <v/>
      </c>
      <c r="K869" s="345" t="str">
        <f t="shared" si="1285"/>
        <v/>
      </c>
      <c r="L869" s="258"/>
      <c r="M869" s="332"/>
      <c r="N869" s="336"/>
      <c r="O869" s="200"/>
      <c r="P869" s="200"/>
      <c r="Q869" s="436"/>
      <c r="R869" s="437"/>
      <c r="S869" s="438" t="str">
        <f t="shared" si="1286"/>
        <v/>
      </c>
      <c r="T869" s="328"/>
      <c r="U869" s="197" t="str">
        <f>IF(AND($I869="x",AND(MAX(Q869:S869)=Q869,Q869&gt;=0)),Data!$BI$2,"")</f>
        <v/>
      </c>
      <c r="V869" s="197" t="str">
        <f>IF(AND($J869="x",AND(MAX(Q869:S869)=R869,R869&gt;=0)),Data!$BJ$2,"")</f>
        <v/>
      </c>
      <c r="W869" s="197" t="str">
        <f>IF(AND($K869="x",AND(MAX(Q869:S869)=S869,S869&gt;=0)),Data!$BK$2,"")</f>
        <v/>
      </c>
      <c r="X869" s="197"/>
      <c r="Y869" s="328"/>
      <c r="Z869" s="451"/>
      <c r="AA869" s="452"/>
      <c r="AB869" s="438" t="str">
        <f t="shared" si="1287"/>
        <v/>
      </c>
      <c r="AC869" s="328"/>
      <c r="AD869" s="197" t="str">
        <f>IF(AND($I869="x",AND(MAX(Z869:AB869)=Z869,Z869&lt;&gt;"")),Data!$BI$2,"")</f>
        <v/>
      </c>
      <c r="AE869" s="197" t="str">
        <f>IF(AND($J869="x",AND(MAX(Z869:AB869)=AA869,AA869&lt;&gt;"")),Data!$BJ$2,"")</f>
        <v/>
      </c>
      <c r="AF869" s="197" t="str">
        <f>IF(AND($K869="x",AND(MAX(Z869:AB869)=AB869,AB869&lt;&gt;"")),Data!$BK$2,"")</f>
        <v/>
      </c>
      <c r="AG869" s="197"/>
      <c r="AH869" s="328"/>
      <c r="AI869" s="451"/>
      <c r="AJ869" s="452"/>
      <c r="AK869" s="438" t="str">
        <f t="shared" si="1288"/>
        <v/>
      </c>
      <c r="AL869" s="328"/>
      <c r="AM869" s="197" t="str">
        <f>IF(AND($I869="x",AND(MAX(AI869:AK869)=AI869,AI869&lt;&gt;"")),Data!$BI$2,"")</f>
        <v/>
      </c>
      <c r="AN869" s="197" t="str">
        <f>IF(AND($J869="x",AND(MAX(AI869:AK869)=AJ869,AJ869&lt;&gt;"")),Data!$BJ$2,"")</f>
        <v/>
      </c>
      <c r="AO869" s="197" t="str">
        <f>IF(AND($K869="x",AND(MAX(AI869:AK869)=AK869,AK869&lt;&gt;"")),Data!$BK$2,"")</f>
        <v/>
      </c>
      <c r="AP869" s="197"/>
      <c r="AQ869" s="328"/>
      <c r="AR869" s="451"/>
      <c r="AS869" s="452"/>
      <c r="AT869" s="438" t="str">
        <f t="shared" si="1289"/>
        <v/>
      </c>
      <c r="AU869" s="328"/>
      <c r="AV869" s="197" t="str">
        <f>IF(AND($I869="x",AND(MAX(AR869:AT869)=AR869,AR869&lt;&gt;"")),Data!$BI$2,"")</f>
        <v/>
      </c>
      <c r="AW869" s="197" t="str">
        <f>IF(AND($J869="x",AND(MAX(AR869:AT869)=AS869,AS869&lt;&gt;"")),Data!$BJ$2,"")</f>
        <v/>
      </c>
      <c r="AX869" s="197" t="str">
        <f>IF(AND($K869="x",AND(MAX(AR869:AT869)=AT869,AT869&lt;&gt;"")),Data!$BK$2,"")</f>
        <v/>
      </c>
      <c r="AY869" s="197"/>
      <c r="AZ869" s="328"/>
      <c r="BA869" s="451"/>
      <c r="BB869" s="452"/>
      <c r="BC869" s="438" t="str">
        <f t="shared" si="1290"/>
        <v/>
      </c>
      <c r="BD869" s="328"/>
      <c r="BE869" s="197" t="str">
        <f>IF(AND($I869="x",AND(MAX(BA869:BC869)=BA869,BA869&lt;&gt;"")),Data!$BI$2,"")</f>
        <v/>
      </c>
      <c r="BF869" s="197" t="str">
        <f>IF(AND($J869="x",AND(MAX(BA869:BC869)=BB869,BB869&lt;&gt;"")),Data!$BJ$2,"")</f>
        <v/>
      </c>
      <c r="BG869" s="197" t="str">
        <f>IF(AND($K869="x",AND(MAX(BA869:BC869)=BC869,BC869&lt;&gt;"")),Data!$BK$2,"")</f>
        <v/>
      </c>
      <c r="BH869" s="197"/>
      <c r="BI869" s="328"/>
      <c r="BJ869" s="451"/>
      <c r="BK869" s="452"/>
      <c r="BL869" s="438" t="str">
        <f t="shared" si="1291"/>
        <v/>
      </c>
      <c r="BM869" s="328"/>
      <c r="BN869" s="197" t="str">
        <f>IF(AND($I869="x",AND(MAX(BJ869:BL869)=BJ869,BJ869&lt;&gt;"")),Data!$BI$2,"")</f>
        <v/>
      </c>
      <c r="BO869" s="197" t="str">
        <f>IF(AND($J869="x",AND(MAX(BJ869:BL869)=BK869,BK869&lt;&gt;"")),Data!$BJ$2,"")</f>
        <v/>
      </c>
      <c r="BP869" s="197" t="str">
        <f>IF(AND($K869="x",AND(MAX(BJ869:BL869)=BL869,BL869&lt;&gt;"")),Data!$BK$2,"")</f>
        <v/>
      </c>
      <c r="BQ869" s="197"/>
      <c r="BR869" s="328"/>
      <c r="BS869" s="451"/>
      <c r="BT869" s="452"/>
      <c r="BU869" s="438" t="str">
        <f t="shared" si="1292"/>
        <v/>
      </c>
      <c r="BV869" s="328"/>
      <c r="BW869" s="197" t="str">
        <f>IF(AND($I869="x",AND(MAX(BS869:BU869)=BS869,BS869&lt;&gt;"")),Data!$BI$2,"")</f>
        <v/>
      </c>
      <c r="BX869" s="197" t="str">
        <f>IF(AND($J869="x",AND(MAX(BS869:BU869)=BT869,BT869&lt;&gt;"")),Data!$BJ$2,"")</f>
        <v/>
      </c>
      <c r="BY869" s="197" t="str">
        <f>IF(AND($K869="x",AND(MAX(BS869:BU869)=BU869,BU869&lt;&gt;"")),Data!$BK$2,"")</f>
        <v/>
      </c>
      <c r="BZ869" s="197"/>
      <c r="CA869" s="328"/>
      <c r="CB869" s="457" t="str">
        <f t="shared" si="1293"/>
        <v/>
      </c>
      <c r="CC869" s="458" t="str">
        <f t="shared" si="1294"/>
        <v/>
      </c>
      <c r="CD869" s="459" t="str">
        <f t="shared" si="1295"/>
        <v/>
      </c>
      <c r="CE869" s="328"/>
      <c r="CF869" s="197" t="str">
        <f>IF(AND($I869="x",AND(MAX(CB869:CD869)=CB869,CB869&lt;&gt;"")),Data!$BI$2,"")</f>
        <v/>
      </c>
      <c r="CG869" s="197" t="str">
        <f>IF(AND($J869="x",AND(MAX(CB869:CD869)=CC869,CC869&lt;&gt;"")),Data!$BJ$2,"")</f>
        <v/>
      </c>
      <c r="CH869" s="197" t="str">
        <f>IF(AND($K869="x",AND(MAX(CB869:CD869)=CD869,CD869&lt;&gt;"")),Data!$BK$2,"")</f>
        <v/>
      </c>
      <c r="CI869" s="197"/>
      <c r="CJ869" s="197"/>
      <c r="CK869" s="451"/>
      <c r="CL869" s="452"/>
      <c r="CM869" s="438" t="str">
        <f t="shared" si="1296"/>
        <v/>
      </c>
      <c r="CN869" s="328"/>
      <c r="CO869" s="197" t="str">
        <f>IF(AND($I869="x",AND(MAX(CK869:CM869)=CK869,CK869&lt;&gt;"")),Data!$BI$2,"")</f>
        <v/>
      </c>
      <c r="CP869" s="197" t="str">
        <f>IF(AND($J869="x",AND(MAX(CK869:CM869)=CL869,CL869&lt;&gt;"")),Data!$BJ$2,"")</f>
        <v/>
      </c>
      <c r="CQ869" s="197" t="str">
        <f>IF(AND($K869="x",AND(MAX(CK869:CM869)=CM869,CM869&lt;&gt;"")),Data!$BK$2,"")</f>
        <v/>
      </c>
      <c r="CR869" s="197"/>
      <c r="CS869" s="197"/>
      <c r="CT869" s="328"/>
      <c r="CU869" s="255"/>
      <c r="CV869" s="209"/>
      <c r="CW869" s="227"/>
    </row>
    <row r="870" spans="1:101" x14ac:dyDescent="0.2">
      <c r="A870" s="227"/>
      <c r="B870" s="227"/>
      <c r="C870" s="168"/>
      <c r="D870" s="232"/>
      <c r="E870" s="135"/>
      <c r="F870" s="425"/>
      <c r="G870" s="430" t="s">
        <v>51</v>
      </c>
      <c r="H870" s="431"/>
      <c r="I870" s="346" t="str">
        <f t="shared" si="1283"/>
        <v/>
      </c>
      <c r="J870" s="347" t="str">
        <f t="shared" si="1284"/>
        <v/>
      </c>
      <c r="K870" s="348" t="str">
        <f t="shared" si="1285"/>
        <v/>
      </c>
      <c r="L870" s="258"/>
      <c r="M870" s="332"/>
      <c r="N870" s="336"/>
      <c r="O870" s="200"/>
      <c r="P870" s="200"/>
      <c r="Q870" s="439"/>
      <c r="R870" s="440"/>
      <c r="S870" s="441" t="str">
        <f t="shared" si="1286"/>
        <v/>
      </c>
      <c r="T870" s="328"/>
      <c r="U870" s="197" t="str">
        <f>IF(AND($I870="x",AND(MAX(Q870:S870)=Q870,Q870&gt;=0)),Data!$BI$2,"")</f>
        <v/>
      </c>
      <c r="V870" s="197" t="str">
        <f>IF(AND($J870="x",AND(MAX(Q870:S870)=R870,R870&gt;=0)),Data!$BJ$2,"")</f>
        <v/>
      </c>
      <c r="W870" s="197" t="str">
        <f>IF(AND($K870="x",AND(MAX(Q870:S870)=S870,S870&gt;=0)),Data!$BK$2,"")</f>
        <v/>
      </c>
      <c r="X870" s="197"/>
      <c r="Y870" s="328"/>
      <c r="Z870" s="453"/>
      <c r="AA870" s="454"/>
      <c r="AB870" s="441" t="str">
        <f t="shared" si="1287"/>
        <v/>
      </c>
      <c r="AC870" s="328"/>
      <c r="AD870" s="197" t="str">
        <f>IF(AND($I870="x",AND(MAX(Z870:AB870)=Z870,Z870&lt;&gt;"")),Data!$BI$2,"")</f>
        <v/>
      </c>
      <c r="AE870" s="197" t="str">
        <f>IF(AND($J870="x",AND(MAX(Z870:AB870)=AA870,AA870&lt;&gt;"")),Data!$BJ$2,"")</f>
        <v/>
      </c>
      <c r="AF870" s="197" t="str">
        <f>IF(AND($K870="x",AND(MAX(Z870:AB870)=AB870,AB870&lt;&gt;"")),Data!$BK$2,"")</f>
        <v/>
      </c>
      <c r="AG870" s="197"/>
      <c r="AH870" s="328"/>
      <c r="AI870" s="453"/>
      <c r="AJ870" s="454"/>
      <c r="AK870" s="441" t="str">
        <f t="shared" si="1288"/>
        <v/>
      </c>
      <c r="AL870" s="328"/>
      <c r="AM870" s="197" t="str">
        <f>IF(AND($I870="x",AND(MAX(AI870:AK870)=AI870,AI870&lt;&gt;"")),Data!$BI$2,"")</f>
        <v/>
      </c>
      <c r="AN870" s="197" t="str">
        <f>IF(AND($J870="x",AND(MAX(AI870:AK870)=AJ870,AJ870&lt;&gt;"")),Data!$BJ$2,"")</f>
        <v/>
      </c>
      <c r="AO870" s="197" t="str">
        <f>IF(AND($K870="x",AND(MAX(AI870:AK870)=AK870,AK870&lt;&gt;"")),Data!$BK$2,"")</f>
        <v/>
      </c>
      <c r="AP870" s="197"/>
      <c r="AQ870" s="328"/>
      <c r="AR870" s="453"/>
      <c r="AS870" s="454"/>
      <c r="AT870" s="441" t="str">
        <f t="shared" si="1289"/>
        <v/>
      </c>
      <c r="AU870" s="328"/>
      <c r="AV870" s="197" t="str">
        <f>IF(AND($I870="x",AND(MAX(AR870:AT870)=AR870,AR870&lt;&gt;"")),Data!$BI$2,"")</f>
        <v/>
      </c>
      <c r="AW870" s="197" t="str">
        <f>IF(AND($J870="x",AND(MAX(AR870:AT870)=AS870,AS870&lt;&gt;"")),Data!$BJ$2,"")</f>
        <v/>
      </c>
      <c r="AX870" s="197" t="str">
        <f>IF(AND($K870="x",AND(MAX(AR870:AT870)=AT870,AT870&lt;&gt;"")),Data!$BK$2,"")</f>
        <v/>
      </c>
      <c r="AY870" s="197"/>
      <c r="AZ870" s="328"/>
      <c r="BA870" s="453"/>
      <c r="BB870" s="454"/>
      <c r="BC870" s="441" t="str">
        <f t="shared" si="1290"/>
        <v/>
      </c>
      <c r="BD870" s="328"/>
      <c r="BE870" s="197" t="str">
        <f>IF(AND($I870="x",AND(MAX(BA870:BC870)=BA870,BA870&lt;&gt;"")),Data!$BI$2,"")</f>
        <v/>
      </c>
      <c r="BF870" s="197" t="str">
        <f>IF(AND($J870="x",AND(MAX(BA870:BC870)=BB870,BB870&lt;&gt;"")),Data!$BJ$2,"")</f>
        <v/>
      </c>
      <c r="BG870" s="197" t="str">
        <f>IF(AND($K870="x",AND(MAX(BA870:BC870)=BC870,BC870&lt;&gt;"")),Data!$BK$2,"")</f>
        <v/>
      </c>
      <c r="BH870" s="197"/>
      <c r="BI870" s="328"/>
      <c r="BJ870" s="453"/>
      <c r="BK870" s="454"/>
      <c r="BL870" s="441" t="str">
        <f t="shared" si="1291"/>
        <v/>
      </c>
      <c r="BM870" s="328"/>
      <c r="BN870" s="197" t="str">
        <f>IF(AND($I870="x",AND(MAX(BJ870:BL870)=BJ870,BJ870&lt;&gt;"")),Data!$BI$2,"")</f>
        <v/>
      </c>
      <c r="BO870" s="197" t="str">
        <f>IF(AND($J870="x",AND(MAX(BJ870:BL870)=BK870,BK870&lt;&gt;"")),Data!$BJ$2,"")</f>
        <v/>
      </c>
      <c r="BP870" s="197" t="str">
        <f>IF(AND($K870="x",AND(MAX(BJ870:BL870)=BL870,BL870&lt;&gt;"")),Data!$BK$2,"")</f>
        <v/>
      </c>
      <c r="BQ870" s="197"/>
      <c r="BR870" s="328"/>
      <c r="BS870" s="453"/>
      <c r="BT870" s="454"/>
      <c r="BU870" s="441" t="str">
        <f t="shared" si="1292"/>
        <v/>
      </c>
      <c r="BV870" s="328"/>
      <c r="BW870" s="197" t="str">
        <f>IF(AND($I870="x",AND(MAX(BS870:BU870)=BS870,BS870&lt;&gt;"")),Data!$BI$2,"")</f>
        <v/>
      </c>
      <c r="BX870" s="197" t="str">
        <f>IF(AND($J870="x",AND(MAX(BS870:BU870)=BT870,BT870&lt;&gt;"")),Data!$BJ$2,"")</f>
        <v/>
      </c>
      <c r="BY870" s="197" t="str">
        <f>IF(AND($K870="x",AND(MAX(BS870:BU870)=BU870,BU870&lt;&gt;"")),Data!$BK$2,"")</f>
        <v/>
      </c>
      <c r="BZ870" s="197"/>
      <c r="CA870" s="328"/>
      <c r="CB870" s="460" t="str">
        <f t="shared" si="1293"/>
        <v/>
      </c>
      <c r="CC870" s="461" t="str">
        <f t="shared" si="1294"/>
        <v/>
      </c>
      <c r="CD870" s="462" t="str">
        <f t="shared" si="1295"/>
        <v/>
      </c>
      <c r="CE870" s="328"/>
      <c r="CF870" s="197" t="str">
        <f>IF(AND($I870="x",AND(MAX(CB870:CD870)=CB870,CB870&lt;&gt;"")),Data!$BI$2,"")</f>
        <v/>
      </c>
      <c r="CG870" s="197" t="str">
        <f>IF(AND($J870="x",AND(MAX(CB870:CD870)=CC870,CC870&lt;&gt;"")),Data!$BJ$2,"")</f>
        <v/>
      </c>
      <c r="CH870" s="197" t="str">
        <f>IF(AND($K870="x",AND(MAX(CB870:CD870)=CD870,CD870&lt;&gt;"")),Data!$BK$2,"")</f>
        <v/>
      </c>
      <c r="CI870" s="197"/>
      <c r="CJ870" s="197"/>
      <c r="CK870" s="453"/>
      <c r="CL870" s="454"/>
      <c r="CM870" s="441" t="str">
        <f t="shared" si="1296"/>
        <v/>
      </c>
      <c r="CN870" s="328"/>
      <c r="CO870" s="197" t="str">
        <f>IF(AND($I870="x",AND(MAX(CK870:CM870)=CK870,CK870&lt;&gt;"")),Data!$BI$2,"")</f>
        <v/>
      </c>
      <c r="CP870" s="197" t="str">
        <f>IF(AND($J870="x",AND(MAX(CK870:CM870)=CL870,CL870&lt;&gt;"")),Data!$BJ$2,"")</f>
        <v/>
      </c>
      <c r="CQ870" s="197" t="str">
        <f>IF(AND($K870="x",AND(MAX(CK870:CM870)=CM870,CM870&lt;&gt;"")),Data!$BK$2,"")</f>
        <v/>
      </c>
      <c r="CR870" s="197"/>
      <c r="CS870" s="197"/>
      <c r="CT870" s="328"/>
      <c r="CU870" s="255"/>
      <c r="CV870" s="209"/>
      <c r="CW870" s="227"/>
    </row>
    <row r="871" spans="1:101" x14ac:dyDescent="0.2">
      <c r="A871" s="227"/>
      <c r="B871" s="227"/>
      <c r="C871" s="168"/>
      <c r="D871" s="232"/>
      <c r="E871" s="136"/>
      <c r="F871" s="426"/>
      <c r="G871" s="432" t="s">
        <v>51</v>
      </c>
      <c r="H871" s="433"/>
      <c r="I871" s="349" t="str">
        <f t="shared" si="1283"/>
        <v/>
      </c>
      <c r="J871" s="350" t="str">
        <f t="shared" si="1284"/>
        <v/>
      </c>
      <c r="K871" s="351" t="str">
        <f t="shared" si="1285"/>
        <v/>
      </c>
      <c r="L871" s="258"/>
      <c r="M871" s="332"/>
      <c r="N871" s="336"/>
      <c r="O871" s="200"/>
      <c r="P871" s="200"/>
      <c r="Q871" s="445"/>
      <c r="R871" s="446"/>
      <c r="S871" s="447" t="str">
        <f t="shared" si="1286"/>
        <v/>
      </c>
      <c r="T871" s="328"/>
      <c r="U871" s="197" t="str">
        <f>IF(AND($I871="x",AND(MAX(Q871:S871)=Q871,Q871&gt;=0)),Data!$BI$2,"")</f>
        <v/>
      </c>
      <c r="V871" s="197" t="str">
        <f>IF(AND($J871="x",AND(MAX(Q871:S871)=R871,R871&gt;=0)),Data!$BJ$2,"")</f>
        <v/>
      </c>
      <c r="W871" s="197" t="str">
        <f>IF(AND($K871="x",AND(MAX(Q871:S871)=S871,S871&gt;=0)),Data!$BK$2,"")</f>
        <v/>
      </c>
      <c r="X871" s="197"/>
      <c r="Y871" s="328"/>
      <c r="Z871" s="455"/>
      <c r="AA871" s="456"/>
      <c r="AB871" s="447" t="str">
        <f t="shared" si="1287"/>
        <v/>
      </c>
      <c r="AC871" s="328"/>
      <c r="AD871" s="197" t="str">
        <f>IF(AND($I871="x",AND(MAX(Z871:AB871)=Z871,Z871&lt;&gt;"")),Data!$BI$2,"")</f>
        <v/>
      </c>
      <c r="AE871" s="197" t="str">
        <f>IF(AND($J871="x",AND(MAX(Z871:AB871)=AA871,AA871&lt;&gt;"")),Data!$BJ$2,"")</f>
        <v/>
      </c>
      <c r="AF871" s="197" t="str">
        <f>IF(AND($K871="x",AND(MAX(Z871:AB871)=AB871,AB871&lt;&gt;"")),Data!$BK$2,"")</f>
        <v/>
      </c>
      <c r="AG871" s="197"/>
      <c r="AH871" s="328"/>
      <c r="AI871" s="455"/>
      <c r="AJ871" s="456"/>
      <c r="AK871" s="447" t="str">
        <f t="shared" si="1288"/>
        <v/>
      </c>
      <c r="AL871" s="328"/>
      <c r="AM871" s="197" t="str">
        <f>IF(AND($I871="x",AND(MAX(AI871:AK871)=AI871,AI871&lt;&gt;"")),Data!$BI$2,"")</f>
        <v/>
      </c>
      <c r="AN871" s="197" t="str">
        <f>IF(AND($J871="x",AND(MAX(AI871:AK871)=AJ871,AJ871&lt;&gt;"")),Data!$BJ$2,"")</f>
        <v/>
      </c>
      <c r="AO871" s="197" t="str">
        <f>IF(AND($K871="x",AND(MAX(AI871:AK871)=AK871,AK871&lt;&gt;"")),Data!$BK$2,"")</f>
        <v/>
      </c>
      <c r="AP871" s="197"/>
      <c r="AQ871" s="328"/>
      <c r="AR871" s="455"/>
      <c r="AS871" s="456"/>
      <c r="AT871" s="447" t="str">
        <f t="shared" si="1289"/>
        <v/>
      </c>
      <c r="AU871" s="328"/>
      <c r="AV871" s="197" t="str">
        <f>IF(AND($I871="x",AND(MAX(AR871:AT871)=AR871,AR871&lt;&gt;"")),Data!$BI$2,"")</f>
        <v/>
      </c>
      <c r="AW871" s="197" t="str">
        <f>IF(AND($J871="x",AND(MAX(AR871:AT871)=AS871,AS871&lt;&gt;"")),Data!$BJ$2,"")</f>
        <v/>
      </c>
      <c r="AX871" s="197" t="str">
        <f>IF(AND($K871="x",AND(MAX(AR871:AT871)=AT871,AT871&lt;&gt;"")),Data!$BK$2,"")</f>
        <v/>
      </c>
      <c r="AY871" s="197"/>
      <c r="AZ871" s="328"/>
      <c r="BA871" s="455"/>
      <c r="BB871" s="456"/>
      <c r="BC871" s="447" t="str">
        <f t="shared" si="1290"/>
        <v/>
      </c>
      <c r="BD871" s="328"/>
      <c r="BE871" s="197" t="str">
        <f>IF(AND($I871="x",AND(MAX(BA871:BC871)=BA871,BA871&lt;&gt;"")),Data!$BI$2,"")</f>
        <v/>
      </c>
      <c r="BF871" s="197" t="str">
        <f>IF(AND($J871="x",AND(MAX(BA871:BC871)=BB871,BB871&lt;&gt;"")),Data!$BJ$2,"")</f>
        <v/>
      </c>
      <c r="BG871" s="197" t="str">
        <f>IF(AND($K871="x",AND(MAX(BA871:BC871)=BC871,BC871&lt;&gt;"")),Data!$BK$2,"")</f>
        <v/>
      </c>
      <c r="BH871" s="197"/>
      <c r="BI871" s="328"/>
      <c r="BJ871" s="455"/>
      <c r="BK871" s="456"/>
      <c r="BL871" s="447" t="str">
        <f t="shared" si="1291"/>
        <v/>
      </c>
      <c r="BM871" s="328"/>
      <c r="BN871" s="197" t="str">
        <f>IF(AND($I871="x",AND(MAX(BJ871:BL871)=BJ871,BJ871&lt;&gt;"")),Data!$BI$2,"")</f>
        <v/>
      </c>
      <c r="BO871" s="197" t="str">
        <f>IF(AND($J871="x",AND(MAX(BJ871:BL871)=BK871,BK871&lt;&gt;"")),Data!$BJ$2,"")</f>
        <v/>
      </c>
      <c r="BP871" s="197" t="str">
        <f>IF(AND($K871="x",AND(MAX(BJ871:BL871)=BL871,BL871&lt;&gt;"")),Data!$BK$2,"")</f>
        <v/>
      </c>
      <c r="BQ871" s="197"/>
      <c r="BR871" s="328"/>
      <c r="BS871" s="455"/>
      <c r="BT871" s="456"/>
      <c r="BU871" s="447" t="str">
        <f t="shared" si="1292"/>
        <v/>
      </c>
      <c r="BV871" s="328"/>
      <c r="BW871" s="197" t="str">
        <f>IF(AND($I871="x",AND(MAX(BS871:BU871)=BS871,BS871&lt;&gt;"")),Data!$BI$2,"")</f>
        <v/>
      </c>
      <c r="BX871" s="197" t="str">
        <f>IF(AND($J871="x",AND(MAX(BS871:BU871)=BT871,BT871&lt;&gt;"")),Data!$BJ$2,"")</f>
        <v/>
      </c>
      <c r="BY871" s="197" t="str">
        <f>IF(AND($K871="x",AND(MAX(BS871:BU871)=BU871,BU871&lt;&gt;"")),Data!$BK$2,"")</f>
        <v/>
      </c>
      <c r="BZ871" s="197"/>
      <c r="CA871" s="328"/>
      <c r="CB871" s="463" t="str">
        <f t="shared" si="1293"/>
        <v/>
      </c>
      <c r="CC871" s="464" t="str">
        <f t="shared" si="1294"/>
        <v/>
      </c>
      <c r="CD871" s="465" t="str">
        <f t="shared" si="1295"/>
        <v/>
      </c>
      <c r="CE871" s="328"/>
      <c r="CF871" s="197" t="str">
        <f>IF(AND($I871="x",AND(MAX(CB871:CD871)=CB871,CB871&lt;&gt;"")),Data!$BI$2,"")</f>
        <v/>
      </c>
      <c r="CG871" s="197" t="str">
        <f>IF(AND($J871="x",AND(MAX(CB871:CD871)=CC871,CC871&lt;&gt;"")),Data!$BJ$2,"")</f>
        <v/>
      </c>
      <c r="CH871" s="197" t="str">
        <f>IF(AND($K871="x",AND(MAX(CB871:CD871)=CD871,CD871&lt;&gt;"")),Data!$BK$2,"")</f>
        <v/>
      </c>
      <c r="CI871" s="197"/>
      <c r="CJ871" s="197"/>
      <c r="CK871" s="455"/>
      <c r="CL871" s="456"/>
      <c r="CM871" s="447" t="str">
        <f t="shared" si="1296"/>
        <v/>
      </c>
      <c r="CN871" s="328"/>
      <c r="CO871" s="197" t="str">
        <f>IF(AND($I871="x",AND(MAX(CK871:CM871)=CK871,CK871&lt;&gt;"")),Data!$BI$2,"")</f>
        <v/>
      </c>
      <c r="CP871" s="197" t="str">
        <f>IF(AND($J871="x",AND(MAX(CK871:CM871)=CL871,CL871&lt;&gt;"")),Data!$BJ$2,"")</f>
        <v/>
      </c>
      <c r="CQ871" s="197" t="str">
        <f>IF(AND($K871="x",AND(MAX(CK871:CM871)=CM871,CM871&lt;&gt;"")),Data!$BK$2,"")</f>
        <v/>
      </c>
      <c r="CR871" s="197"/>
      <c r="CS871" s="197"/>
      <c r="CT871" s="328"/>
      <c r="CU871" s="255"/>
      <c r="CV871" s="209"/>
      <c r="CW871" s="227"/>
    </row>
    <row r="872" spans="1:101" x14ac:dyDescent="0.2">
      <c r="A872" s="227"/>
      <c r="B872" s="227"/>
      <c r="C872" s="168"/>
      <c r="D872" s="232"/>
      <c r="E872" s="134"/>
      <c r="F872" s="424"/>
      <c r="G872" s="428" t="s">
        <v>51</v>
      </c>
      <c r="H872" s="429"/>
      <c r="I872" s="138" t="str">
        <f t="shared" si="1283"/>
        <v/>
      </c>
      <c r="J872" s="344" t="str">
        <f t="shared" si="1284"/>
        <v/>
      </c>
      <c r="K872" s="345" t="str">
        <f t="shared" si="1285"/>
        <v/>
      </c>
      <c r="L872" s="258"/>
      <c r="M872" s="332"/>
      <c r="N872" s="336"/>
      <c r="O872" s="200"/>
      <c r="P872" s="200"/>
      <c r="Q872" s="436"/>
      <c r="R872" s="437"/>
      <c r="S872" s="438" t="str">
        <f t="shared" si="1286"/>
        <v/>
      </c>
      <c r="T872" s="328"/>
      <c r="U872" s="197" t="str">
        <f>IF(AND($I872="x",AND(MAX(Q872:S872)=Q872,Q872&gt;=0)),Data!$BI$2,"")</f>
        <v/>
      </c>
      <c r="V872" s="197" t="str">
        <f>IF(AND($J872="x",AND(MAX(Q872:S872)=R872,R872&gt;=0)),Data!$BJ$2,"")</f>
        <v/>
      </c>
      <c r="W872" s="197" t="str">
        <f>IF(AND($K872="x",AND(MAX(Q872:S872)=S872,S872&gt;=0)),Data!$BK$2,"")</f>
        <v/>
      </c>
      <c r="X872" s="197"/>
      <c r="Y872" s="328"/>
      <c r="Z872" s="451"/>
      <c r="AA872" s="452"/>
      <c r="AB872" s="438" t="str">
        <f t="shared" si="1287"/>
        <v/>
      </c>
      <c r="AC872" s="328"/>
      <c r="AD872" s="197" t="str">
        <f>IF(AND($I872="x",AND(MAX(Z872:AB872)=Z872,Z872&lt;&gt;"")),Data!$BI$2,"")</f>
        <v/>
      </c>
      <c r="AE872" s="197" t="str">
        <f>IF(AND($J872="x",AND(MAX(Z872:AB872)=AA872,AA872&lt;&gt;"")),Data!$BJ$2,"")</f>
        <v/>
      </c>
      <c r="AF872" s="197" t="str">
        <f>IF(AND($K872="x",AND(MAX(Z872:AB872)=AB872,AB872&lt;&gt;"")),Data!$BK$2,"")</f>
        <v/>
      </c>
      <c r="AG872" s="197"/>
      <c r="AH872" s="328"/>
      <c r="AI872" s="451"/>
      <c r="AJ872" s="452"/>
      <c r="AK872" s="438" t="str">
        <f t="shared" si="1288"/>
        <v/>
      </c>
      <c r="AL872" s="328"/>
      <c r="AM872" s="197" t="str">
        <f>IF(AND($I872="x",AND(MAX(AI872:AK872)=AI872,AI872&lt;&gt;"")),Data!$BI$2,"")</f>
        <v/>
      </c>
      <c r="AN872" s="197" t="str">
        <f>IF(AND($J872="x",AND(MAX(AI872:AK872)=AJ872,AJ872&lt;&gt;"")),Data!$BJ$2,"")</f>
        <v/>
      </c>
      <c r="AO872" s="197" t="str">
        <f>IF(AND($K872="x",AND(MAX(AI872:AK872)=AK872,AK872&lt;&gt;"")),Data!$BK$2,"")</f>
        <v/>
      </c>
      <c r="AP872" s="197"/>
      <c r="AQ872" s="328"/>
      <c r="AR872" s="451"/>
      <c r="AS872" s="452"/>
      <c r="AT872" s="438" t="str">
        <f t="shared" si="1289"/>
        <v/>
      </c>
      <c r="AU872" s="328"/>
      <c r="AV872" s="197" t="str">
        <f>IF(AND($I872="x",AND(MAX(AR872:AT872)=AR872,AR872&lt;&gt;"")),Data!$BI$2,"")</f>
        <v/>
      </c>
      <c r="AW872" s="197" t="str">
        <f>IF(AND($J872="x",AND(MAX(AR872:AT872)=AS872,AS872&lt;&gt;"")),Data!$BJ$2,"")</f>
        <v/>
      </c>
      <c r="AX872" s="197" t="str">
        <f>IF(AND($K872="x",AND(MAX(AR872:AT872)=AT872,AT872&lt;&gt;"")),Data!$BK$2,"")</f>
        <v/>
      </c>
      <c r="AY872" s="197"/>
      <c r="AZ872" s="328"/>
      <c r="BA872" s="451"/>
      <c r="BB872" s="452"/>
      <c r="BC872" s="438" t="str">
        <f t="shared" si="1290"/>
        <v/>
      </c>
      <c r="BD872" s="328"/>
      <c r="BE872" s="197" t="str">
        <f>IF(AND($I872="x",AND(MAX(BA872:BC872)=BA872,BA872&lt;&gt;"")),Data!$BI$2,"")</f>
        <v/>
      </c>
      <c r="BF872" s="197" t="str">
        <f>IF(AND($J872="x",AND(MAX(BA872:BC872)=BB872,BB872&lt;&gt;"")),Data!$BJ$2,"")</f>
        <v/>
      </c>
      <c r="BG872" s="197" t="str">
        <f>IF(AND($K872="x",AND(MAX(BA872:BC872)=BC872,BC872&lt;&gt;"")),Data!$BK$2,"")</f>
        <v/>
      </c>
      <c r="BH872" s="197"/>
      <c r="BI872" s="328"/>
      <c r="BJ872" s="451"/>
      <c r="BK872" s="452"/>
      <c r="BL872" s="438" t="str">
        <f t="shared" si="1291"/>
        <v/>
      </c>
      <c r="BM872" s="328"/>
      <c r="BN872" s="197" t="str">
        <f>IF(AND($I872="x",AND(MAX(BJ872:BL872)=BJ872,BJ872&lt;&gt;"")),Data!$BI$2,"")</f>
        <v/>
      </c>
      <c r="BO872" s="197" t="str">
        <f>IF(AND($J872="x",AND(MAX(BJ872:BL872)=BK872,BK872&lt;&gt;"")),Data!$BJ$2,"")</f>
        <v/>
      </c>
      <c r="BP872" s="197" t="str">
        <f>IF(AND($K872="x",AND(MAX(BJ872:BL872)=BL872,BL872&lt;&gt;"")),Data!$BK$2,"")</f>
        <v/>
      </c>
      <c r="BQ872" s="197"/>
      <c r="BR872" s="328"/>
      <c r="BS872" s="451"/>
      <c r="BT872" s="452"/>
      <c r="BU872" s="438" t="str">
        <f t="shared" si="1292"/>
        <v/>
      </c>
      <c r="BV872" s="328"/>
      <c r="BW872" s="197" t="str">
        <f>IF(AND($I872="x",AND(MAX(BS872:BU872)=BS872,BS872&lt;&gt;"")),Data!$BI$2,"")</f>
        <v/>
      </c>
      <c r="BX872" s="197" t="str">
        <f>IF(AND($J872="x",AND(MAX(BS872:BU872)=BT872,BT872&lt;&gt;"")),Data!$BJ$2,"")</f>
        <v/>
      </c>
      <c r="BY872" s="197" t="str">
        <f>IF(AND($K872="x",AND(MAX(BS872:BU872)=BU872,BU872&lt;&gt;"")),Data!$BK$2,"")</f>
        <v/>
      </c>
      <c r="BZ872" s="197"/>
      <c r="CA872" s="328"/>
      <c r="CB872" s="457" t="str">
        <f t="shared" si="1293"/>
        <v/>
      </c>
      <c r="CC872" s="458" t="str">
        <f t="shared" si="1294"/>
        <v/>
      </c>
      <c r="CD872" s="459" t="str">
        <f t="shared" si="1295"/>
        <v/>
      </c>
      <c r="CE872" s="328"/>
      <c r="CF872" s="197" t="str">
        <f>IF(AND($I872="x",AND(MAX(CB872:CD872)=CB872,CB872&lt;&gt;"")),Data!$BI$2,"")</f>
        <v/>
      </c>
      <c r="CG872" s="197" t="str">
        <f>IF(AND($J872="x",AND(MAX(CB872:CD872)=CC872,CC872&lt;&gt;"")),Data!$BJ$2,"")</f>
        <v/>
      </c>
      <c r="CH872" s="197" t="str">
        <f>IF(AND($K872="x",AND(MAX(CB872:CD872)=CD872,CD872&lt;&gt;"")),Data!$BK$2,"")</f>
        <v/>
      </c>
      <c r="CI872" s="197"/>
      <c r="CJ872" s="197"/>
      <c r="CK872" s="451"/>
      <c r="CL872" s="452"/>
      <c r="CM872" s="438" t="str">
        <f t="shared" si="1296"/>
        <v/>
      </c>
      <c r="CN872" s="328"/>
      <c r="CO872" s="197" t="str">
        <f>IF(AND($I872="x",AND(MAX(CK872:CM872)=CK872,CK872&lt;&gt;"")),Data!$BI$2,"")</f>
        <v/>
      </c>
      <c r="CP872" s="197" t="str">
        <f>IF(AND($J872="x",AND(MAX(CK872:CM872)=CL872,CL872&lt;&gt;"")),Data!$BJ$2,"")</f>
        <v/>
      </c>
      <c r="CQ872" s="197" t="str">
        <f>IF(AND($K872="x",AND(MAX(CK872:CM872)=CM872,CM872&lt;&gt;"")),Data!$BK$2,"")</f>
        <v/>
      </c>
      <c r="CR872" s="197"/>
      <c r="CS872" s="197"/>
      <c r="CT872" s="328"/>
      <c r="CU872" s="259"/>
      <c r="CV872" s="209"/>
      <c r="CW872" s="227"/>
    </row>
    <row r="873" spans="1:101" x14ac:dyDescent="0.2">
      <c r="A873" s="227"/>
      <c r="B873" s="227"/>
      <c r="C873" s="168"/>
      <c r="D873" s="232"/>
      <c r="E873" s="135"/>
      <c r="F873" s="425"/>
      <c r="G873" s="430" t="s">
        <v>51</v>
      </c>
      <c r="H873" s="431"/>
      <c r="I873" s="346" t="str">
        <f t="shared" si="1283"/>
        <v/>
      </c>
      <c r="J873" s="347" t="str">
        <f t="shared" si="1284"/>
        <v/>
      </c>
      <c r="K873" s="348" t="str">
        <f t="shared" si="1285"/>
        <v/>
      </c>
      <c r="L873" s="258"/>
      <c r="M873" s="332"/>
      <c r="N873" s="336"/>
      <c r="O873" s="200"/>
      <c r="P873" s="200"/>
      <c r="Q873" s="439"/>
      <c r="R873" s="440"/>
      <c r="S873" s="441" t="str">
        <f t="shared" si="1286"/>
        <v/>
      </c>
      <c r="T873" s="328"/>
      <c r="U873" s="197" t="str">
        <f>IF(AND($I873="x",AND(MAX(Q873:S873)=Q873,Q873&gt;=0)),Data!$BI$2,"")</f>
        <v/>
      </c>
      <c r="V873" s="197" t="str">
        <f>IF(AND($J873="x",AND(MAX(Q873:S873)=R873,R873&gt;=0)),Data!$BJ$2,"")</f>
        <v/>
      </c>
      <c r="W873" s="197" t="str">
        <f>IF(AND($K873="x",AND(MAX(Q873:S873)=S873,S873&gt;=0)),Data!$BK$2,"")</f>
        <v/>
      </c>
      <c r="X873" s="197"/>
      <c r="Y873" s="328"/>
      <c r="Z873" s="453"/>
      <c r="AA873" s="454"/>
      <c r="AB873" s="441" t="str">
        <f t="shared" si="1287"/>
        <v/>
      </c>
      <c r="AC873" s="328"/>
      <c r="AD873" s="197" t="str">
        <f>IF(AND($I873="x",AND(MAX(Z873:AB873)=Z873,Z873&lt;&gt;"")),Data!$BI$2,"")</f>
        <v/>
      </c>
      <c r="AE873" s="197" t="str">
        <f>IF(AND($J873="x",AND(MAX(Z873:AB873)=AA873,AA873&lt;&gt;"")),Data!$BJ$2,"")</f>
        <v/>
      </c>
      <c r="AF873" s="197" t="str">
        <f>IF(AND($K873="x",AND(MAX(Z873:AB873)=AB873,AB873&lt;&gt;"")),Data!$BK$2,"")</f>
        <v/>
      </c>
      <c r="AG873" s="197"/>
      <c r="AH873" s="328"/>
      <c r="AI873" s="453"/>
      <c r="AJ873" s="454"/>
      <c r="AK873" s="441" t="str">
        <f t="shared" si="1288"/>
        <v/>
      </c>
      <c r="AL873" s="328"/>
      <c r="AM873" s="197" t="str">
        <f>IF(AND($I873="x",AND(MAX(AI873:AK873)=AI873,AI873&lt;&gt;"")),Data!$BI$2,"")</f>
        <v/>
      </c>
      <c r="AN873" s="197" t="str">
        <f>IF(AND($J873="x",AND(MAX(AI873:AK873)=AJ873,AJ873&lt;&gt;"")),Data!$BJ$2,"")</f>
        <v/>
      </c>
      <c r="AO873" s="197" t="str">
        <f>IF(AND($K873="x",AND(MAX(AI873:AK873)=AK873,AK873&lt;&gt;"")),Data!$BK$2,"")</f>
        <v/>
      </c>
      <c r="AP873" s="197"/>
      <c r="AQ873" s="328"/>
      <c r="AR873" s="453"/>
      <c r="AS873" s="454"/>
      <c r="AT873" s="441" t="str">
        <f t="shared" si="1289"/>
        <v/>
      </c>
      <c r="AU873" s="328"/>
      <c r="AV873" s="197" t="str">
        <f>IF(AND($I873="x",AND(MAX(AR873:AT873)=AR873,AR873&lt;&gt;"")),Data!$BI$2,"")</f>
        <v/>
      </c>
      <c r="AW873" s="197" t="str">
        <f>IF(AND($J873="x",AND(MAX(AR873:AT873)=AS873,AS873&lt;&gt;"")),Data!$BJ$2,"")</f>
        <v/>
      </c>
      <c r="AX873" s="197" t="str">
        <f>IF(AND($K873="x",AND(MAX(AR873:AT873)=AT873,AT873&lt;&gt;"")),Data!$BK$2,"")</f>
        <v/>
      </c>
      <c r="AY873" s="197"/>
      <c r="AZ873" s="328"/>
      <c r="BA873" s="453"/>
      <c r="BB873" s="454"/>
      <c r="BC873" s="441" t="str">
        <f t="shared" si="1290"/>
        <v/>
      </c>
      <c r="BD873" s="328"/>
      <c r="BE873" s="197" t="str">
        <f>IF(AND($I873="x",AND(MAX(BA873:BC873)=BA873,BA873&lt;&gt;"")),Data!$BI$2,"")</f>
        <v/>
      </c>
      <c r="BF873" s="197" t="str">
        <f>IF(AND($J873="x",AND(MAX(BA873:BC873)=BB873,BB873&lt;&gt;"")),Data!$BJ$2,"")</f>
        <v/>
      </c>
      <c r="BG873" s="197" t="str">
        <f>IF(AND($K873="x",AND(MAX(BA873:BC873)=BC873,BC873&lt;&gt;"")),Data!$BK$2,"")</f>
        <v/>
      </c>
      <c r="BH873" s="197"/>
      <c r="BI873" s="328"/>
      <c r="BJ873" s="453"/>
      <c r="BK873" s="454"/>
      <c r="BL873" s="441" t="str">
        <f t="shared" si="1291"/>
        <v/>
      </c>
      <c r="BM873" s="328"/>
      <c r="BN873" s="197" t="str">
        <f>IF(AND($I873="x",AND(MAX(BJ873:BL873)=BJ873,BJ873&lt;&gt;"")),Data!$BI$2,"")</f>
        <v/>
      </c>
      <c r="BO873" s="197" t="str">
        <f>IF(AND($J873="x",AND(MAX(BJ873:BL873)=BK873,BK873&lt;&gt;"")),Data!$BJ$2,"")</f>
        <v/>
      </c>
      <c r="BP873" s="197" t="str">
        <f>IF(AND($K873="x",AND(MAX(BJ873:BL873)=BL873,BL873&lt;&gt;"")),Data!$BK$2,"")</f>
        <v/>
      </c>
      <c r="BQ873" s="197"/>
      <c r="BR873" s="328"/>
      <c r="BS873" s="453"/>
      <c r="BT873" s="454"/>
      <c r="BU873" s="441" t="str">
        <f t="shared" si="1292"/>
        <v/>
      </c>
      <c r="BV873" s="328"/>
      <c r="BW873" s="197" t="str">
        <f>IF(AND($I873="x",AND(MAX(BS873:BU873)=BS873,BS873&lt;&gt;"")),Data!$BI$2,"")</f>
        <v/>
      </c>
      <c r="BX873" s="197" t="str">
        <f>IF(AND($J873="x",AND(MAX(BS873:BU873)=BT873,BT873&lt;&gt;"")),Data!$BJ$2,"")</f>
        <v/>
      </c>
      <c r="BY873" s="197" t="str">
        <f>IF(AND($K873="x",AND(MAX(BS873:BU873)=BU873,BU873&lt;&gt;"")),Data!$BK$2,"")</f>
        <v/>
      </c>
      <c r="BZ873" s="197"/>
      <c r="CA873" s="328"/>
      <c r="CB873" s="460" t="str">
        <f t="shared" si="1293"/>
        <v/>
      </c>
      <c r="CC873" s="461" t="str">
        <f t="shared" si="1294"/>
        <v/>
      </c>
      <c r="CD873" s="462" t="str">
        <f t="shared" si="1295"/>
        <v/>
      </c>
      <c r="CE873" s="328"/>
      <c r="CF873" s="197" t="str">
        <f>IF(AND($I873="x",AND(MAX(CB873:CD873)=CB873,CB873&lt;&gt;"")),Data!$BI$2,"")</f>
        <v/>
      </c>
      <c r="CG873" s="197" t="str">
        <f>IF(AND($J873="x",AND(MAX(CB873:CD873)=CC873,CC873&lt;&gt;"")),Data!$BJ$2,"")</f>
        <v/>
      </c>
      <c r="CH873" s="197" t="str">
        <f>IF(AND($K873="x",AND(MAX(CB873:CD873)=CD873,CD873&lt;&gt;"")),Data!$BK$2,"")</f>
        <v/>
      </c>
      <c r="CI873" s="197"/>
      <c r="CJ873" s="197"/>
      <c r="CK873" s="453"/>
      <c r="CL873" s="454"/>
      <c r="CM873" s="441" t="str">
        <f t="shared" si="1296"/>
        <v/>
      </c>
      <c r="CN873" s="328"/>
      <c r="CO873" s="197" t="str">
        <f>IF(AND($I873="x",AND(MAX(CK873:CM873)=CK873,CK873&lt;&gt;"")),Data!$BI$2,"")</f>
        <v/>
      </c>
      <c r="CP873" s="197" t="str">
        <f>IF(AND($J873="x",AND(MAX(CK873:CM873)=CL873,CL873&lt;&gt;"")),Data!$BJ$2,"")</f>
        <v/>
      </c>
      <c r="CQ873" s="197" t="str">
        <f>IF(AND($K873="x",AND(MAX(CK873:CM873)=CM873,CM873&lt;&gt;"")),Data!$BK$2,"")</f>
        <v/>
      </c>
      <c r="CR873" s="197"/>
      <c r="CS873" s="197"/>
      <c r="CT873" s="328"/>
      <c r="CU873" s="259"/>
      <c r="CV873" s="209"/>
      <c r="CW873" s="227"/>
    </row>
    <row r="874" spans="1:101" x14ac:dyDescent="0.2">
      <c r="A874" s="227"/>
      <c r="B874" s="227"/>
      <c r="C874" s="168"/>
      <c r="D874" s="232"/>
      <c r="E874" s="136"/>
      <c r="F874" s="426"/>
      <c r="G874" s="432" t="s">
        <v>51</v>
      </c>
      <c r="H874" s="433"/>
      <c r="I874" s="349" t="str">
        <f t="shared" si="1283"/>
        <v/>
      </c>
      <c r="J874" s="350" t="str">
        <f t="shared" si="1284"/>
        <v/>
      </c>
      <c r="K874" s="351" t="str">
        <f t="shared" si="1285"/>
        <v/>
      </c>
      <c r="L874" s="258"/>
      <c r="M874" s="332"/>
      <c r="N874" s="336"/>
      <c r="O874" s="200"/>
      <c r="P874" s="200"/>
      <c r="Q874" s="445"/>
      <c r="R874" s="446"/>
      <c r="S874" s="447" t="str">
        <f t="shared" si="1286"/>
        <v/>
      </c>
      <c r="T874" s="328"/>
      <c r="U874" s="197" t="str">
        <f>IF(AND($I874="x",AND(MAX(Q874:S874)=Q874,Q874&gt;=0)),Data!$BI$2,"")</f>
        <v/>
      </c>
      <c r="V874" s="197" t="str">
        <f>IF(AND($J874="x",AND(MAX(Q874:S874)=R874,R874&gt;=0)),Data!$BJ$2,"")</f>
        <v/>
      </c>
      <c r="W874" s="197" t="str">
        <f>IF(AND($K874="x",AND(MAX(Q874:S874)=S874,S874&gt;=0)),Data!$BK$2,"")</f>
        <v/>
      </c>
      <c r="X874" s="197"/>
      <c r="Y874" s="328"/>
      <c r="Z874" s="455"/>
      <c r="AA874" s="456"/>
      <c r="AB874" s="447" t="str">
        <f t="shared" si="1287"/>
        <v/>
      </c>
      <c r="AC874" s="328"/>
      <c r="AD874" s="197" t="str">
        <f>IF(AND($I874="x",AND(MAX(Z874:AB874)=Z874,Z874&lt;&gt;"")),Data!$BI$2,"")</f>
        <v/>
      </c>
      <c r="AE874" s="197" t="str">
        <f>IF(AND($J874="x",AND(MAX(Z874:AB874)=AA874,AA874&lt;&gt;"")),Data!$BJ$2,"")</f>
        <v/>
      </c>
      <c r="AF874" s="197" t="str">
        <f>IF(AND($K874="x",AND(MAX(Z874:AB874)=AB874,AB874&lt;&gt;"")),Data!$BK$2,"")</f>
        <v/>
      </c>
      <c r="AG874" s="197"/>
      <c r="AH874" s="328"/>
      <c r="AI874" s="455"/>
      <c r="AJ874" s="456"/>
      <c r="AK874" s="447" t="str">
        <f t="shared" si="1288"/>
        <v/>
      </c>
      <c r="AL874" s="328"/>
      <c r="AM874" s="197" t="str">
        <f>IF(AND($I874="x",AND(MAX(AI874:AK874)=AI874,AI874&lt;&gt;"")),Data!$BI$2,"")</f>
        <v/>
      </c>
      <c r="AN874" s="197" t="str">
        <f>IF(AND($J874="x",AND(MAX(AI874:AK874)=AJ874,AJ874&lt;&gt;"")),Data!$BJ$2,"")</f>
        <v/>
      </c>
      <c r="AO874" s="197" t="str">
        <f>IF(AND($K874="x",AND(MAX(AI874:AK874)=AK874,AK874&lt;&gt;"")),Data!$BK$2,"")</f>
        <v/>
      </c>
      <c r="AP874" s="197"/>
      <c r="AQ874" s="328"/>
      <c r="AR874" s="455"/>
      <c r="AS874" s="456"/>
      <c r="AT874" s="447" t="str">
        <f t="shared" si="1289"/>
        <v/>
      </c>
      <c r="AU874" s="328"/>
      <c r="AV874" s="197" t="str">
        <f>IF(AND($I874="x",AND(MAX(AR874:AT874)=AR874,AR874&lt;&gt;"")),Data!$BI$2,"")</f>
        <v/>
      </c>
      <c r="AW874" s="197" t="str">
        <f>IF(AND($J874="x",AND(MAX(AR874:AT874)=AS874,AS874&lt;&gt;"")),Data!$BJ$2,"")</f>
        <v/>
      </c>
      <c r="AX874" s="197" t="str">
        <f>IF(AND($K874="x",AND(MAX(AR874:AT874)=AT874,AT874&lt;&gt;"")),Data!$BK$2,"")</f>
        <v/>
      </c>
      <c r="AY874" s="197"/>
      <c r="AZ874" s="328"/>
      <c r="BA874" s="455"/>
      <c r="BB874" s="456"/>
      <c r="BC874" s="447" t="str">
        <f t="shared" si="1290"/>
        <v/>
      </c>
      <c r="BD874" s="328"/>
      <c r="BE874" s="197" t="str">
        <f>IF(AND($I874="x",AND(MAX(BA874:BC874)=BA874,BA874&lt;&gt;"")),Data!$BI$2,"")</f>
        <v/>
      </c>
      <c r="BF874" s="197" t="str">
        <f>IF(AND($J874="x",AND(MAX(BA874:BC874)=BB874,BB874&lt;&gt;"")),Data!$BJ$2,"")</f>
        <v/>
      </c>
      <c r="BG874" s="197" t="str">
        <f>IF(AND($K874="x",AND(MAX(BA874:BC874)=BC874,BC874&lt;&gt;"")),Data!$BK$2,"")</f>
        <v/>
      </c>
      <c r="BH874" s="197"/>
      <c r="BI874" s="328"/>
      <c r="BJ874" s="455"/>
      <c r="BK874" s="456"/>
      <c r="BL874" s="447" t="str">
        <f t="shared" si="1291"/>
        <v/>
      </c>
      <c r="BM874" s="328"/>
      <c r="BN874" s="197" t="str">
        <f>IF(AND($I874="x",AND(MAX(BJ874:BL874)=BJ874,BJ874&lt;&gt;"")),Data!$BI$2,"")</f>
        <v/>
      </c>
      <c r="BO874" s="197" t="str">
        <f>IF(AND($J874="x",AND(MAX(BJ874:BL874)=BK874,BK874&lt;&gt;"")),Data!$BJ$2,"")</f>
        <v/>
      </c>
      <c r="BP874" s="197" t="str">
        <f>IF(AND($K874="x",AND(MAX(BJ874:BL874)=BL874,BL874&lt;&gt;"")),Data!$BK$2,"")</f>
        <v/>
      </c>
      <c r="BQ874" s="197"/>
      <c r="BR874" s="328"/>
      <c r="BS874" s="455"/>
      <c r="BT874" s="456"/>
      <c r="BU874" s="447" t="str">
        <f t="shared" si="1292"/>
        <v/>
      </c>
      <c r="BV874" s="328"/>
      <c r="BW874" s="197" t="str">
        <f>IF(AND($I874="x",AND(MAX(BS874:BU874)=BS874,BS874&lt;&gt;"")),Data!$BI$2,"")</f>
        <v/>
      </c>
      <c r="BX874" s="197" t="str">
        <f>IF(AND($J874="x",AND(MAX(BS874:BU874)=BT874,BT874&lt;&gt;"")),Data!$BJ$2,"")</f>
        <v/>
      </c>
      <c r="BY874" s="197" t="str">
        <f>IF(AND($K874="x",AND(MAX(BS874:BU874)=BU874,BU874&lt;&gt;"")),Data!$BK$2,"")</f>
        <v/>
      </c>
      <c r="BZ874" s="197"/>
      <c r="CA874" s="328"/>
      <c r="CB874" s="463" t="str">
        <f t="shared" si="1293"/>
        <v/>
      </c>
      <c r="CC874" s="464" t="str">
        <f t="shared" si="1294"/>
        <v/>
      </c>
      <c r="CD874" s="465" t="str">
        <f t="shared" si="1295"/>
        <v/>
      </c>
      <c r="CE874" s="328"/>
      <c r="CF874" s="197" t="str">
        <f>IF(AND($I874="x",AND(MAX(CB874:CD874)=CB874,CB874&lt;&gt;"")),Data!$BI$2,"")</f>
        <v/>
      </c>
      <c r="CG874" s="197" t="str">
        <f>IF(AND($J874="x",AND(MAX(CB874:CD874)=CC874,CC874&lt;&gt;"")),Data!$BJ$2,"")</f>
        <v/>
      </c>
      <c r="CH874" s="197" t="str">
        <f>IF(AND($K874="x",AND(MAX(CB874:CD874)=CD874,CD874&lt;&gt;"")),Data!$BK$2,"")</f>
        <v/>
      </c>
      <c r="CI874" s="197"/>
      <c r="CJ874" s="197"/>
      <c r="CK874" s="455"/>
      <c r="CL874" s="456"/>
      <c r="CM874" s="447" t="str">
        <f t="shared" si="1296"/>
        <v/>
      </c>
      <c r="CN874" s="328"/>
      <c r="CO874" s="197" t="str">
        <f>IF(AND($I874="x",AND(MAX(CK874:CM874)=CK874,CK874&lt;&gt;"")),Data!$BI$2,"")</f>
        <v/>
      </c>
      <c r="CP874" s="197" t="str">
        <f>IF(AND($J874="x",AND(MAX(CK874:CM874)=CL874,CL874&lt;&gt;"")),Data!$BJ$2,"")</f>
        <v/>
      </c>
      <c r="CQ874" s="197" t="str">
        <f>IF(AND($K874="x",AND(MAX(CK874:CM874)=CM874,CM874&lt;&gt;"")),Data!$BK$2,"")</f>
        <v/>
      </c>
      <c r="CR874" s="197"/>
      <c r="CS874" s="197"/>
      <c r="CT874" s="328"/>
      <c r="CU874" s="259"/>
      <c r="CV874" s="209"/>
      <c r="CW874" s="227"/>
    </row>
    <row r="875" spans="1:101" x14ac:dyDescent="0.2">
      <c r="A875" s="227"/>
      <c r="B875" s="227"/>
      <c r="C875" s="168"/>
      <c r="D875" s="232"/>
      <c r="E875" s="137"/>
      <c r="F875" s="427"/>
      <c r="G875" s="434" t="s">
        <v>51</v>
      </c>
      <c r="H875" s="435"/>
      <c r="I875" s="138" t="str">
        <f t="shared" si="1283"/>
        <v/>
      </c>
      <c r="J875" s="344" t="str">
        <f t="shared" si="1284"/>
        <v/>
      </c>
      <c r="K875" s="345" t="str">
        <f t="shared" si="1285"/>
        <v/>
      </c>
      <c r="L875" s="258"/>
      <c r="M875" s="332"/>
      <c r="N875" s="336"/>
      <c r="O875" s="200"/>
      <c r="P875" s="200"/>
      <c r="Q875" s="448"/>
      <c r="R875" s="449"/>
      <c r="S875" s="450" t="str">
        <f t="shared" si="1286"/>
        <v/>
      </c>
      <c r="T875" s="328"/>
      <c r="U875" s="197" t="str">
        <f>IF(AND($I875="x",AND(MAX(Q875:S875)=Q875,Q875&gt;=0)),Data!$BI$2,"")</f>
        <v/>
      </c>
      <c r="V875" s="197" t="str">
        <f>IF(AND($J875="x",AND(MAX(Q875:S875)=R875,R875&gt;=0)),Data!$BJ$2,"")</f>
        <v/>
      </c>
      <c r="W875" s="197" t="str">
        <f>IF(AND($K875="x",AND(MAX(Q875:S875)=S875,S875&gt;=0)),Data!$BK$2,"")</f>
        <v/>
      </c>
      <c r="X875" s="197"/>
      <c r="Y875" s="328"/>
      <c r="Z875" s="451"/>
      <c r="AA875" s="452"/>
      <c r="AB875" s="450" t="str">
        <f t="shared" si="1287"/>
        <v/>
      </c>
      <c r="AC875" s="328"/>
      <c r="AD875" s="197" t="str">
        <f>IF(AND($I875="x",AND(MAX(Z875:AB875)=Z875,Z875&lt;&gt;"")),Data!$BI$2,"")</f>
        <v/>
      </c>
      <c r="AE875" s="197" t="str">
        <f>IF(AND($J875="x",AND(MAX(Z875:AB875)=AA875,AA875&lt;&gt;"")),Data!$BJ$2,"")</f>
        <v/>
      </c>
      <c r="AF875" s="197" t="str">
        <f>IF(AND($K875="x",AND(MAX(Z875:AB875)=AB875,AB875&lt;&gt;"")),Data!$BK$2,"")</f>
        <v/>
      </c>
      <c r="AG875" s="197"/>
      <c r="AH875" s="328"/>
      <c r="AI875" s="451"/>
      <c r="AJ875" s="452"/>
      <c r="AK875" s="450" t="str">
        <f t="shared" si="1288"/>
        <v/>
      </c>
      <c r="AL875" s="328"/>
      <c r="AM875" s="197" t="str">
        <f>IF(AND($I875="x",AND(MAX(AI875:AK875)=AI875,AI875&lt;&gt;"")),Data!$BI$2,"")</f>
        <v/>
      </c>
      <c r="AN875" s="197" t="str">
        <f>IF(AND($J875="x",AND(MAX(AI875:AK875)=AJ875,AJ875&lt;&gt;"")),Data!$BJ$2,"")</f>
        <v/>
      </c>
      <c r="AO875" s="197" t="str">
        <f>IF(AND($K875="x",AND(MAX(AI875:AK875)=AK875,AK875&lt;&gt;"")),Data!$BK$2,"")</f>
        <v/>
      </c>
      <c r="AP875" s="197"/>
      <c r="AQ875" s="328"/>
      <c r="AR875" s="451"/>
      <c r="AS875" s="452"/>
      <c r="AT875" s="450" t="str">
        <f t="shared" si="1289"/>
        <v/>
      </c>
      <c r="AU875" s="328"/>
      <c r="AV875" s="197" t="str">
        <f>IF(AND($I875="x",AND(MAX(AR875:AT875)=AR875,AR875&lt;&gt;"")),Data!$BI$2,"")</f>
        <v/>
      </c>
      <c r="AW875" s="197" t="str">
        <f>IF(AND($J875="x",AND(MAX(AR875:AT875)=AS875,AS875&lt;&gt;"")),Data!$BJ$2,"")</f>
        <v/>
      </c>
      <c r="AX875" s="197" t="str">
        <f>IF(AND($K875="x",AND(MAX(AR875:AT875)=AT875,AT875&lt;&gt;"")),Data!$BK$2,"")</f>
        <v/>
      </c>
      <c r="AY875" s="197"/>
      <c r="AZ875" s="328"/>
      <c r="BA875" s="451"/>
      <c r="BB875" s="452"/>
      <c r="BC875" s="450" t="str">
        <f t="shared" si="1290"/>
        <v/>
      </c>
      <c r="BD875" s="328"/>
      <c r="BE875" s="197" t="str">
        <f>IF(AND($I875="x",AND(MAX(BA875:BC875)=BA875,BA875&lt;&gt;"")),Data!$BI$2,"")</f>
        <v/>
      </c>
      <c r="BF875" s="197" t="str">
        <f>IF(AND($J875="x",AND(MAX(BA875:BC875)=BB875,BB875&lt;&gt;"")),Data!$BJ$2,"")</f>
        <v/>
      </c>
      <c r="BG875" s="197" t="str">
        <f>IF(AND($K875="x",AND(MAX(BA875:BC875)=BC875,BC875&lt;&gt;"")),Data!$BK$2,"")</f>
        <v/>
      </c>
      <c r="BH875" s="197"/>
      <c r="BI875" s="328"/>
      <c r="BJ875" s="451"/>
      <c r="BK875" s="452"/>
      <c r="BL875" s="450" t="str">
        <f t="shared" si="1291"/>
        <v/>
      </c>
      <c r="BM875" s="328"/>
      <c r="BN875" s="197" t="str">
        <f>IF(AND($I875="x",AND(MAX(BJ875:BL875)=BJ875,BJ875&lt;&gt;"")),Data!$BI$2,"")</f>
        <v/>
      </c>
      <c r="BO875" s="197" t="str">
        <f>IF(AND($J875="x",AND(MAX(BJ875:BL875)=BK875,BK875&lt;&gt;"")),Data!$BJ$2,"")</f>
        <v/>
      </c>
      <c r="BP875" s="197" t="str">
        <f>IF(AND($K875="x",AND(MAX(BJ875:BL875)=BL875,BL875&lt;&gt;"")),Data!$BK$2,"")</f>
        <v/>
      </c>
      <c r="BQ875" s="197"/>
      <c r="BR875" s="328"/>
      <c r="BS875" s="451"/>
      <c r="BT875" s="452"/>
      <c r="BU875" s="450" t="str">
        <f t="shared" si="1292"/>
        <v/>
      </c>
      <c r="BV875" s="328"/>
      <c r="BW875" s="197" t="str">
        <f>IF(AND($I875="x",AND(MAX(BS875:BU875)=BS875,BS875&lt;&gt;"")),Data!$BI$2,"")</f>
        <v/>
      </c>
      <c r="BX875" s="197" t="str">
        <f>IF(AND($J875="x",AND(MAX(BS875:BU875)=BT875,BT875&lt;&gt;"")),Data!$BJ$2,"")</f>
        <v/>
      </c>
      <c r="BY875" s="197" t="str">
        <f>IF(AND($K875="x",AND(MAX(BS875:BU875)=BU875,BU875&lt;&gt;"")),Data!$BK$2,"")</f>
        <v/>
      </c>
      <c r="BZ875" s="197"/>
      <c r="CA875" s="328"/>
      <c r="CB875" s="457" t="str">
        <f t="shared" si="1293"/>
        <v/>
      </c>
      <c r="CC875" s="458" t="str">
        <f t="shared" si="1294"/>
        <v/>
      </c>
      <c r="CD875" s="459" t="str">
        <f t="shared" si="1295"/>
        <v/>
      </c>
      <c r="CE875" s="328"/>
      <c r="CF875" s="197" t="str">
        <f>IF(AND($I875="x",AND(MAX(CB875:CD875)=CB875,CB875&lt;&gt;"")),Data!$BI$2,"")</f>
        <v/>
      </c>
      <c r="CG875" s="197" t="str">
        <f>IF(AND($J875="x",AND(MAX(CB875:CD875)=CC875,CC875&lt;&gt;"")),Data!$BJ$2,"")</f>
        <v/>
      </c>
      <c r="CH875" s="197" t="str">
        <f>IF(AND($K875="x",AND(MAX(CB875:CD875)=CD875,CD875&lt;&gt;"")),Data!$BK$2,"")</f>
        <v/>
      </c>
      <c r="CI875" s="197"/>
      <c r="CJ875" s="197"/>
      <c r="CK875" s="451"/>
      <c r="CL875" s="452"/>
      <c r="CM875" s="450" t="str">
        <f t="shared" si="1296"/>
        <v/>
      </c>
      <c r="CN875" s="328"/>
      <c r="CO875" s="197" t="str">
        <f>IF(AND($I875="x",AND(MAX(CK875:CM875)=CK875,CK875&lt;&gt;"")),Data!$BI$2,"")</f>
        <v/>
      </c>
      <c r="CP875" s="197" t="str">
        <f>IF(AND($J875="x",AND(MAX(CK875:CM875)=CL875,CL875&lt;&gt;"")),Data!$BJ$2,"")</f>
        <v/>
      </c>
      <c r="CQ875" s="197" t="str">
        <f>IF(AND($K875="x",AND(MAX(CK875:CM875)=CM875,CM875&lt;&gt;"")),Data!$BK$2,"")</f>
        <v/>
      </c>
      <c r="CR875" s="197"/>
      <c r="CS875" s="197"/>
      <c r="CT875" s="328"/>
      <c r="CU875" s="259"/>
      <c r="CV875" s="209"/>
      <c r="CW875" s="227"/>
    </row>
    <row r="876" spans="1:101" x14ac:dyDescent="0.2">
      <c r="A876" s="227"/>
      <c r="B876" s="227"/>
      <c r="C876" s="168"/>
      <c r="D876" s="232"/>
      <c r="E876" s="135"/>
      <c r="F876" s="425"/>
      <c r="G876" s="430" t="s">
        <v>51</v>
      </c>
      <c r="H876" s="431"/>
      <c r="I876" s="346" t="str">
        <f t="shared" si="1283"/>
        <v/>
      </c>
      <c r="J876" s="347" t="str">
        <f t="shared" si="1284"/>
        <v/>
      </c>
      <c r="K876" s="348" t="str">
        <f t="shared" si="1285"/>
        <v/>
      </c>
      <c r="L876" s="258"/>
      <c r="M876" s="332"/>
      <c r="N876" s="336"/>
      <c r="O876" s="200"/>
      <c r="P876" s="200"/>
      <c r="Q876" s="439"/>
      <c r="R876" s="440"/>
      <c r="S876" s="441" t="str">
        <f t="shared" si="1286"/>
        <v/>
      </c>
      <c r="T876" s="328"/>
      <c r="U876" s="197" t="str">
        <f>IF(AND($I876="x",AND(MAX(Q876:S876)=Q876,Q876&gt;=0)),Data!$BI$2,"")</f>
        <v/>
      </c>
      <c r="V876" s="197" t="str">
        <f>IF(AND($J876="x",AND(MAX(Q876:S876)=R876,R876&gt;=0)),Data!$BJ$2,"")</f>
        <v/>
      </c>
      <c r="W876" s="197" t="str">
        <f>IF(AND($K876="x",AND(MAX(Q876:S876)=S876,S876&gt;=0)),Data!$BK$2,"")</f>
        <v/>
      </c>
      <c r="X876" s="197"/>
      <c r="Y876" s="328"/>
      <c r="Z876" s="453"/>
      <c r="AA876" s="454"/>
      <c r="AB876" s="441" t="str">
        <f t="shared" si="1287"/>
        <v/>
      </c>
      <c r="AC876" s="328"/>
      <c r="AD876" s="197" t="str">
        <f>IF(AND($I876="x",AND(MAX(Z876:AB876)=Z876,Z876&lt;&gt;"")),Data!$BI$2,"")</f>
        <v/>
      </c>
      <c r="AE876" s="197" t="str">
        <f>IF(AND($J876="x",AND(MAX(Z876:AB876)=AA876,AA876&lt;&gt;"")),Data!$BJ$2,"")</f>
        <v/>
      </c>
      <c r="AF876" s="197" t="str">
        <f>IF(AND($K876="x",AND(MAX(Z876:AB876)=AB876,AB876&lt;&gt;"")),Data!$BK$2,"")</f>
        <v/>
      </c>
      <c r="AG876" s="197"/>
      <c r="AH876" s="328"/>
      <c r="AI876" s="453"/>
      <c r="AJ876" s="454"/>
      <c r="AK876" s="441" t="str">
        <f t="shared" si="1288"/>
        <v/>
      </c>
      <c r="AL876" s="328"/>
      <c r="AM876" s="197" t="str">
        <f>IF(AND($I876="x",AND(MAX(AI876:AK876)=AI876,AI876&lt;&gt;"")),Data!$BI$2,"")</f>
        <v/>
      </c>
      <c r="AN876" s="197" t="str">
        <f>IF(AND($J876="x",AND(MAX(AI876:AK876)=AJ876,AJ876&lt;&gt;"")),Data!$BJ$2,"")</f>
        <v/>
      </c>
      <c r="AO876" s="197" t="str">
        <f>IF(AND($K876="x",AND(MAX(AI876:AK876)=AK876,AK876&lt;&gt;"")),Data!$BK$2,"")</f>
        <v/>
      </c>
      <c r="AP876" s="197"/>
      <c r="AQ876" s="328"/>
      <c r="AR876" s="453"/>
      <c r="AS876" s="454"/>
      <c r="AT876" s="441" t="str">
        <f t="shared" si="1289"/>
        <v/>
      </c>
      <c r="AU876" s="328"/>
      <c r="AV876" s="197" t="str">
        <f>IF(AND($I876="x",AND(MAX(AR876:AT876)=AR876,AR876&lt;&gt;"")),Data!$BI$2,"")</f>
        <v/>
      </c>
      <c r="AW876" s="197" t="str">
        <f>IF(AND($J876="x",AND(MAX(AR876:AT876)=AS876,AS876&lt;&gt;"")),Data!$BJ$2,"")</f>
        <v/>
      </c>
      <c r="AX876" s="197" t="str">
        <f>IF(AND($K876="x",AND(MAX(AR876:AT876)=AT876,AT876&lt;&gt;"")),Data!$BK$2,"")</f>
        <v/>
      </c>
      <c r="AY876" s="197"/>
      <c r="AZ876" s="328"/>
      <c r="BA876" s="453"/>
      <c r="BB876" s="454"/>
      <c r="BC876" s="441" t="str">
        <f t="shared" si="1290"/>
        <v/>
      </c>
      <c r="BD876" s="328"/>
      <c r="BE876" s="197" t="str">
        <f>IF(AND($I876="x",AND(MAX(BA876:BC876)=BA876,BA876&lt;&gt;"")),Data!$BI$2,"")</f>
        <v/>
      </c>
      <c r="BF876" s="197" t="str">
        <f>IF(AND($J876="x",AND(MAX(BA876:BC876)=BB876,BB876&lt;&gt;"")),Data!$BJ$2,"")</f>
        <v/>
      </c>
      <c r="BG876" s="197" t="str">
        <f>IF(AND($K876="x",AND(MAX(BA876:BC876)=BC876,BC876&lt;&gt;"")),Data!$BK$2,"")</f>
        <v/>
      </c>
      <c r="BH876" s="197"/>
      <c r="BI876" s="328"/>
      <c r="BJ876" s="453"/>
      <c r="BK876" s="454"/>
      <c r="BL876" s="441" t="str">
        <f t="shared" si="1291"/>
        <v/>
      </c>
      <c r="BM876" s="328"/>
      <c r="BN876" s="197" t="str">
        <f>IF(AND($I876="x",AND(MAX(BJ876:BL876)=BJ876,BJ876&lt;&gt;"")),Data!$BI$2,"")</f>
        <v/>
      </c>
      <c r="BO876" s="197" t="str">
        <f>IF(AND($J876="x",AND(MAX(BJ876:BL876)=BK876,BK876&lt;&gt;"")),Data!$BJ$2,"")</f>
        <v/>
      </c>
      <c r="BP876" s="197" t="str">
        <f>IF(AND($K876="x",AND(MAX(BJ876:BL876)=BL876,BL876&lt;&gt;"")),Data!$BK$2,"")</f>
        <v/>
      </c>
      <c r="BQ876" s="197"/>
      <c r="BR876" s="328"/>
      <c r="BS876" s="453"/>
      <c r="BT876" s="454"/>
      <c r="BU876" s="441" t="str">
        <f t="shared" si="1292"/>
        <v/>
      </c>
      <c r="BV876" s="328"/>
      <c r="BW876" s="197" t="str">
        <f>IF(AND($I876="x",AND(MAX(BS876:BU876)=BS876,BS876&lt;&gt;"")),Data!$BI$2,"")</f>
        <v/>
      </c>
      <c r="BX876" s="197" t="str">
        <f>IF(AND($J876="x",AND(MAX(BS876:BU876)=BT876,BT876&lt;&gt;"")),Data!$BJ$2,"")</f>
        <v/>
      </c>
      <c r="BY876" s="197" t="str">
        <f>IF(AND($K876="x",AND(MAX(BS876:BU876)=BU876,BU876&lt;&gt;"")),Data!$BK$2,"")</f>
        <v/>
      </c>
      <c r="BZ876" s="197"/>
      <c r="CA876" s="328"/>
      <c r="CB876" s="460" t="str">
        <f t="shared" si="1293"/>
        <v/>
      </c>
      <c r="CC876" s="461" t="str">
        <f t="shared" si="1294"/>
        <v/>
      </c>
      <c r="CD876" s="462" t="str">
        <f t="shared" si="1295"/>
        <v/>
      </c>
      <c r="CE876" s="328"/>
      <c r="CF876" s="197" t="str">
        <f>IF(AND($I876="x",AND(MAX(CB876:CD876)=CB876,CB876&lt;&gt;"")),Data!$BI$2,"")</f>
        <v/>
      </c>
      <c r="CG876" s="197" t="str">
        <f>IF(AND($J876="x",AND(MAX(CB876:CD876)=CC876,CC876&lt;&gt;"")),Data!$BJ$2,"")</f>
        <v/>
      </c>
      <c r="CH876" s="197" t="str">
        <f>IF(AND($K876="x",AND(MAX(CB876:CD876)=CD876,CD876&lt;&gt;"")),Data!$BK$2,"")</f>
        <v/>
      </c>
      <c r="CI876" s="197"/>
      <c r="CJ876" s="197"/>
      <c r="CK876" s="453"/>
      <c r="CL876" s="454"/>
      <c r="CM876" s="441" t="str">
        <f t="shared" si="1296"/>
        <v/>
      </c>
      <c r="CN876" s="328"/>
      <c r="CO876" s="197" t="str">
        <f>IF(AND($I876="x",AND(MAX(CK876:CM876)=CK876,CK876&lt;&gt;"")),Data!$BI$2,"")</f>
        <v/>
      </c>
      <c r="CP876" s="197" t="str">
        <f>IF(AND($J876="x",AND(MAX(CK876:CM876)=CL876,CL876&lt;&gt;"")),Data!$BJ$2,"")</f>
        <v/>
      </c>
      <c r="CQ876" s="197" t="str">
        <f>IF(AND($K876="x",AND(MAX(CK876:CM876)=CM876,CM876&lt;&gt;"")),Data!$BK$2,"")</f>
        <v/>
      </c>
      <c r="CR876" s="197"/>
      <c r="CS876" s="197"/>
      <c r="CT876" s="328"/>
      <c r="CU876" s="259"/>
      <c r="CV876" s="209"/>
      <c r="CW876" s="227"/>
    </row>
    <row r="877" spans="1:101" x14ac:dyDescent="0.2">
      <c r="A877" s="227"/>
      <c r="B877" s="227"/>
      <c r="C877" s="168"/>
      <c r="D877" s="232"/>
      <c r="E877" s="136"/>
      <c r="F877" s="426"/>
      <c r="G877" s="432" t="s">
        <v>51</v>
      </c>
      <c r="H877" s="433"/>
      <c r="I877" s="349" t="str">
        <f t="shared" si="1283"/>
        <v/>
      </c>
      <c r="J877" s="350" t="str">
        <f t="shared" si="1284"/>
        <v/>
      </c>
      <c r="K877" s="351" t="str">
        <f t="shared" si="1285"/>
        <v/>
      </c>
      <c r="L877" s="258"/>
      <c r="M877" s="332"/>
      <c r="N877" s="336"/>
      <c r="O877" s="200"/>
      <c r="P877" s="200"/>
      <c r="Q877" s="445"/>
      <c r="R877" s="446"/>
      <c r="S877" s="447" t="str">
        <f t="shared" si="1286"/>
        <v/>
      </c>
      <c r="T877" s="328"/>
      <c r="U877" s="197" t="str">
        <f>IF(AND($I877="x",AND(MAX(Q877:S877)=Q877,Q877&gt;=0)),Data!$BI$2,"")</f>
        <v/>
      </c>
      <c r="V877" s="197" t="str">
        <f>IF(AND($J877="x",AND(MAX(Q877:S877)=R877,R877&gt;=0)),Data!$BJ$2,"")</f>
        <v/>
      </c>
      <c r="W877" s="197" t="str">
        <f>IF(AND($K877="x",AND(MAX(Q877:S877)=S877,S877&gt;=0)),Data!$BK$2,"")</f>
        <v/>
      </c>
      <c r="X877" s="197"/>
      <c r="Y877" s="328"/>
      <c r="Z877" s="455"/>
      <c r="AA877" s="456"/>
      <c r="AB877" s="447" t="str">
        <f t="shared" si="1287"/>
        <v/>
      </c>
      <c r="AC877" s="328"/>
      <c r="AD877" s="197" t="str">
        <f>IF(AND($I877="x",AND(MAX(Z877:AB877)=Z877,Z877&lt;&gt;"")),Data!$BI$2,"")</f>
        <v/>
      </c>
      <c r="AE877" s="197" t="str">
        <f>IF(AND($J877="x",AND(MAX(Z877:AB877)=AA877,AA877&lt;&gt;"")),Data!$BJ$2,"")</f>
        <v/>
      </c>
      <c r="AF877" s="197" t="str">
        <f>IF(AND($K877="x",AND(MAX(Z877:AB877)=AB877,AB877&lt;&gt;"")),Data!$BK$2,"")</f>
        <v/>
      </c>
      <c r="AG877" s="197"/>
      <c r="AH877" s="328"/>
      <c r="AI877" s="455"/>
      <c r="AJ877" s="456"/>
      <c r="AK877" s="447" t="str">
        <f t="shared" si="1288"/>
        <v/>
      </c>
      <c r="AL877" s="328"/>
      <c r="AM877" s="197" t="str">
        <f>IF(AND($I877="x",AND(MAX(AI877:AK877)=AI877,AI877&lt;&gt;"")),Data!$BI$2,"")</f>
        <v/>
      </c>
      <c r="AN877" s="197" t="str">
        <f>IF(AND($J877="x",AND(MAX(AI877:AK877)=AJ877,AJ877&lt;&gt;"")),Data!$BJ$2,"")</f>
        <v/>
      </c>
      <c r="AO877" s="197" t="str">
        <f>IF(AND($K877="x",AND(MAX(AI877:AK877)=AK877,AK877&lt;&gt;"")),Data!$BK$2,"")</f>
        <v/>
      </c>
      <c r="AP877" s="197"/>
      <c r="AQ877" s="328"/>
      <c r="AR877" s="455"/>
      <c r="AS877" s="456"/>
      <c r="AT877" s="447" t="str">
        <f t="shared" si="1289"/>
        <v/>
      </c>
      <c r="AU877" s="328"/>
      <c r="AV877" s="197" t="str">
        <f>IF(AND($I877="x",AND(MAX(AR877:AT877)=AR877,AR877&lt;&gt;"")),Data!$BI$2,"")</f>
        <v/>
      </c>
      <c r="AW877" s="197" t="str">
        <f>IF(AND($J877="x",AND(MAX(AR877:AT877)=AS877,AS877&lt;&gt;"")),Data!$BJ$2,"")</f>
        <v/>
      </c>
      <c r="AX877" s="197" t="str">
        <f>IF(AND($K877="x",AND(MAX(AR877:AT877)=AT877,AT877&lt;&gt;"")),Data!$BK$2,"")</f>
        <v/>
      </c>
      <c r="AY877" s="197"/>
      <c r="AZ877" s="328"/>
      <c r="BA877" s="455"/>
      <c r="BB877" s="456"/>
      <c r="BC877" s="447" t="str">
        <f t="shared" si="1290"/>
        <v/>
      </c>
      <c r="BD877" s="328"/>
      <c r="BE877" s="197" t="str">
        <f>IF(AND($I877="x",AND(MAX(BA877:BC877)=BA877,BA877&lt;&gt;"")),Data!$BI$2,"")</f>
        <v/>
      </c>
      <c r="BF877" s="197" t="str">
        <f>IF(AND($J877="x",AND(MAX(BA877:BC877)=BB877,BB877&lt;&gt;"")),Data!$BJ$2,"")</f>
        <v/>
      </c>
      <c r="BG877" s="197" t="str">
        <f>IF(AND($K877="x",AND(MAX(BA877:BC877)=BC877,BC877&lt;&gt;"")),Data!$BK$2,"")</f>
        <v/>
      </c>
      <c r="BH877" s="197"/>
      <c r="BI877" s="328"/>
      <c r="BJ877" s="455"/>
      <c r="BK877" s="456"/>
      <c r="BL877" s="447" t="str">
        <f t="shared" si="1291"/>
        <v/>
      </c>
      <c r="BM877" s="328"/>
      <c r="BN877" s="197" t="str">
        <f>IF(AND($I877="x",AND(MAX(BJ877:BL877)=BJ877,BJ877&lt;&gt;"")),Data!$BI$2,"")</f>
        <v/>
      </c>
      <c r="BO877" s="197" t="str">
        <f>IF(AND($J877="x",AND(MAX(BJ877:BL877)=BK877,BK877&lt;&gt;"")),Data!$BJ$2,"")</f>
        <v/>
      </c>
      <c r="BP877" s="197" t="str">
        <f>IF(AND($K877="x",AND(MAX(BJ877:BL877)=BL877,BL877&lt;&gt;"")),Data!$BK$2,"")</f>
        <v/>
      </c>
      <c r="BQ877" s="197"/>
      <c r="BR877" s="328"/>
      <c r="BS877" s="455"/>
      <c r="BT877" s="456"/>
      <c r="BU877" s="447" t="str">
        <f t="shared" si="1292"/>
        <v/>
      </c>
      <c r="BV877" s="328"/>
      <c r="BW877" s="197" t="str">
        <f>IF(AND($I877="x",AND(MAX(BS877:BU877)=BS877,BS877&lt;&gt;"")),Data!$BI$2,"")</f>
        <v/>
      </c>
      <c r="BX877" s="197" t="str">
        <f>IF(AND($J877="x",AND(MAX(BS877:BU877)=BT877,BT877&lt;&gt;"")),Data!$BJ$2,"")</f>
        <v/>
      </c>
      <c r="BY877" s="197" t="str">
        <f>IF(AND($K877="x",AND(MAX(BS877:BU877)=BU877,BU877&lt;&gt;"")),Data!$BK$2,"")</f>
        <v/>
      </c>
      <c r="BZ877" s="197"/>
      <c r="CA877" s="328"/>
      <c r="CB877" s="463" t="str">
        <f t="shared" si="1293"/>
        <v/>
      </c>
      <c r="CC877" s="464" t="str">
        <f t="shared" si="1294"/>
        <v/>
      </c>
      <c r="CD877" s="465" t="str">
        <f t="shared" si="1295"/>
        <v/>
      </c>
      <c r="CE877" s="328"/>
      <c r="CF877" s="197" t="str">
        <f>IF(AND($I877="x",AND(MAX(CB877:CD877)=CB877,CB877&lt;&gt;"")),Data!$BI$2,"")</f>
        <v/>
      </c>
      <c r="CG877" s="197" t="str">
        <f>IF(AND($J877="x",AND(MAX(CB877:CD877)=CC877,CC877&lt;&gt;"")),Data!$BJ$2,"")</f>
        <v/>
      </c>
      <c r="CH877" s="197" t="str">
        <f>IF(AND($K877="x",AND(MAX(CB877:CD877)=CD877,CD877&lt;&gt;"")),Data!$BK$2,"")</f>
        <v/>
      </c>
      <c r="CI877" s="197"/>
      <c r="CJ877" s="197"/>
      <c r="CK877" s="455"/>
      <c r="CL877" s="456"/>
      <c r="CM877" s="447" t="str">
        <f t="shared" si="1296"/>
        <v/>
      </c>
      <c r="CN877" s="328"/>
      <c r="CO877" s="197" t="str">
        <f>IF(AND($I877="x",AND(MAX(CK877:CM877)=CK877,CK877&lt;&gt;"")),Data!$BI$2,"")</f>
        <v/>
      </c>
      <c r="CP877" s="197" t="str">
        <f>IF(AND($J877="x",AND(MAX(CK877:CM877)=CL877,CL877&lt;&gt;"")),Data!$BJ$2,"")</f>
        <v/>
      </c>
      <c r="CQ877" s="197" t="str">
        <f>IF(AND($K877="x",AND(MAX(CK877:CM877)=CM877,CM877&lt;&gt;"")),Data!$BK$2,"")</f>
        <v/>
      </c>
      <c r="CR877" s="197"/>
      <c r="CS877" s="197"/>
      <c r="CT877" s="328"/>
      <c r="CU877" s="259"/>
      <c r="CV877" s="209"/>
      <c r="CW877" s="227"/>
    </row>
    <row r="878" spans="1:101" x14ac:dyDescent="0.2">
      <c r="A878" s="227"/>
      <c r="B878" s="227"/>
      <c r="C878" s="168"/>
      <c r="D878" s="233"/>
      <c r="E878" s="199"/>
      <c r="F878" s="352" t="str">
        <f>IF(SUM(F866:F877)=0,"",SUM(F866:F877))</f>
        <v/>
      </c>
      <c r="G878" s="327" t="s">
        <v>51</v>
      </c>
      <c r="H878" s="353" t="str">
        <f>IF(SUM(H866:H877)=0,"",SUM(H866:H877))</f>
        <v/>
      </c>
      <c r="I878" s="354" t="str">
        <f>IF(COUNTIF(I866:I877,"=x")=0,"",COUNTIF(I866:I877,"=x"))</f>
        <v/>
      </c>
      <c r="J878" s="355" t="str">
        <f>IF(COUNTIF(J866:J877,"=x")=0,"",COUNTIF(J866:J877,"=x"))</f>
        <v/>
      </c>
      <c r="K878" s="356" t="str">
        <f>IF(COUNTIF(K866:K877,"=x")=0,"",COUNTIF(K866:K877,"=x"))</f>
        <v/>
      </c>
      <c r="L878" s="258"/>
      <c r="M878" s="332"/>
      <c r="N878" s="336"/>
      <c r="O878" s="200"/>
      <c r="P878" s="326"/>
      <c r="Q878" s="422">
        <f>SUM(U866:U877)</f>
        <v>0</v>
      </c>
      <c r="R878" s="422">
        <f t="shared" ref="R878:S878" si="1297">SUM(V866:V877)</f>
        <v>0</v>
      </c>
      <c r="S878" s="422">
        <f t="shared" si="1297"/>
        <v>0</v>
      </c>
      <c r="T878" s="325"/>
      <c r="U878" s="197">
        <f>SUM(U866:U877)</f>
        <v>0</v>
      </c>
      <c r="V878" s="197">
        <f t="shared" ref="V878:W878" si="1298">SUM(V866:V877)</f>
        <v>0</v>
      </c>
      <c r="W878" s="197">
        <f t="shared" si="1298"/>
        <v>0</v>
      </c>
      <c r="X878" s="197"/>
      <c r="Y878" s="324"/>
      <c r="Z878" s="422">
        <f>SUM(AD866:AD877)</f>
        <v>0</v>
      </c>
      <c r="AA878" s="422">
        <f t="shared" ref="AA878:AB878" si="1299">SUM(AE866:AE877)</f>
        <v>0</v>
      </c>
      <c r="AB878" s="422">
        <f t="shared" si="1299"/>
        <v>0</v>
      </c>
      <c r="AC878" s="325"/>
      <c r="AD878" s="197">
        <f>SUM(AD866:AD877)</f>
        <v>0</v>
      </c>
      <c r="AE878" s="197">
        <f t="shared" ref="AE878:AF878" si="1300">SUM(AE866:AE877)</f>
        <v>0</v>
      </c>
      <c r="AF878" s="197">
        <f t="shared" si="1300"/>
        <v>0</v>
      </c>
      <c r="AG878" s="197"/>
      <c r="AH878" s="324"/>
      <c r="AI878" s="422">
        <f>SUM(AM866:AM877)</f>
        <v>0</v>
      </c>
      <c r="AJ878" s="422">
        <f t="shared" ref="AJ878:AK878" si="1301">SUM(AN866:AN877)</f>
        <v>0</v>
      </c>
      <c r="AK878" s="422">
        <f t="shared" si="1301"/>
        <v>0</v>
      </c>
      <c r="AL878" s="325"/>
      <c r="AM878" s="197">
        <f>SUM(AM866:AM877)</f>
        <v>0</v>
      </c>
      <c r="AN878" s="197">
        <f t="shared" ref="AN878:AO878" si="1302">SUM(AN866:AN877)</f>
        <v>0</v>
      </c>
      <c r="AO878" s="197">
        <f t="shared" si="1302"/>
        <v>0</v>
      </c>
      <c r="AP878" s="197"/>
      <c r="AQ878" s="324"/>
      <c r="AR878" s="422">
        <f>SUM(AV866:AV877)</f>
        <v>0</v>
      </c>
      <c r="AS878" s="422">
        <f t="shared" ref="AS878:AT878" si="1303">SUM(AW866:AW877)</f>
        <v>0</v>
      </c>
      <c r="AT878" s="422">
        <f t="shared" si="1303"/>
        <v>0</v>
      </c>
      <c r="AU878" s="325"/>
      <c r="AV878" s="197">
        <f>SUM(AV866:AV877)</f>
        <v>0</v>
      </c>
      <c r="AW878" s="197">
        <f t="shared" ref="AW878:AX878" si="1304">SUM(AW866:AW877)</f>
        <v>0</v>
      </c>
      <c r="AX878" s="197">
        <f t="shared" si="1304"/>
        <v>0</v>
      </c>
      <c r="AY878" s="197"/>
      <c r="AZ878" s="324"/>
      <c r="BA878" s="422">
        <f>SUM(BE866:BE877)</f>
        <v>0</v>
      </c>
      <c r="BB878" s="422">
        <f t="shared" ref="BB878:BC878" si="1305">SUM(BF866:BF877)</f>
        <v>0</v>
      </c>
      <c r="BC878" s="422">
        <f t="shared" si="1305"/>
        <v>0</v>
      </c>
      <c r="BD878" s="325"/>
      <c r="BE878" s="197">
        <f>SUM(BE866:BE877)</f>
        <v>0</v>
      </c>
      <c r="BF878" s="197">
        <f t="shared" ref="BF878:BG878" si="1306">SUM(BF866:BF877)</f>
        <v>0</v>
      </c>
      <c r="BG878" s="197">
        <f t="shared" si="1306"/>
        <v>0</v>
      </c>
      <c r="BH878" s="197"/>
      <c r="BI878" s="324"/>
      <c r="BJ878" s="422">
        <f>SUM(BN866:BN877)</f>
        <v>0</v>
      </c>
      <c r="BK878" s="422">
        <f t="shared" ref="BK878" si="1307">SUM(BO866:BO877)</f>
        <v>0</v>
      </c>
      <c r="BL878" s="422">
        <f t="shared" ref="BL878" si="1308">SUM(BP866:BP877)</f>
        <v>0</v>
      </c>
      <c r="BM878" s="325"/>
      <c r="BN878" s="197">
        <f>SUM(BN866:BN877)</f>
        <v>0</v>
      </c>
      <c r="BO878" s="197">
        <f t="shared" ref="BO878:BP878" si="1309">SUM(BO866:BO877)</f>
        <v>0</v>
      </c>
      <c r="BP878" s="197">
        <f t="shared" si="1309"/>
        <v>0</v>
      </c>
      <c r="BQ878" s="197"/>
      <c r="BR878" s="324"/>
      <c r="BS878" s="422">
        <f>SUM(BW866:BW877)</f>
        <v>0</v>
      </c>
      <c r="BT878" s="422">
        <f t="shared" ref="BT878:BU878" si="1310">SUM(BX866:BX877)</f>
        <v>0</v>
      </c>
      <c r="BU878" s="422">
        <f t="shared" si="1310"/>
        <v>0</v>
      </c>
      <c r="BV878" s="325"/>
      <c r="BW878" s="197">
        <f>SUM(BW866:BW877)</f>
        <v>0</v>
      </c>
      <c r="BX878" s="197">
        <f t="shared" ref="BX878:BY878" si="1311">SUM(BX866:BX877)</f>
        <v>0</v>
      </c>
      <c r="BY878" s="197">
        <f t="shared" si="1311"/>
        <v>0</v>
      </c>
      <c r="BZ878" s="197"/>
      <c r="CA878" s="326"/>
      <c r="CB878" s="422">
        <f>SUM(CF866:CF877)</f>
        <v>0</v>
      </c>
      <c r="CC878" s="422">
        <f t="shared" ref="CC878:CD878" si="1312">SUM(CG866:CG877)</f>
        <v>0</v>
      </c>
      <c r="CD878" s="422">
        <f t="shared" si="1312"/>
        <v>0</v>
      </c>
      <c r="CE878" s="325"/>
      <c r="CF878" s="197">
        <f>SUM(CF866:CF877)</f>
        <v>0</v>
      </c>
      <c r="CG878" s="197">
        <f t="shared" ref="CG878:CH878" si="1313">SUM(CG866:CG877)</f>
        <v>0</v>
      </c>
      <c r="CH878" s="197">
        <f t="shared" si="1313"/>
        <v>0</v>
      </c>
      <c r="CI878" s="197"/>
      <c r="CJ878" s="197"/>
      <c r="CK878" s="422">
        <f>SUM(CO866:CO877)</f>
        <v>0</v>
      </c>
      <c r="CL878" s="422">
        <f t="shared" ref="CL878:CM878" si="1314">SUM(CP866:CP877)</f>
        <v>0</v>
      </c>
      <c r="CM878" s="422">
        <f t="shared" si="1314"/>
        <v>0</v>
      </c>
      <c r="CN878" s="325"/>
      <c r="CO878" s="197">
        <f>SUM(CO866:CO877)</f>
        <v>0</v>
      </c>
      <c r="CP878" s="197">
        <f t="shared" ref="CP878:CQ878" si="1315">SUM(CP866:CP877)</f>
        <v>0</v>
      </c>
      <c r="CQ878" s="197">
        <f t="shared" si="1315"/>
        <v>0</v>
      </c>
      <c r="CR878" s="197"/>
      <c r="CS878" s="197"/>
      <c r="CT878" s="197"/>
      <c r="CU878" s="259"/>
      <c r="CV878" s="209"/>
      <c r="CW878" s="228"/>
    </row>
    <row r="879" spans="1:101" x14ac:dyDescent="0.2">
      <c r="A879" s="227"/>
      <c r="B879" s="227"/>
      <c r="C879" s="168"/>
      <c r="D879" s="249"/>
      <c r="E879" s="242"/>
      <c r="F879" s="243"/>
      <c r="G879" s="242"/>
      <c r="H879" s="242"/>
      <c r="I879" s="242"/>
      <c r="J879" s="242"/>
      <c r="K879" s="242"/>
      <c r="L879" s="252"/>
      <c r="M879" s="260"/>
      <c r="N879" s="337"/>
      <c r="O879" s="333"/>
      <c r="P879" s="244"/>
      <c r="Q879" s="245"/>
      <c r="R879" s="245"/>
      <c r="S879" s="245"/>
      <c r="T879" s="246"/>
      <c r="U879" s="247"/>
      <c r="V879" s="247"/>
      <c r="W879" s="247"/>
      <c r="X879" s="247"/>
      <c r="Y879" s="244"/>
      <c r="Z879" s="245"/>
      <c r="AA879" s="245"/>
      <c r="AB879" s="245"/>
      <c r="AC879" s="246"/>
      <c r="AD879" s="247"/>
      <c r="AE879" s="247"/>
      <c r="AF879" s="247"/>
      <c r="AG879" s="247"/>
      <c r="AH879" s="244"/>
      <c r="AI879" s="245"/>
      <c r="AJ879" s="245"/>
      <c r="AK879" s="245"/>
      <c r="AL879" s="246"/>
      <c r="AM879" s="247"/>
      <c r="AN879" s="247"/>
      <c r="AO879" s="247"/>
      <c r="AP879" s="247"/>
      <c r="AQ879" s="244"/>
      <c r="AR879" s="245"/>
      <c r="AS879" s="245"/>
      <c r="AT879" s="245"/>
      <c r="AU879" s="246"/>
      <c r="AV879" s="247"/>
      <c r="AW879" s="247"/>
      <c r="AX879" s="247"/>
      <c r="AY879" s="247"/>
      <c r="AZ879" s="244"/>
      <c r="BA879" s="245"/>
      <c r="BB879" s="245"/>
      <c r="BC879" s="245"/>
      <c r="BD879" s="246"/>
      <c r="BE879" s="247"/>
      <c r="BF879" s="247"/>
      <c r="BG879" s="247"/>
      <c r="BH879" s="247"/>
      <c r="BI879" s="244"/>
      <c r="BJ879" s="244"/>
      <c r="BK879" s="244"/>
      <c r="BL879" s="244"/>
      <c r="BM879" s="244"/>
      <c r="BN879" s="247"/>
      <c r="BO879" s="247"/>
      <c r="BP879" s="247"/>
      <c r="BQ879" s="247"/>
      <c r="BR879" s="244"/>
      <c r="BS879" s="244"/>
      <c r="BT879" s="244"/>
      <c r="BU879" s="244"/>
      <c r="BV879" s="244"/>
      <c r="BW879" s="247"/>
      <c r="BX879" s="247"/>
      <c r="BY879" s="247"/>
      <c r="BZ879" s="247"/>
      <c r="CA879" s="244"/>
      <c r="CB879" s="244"/>
      <c r="CC879" s="244"/>
      <c r="CD879" s="244"/>
      <c r="CE879" s="244"/>
      <c r="CF879" s="247"/>
      <c r="CG879" s="247"/>
      <c r="CH879" s="247"/>
      <c r="CI879" s="247"/>
      <c r="CJ879" s="248"/>
      <c r="CK879" s="248"/>
      <c r="CL879" s="248"/>
      <c r="CM879" s="248"/>
      <c r="CN879" s="248"/>
      <c r="CO879" s="247"/>
      <c r="CP879" s="247"/>
      <c r="CQ879" s="247"/>
      <c r="CR879" s="247"/>
      <c r="CS879" s="248"/>
      <c r="CT879" s="242"/>
      <c r="CU879" s="253"/>
      <c r="CV879" s="209"/>
      <c r="CW879" s="228"/>
    </row>
    <row r="880" spans="1:101" x14ac:dyDescent="0.2">
      <c r="A880" s="219"/>
      <c r="B880" s="219"/>
      <c r="C880" s="175"/>
      <c r="D880" s="176"/>
      <c r="E880" s="210"/>
      <c r="F880" s="211"/>
      <c r="G880" s="210"/>
      <c r="H880" s="210"/>
      <c r="I880" s="210"/>
      <c r="J880" s="210"/>
      <c r="K880" s="210"/>
      <c r="L880" s="212"/>
      <c r="M880" s="213"/>
      <c r="N880" s="213"/>
      <c r="O880" s="213"/>
      <c r="P880" s="213"/>
      <c r="Q880" s="210"/>
      <c r="R880" s="210"/>
      <c r="S880" s="210"/>
      <c r="T880" s="214"/>
      <c r="U880" s="215"/>
      <c r="V880" s="215"/>
      <c r="W880" s="215"/>
      <c r="X880" s="215"/>
      <c r="Y880" s="213"/>
      <c r="Z880" s="210"/>
      <c r="AA880" s="210"/>
      <c r="AB880" s="210"/>
      <c r="AC880" s="214"/>
      <c r="AD880" s="215"/>
      <c r="AE880" s="215"/>
      <c r="AF880" s="215"/>
      <c r="AG880" s="215"/>
      <c r="AH880" s="213"/>
      <c r="AI880" s="210"/>
      <c r="AJ880" s="210"/>
      <c r="AK880" s="210"/>
      <c r="AL880" s="214"/>
      <c r="AM880" s="215"/>
      <c r="AN880" s="215"/>
      <c r="AO880" s="215"/>
      <c r="AP880" s="215"/>
      <c r="AQ880" s="213"/>
      <c r="AR880" s="210"/>
      <c r="AS880" s="210"/>
      <c r="AT880" s="210"/>
      <c r="AU880" s="214"/>
      <c r="AV880" s="215"/>
      <c r="AW880" s="215"/>
      <c r="AX880" s="215"/>
      <c r="AY880" s="215"/>
      <c r="AZ880" s="213"/>
      <c r="BA880" s="210"/>
      <c r="BB880" s="210"/>
      <c r="BC880" s="210"/>
      <c r="BD880" s="214"/>
      <c r="BE880" s="215"/>
      <c r="BF880" s="215"/>
      <c r="BG880" s="215"/>
      <c r="BH880" s="215"/>
      <c r="BI880" s="213"/>
      <c r="BJ880" s="210"/>
      <c r="BK880" s="210"/>
      <c r="BL880" s="210"/>
      <c r="BM880" s="214"/>
      <c r="BN880" s="215"/>
      <c r="BO880" s="215"/>
      <c r="BP880" s="215"/>
      <c r="BQ880" s="215"/>
      <c r="BR880" s="177"/>
      <c r="BS880" s="210"/>
      <c r="BT880" s="210"/>
      <c r="BU880" s="210"/>
      <c r="BV880" s="213"/>
      <c r="BW880" s="215"/>
      <c r="BX880" s="215"/>
      <c r="BY880" s="215"/>
      <c r="BZ880" s="215"/>
      <c r="CA880" s="210"/>
      <c r="CB880" s="216"/>
      <c r="CC880" s="216"/>
      <c r="CD880" s="216"/>
      <c r="CE880" s="216"/>
      <c r="CF880" s="215"/>
      <c r="CG880" s="215"/>
      <c r="CH880" s="215"/>
      <c r="CI880" s="215"/>
      <c r="CJ880" s="210"/>
      <c r="CK880" s="210"/>
      <c r="CL880" s="210"/>
      <c r="CM880" s="210"/>
      <c r="CN880" s="210"/>
      <c r="CO880" s="215"/>
      <c r="CP880" s="215"/>
      <c r="CQ880" s="215"/>
      <c r="CR880" s="215"/>
      <c r="CS880" s="210"/>
      <c r="CT880" s="210"/>
      <c r="CU880" s="210"/>
      <c r="CV880" s="217"/>
      <c r="CW880" s="218"/>
    </row>
    <row r="881" spans="1:101" ht="14.25" thickTop="1" thickBot="1" x14ac:dyDescent="0.25">
      <c r="A881" s="218"/>
      <c r="B881" s="218"/>
      <c r="C881" s="218"/>
      <c r="D881" s="218"/>
      <c r="E881" s="218"/>
      <c r="F881" s="218"/>
      <c r="G881" s="218"/>
      <c r="H881" s="218"/>
      <c r="I881" s="218"/>
      <c r="J881" s="218"/>
      <c r="K881" s="218"/>
      <c r="L881" s="218"/>
      <c r="M881" s="218"/>
      <c r="N881" s="218"/>
      <c r="O881" s="218"/>
      <c r="P881" s="218"/>
      <c r="Q881" s="218"/>
      <c r="R881" s="218"/>
      <c r="S881" s="218"/>
      <c r="T881" s="218"/>
      <c r="U881" s="218"/>
      <c r="V881" s="218"/>
      <c r="W881" s="218"/>
      <c r="X881" s="218"/>
      <c r="Y881" s="218"/>
      <c r="Z881" s="218"/>
      <c r="AA881" s="218"/>
      <c r="AB881" s="218"/>
      <c r="AC881" s="218"/>
      <c r="AD881" s="218"/>
      <c r="AE881" s="218"/>
      <c r="AF881" s="218"/>
      <c r="AG881" s="218"/>
      <c r="AH881" s="218"/>
      <c r="AI881" s="218"/>
      <c r="AJ881" s="218"/>
      <c r="AK881" s="218"/>
      <c r="AL881" s="218"/>
      <c r="AM881" s="218"/>
      <c r="AN881" s="218"/>
      <c r="AO881" s="218"/>
      <c r="AP881" s="218"/>
      <c r="AQ881" s="218"/>
      <c r="AR881" s="218"/>
      <c r="AS881" s="218"/>
      <c r="AT881" s="218"/>
      <c r="AU881" s="218"/>
      <c r="AV881" s="218"/>
      <c r="AW881" s="218"/>
      <c r="AX881" s="218"/>
      <c r="AY881" s="218"/>
      <c r="AZ881" s="218"/>
      <c r="BA881" s="218"/>
      <c r="BB881" s="218"/>
      <c r="BC881" s="218"/>
      <c r="BD881" s="218"/>
      <c r="BE881" s="218"/>
      <c r="BF881" s="218"/>
      <c r="BG881" s="218"/>
      <c r="BH881" s="218"/>
      <c r="BI881" s="218"/>
      <c r="BJ881" s="218"/>
      <c r="BK881" s="218"/>
      <c r="BL881" s="218"/>
      <c r="BM881" s="218"/>
      <c r="BN881" s="218"/>
      <c r="BO881" s="218"/>
      <c r="BP881" s="218"/>
      <c r="BQ881" s="218"/>
      <c r="BR881" s="218"/>
      <c r="BS881" s="218"/>
      <c r="BT881" s="218"/>
      <c r="BU881" s="218"/>
      <c r="BV881" s="218"/>
      <c r="BW881" s="218"/>
      <c r="BX881" s="218"/>
      <c r="BY881" s="218"/>
      <c r="BZ881" s="218"/>
      <c r="CA881" s="218"/>
      <c r="CB881" s="392"/>
      <c r="CC881" s="392"/>
      <c r="CD881" s="392"/>
      <c r="CE881" s="392"/>
      <c r="CF881" s="218"/>
      <c r="CG881" s="218"/>
      <c r="CH881" s="218"/>
      <c r="CI881" s="218"/>
      <c r="CJ881" s="218"/>
      <c r="CK881" s="218"/>
      <c r="CL881" s="218"/>
      <c r="CM881" s="218"/>
      <c r="CN881" s="218"/>
      <c r="CO881" s="218"/>
      <c r="CP881" s="218"/>
      <c r="CQ881" s="218"/>
      <c r="CR881" s="218"/>
      <c r="CS881" s="218"/>
      <c r="CT881" s="218"/>
      <c r="CU881" s="218"/>
      <c r="CV881" s="218"/>
      <c r="CW881" s="218"/>
    </row>
    <row r="882" spans="1:101" ht="21" thickTop="1" x14ac:dyDescent="0.3">
      <c r="A882" s="219"/>
      <c r="B882" s="219"/>
      <c r="C882" s="157"/>
      <c r="D882" s="158"/>
      <c r="E882" s="731" t="s">
        <v>44</v>
      </c>
      <c r="F882" s="229"/>
      <c r="G882" s="229"/>
      <c r="H882" s="229"/>
      <c r="I882" s="877" t="e" vm="1">
        <v>#VALUE!</v>
      </c>
      <c r="J882" s="877"/>
      <c r="K882" s="877"/>
      <c r="L882" s="877"/>
      <c r="M882" s="159"/>
      <c r="N882" s="159"/>
      <c r="O882" s="159"/>
      <c r="P882" s="160"/>
      <c r="Q882" s="159"/>
      <c r="R882" s="159"/>
      <c r="S882" s="159"/>
      <c r="T882" s="161"/>
      <c r="U882" s="162"/>
      <c r="V882" s="162"/>
      <c r="W882" s="162"/>
      <c r="X882" s="162"/>
      <c r="Y882" s="160"/>
      <c r="Z882" s="159"/>
      <c r="AA882" s="159"/>
      <c r="AB882" s="159"/>
      <c r="AC882" s="161"/>
      <c r="AD882" s="162"/>
      <c r="AE882" s="162"/>
      <c r="AF882" s="162"/>
      <c r="AG882" s="162"/>
      <c r="AH882" s="160"/>
      <c r="AI882" s="159"/>
      <c r="AJ882" s="201"/>
      <c r="AK882" s="201"/>
      <c r="AL882" s="164"/>
      <c r="AM882" s="162"/>
      <c r="AN882" s="162"/>
      <c r="AO882" s="162"/>
      <c r="AP882" s="162"/>
      <c r="AQ882" s="202"/>
      <c r="AR882" s="203"/>
      <c r="AS882" s="165"/>
      <c r="AT882" s="166"/>
      <c r="AU882" s="164"/>
      <c r="AV882" s="162"/>
      <c r="AW882" s="162"/>
      <c r="AX882" s="162"/>
      <c r="AY882" s="162"/>
      <c r="AZ882" s="202"/>
      <c r="BA882" s="203"/>
      <c r="BB882" s="166"/>
      <c r="BC882" s="201"/>
      <c r="BD882" s="204"/>
      <c r="BE882" s="162"/>
      <c r="BF882" s="162"/>
      <c r="BG882" s="162"/>
      <c r="BH882" s="162"/>
      <c r="BI882" s="205"/>
      <c r="BJ882" s="201"/>
      <c r="BK882" s="201"/>
      <c r="BL882" s="201"/>
      <c r="BM882" s="204"/>
      <c r="BN882" s="162"/>
      <c r="BO882" s="162"/>
      <c r="BP882" s="162"/>
      <c r="BQ882" s="162"/>
      <c r="BR882" s="167"/>
      <c r="BS882" s="201"/>
      <c r="BT882" s="201"/>
      <c r="BU882" s="201"/>
      <c r="BV882" s="205"/>
      <c r="BW882" s="162"/>
      <c r="BX882" s="162"/>
      <c r="BY882" s="162"/>
      <c r="BZ882" s="162"/>
      <c r="CA882" s="201"/>
      <c r="CB882" s="393"/>
      <c r="CC882" s="393"/>
      <c r="CD882" s="393"/>
      <c r="CE882" s="393"/>
      <c r="CF882" s="162"/>
      <c r="CG882" s="162"/>
      <c r="CH882" s="162"/>
      <c r="CI882" s="162"/>
      <c r="CJ882" s="163"/>
      <c r="CK882" s="163"/>
      <c r="CL882" s="163"/>
      <c r="CM882" s="163"/>
      <c r="CN882" s="163"/>
      <c r="CO882" s="162"/>
      <c r="CP882" s="162"/>
      <c r="CQ882" s="162"/>
      <c r="CR882" s="162"/>
      <c r="CS882" s="163"/>
      <c r="CT882" s="358"/>
      <c r="CU882" s="201"/>
      <c r="CV882" s="206"/>
      <c r="CW882" s="218"/>
    </row>
    <row r="883" spans="1:101" ht="15.75" thickBot="1" x14ac:dyDescent="0.25">
      <c r="A883" s="219"/>
      <c r="B883" s="219"/>
      <c r="C883" s="168"/>
      <c r="D883" s="785"/>
      <c r="E883" s="869" t="s">
        <v>45</v>
      </c>
      <c r="F883" s="363"/>
      <c r="G883" s="363"/>
      <c r="H883" s="363"/>
      <c r="I883" s="878"/>
      <c r="J883" s="878"/>
      <c r="K883" s="878"/>
      <c r="L883" s="878"/>
      <c r="M883" s="363"/>
      <c r="N883" s="363"/>
      <c r="O883" s="363"/>
      <c r="P883" s="363"/>
      <c r="Q883" s="363"/>
      <c r="R883" s="363"/>
      <c r="S883" s="363"/>
      <c r="T883" s="363"/>
      <c r="U883" s="363"/>
      <c r="V883" s="363"/>
      <c r="W883" s="363"/>
      <c r="X883" s="363"/>
      <c r="Y883" s="363"/>
      <c r="Z883" s="363"/>
      <c r="AA883" s="363"/>
      <c r="AB883" s="363"/>
      <c r="AC883" s="363"/>
      <c r="AD883" s="363"/>
      <c r="AE883" s="363"/>
      <c r="AF883" s="363"/>
      <c r="AG883" s="363"/>
      <c r="AH883" s="363"/>
      <c r="AI883" s="363"/>
      <c r="AJ883" s="363"/>
      <c r="AK883" s="363"/>
      <c r="AL883" s="363"/>
      <c r="AM883" s="363"/>
      <c r="AN883" s="363"/>
      <c r="AO883" s="363"/>
      <c r="AP883" s="363"/>
      <c r="AQ883" s="363"/>
      <c r="AR883" s="363"/>
      <c r="AS883" s="363"/>
      <c r="AT883" s="363"/>
      <c r="AU883" s="363"/>
      <c r="AV883" s="363"/>
      <c r="AW883" s="363"/>
      <c r="AX883" s="363"/>
      <c r="AY883" s="363"/>
      <c r="AZ883" s="363"/>
      <c r="BA883" s="363"/>
      <c r="BB883" s="363"/>
      <c r="BC883" s="363"/>
      <c r="BD883" s="363"/>
      <c r="BE883" s="363"/>
      <c r="BF883" s="363"/>
      <c r="BG883" s="363"/>
      <c r="BH883" s="363"/>
      <c r="BI883" s="363"/>
      <c r="BJ883" s="363"/>
      <c r="BK883" s="363"/>
      <c r="BL883" s="363"/>
      <c r="BM883" s="363"/>
      <c r="BN883" s="363"/>
      <c r="BO883" s="363"/>
      <c r="BP883" s="363"/>
      <c r="BQ883" s="363"/>
      <c r="BR883" s="363"/>
      <c r="BS883" s="363"/>
      <c r="BT883" s="363"/>
      <c r="BU883" s="363"/>
      <c r="BV883" s="363"/>
      <c r="BW883" s="363"/>
      <c r="BX883" s="363"/>
      <c r="BY883" s="363"/>
      <c r="BZ883" s="363"/>
      <c r="CA883" s="363"/>
      <c r="CB883" s="394"/>
      <c r="CC883" s="394"/>
      <c r="CD883" s="394"/>
      <c r="CE883" s="394"/>
      <c r="CF883" s="363"/>
      <c r="CG883" s="363"/>
      <c r="CH883" s="363"/>
      <c r="CI883" s="363"/>
      <c r="CJ883" s="363"/>
      <c r="CK883" s="363"/>
      <c r="CL883" s="363"/>
      <c r="CM883" s="363"/>
      <c r="CN883" s="323"/>
      <c r="CO883" s="363"/>
      <c r="CP883" s="363"/>
      <c r="CQ883" s="363"/>
      <c r="CR883" s="363"/>
      <c r="CS883" s="323"/>
      <c r="CT883" s="155"/>
      <c r="CU883" s="269"/>
      <c r="CV883" s="209"/>
      <c r="CW883" s="218"/>
    </row>
    <row r="884" spans="1:101" ht="18.75" thickTop="1" x14ac:dyDescent="0.2">
      <c r="A884" s="219"/>
      <c r="B884" s="219"/>
      <c r="C884" s="174"/>
      <c r="D884" s="778"/>
      <c r="E884" s="777"/>
      <c r="F884" s="235"/>
      <c r="G884" s="234"/>
      <c r="H884" s="234"/>
      <c r="I884" s="875">
        <f>WEEKNUM(E885)</f>
        <v>21</v>
      </c>
      <c r="J884" s="875"/>
      <c r="K884" s="875"/>
      <c r="L884" s="250"/>
      <c r="M884" s="261"/>
      <c r="N884" s="205"/>
      <c r="O884" s="236"/>
      <c r="P884" s="236"/>
      <c r="Q884" s="675" t="str">
        <f>IF($F888="","",SUM(Q900:S900)-S886)</f>
        <v/>
      </c>
      <c r="R884" s="675"/>
      <c r="S884" s="675"/>
      <c r="T884" s="237"/>
      <c r="U884" s="238"/>
      <c r="V884" s="238"/>
      <c r="W884" s="238"/>
      <c r="X884" s="238"/>
      <c r="Y884" s="236"/>
      <c r="Z884" s="675" t="str">
        <f>IF($F888="","",SUM(Z900:AB900)-AB886)</f>
        <v/>
      </c>
      <c r="AA884" s="675"/>
      <c r="AB884" s="675"/>
      <c r="AC884" s="237"/>
      <c r="AD884" s="238"/>
      <c r="AE884" s="238"/>
      <c r="AF884" s="238"/>
      <c r="AG884" s="238"/>
      <c r="AH884" s="236"/>
      <c r="AI884" s="675" t="str">
        <f>IF($F888="","",SUM(AI900:AK900)-AK886)</f>
        <v/>
      </c>
      <c r="AJ884" s="675"/>
      <c r="AK884" s="675"/>
      <c r="AL884" s="237"/>
      <c r="AM884" s="238"/>
      <c r="AN884" s="238"/>
      <c r="AO884" s="238"/>
      <c r="AP884" s="238"/>
      <c r="AQ884" s="236"/>
      <c r="AR884" s="675" t="str">
        <f>IF($F888="","",SUM(AR900:AT900)-AT886)</f>
        <v/>
      </c>
      <c r="AS884" s="675"/>
      <c r="AT884" s="675"/>
      <c r="AU884" s="239"/>
      <c r="AV884" s="238"/>
      <c r="AW884" s="238"/>
      <c r="AX884" s="238"/>
      <c r="AY884" s="238"/>
      <c r="AZ884" s="240"/>
      <c r="BA884" s="675" t="str">
        <f>IF($F888="","",SUM(BA900:BC900)-BC886)</f>
        <v/>
      </c>
      <c r="BB884" s="675"/>
      <c r="BC884" s="675"/>
      <c r="BD884" s="239"/>
      <c r="BE884" s="238"/>
      <c r="BF884" s="238"/>
      <c r="BG884" s="238"/>
      <c r="BH884" s="238"/>
      <c r="BI884" s="240"/>
      <c r="BJ884" s="675" t="str">
        <f>IF($F888="","",SUM(BJ900:BL900)-BL886)</f>
        <v/>
      </c>
      <c r="BK884" s="675"/>
      <c r="BL884" s="675"/>
      <c r="BM884" s="239"/>
      <c r="BN884" s="238"/>
      <c r="BO884" s="238"/>
      <c r="BP884" s="238"/>
      <c r="BQ884" s="238"/>
      <c r="BR884" s="241"/>
      <c r="BS884" s="675" t="str">
        <f>IF($F888="","",SUM(BS900:BU900)-BU886)</f>
        <v/>
      </c>
      <c r="BT884" s="675"/>
      <c r="BU884" s="675"/>
      <c r="BV884" s="240"/>
      <c r="BW884" s="238"/>
      <c r="BX884" s="238"/>
      <c r="BY884" s="238"/>
      <c r="BZ884" s="238"/>
      <c r="CA884" s="241"/>
      <c r="CB884" s="675" t="str">
        <f>IF($F888="","",SUM(CB900:CD900)-CD886)</f>
        <v/>
      </c>
      <c r="CC884" s="675"/>
      <c r="CD884" s="675"/>
      <c r="CE884" s="240"/>
      <c r="CF884" s="238"/>
      <c r="CG884" s="238"/>
      <c r="CH884" s="238"/>
      <c r="CI884" s="238"/>
      <c r="CJ884" s="234"/>
      <c r="CK884" s="675" t="str">
        <f>IF($F888="","",SUM(CK900:CM900))</f>
        <v/>
      </c>
      <c r="CL884" s="675"/>
      <c r="CM884" s="675"/>
      <c r="CN884" s="240"/>
      <c r="CO884" s="238"/>
      <c r="CP884" s="238"/>
      <c r="CQ884" s="238"/>
      <c r="CR884" s="238"/>
      <c r="CS884" s="234"/>
      <c r="CT884" s="234"/>
      <c r="CU884" s="251"/>
      <c r="CV884" s="209"/>
      <c r="CW884" s="218"/>
    </row>
    <row r="885" spans="1:101" ht="15.75" customHeight="1" x14ac:dyDescent="0.2">
      <c r="A885" s="219"/>
      <c r="B885" s="219"/>
      <c r="C885" s="174"/>
      <c r="D885" s="779"/>
      <c r="E885" s="543">
        <f>E863+7</f>
        <v>46529</v>
      </c>
      <c r="F885" s="178"/>
      <c r="G885" s="179"/>
      <c r="H885" s="179"/>
      <c r="I885" s="876"/>
      <c r="J885" s="876"/>
      <c r="K885" s="876"/>
      <c r="L885" s="254"/>
      <c r="M885" s="329"/>
      <c r="N885" s="208"/>
      <c r="O885" s="180"/>
      <c r="P885" s="180"/>
      <c r="Q885" s="584" t="str">
        <f>IF(Q884="","",Q884/Data!$X$1)</f>
        <v/>
      </c>
      <c r="R885" s="584"/>
      <c r="S885" s="585" t="str">
        <f>IF(SUM(X888:X899)=0,"",SUM(X888:X899))</f>
        <v/>
      </c>
      <c r="T885" s="181"/>
      <c r="U885" s="182"/>
      <c r="V885" s="182"/>
      <c r="W885" s="182"/>
      <c r="X885" s="182"/>
      <c r="Y885" s="180"/>
      <c r="Z885" s="584" t="str">
        <f>IF(Z884="","",Z884/Data!$X$1)</f>
        <v/>
      </c>
      <c r="AA885" s="584"/>
      <c r="AB885" s="585" t="str">
        <f>IF(SUM(AG888:AG899)=0,"",SUM(AG888:AG899))</f>
        <v/>
      </c>
      <c r="AC885" s="181"/>
      <c r="AD885" s="182"/>
      <c r="AE885" s="182"/>
      <c r="AF885" s="182"/>
      <c r="AG885" s="182"/>
      <c r="AH885" s="180"/>
      <c r="AI885" s="584" t="str">
        <f>IF(AI884="","",AI884/Data!$X$1)</f>
        <v/>
      </c>
      <c r="AJ885" s="584"/>
      <c r="AK885" s="585" t="str">
        <f>IF(SUM(AP888:AP899)=0,"",SUM(AP888:AP899))</f>
        <v/>
      </c>
      <c r="AL885" s="181"/>
      <c r="AM885" s="182"/>
      <c r="AN885" s="182"/>
      <c r="AO885" s="182"/>
      <c r="AP885" s="182"/>
      <c r="AQ885" s="180"/>
      <c r="AR885" s="584" t="str">
        <f>IF(AR884="","",AR884/Data!$X$1)</f>
        <v/>
      </c>
      <c r="AS885" s="584"/>
      <c r="AT885" s="585" t="str">
        <f>IF(SUM(AY888:AY899)=0,"",SUM(AY888:AY899))</f>
        <v/>
      </c>
      <c r="AU885" s="183"/>
      <c r="AV885" s="182"/>
      <c r="AW885" s="182"/>
      <c r="AX885" s="182"/>
      <c r="AY885" s="182"/>
      <c r="AZ885" s="184"/>
      <c r="BA885" s="584" t="str">
        <f>IF(BA884="","",BA884/Data!$X$1)</f>
        <v/>
      </c>
      <c r="BB885" s="584"/>
      <c r="BC885" s="585" t="str">
        <f>IF(SUM(BH888:BH899)=0,"",SUM(BH888:BH899))</f>
        <v/>
      </c>
      <c r="BD885" s="183"/>
      <c r="BE885" s="182"/>
      <c r="BF885" s="182"/>
      <c r="BG885" s="182"/>
      <c r="BH885" s="182"/>
      <c r="BI885" s="184"/>
      <c r="BJ885" s="584" t="str">
        <f>IF(BJ884="","",BJ884/Data!$X$1)</f>
        <v/>
      </c>
      <c r="BK885" s="584"/>
      <c r="BL885" s="585" t="str">
        <f>IF(SUM(BQ888:BQ899)=0,"",SUM(BQ888:BQ899))</f>
        <v/>
      </c>
      <c r="BM885" s="183"/>
      <c r="BN885" s="182"/>
      <c r="BO885" s="182"/>
      <c r="BP885" s="182"/>
      <c r="BQ885" s="182"/>
      <c r="BR885" s="185"/>
      <c r="BS885" s="584" t="str">
        <f>IF(BS884="","",BS884/Data!$X$1)</f>
        <v/>
      </c>
      <c r="BT885" s="584"/>
      <c r="BU885" s="585" t="str">
        <f>IF(SUM(BZ888:BZ899)=0,"",SUM(BZ888:BZ899))</f>
        <v/>
      </c>
      <c r="BV885" s="184"/>
      <c r="BW885" s="182"/>
      <c r="BX885" s="182"/>
      <c r="BY885" s="182"/>
      <c r="BZ885" s="182"/>
      <c r="CA885" s="185"/>
      <c r="CB885" s="584" t="str">
        <f>IF(CB884="","",CB884/Data!$X$1)</f>
        <v/>
      </c>
      <c r="CC885" s="584"/>
      <c r="CD885" s="585" t="str">
        <f>IF(SUM(CI888:CI899)=0,"",SUM(CI888:CI899))</f>
        <v/>
      </c>
      <c r="CE885" s="184"/>
      <c r="CF885" s="182"/>
      <c r="CG885" s="182"/>
      <c r="CH885" s="182"/>
      <c r="CI885" s="182"/>
      <c r="CJ885" s="182"/>
      <c r="CK885" s="584" t="str">
        <f>IF(CK884="","",CK884/Data!$X$1)</f>
        <v/>
      </c>
      <c r="CL885" s="584"/>
      <c r="CM885" s="585" t="str">
        <f>IF(SUM(CR888:CR899)=0,"",SUM(CR888:CR899))</f>
        <v/>
      </c>
      <c r="CN885" s="184"/>
      <c r="CO885" s="182"/>
      <c r="CP885" s="182"/>
      <c r="CQ885" s="182"/>
      <c r="CR885" s="182"/>
      <c r="CS885" s="182"/>
      <c r="CT885" s="182"/>
      <c r="CU885" s="255"/>
      <c r="CV885" s="209"/>
      <c r="CW885" s="218"/>
    </row>
    <row r="886" spans="1:101" ht="14.25" customHeight="1" thickBot="1" x14ac:dyDescent="0.25">
      <c r="A886" s="219"/>
      <c r="B886" s="219"/>
      <c r="C886" s="174"/>
      <c r="D886" s="230"/>
      <c r="E886" s="359"/>
      <c r="F886" s="186"/>
      <c r="G886" s="187"/>
      <c r="H886" s="187"/>
      <c r="I886" s="673"/>
      <c r="J886" s="674"/>
      <c r="K886" s="674"/>
      <c r="L886" s="256"/>
      <c r="M886" s="330"/>
      <c r="N886" s="334"/>
      <c r="O886" s="187"/>
      <c r="P886" s="187"/>
      <c r="Q886" s="342" t="str">
        <f>Data!$E$11</f>
        <v>AHH</v>
      </c>
      <c r="R886" s="343" t="str">
        <f>IF($F899="","",RANK(Q884,$Q884:$CL884))</f>
        <v/>
      </c>
      <c r="S886" s="466"/>
      <c r="T886" s="181"/>
      <c r="U886" s="182"/>
      <c r="V886" s="182"/>
      <c r="W886" s="182"/>
      <c r="X886" s="197">
        <f>COUNTIF(U888:W899,"&gt;0")</f>
        <v>0</v>
      </c>
      <c r="Y886" s="180"/>
      <c r="Z886" s="342" t="str">
        <f>Data!$E$12</f>
        <v>RB</v>
      </c>
      <c r="AA886" s="343" t="str">
        <f>IF($F899="","",RANK(Z884,$Q884:$CL884))</f>
        <v/>
      </c>
      <c r="AB886" s="466"/>
      <c r="AC886" s="181"/>
      <c r="AD886" s="182"/>
      <c r="AE886" s="182"/>
      <c r="AF886" s="182"/>
      <c r="AG886" s="197">
        <f>COUNTIF(AD888:AF899,"&gt;0")</f>
        <v>0</v>
      </c>
      <c r="AH886" s="180"/>
      <c r="AI886" s="342" t="str">
        <f>Data!$E$13</f>
        <v>EB</v>
      </c>
      <c r="AJ886" s="343" t="str">
        <f>IF($F899="","",RANK(AI884,$Q884:$CL884))</f>
        <v/>
      </c>
      <c r="AK886" s="466"/>
      <c r="AL886" s="181"/>
      <c r="AM886" s="182"/>
      <c r="AN886" s="182"/>
      <c r="AO886" s="182"/>
      <c r="AP886" s="197">
        <f>COUNTIF(AM888:AO899,"&gt;0")</f>
        <v>0</v>
      </c>
      <c r="AQ886" s="180"/>
      <c r="AR886" s="305" t="str">
        <f>Data!$E$14</f>
        <v>KAF</v>
      </c>
      <c r="AS886" s="343" t="str">
        <f>IF($F899="","",RANK(AR884,$Q884:$CL884))</f>
        <v/>
      </c>
      <c r="AT886" s="466"/>
      <c r="AU886" s="181"/>
      <c r="AV886" s="182"/>
      <c r="AW886" s="182"/>
      <c r="AX886" s="182"/>
      <c r="AY886" s="197">
        <f>COUNTIF(AV888:AX899,"&gt;0")</f>
        <v>0</v>
      </c>
      <c r="AZ886" s="180"/>
      <c r="BA886" s="305" t="str">
        <f>Data!$E$15</f>
        <v>ØG</v>
      </c>
      <c r="BB886" s="343" t="str">
        <f>IF($F899="","",RANK(BA884,$Q884:$CL884))</f>
        <v/>
      </c>
      <c r="BC886" s="466"/>
      <c r="BD886" s="181"/>
      <c r="BE886" s="182"/>
      <c r="BF886" s="182"/>
      <c r="BG886" s="182"/>
      <c r="BH886" s="197">
        <f>COUNTIF(BE888:BG899,"&gt;0")</f>
        <v>0</v>
      </c>
      <c r="BI886" s="180"/>
      <c r="BJ886" s="305" t="str">
        <f>Data!$E$16</f>
        <v>JH</v>
      </c>
      <c r="BK886" s="343" t="str">
        <f>IF($F899="","",RANK(BJ884,$Q884:$CL884))</f>
        <v/>
      </c>
      <c r="BL886" s="466"/>
      <c r="BM886" s="181"/>
      <c r="BN886" s="182"/>
      <c r="BO886" s="182"/>
      <c r="BP886" s="182"/>
      <c r="BQ886" s="197">
        <f>COUNTIF(BN888:BP899,"&gt;0")</f>
        <v>0</v>
      </c>
      <c r="BR886" s="188"/>
      <c r="BS886" s="305" t="str">
        <f>Data!$E$17</f>
        <v>TOH</v>
      </c>
      <c r="BT886" s="343" t="str">
        <f>IF($F899="","",RANK(BS884,$Q884:$CL884))</f>
        <v/>
      </c>
      <c r="BU886" s="466"/>
      <c r="BV886" s="180"/>
      <c r="BW886" s="182"/>
      <c r="BX886" s="182"/>
      <c r="BY886" s="182"/>
      <c r="BZ886" s="197">
        <f>COUNTIF(BW888:BY899,"&gt;0")</f>
        <v>0</v>
      </c>
      <c r="CA886" s="188"/>
      <c r="CB886" s="305" t="s">
        <v>26</v>
      </c>
      <c r="CC886" s="343" t="str">
        <f>IF($F899="","",RANK(CB884,$Q884:$CM884))</f>
        <v/>
      </c>
      <c r="CD886" s="467"/>
      <c r="CE886" s="180"/>
      <c r="CF886" s="182"/>
      <c r="CG886" s="182"/>
      <c r="CH886" s="182"/>
      <c r="CI886" s="197">
        <f>COUNTIF(CF888:CH899,"&gt;0")</f>
        <v>0</v>
      </c>
      <c r="CJ886" s="182"/>
      <c r="CK886" s="305" t="s">
        <v>27</v>
      </c>
      <c r="CL886" s="343" t="str">
        <f>IF($F899="","",RANK(CK884,$Q884:$CM884))</f>
        <v/>
      </c>
      <c r="CM886" s="669"/>
      <c r="CN886" s="180"/>
      <c r="CO886" s="182"/>
      <c r="CP886" s="182"/>
      <c r="CQ886" s="182"/>
      <c r="CR886" s="197">
        <f>COUNTIF(CO888:CQ899,"&gt;0")</f>
        <v>0</v>
      </c>
      <c r="CS886" s="182"/>
      <c r="CT886" s="182"/>
      <c r="CU886" s="255"/>
      <c r="CV886" s="209"/>
      <c r="CW886" s="218"/>
    </row>
    <row r="887" spans="1:101" ht="13.5" customHeight="1" thickBot="1" x14ac:dyDescent="0.25">
      <c r="A887" s="227"/>
      <c r="B887" s="227"/>
      <c r="C887" s="168"/>
      <c r="D887" s="231"/>
      <c r="E887" s="189"/>
      <c r="F887" s="190"/>
      <c r="G887" s="191"/>
      <c r="H887" s="191"/>
      <c r="I887" s="192" t="s">
        <v>47</v>
      </c>
      <c r="J887" s="193" t="s">
        <v>48</v>
      </c>
      <c r="K887" s="194" t="s">
        <v>49</v>
      </c>
      <c r="L887" s="257"/>
      <c r="M887" s="331"/>
      <c r="N887" s="335"/>
      <c r="O887" s="195"/>
      <c r="P887" s="195"/>
      <c r="Q887" s="192" t="s">
        <v>47</v>
      </c>
      <c r="R887" s="193" t="s">
        <v>48</v>
      </c>
      <c r="S887" s="194" t="s">
        <v>49</v>
      </c>
      <c r="T887" s="196"/>
      <c r="U887" s="197"/>
      <c r="V887" s="197"/>
      <c r="W887" s="197"/>
      <c r="X887" s="197"/>
      <c r="Y887" s="195"/>
      <c r="Z887" s="192" t="s">
        <v>47</v>
      </c>
      <c r="AA887" s="193" t="s">
        <v>48</v>
      </c>
      <c r="AB887" s="194" t="s">
        <v>49</v>
      </c>
      <c r="AC887" s="196"/>
      <c r="AD887" s="197"/>
      <c r="AE887" s="197"/>
      <c r="AF887" s="197"/>
      <c r="AG887" s="197"/>
      <c r="AH887" s="195"/>
      <c r="AI887" s="192" t="s">
        <v>47</v>
      </c>
      <c r="AJ887" s="193" t="s">
        <v>48</v>
      </c>
      <c r="AK887" s="194" t="s">
        <v>49</v>
      </c>
      <c r="AL887" s="196"/>
      <c r="AM887" s="197"/>
      <c r="AN887" s="197"/>
      <c r="AO887" s="197"/>
      <c r="AP887" s="197"/>
      <c r="AQ887" s="195"/>
      <c r="AR887" s="192" t="s">
        <v>47</v>
      </c>
      <c r="AS887" s="193" t="s">
        <v>48</v>
      </c>
      <c r="AT887" s="194" t="s">
        <v>49</v>
      </c>
      <c r="AU887" s="196"/>
      <c r="AV887" s="197"/>
      <c r="AW887" s="197"/>
      <c r="AX887" s="197"/>
      <c r="AY887" s="197"/>
      <c r="AZ887" s="195"/>
      <c r="BA887" s="192" t="s">
        <v>47</v>
      </c>
      <c r="BB887" s="193" t="s">
        <v>48</v>
      </c>
      <c r="BC887" s="194" t="s">
        <v>49</v>
      </c>
      <c r="BD887" s="196"/>
      <c r="BE887" s="197"/>
      <c r="BF887" s="197"/>
      <c r="BG887" s="197"/>
      <c r="BH887" s="197"/>
      <c r="BI887" s="195"/>
      <c r="BJ887" s="192" t="s">
        <v>47</v>
      </c>
      <c r="BK887" s="193" t="s">
        <v>48</v>
      </c>
      <c r="BL887" s="194" t="s">
        <v>49</v>
      </c>
      <c r="BM887" s="196"/>
      <c r="BN887" s="197"/>
      <c r="BO887" s="197"/>
      <c r="BP887" s="197"/>
      <c r="BQ887" s="197"/>
      <c r="BR887" s="195"/>
      <c r="BS887" s="192" t="s">
        <v>47</v>
      </c>
      <c r="BT887" s="193" t="s">
        <v>48</v>
      </c>
      <c r="BU887" s="194" t="s">
        <v>49</v>
      </c>
      <c r="BV887" s="196"/>
      <c r="BW887" s="197"/>
      <c r="BX887" s="197"/>
      <c r="BY887" s="197"/>
      <c r="BZ887" s="197"/>
      <c r="CA887" s="195"/>
      <c r="CB887" s="192" t="s">
        <v>47</v>
      </c>
      <c r="CC887" s="193" t="s">
        <v>48</v>
      </c>
      <c r="CD887" s="194" t="s">
        <v>49</v>
      </c>
      <c r="CE887" s="196"/>
      <c r="CF887" s="197"/>
      <c r="CG887" s="197"/>
      <c r="CH887" s="197"/>
      <c r="CI887" s="197"/>
      <c r="CJ887" s="197"/>
      <c r="CK887" s="192" t="s">
        <v>47</v>
      </c>
      <c r="CL887" s="193" t="s">
        <v>48</v>
      </c>
      <c r="CM887" s="194" t="s">
        <v>49</v>
      </c>
      <c r="CN887" s="196"/>
      <c r="CO887" s="197"/>
      <c r="CP887" s="197"/>
      <c r="CQ887" s="197"/>
      <c r="CR887" s="197"/>
      <c r="CS887" s="197"/>
      <c r="CT887" s="198"/>
      <c r="CU887" s="255"/>
      <c r="CV887" s="209"/>
      <c r="CW887" s="228"/>
    </row>
    <row r="888" spans="1:101" x14ac:dyDescent="0.2">
      <c r="A888" s="227"/>
      <c r="B888" s="227"/>
      <c r="C888" s="168"/>
      <c r="D888" s="232"/>
      <c r="E888" s="134"/>
      <c r="F888" s="424"/>
      <c r="G888" s="428" t="s">
        <v>51</v>
      </c>
      <c r="H888" s="429"/>
      <c r="I888" s="138" t="str">
        <f t="shared" ref="I888:I899" si="1316">IF($F888&gt;$H888,"x","")</f>
        <v/>
      </c>
      <c r="J888" s="344" t="str">
        <f t="shared" ref="J888:J899" si="1317">IF(F888&lt;&gt;"",IF(H888&lt;&gt;"",IF(F888=H888,"x",""),""),"")</f>
        <v/>
      </c>
      <c r="K888" s="345" t="str">
        <f t="shared" ref="K888:K899" si="1318">IF($F888&lt;$H888,"x","")</f>
        <v/>
      </c>
      <c r="L888" s="258"/>
      <c r="M888" s="332"/>
      <c r="N888" s="336"/>
      <c r="O888" s="200"/>
      <c r="P888" s="200"/>
      <c r="Q888" s="436"/>
      <c r="R888" s="437"/>
      <c r="S888" s="438" t="str">
        <f t="shared" ref="S888:S899" si="1319">IF(Q888="","",100-SUM(Q888:R888))</f>
        <v/>
      </c>
      <c r="T888" s="328"/>
      <c r="U888" s="197" t="str">
        <f>IF(AND($I888="x",AND(MAX(Q888:S888)=Q888,Q888&gt;=0)),Data!$BI$2,"")</f>
        <v/>
      </c>
      <c r="V888" s="197" t="str">
        <f>IF(AND($J888="x",AND(MAX(Q888:S888)=R888,R888&gt;=0)),Data!$BJ$2,"")</f>
        <v/>
      </c>
      <c r="W888" s="197" t="str">
        <f>IF(AND($K888="x",AND(MAX(Q888:S888)=S888,S888&gt;=0)),Data!$BK$2,"")</f>
        <v/>
      </c>
      <c r="X888" s="197"/>
      <c r="Y888" s="328"/>
      <c r="Z888" s="451"/>
      <c r="AA888" s="452"/>
      <c r="AB888" s="438" t="str">
        <f t="shared" ref="AB888:AB899" si="1320">IF(Z888="","",100-SUM(Z888:AA888))</f>
        <v/>
      </c>
      <c r="AC888" s="328"/>
      <c r="AD888" s="197" t="str">
        <f>IF(AND($I888="x",AND(MAX(Z888:AB888)=Z888,Z888&lt;&gt;"")),Data!$BI$2,"")</f>
        <v/>
      </c>
      <c r="AE888" s="197" t="str">
        <f>IF(AND($J888="x",AND(MAX(Z888:AB888)=AA888,AA888&lt;&gt;"")),Data!$BJ$2,"")</f>
        <v/>
      </c>
      <c r="AF888" s="197" t="str">
        <f>IF(AND($K888="x",AND(MAX(Z888:AB888)=AB888,AB888&lt;&gt;"")),Data!$BK$2,"")</f>
        <v/>
      </c>
      <c r="AG888" s="197"/>
      <c r="AH888" s="328"/>
      <c r="AI888" s="451"/>
      <c r="AJ888" s="452"/>
      <c r="AK888" s="438" t="str">
        <f t="shared" ref="AK888:AK899" si="1321">IF(AI888="","",100-SUM(AI888:AJ888))</f>
        <v/>
      </c>
      <c r="AL888" s="328"/>
      <c r="AM888" s="197" t="str">
        <f>IF(AND($I888="x",AND(MAX(AI888:AK888)=AI888,AI888&lt;&gt;"")),Data!$BI$2,"")</f>
        <v/>
      </c>
      <c r="AN888" s="197" t="str">
        <f>IF(AND($J888="x",AND(MAX(AI888:AK888)=AJ888,AJ888&lt;&gt;"")),Data!$BJ$2,"")</f>
        <v/>
      </c>
      <c r="AO888" s="197" t="str">
        <f>IF(AND($K888="x",AND(MAX(AI888:AK888)=AK888,AK888&lt;&gt;"")),Data!$BK$2,"")</f>
        <v/>
      </c>
      <c r="AP888" s="197"/>
      <c r="AQ888" s="328"/>
      <c r="AR888" s="451"/>
      <c r="AS888" s="452"/>
      <c r="AT888" s="438" t="str">
        <f t="shared" ref="AT888:AT899" si="1322">IF(AR888="","",100-SUM(AR888:AS888))</f>
        <v/>
      </c>
      <c r="AU888" s="328"/>
      <c r="AV888" s="197" t="str">
        <f>IF(AND($I888="x",AND(MAX(AR888:AT888)=AR888,AR888&lt;&gt;"")),Data!$BI$2,"")</f>
        <v/>
      </c>
      <c r="AW888" s="197" t="str">
        <f>IF(AND($J888="x",AND(MAX(AR888:AT888)=AS888,AS888&lt;&gt;"")),Data!$BJ$2,"")</f>
        <v/>
      </c>
      <c r="AX888" s="197" t="str">
        <f>IF(AND($K888="x",AND(MAX(AR888:AT888)=AT888,AT888&lt;&gt;"")),Data!$BK$2,"")</f>
        <v/>
      </c>
      <c r="AY888" s="197"/>
      <c r="AZ888" s="328"/>
      <c r="BA888" s="451"/>
      <c r="BB888" s="452"/>
      <c r="BC888" s="438" t="str">
        <f t="shared" ref="BC888:BC899" si="1323">IF(BA888="","",100-SUM(BA888:BB888))</f>
        <v/>
      </c>
      <c r="BD888" s="328"/>
      <c r="BE888" s="197" t="str">
        <f>IF(AND($I888="x",AND(MAX(BA888:BC888)=BA888,BA888&lt;&gt;"")),Data!$BI$2,"")</f>
        <v/>
      </c>
      <c r="BF888" s="197" t="str">
        <f>IF(AND($J888="x",AND(MAX(BA888:BC888)=BB888,BB888&lt;&gt;"")),Data!$BJ$2,"")</f>
        <v/>
      </c>
      <c r="BG888" s="197" t="str">
        <f>IF(AND($K888="x",AND(MAX(BA888:BC888)=BC888,BC888&lt;&gt;"")),Data!$BK$2,"")</f>
        <v/>
      </c>
      <c r="BH888" s="197"/>
      <c r="BI888" s="328"/>
      <c r="BJ888" s="451"/>
      <c r="BK888" s="452"/>
      <c r="BL888" s="438" t="str">
        <f t="shared" ref="BL888:BL899" si="1324">IF(BJ888="","",100-SUM(BJ888:BK888))</f>
        <v/>
      </c>
      <c r="BM888" s="328"/>
      <c r="BN888" s="197" t="str">
        <f>IF(AND($I888="x",AND(MAX(BJ888:BL888)=BJ888,BJ888&lt;&gt;"")),Data!$BI$2,"")</f>
        <v/>
      </c>
      <c r="BO888" s="197" t="str">
        <f>IF(AND($J888="x",AND(MAX(BJ888:BL888)=BK888,BK888&lt;&gt;"")),Data!$BJ$2,"")</f>
        <v/>
      </c>
      <c r="BP888" s="197" t="str">
        <f>IF(AND($K888="x",AND(MAX(BJ888:BL888)=BL888,BL888&lt;&gt;"")),Data!$BK$2,"")</f>
        <v/>
      </c>
      <c r="BQ888" s="197"/>
      <c r="BR888" s="328"/>
      <c r="BS888" s="451"/>
      <c r="BT888" s="452"/>
      <c r="BU888" s="438" t="str">
        <f t="shared" ref="BU888:BU899" si="1325">IF(BS888="","",100-SUM(BS888:BT888))</f>
        <v/>
      </c>
      <c r="BV888" s="328"/>
      <c r="BW888" s="197" t="str">
        <f>IF(AND($I888="x",AND(MAX(BS888:BU888)=BS888,BS888&lt;&gt;"")),Data!$BI$2,"")</f>
        <v/>
      </c>
      <c r="BX888" s="197" t="str">
        <f>IF(AND($J888="x",AND(MAX(BS888:BU888)=BT888,BT888&lt;&gt;"")),Data!$BJ$2,"")</f>
        <v/>
      </c>
      <c r="BY888" s="197" t="str">
        <f>IF(AND($K888="x",AND(MAX(BS888:BU888)=BU888,BU888&lt;&gt;"")),Data!$BK$2,"")</f>
        <v/>
      </c>
      <c r="BZ888" s="197"/>
      <c r="CA888" s="328"/>
      <c r="CB888" s="457" t="str">
        <f t="shared" ref="CB888:CB899" si="1326">IFERROR(ROUNDUP((SUM(Q888,Z888,AI888,AR888,BA888,BJ888,BS888)/SUM($Q888:$S888,$Z888:$AB888,$AI888:$AK888,$AR888:$AT888,$BA888:$BC888,$BJ888:$BL888,$BS888:$BU888))*100,-1),"")</f>
        <v/>
      </c>
      <c r="CC888" s="458" t="str">
        <f t="shared" ref="CC888:CC899" si="1327">IFERROR(ROUNDDOWN((SUM(R888,AA888,AJ888,AS888,BB888,BK888,BT888)/SUM($Q888:$S888,$Z888:$AB888,$AI888:$AK888,$AR888:$AT888,$BA888:$BC888,$BJ888:$BL888,$BS888:$BU888))*100,-1),"")</f>
        <v/>
      </c>
      <c r="CD888" s="459" t="str">
        <f t="shared" ref="CD888:CD899" si="1328">IF(CB888="","",100-SUM(CB888:CC888))</f>
        <v/>
      </c>
      <c r="CE888" s="328"/>
      <c r="CF888" s="197" t="str">
        <f>IF(AND($I888="x",AND(MAX(CB888:CD888)=CB888,CB888&lt;&gt;"")),Data!$BI$2,"")</f>
        <v/>
      </c>
      <c r="CG888" s="197" t="str">
        <f>IF(AND($J888="x",AND(MAX(CB888:CD888)=CC888,CC888&lt;&gt;"")),Data!$BJ$2,"")</f>
        <v/>
      </c>
      <c r="CH888" s="197" t="str">
        <f>IF(AND($K888="x",AND(MAX(CB888:CD888)=CD888,CD888&lt;&gt;"")),Data!$BK$2,"")</f>
        <v/>
      </c>
      <c r="CI888" s="197"/>
      <c r="CJ888" s="197"/>
      <c r="CK888" s="451"/>
      <c r="CL888" s="452"/>
      <c r="CM888" s="438" t="str">
        <f t="shared" ref="CM888:CM899" si="1329">IF(CK888="","",100-SUM(CK888:CL888))</f>
        <v/>
      </c>
      <c r="CN888" s="328"/>
      <c r="CO888" s="197" t="str">
        <f>IF(AND($I888="x",AND(MAX(CK888:CM888)=CK888,CK888&lt;&gt;"")),Data!$BI$2,"")</f>
        <v/>
      </c>
      <c r="CP888" s="197" t="str">
        <f>IF(AND($J888="x",AND(MAX(CK888:CM888)=CL888,CL888&lt;&gt;"")),Data!$BJ$2,"")</f>
        <v/>
      </c>
      <c r="CQ888" s="197" t="str">
        <f>IF(AND($K888="x",AND(MAX(CK888:CM888)=CM888,CM888&lt;&gt;"")),Data!$BK$2,"")</f>
        <v/>
      </c>
      <c r="CR888" s="197"/>
      <c r="CS888" s="197"/>
      <c r="CT888" s="328"/>
      <c r="CU888" s="255"/>
      <c r="CV888" s="209"/>
      <c r="CW888" s="227"/>
    </row>
    <row r="889" spans="1:101" x14ac:dyDescent="0.2">
      <c r="A889" s="227"/>
      <c r="B889" s="227"/>
      <c r="C889" s="168"/>
      <c r="D889" s="232"/>
      <c r="E889" s="135"/>
      <c r="F889" s="425"/>
      <c r="G889" s="430" t="s">
        <v>51</v>
      </c>
      <c r="H889" s="431"/>
      <c r="I889" s="346" t="str">
        <f t="shared" si="1316"/>
        <v/>
      </c>
      <c r="J889" s="347" t="str">
        <f t="shared" si="1317"/>
        <v/>
      </c>
      <c r="K889" s="348" t="str">
        <f t="shared" si="1318"/>
        <v/>
      </c>
      <c r="L889" s="258"/>
      <c r="M889" s="332"/>
      <c r="N889" s="336"/>
      <c r="O889" s="200"/>
      <c r="P889" s="200"/>
      <c r="Q889" s="439"/>
      <c r="R889" s="440"/>
      <c r="S889" s="441" t="str">
        <f t="shared" si="1319"/>
        <v/>
      </c>
      <c r="T889" s="328"/>
      <c r="U889" s="197" t="str">
        <f>IF(AND($I889="x",AND(MAX(Q889:S889)=Q889,Q889&gt;=0)),Data!$BI$2,"")</f>
        <v/>
      </c>
      <c r="V889" s="197" t="str">
        <f>IF(AND($J889="x",AND(MAX(Q889:S889)=R889,R889&gt;=0)),Data!$BJ$2,"")</f>
        <v/>
      </c>
      <c r="W889" s="197" t="str">
        <f>IF(AND($K889="x",AND(MAX(Q889:S889)=S889,S889&gt;=0)),Data!$BK$2,"")</f>
        <v/>
      </c>
      <c r="X889" s="197"/>
      <c r="Y889" s="328"/>
      <c r="Z889" s="453"/>
      <c r="AA889" s="454"/>
      <c r="AB889" s="441" t="str">
        <f t="shared" si="1320"/>
        <v/>
      </c>
      <c r="AC889" s="328"/>
      <c r="AD889" s="197" t="str">
        <f>IF(AND($I889="x",AND(MAX(Z889:AB889)=Z889,Z889&lt;&gt;"")),Data!$BI$2,"")</f>
        <v/>
      </c>
      <c r="AE889" s="197" t="str">
        <f>IF(AND($J889="x",AND(MAX(Z889:AB889)=AA889,AA889&lt;&gt;"")),Data!$BJ$2,"")</f>
        <v/>
      </c>
      <c r="AF889" s="197" t="str">
        <f>IF(AND($K889="x",AND(MAX(Z889:AB889)=AB889,AB889&lt;&gt;"")),Data!$BK$2,"")</f>
        <v/>
      </c>
      <c r="AG889" s="197"/>
      <c r="AH889" s="328"/>
      <c r="AI889" s="453"/>
      <c r="AJ889" s="454"/>
      <c r="AK889" s="441" t="str">
        <f t="shared" si="1321"/>
        <v/>
      </c>
      <c r="AL889" s="328"/>
      <c r="AM889" s="197" t="str">
        <f>IF(AND($I889="x",AND(MAX(AI889:AK889)=AI889,AI889&lt;&gt;"")),Data!$BI$2,"")</f>
        <v/>
      </c>
      <c r="AN889" s="197" t="str">
        <f>IF(AND($J889="x",AND(MAX(AI889:AK889)=AJ889,AJ889&lt;&gt;"")),Data!$BJ$2,"")</f>
        <v/>
      </c>
      <c r="AO889" s="197" t="str">
        <f>IF(AND($K889="x",AND(MAX(AI889:AK889)=AK889,AK889&lt;&gt;"")),Data!$BK$2,"")</f>
        <v/>
      </c>
      <c r="AP889" s="197"/>
      <c r="AQ889" s="328"/>
      <c r="AR889" s="453"/>
      <c r="AS889" s="454"/>
      <c r="AT889" s="441" t="str">
        <f t="shared" si="1322"/>
        <v/>
      </c>
      <c r="AU889" s="328"/>
      <c r="AV889" s="197" t="str">
        <f>IF(AND($I889="x",AND(MAX(AR889:AT889)=AR889,AR889&lt;&gt;"")),Data!$BI$2,"")</f>
        <v/>
      </c>
      <c r="AW889" s="197" t="str">
        <f>IF(AND($J889="x",AND(MAX(AR889:AT889)=AS889,AS889&lt;&gt;"")),Data!$BJ$2,"")</f>
        <v/>
      </c>
      <c r="AX889" s="197" t="str">
        <f>IF(AND($K889="x",AND(MAX(AR889:AT889)=AT889,AT889&lt;&gt;"")),Data!$BK$2,"")</f>
        <v/>
      </c>
      <c r="AY889" s="197"/>
      <c r="AZ889" s="328"/>
      <c r="BA889" s="453"/>
      <c r="BB889" s="454"/>
      <c r="BC889" s="441" t="str">
        <f t="shared" si="1323"/>
        <v/>
      </c>
      <c r="BD889" s="328"/>
      <c r="BE889" s="197" t="str">
        <f>IF(AND($I889="x",AND(MAX(BA889:BC889)=BA889,BA889&lt;&gt;"")),Data!$BI$2,"")</f>
        <v/>
      </c>
      <c r="BF889" s="197" t="str">
        <f>IF(AND($J889="x",AND(MAX(BA889:BC889)=BB889,BB889&lt;&gt;"")),Data!$BJ$2,"")</f>
        <v/>
      </c>
      <c r="BG889" s="197" t="str">
        <f>IF(AND($K889="x",AND(MAX(BA889:BC889)=BC889,BC889&lt;&gt;"")),Data!$BK$2,"")</f>
        <v/>
      </c>
      <c r="BH889" s="197"/>
      <c r="BI889" s="328"/>
      <c r="BJ889" s="453"/>
      <c r="BK889" s="454"/>
      <c r="BL889" s="441" t="str">
        <f t="shared" si="1324"/>
        <v/>
      </c>
      <c r="BM889" s="328"/>
      <c r="BN889" s="197" t="str">
        <f>IF(AND($I889="x",AND(MAX(BJ889:BL889)=BJ889,BJ889&lt;&gt;"")),Data!$BI$2,"")</f>
        <v/>
      </c>
      <c r="BO889" s="197" t="str">
        <f>IF(AND($J889="x",AND(MAX(BJ889:BL889)=BK889,BK889&lt;&gt;"")),Data!$BJ$2,"")</f>
        <v/>
      </c>
      <c r="BP889" s="197" t="str">
        <f>IF(AND($K889="x",AND(MAX(BJ889:BL889)=BL889,BL889&lt;&gt;"")),Data!$BK$2,"")</f>
        <v/>
      </c>
      <c r="BQ889" s="197"/>
      <c r="BR889" s="328"/>
      <c r="BS889" s="453"/>
      <c r="BT889" s="454"/>
      <c r="BU889" s="441" t="str">
        <f t="shared" si="1325"/>
        <v/>
      </c>
      <c r="BV889" s="328"/>
      <c r="BW889" s="197" t="str">
        <f>IF(AND($I889="x",AND(MAX(BS889:BU889)=BS889,BS889&lt;&gt;"")),Data!$BI$2,"")</f>
        <v/>
      </c>
      <c r="BX889" s="197" t="str">
        <f>IF(AND($J889="x",AND(MAX(BS889:BU889)=BT889,BT889&lt;&gt;"")),Data!$BJ$2,"")</f>
        <v/>
      </c>
      <c r="BY889" s="197" t="str">
        <f>IF(AND($K889="x",AND(MAX(BS889:BU889)=BU889,BU889&lt;&gt;"")),Data!$BK$2,"")</f>
        <v/>
      </c>
      <c r="BZ889" s="197"/>
      <c r="CA889" s="328"/>
      <c r="CB889" s="460" t="str">
        <f t="shared" si="1326"/>
        <v/>
      </c>
      <c r="CC889" s="461" t="str">
        <f t="shared" si="1327"/>
        <v/>
      </c>
      <c r="CD889" s="462" t="str">
        <f t="shared" si="1328"/>
        <v/>
      </c>
      <c r="CE889" s="328"/>
      <c r="CF889" s="197" t="str">
        <f>IF(AND($I889="x",AND(MAX(CB889:CD889)=CB889,CB889&lt;&gt;"")),Data!$BI$2,"")</f>
        <v/>
      </c>
      <c r="CG889" s="197" t="str">
        <f>IF(AND($J889="x",AND(MAX(CB889:CD889)=CC889,CC889&lt;&gt;"")),Data!$BJ$2,"")</f>
        <v/>
      </c>
      <c r="CH889" s="197" t="str">
        <f>IF(AND($K889="x",AND(MAX(CB889:CD889)=CD889,CD889&lt;&gt;"")),Data!$BK$2,"")</f>
        <v/>
      </c>
      <c r="CI889" s="197"/>
      <c r="CJ889" s="197"/>
      <c r="CK889" s="453"/>
      <c r="CL889" s="454"/>
      <c r="CM889" s="441" t="str">
        <f t="shared" si="1329"/>
        <v/>
      </c>
      <c r="CN889" s="328"/>
      <c r="CO889" s="197" t="str">
        <f>IF(AND($I889="x",AND(MAX(CK889:CM889)=CK889,CK889&lt;&gt;"")),Data!$BI$2,"")</f>
        <v/>
      </c>
      <c r="CP889" s="197" t="str">
        <f>IF(AND($J889="x",AND(MAX(CK889:CM889)=CL889,CL889&lt;&gt;"")),Data!$BJ$2,"")</f>
        <v/>
      </c>
      <c r="CQ889" s="197" t="str">
        <f>IF(AND($K889="x",AND(MAX(CK889:CM889)=CM889,CM889&lt;&gt;"")),Data!$BK$2,"")</f>
        <v/>
      </c>
      <c r="CR889" s="197"/>
      <c r="CS889" s="197"/>
      <c r="CT889" s="328"/>
      <c r="CU889" s="255"/>
      <c r="CV889" s="209"/>
      <c r="CW889" s="227"/>
    </row>
    <row r="890" spans="1:101" x14ac:dyDescent="0.2">
      <c r="A890" s="227"/>
      <c r="B890" s="227"/>
      <c r="C890" s="168"/>
      <c r="D890" s="232"/>
      <c r="E890" s="136"/>
      <c r="F890" s="426"/>
      <c r="G890" s="432" t="s">
        <v>51</v>
      </c>
      <c r="H890" s="433"/>
      <c r="I890" s="349" t="str">
        <f t="shared" si="1316"/>
        <v/>
      </c>
      <c r="J890" s="350" t="str">
        <f t="shared" si="1317"/>
        <v/>
      </c>
      <c r="K890" s="351" t="str">
        <f t="shared" si="1318"/>
        <v/>
      </c>
      <c r="L890" s="258"/>
      <c r="M890" s="332"/>
      <c r="N890" s="336"/>
      <c r="O890" s="200"/>
      <c r="P890" s="200"/>
      <c r="Q890" s="442"/>
      <c r="R890" s="443"/>
      <c r="S890" s="444" t="str">
        <f t="shared" si="1319"/>
        <v/>
      </c>
      <c r="T890" s="328"/>
      <c r="U890" s="197" t="str">
        <f>IF(AND($I890="x",AND(MAX(Q890:S890)=Q890,Q890&gt;=0)),Data!$BI$2,"")</f>
        <v/>
      </c>
      <c r="V890" s="197" t="str">
        <f>IF(AND($J890="x",AND(MAX(Q890:S890)=R890,R890&gt;=0)),Data!$BJ$2,"")</f>
        <v/>
      </c>
      <c r="W890" s="197" t="str">
        <f>IF(AND($K890="x",AND(MAX(Q890:S890)=S890,S890&gt;=0)),Data!$BK$2,"")</f>
        <v/>
      </c>
      <c r="X890" s="197"/>
      <c r="Y890" s="328"/>
      <c r="Z890" s="455"/>
      <c r="AA890" s="456"/>
      <c r="AB890" s="444" t="str">
        <f t="shared" si="1320"/>
        <v/>
      </c>
      <c r="AC890" s="328"/>
      <c r="AD890" s="197" t="str">
        <f>IF(AND($I890="x",AND(MAX(Z890:AB890)=Z890,Z890&lt;&gt;"")),Data!$BI$2,"")</f>
        <v/>
      </c>
      <c r="AE890" s="197" t="str">
        <f>IF(AND($J890="x",AND(MAX(Z890:AB890)=AA890,AA890&lt;&gt;"")),Data!$BJ$2,"")</f>
        <v/>
      </c>
      <c r="AF890" s="197" t="str">
        <f>IF(AND($K890="x",AND(MAX(Z890:AB890)=AB890,AB890&lt;&gt;"")),Data!$BK$2,"")</f>
        <v/>
      </c>
      <c r="AG890" s="197"/>
      <c r="AH890" s="328"/>
      <c r="AI890" s="455"/>
      <c r="AJ890" s="456"/>
      <c r="AK890" s="444" t="str">
        <f t="shared" si="1321"/>
        <v/>
      </c>
      <c r="AL890" s="328"/>
      <c r="AM890" s="197" t="str">
        <f>IF(AND($I890="x",AND(MAX(AI890:AK890)=AI890,AI890&lt;&gt;"")),Data!$BI$2,"")</f>
        <v/>
      </c>
      <c r="AN890" s="197" t="str">
        <f>IF(AND($J890="x",AND(MAX(AI890:AK890)=AJ890,AJ890&lt;&gt;"")),Data!$BJ$2,"")</f>
        <v/>
      </c>
      <c r="AO890" s="197" t="str">
        <f>IF(AND($K890="x",AND(MAX(AI890:AK890)=AK890,AK890&lt;&gt;"")),Data!$BK$2,"")</f>
        <v/>
      </c>
      <c r="AP890" s="197"/>
      <c r="AQ890" s="328"/>
      <c r="AR890" s="455"/>
      <c r="AS890" s="456"/>
      <c r="AT890" s="444" t="str">
        <f t="shared" si="1322"/>
        <v/>
      </c>
      <c r="AU890" s="328"/>
      <c r="AV890" s="197" t="str">
        <f>IF(AND($I890="x",AND(MAX(AR890:AT890)=AR890,AR890&lt;&gt;"")),Data!$BI$2,"")</f>
        <v/>
      </c>
      <c r="AW890" s="197" t="str">
        <f>IF(AND($J890="x",AND(MAX(AR890:AT890)=AS890,AS890&lt;&gt;"")),Data!$BJ$2,"")</f>
        <v/>
      </c>
      <c r="AX890" s="197" t="str">
        <f>IF(AND($K890="x",AND(MAX(AR890:AT890)=AT890,AT890&lt;&gt;"")),Data!$BK$2,"")</f>
        <v/>
      </c>
      <c r="AY890" s="197"/>
      <c r="AZ890" s="328"/>
      <c r="BA890" s="455"/>
      <c r="BB890" s="456"/>
      <c r="BC890" s="444" t="str">
        <f t="shared" si="1323"/>
        <v/>
      </c>
      <c r="BD890" s="328"/>
      <c r="BE890" s="197" t="str">
        <f>IF(AND($I890="x",AND(MAX(BA890:BC890)=BA890,BA890&lt;&gt;"")),Data!$BI$2,"")</f>
        <v/>
      </c>
      <c r="BF890" s="197" t="str">
        <f>IF(AND($J890="x",AND(MAX(BA890:BC890)=BB890,BB890&lt;&gt;"")),Data!$BJ$2,"")</f>
        <v/>
      </c>
      <c r="BG890" s="197" t="str">
        <f>IF(AND($K890="x",AND(MAX(BA890:BC890)=BC890,BC890&lt;&gt;"")),Data!$BK$2,"")</f>
        <v/>
      </c>
      <c r="BH890" s="197"/>
      <c r="BI890" s="328"/>
      <c r="BJ890" s="455"/>
      <c r="BK890" s="456"/>
      <c r="BL890" s="444" t="str">
        <f t="shared" si="1324"/>
        <v/>
      </c>
      <c r="BM890" s="328"/>
      <c r="BN890" s="197" t="str">
        <f>IF(AND($I890="x",AND(MAX(BJ890:BL890)=BJ890,BJ890&lt;&gt;"")),Data!$BI$2,"")</f>
        <v/>
      </c>
      <c r="BO890" s="197" t="str">
        <f>IF(AND($J890="x",AND(MAX(BJ890:BL890)=BK890,BK890&lt;&gt;"")),Data!$BJ$2,"")</f>
        <v/>
      </c>
      <c r="BP890" s="197" t="str">
        <f>IF(AND($K890="x",AND(MAX(BJ890:BL890)=BL890,BL890&lt;&gt;"")),Data!$BK$2,"")</f>
        <v/>
      </c>
      <c r="BQ890" s="197"/>
      <c r="BR890" s="328"/>
      <c r="BS890" s="455"/>
      <c r="BT890" s="456"/>
      <c r="BU890" s="444" t="str">
        <f t="shared" si="1325"/>
        <v/>
      </c>
      <c r="BV890" s="328"/>
      <c r="BW890" s="197" t="str">
        <f>IF(AND($I890="x",AND(MAX(BS890:BU890)=BS890,BS890&lt;&gt;"")),Data!$BI$2,"")</f>
        <v/>
      </c>
      <c r="BX890" s="197" t="str">
        <f>IF(AND($J890="x",AND(MAX(BS890:BU890)=BT890,BT890&lt;&gt;"")),Data!$BJ$2,"")</f>
        <v/>
      </c>
      <c r="BY890" s="197" t="str">
        <f>IF(AND($K890="x",AND(MAX(BS890:BU890)=BU890,BU890&lt;&gt;"")),Data!$BK$2,"")</f>
        <v/>
      </c>
      <c r="BZ890" s="197"/>
      <c r="CA890" s="328"/>
      <c r="CB890" s="463" t="str">
        <f t="shared" si="1326"/>
        <v/>
      </c>
      <c r="CC890" s="464" t="str">
        <f t="shared" si="1327"/>
        <v/>
      </c>
      <c r="CD890" s="465" t="str">
        <f t="shared" si="1328"/>
        <v/>
      </c>
      <c r="CE890" s="328"/>
      <c r="CF890" s="197" t="str">
        <f>IF(AND($I890="x",AND(MAX(CB890:CD890)=CB890,CB890&lt;&gt;"")),Data!$BI$2,"")</f>
        <v/>
      </c>
      <c r="CG890" s="197" t="str">
        <f>IF(AND($J890="x",AND(MAX(CB890:CD890)=CC890,CC890&lt;&gt;"")),Data!$BJ$2,"")</f>
        <v/>
      </c>
      <c r="CH890" s="197" t="str">
        <f>IF(AND($K890="x",AND(MAX(CB890:CD890)=CD890,CD890&lt;&gt;"")),Data!$BK$2,"")</f>
        <v/>
      </c>
      <c r="CI890" s="197"/>
      <c r="CJ890" s="197"/>
      <c r="CK890" s="455"/>
      <c r="CL890" s="456"/>
      <c r="CM890" s="444" t="str">
        <f t="shared" si="1329"/>
        <v/>
      </c>
      <c r="CN890" s="328"/>
      <c r="CO890" s="197" t="str">
        <f>IF(AND($I890="x",AND(MAX(CK890:CM890)=CK890,CK890&lt;&gt;"")),Data!$BI$2,"")</f>
        <v/>
      </c>
      <c r="CP890" s="197" t="str">
        <f>IF(AND($J890="x",AND(MAX(CK890:CM890)=CL890,CL890&lt;&gt;"")),Data!$BJ$2,"")</f>
        <v/>
      </c>
      <c r="CQ890" s="197" t="str">
        <f>IF(AND($K890="x",AND(MAX(CK890:CM890)=CM890,CM890&lt;&gt;"")),Data!$BK$2,"")</f>
        <v/>
      </c>
      <c r="CR890" s="197"/>
      <c r="CS890" s="197"/>
      <c r="CT890" s="328"/>
      <c r="CU890" s="255"/>
      <c r="CV890" s="209"/>
      <c r="CW890" s="227"/>
    </row>
    <row r="891" spans="1:101" x14ac:dyDescent="0.2">
      <c r="A891" s="227"/>
      <c r="B891" s="227"/>
      <c r="C891" s="168"/>
      <c r="D891" s="232"/>
      <c r="E891" s="134"/>
      <c r="F891" s="424"/>
      <c r="G891" s="428" t="s">
        <v>51</v>
      </c>
      <c r="H891" s="429"/>
      <c r="I891" s="138" t="str">
        <f t="shared" si="1316"/>
        <v/>
      </c>
      <c r="J891" s="344" t="str">
        <f t="shared" si="1317"/>
        <v/>
      </c>
      <c r="K891" s="345" t="str">
        <f t="shared" si="1318"/>
        <v/>
      </c>
      <c r="L891" s="258"/>
      <c r="M891" s="332"/>
      <c r="N891" s="336"/>
      <c r="O891" s="200"/>
      <c r="P891" s="200"/>
      <c r="Q891" s="436"/>
      <c r="R891" s="437"/>
      <c r="S891" s="438" t="str">
        <f t="shared" si="1319"/>
        <v/>
      </c>
      <c r="T891" s="328"/>
      <c r="U891" s="197" t="str">
        <f>IF(AND($I891="x",AND(MAX(Q891:S891)=Q891,Q891&gt;=0)),Data!$BI$2,"")</f>
        <v/>
      </c>
      <c r="V891" s="197" t="str">
        <f>IF(AND($J891="x",AND(MAX(Q891:S891)=R891,R891&gt;=0)),Data!$BJ$2,"")</f>
        <v/>
      </c>
      <c r="W891" s="197" t="str">
        <f>IF(AND($K891="x",AND(MAX(Q891:S891)=S891,S891&gt;=0)),Data!$BK$2,"")</f>
        <v/>
      </c>
      <c r="X891" s="197"/>
      <c r="Y891" s="328"/>
      <c r="Z891" s="451"/>
      <c r="AA891" s="452"/>
      <c r="AB891" s="438" t="str">
        <f t="shared" si="1320"/>
        <v/>
      </c>
      <c r="AC891" s="328"/>
      <c r="AD891" s="197" t="str">
        <f>IF(AND($I891="x",AND(MAX(Z891:AB891)=Z891,Z891&lt;&gt;"")),Data!$BI$2,"")</f>
        <v/>
      </c>
      <c r="AE891" s="197" t="str">
        <f>IF(AND($J891="x",AND(MAX(Z891:AB891)=AA891,AA891&lt;&gt;"")),Data!$BJ$2,"")</f>
        <v/>
      </c>
      <c r="AF891" s="197" t="str">
        <f>IF(AND($K891="x",AND(MAX(Z891:AB891)=AB891,AB891&lt;&gt;"")),Data!$BK$2,"")</f>
        <v/>
      </c>
      <c r="AG891" s="197"/>
      <c r="AH891" s="328"/>
      <c r="AI891" s="451"/>
      <c r="AJ891" s="452"/>
      <c r="AK891" s="438" t="str">
        <f t="shared" si="1321"/>
        <v/>
      </c>
      <c r="AL891" s="328"/>
      <c r="AM891" s="197" t="str">
        <f>IF(AND($I891="x",AND(MAX(AI891:AK891)=AI891,AI891&lt;&gt;"")),Data!$BI$2,"")</f>
        <v/>
      </c>
      <c r="AN891" s="197" t="str">
        <f>IF(AND($J891="x",AND(MAX(AI891:AK891)=AJ891,AJ891&lt;&gt;"")),Data!$BJ$2,"")</f>
        <v/>
      </c>
      <c r="AO891" s="197" t="str">
        <f>IF(AND($K891="x",AND(MAX(AI891:AK891)=AK891,AK891&lt;&gt;"")),Data!$BK$2,"")</f>
        <v/>
      </c>
      <c r="AP891" s="197"/>
      <c r="AQ891" s="328"/>
      <c r="AR891" s="451"/>
      <c r="AS891" s="452"/>
      <c r="AT891" s="438" t="str">
        <f t="shared" si="1322"/>
        <v/>
      </c>
      <c r="AU891" s="328"/>
      <c r="AV891" s="197" t="str">
        <f>IF(AND($I891="x",AND(MAX(AR891:AT891)=AR891,AR891&lt;&gt;"")),Data!$BI$2,"")</f>
        <v/>
      </c>
      <c r="AW891" s="197" t="str">
        <f>IF(AND($J891="x",AND(MAX(AR891:AT891)=AS891,AS891&lt;&gt;"")),Data!$BJ$2,"")</f>
        <v/>
      </c>
      <c r="AX891" s="197" t="str">
        <f>IF(AND($K891="x",AND(MAX(AR891:AT891)=AT891,AT891&lt;&gt;"")),Data!$BK$2,"")</f>
        <v/>
      </c>
      <c r="AY891" s="197"/>
      <c r="AZ891" s="328"/>
      <c r="BA891" s="451"/>
      <c r="BB891" s="452"/>
      <c r="BC891" s="438" t="str">
        <f t="shared" si="1323"/>
        <v/>
      </c>
      <c r="BD891" s="328"/>
      <c r="BE891" s="197" t="str">
        <f>IF(AND($I891="x",AND(MAX(BA891:BC891)=BA891,BA891&lt;&gt;"")),Data!$BI$2,"")</f>
        <v/>
      </c>
      <c r="BF891" s="197" t="str">
        <f>IF(AND($J891="x",AND(MAX(BA891:BC891)=BB891,BB891&lt;&gt;"")),Data!$BJ$2,"")</f>
        <v/>
      </c>
      <c r="BG891" s="197" t="str">
        <f>IF(AND($K891="x",AND(MAX(BA891:BC891)=BC891,BC891&lt;&gt;"")),Data!$BK$2,"")</f>
        <v/>
      </c>
      <c r="BH891" s="197"/>
      <c r="BI891" s="328"/>
      <c r="BJ891" s="451"/>
      <c r="BK891" s="452"/>
      <c r="BL891" s="438" t="str">
        <f t="shared" si="1324"/>
        <v/>
      </c>
      <c r="BM891" s="328"/>
      <c r="BN891" s="197" t="str">
        <f>IF(AND($I891="x",AND(MAX(BJ891:BL891)=BJ891,BJ891&lt;&gt;"")),Data!$BI$2,"")</f>
        <v/>
      </c>
      <c r="BO891" s="197" t="str">
        <f>IF(AND($J891="x",AND(MAX(BJ891:BL891)=BK891,BK891&lt;&gt;"")),Data!$BJ$2,"")</f>
        <v/>
      </c>
      <c r="BP891" s="197" t="str">
        <f>IF(AND($K891="x",AND(MAX(BJ891:BL891)=BL891,BL891&lt;&gt;"")),Data!$BK$2,"")</f>
        <v/>
      </c>
      <c r="BQ891" s="197"/>
      <c r="BR891" s="328"/>
      <c r="BS891" s="451"/>
      <c r="BT891" s="452"/>
      <c r="BU891" s="438" t="str">
        <f t="shared" si="1325"/>
        <v/>
      </c>
      <c r="BV891" s="328"/>
      <c r="BW891" s="197" t="str">
        <f>IF(AND($I891="x",AND(MAX(BS891:BU891)=BS891,BS891&lt;&gt;"")),Data!$BI$2,"")</f>
        <v/>
      </c>
      <c r="BX891" s="197" t="str">
        <f>IF(AND($J891="x",AND(MAX(BS891:BU891)=BT891,BT891&lt;&gt;"")),Data!$BJ$2,"")</f>
        <v/>
      </c>
      <c r="BY891" s="197" t="str">
        <f>IF(AND($K891="x",AND(MAX(BS891:BU891)=BU891,BU891&lt;&gt;"")),Data!$BK$2,"")</f>
        <v/>
      </c>
      <c r="BZ891" s="197"/>
      <c r="CA891" s="328"/>
      <c r="CB891" s="457" t="str">
        <f t="shared" si="1326"/>
        <v/>
      </c>
      <c r="CC891" s="458" t="str">
        <f t="shared" si="1327"/>
        <v/>
      </c>
      <c r="CD891" s="459" t="str">
        <f t="shared" si="1328"/>
        <v/>
      </c>
      <c r="CE891" s="328"/>
      <c r="CF891" s="197" t="str">
        <f>IF(AND($I891="x",AND(MAX(CB891:CD891)=CB891,CB891&lt;&gt;"")),Data!$BI$2,"")</f>
        <v/>
      </c>
      <c r="CG891" s="197" t="str">
        <f>IF(AND($J891="x",AND(MAX(CB891:CD891)=CC891,CC891&lt;&gt;"")),Data!$BJ$2,"")</f>
        <v/>
      </c>
      <c r="CH891" s="197" t="str">
        <f>IF(AND($K891="x",AND(MAX(CB891:CD891)=CD891,CD891&lt;&gt;"")),Data!$BK$2,"")</f>
        <v/>
      </c>
      <c r="CI891" s="197"/>
      <c r="CJ891" s="197"/>
      <c r="CK891" s="451"/>
      <c r="CL891" s="452"/>
      <c r="CM891" s="438" t="str">
        <f t="shared" si="1329"/>
        <v/>
      </c>
      <c r="CN891" s="328"/>
      <c r="CO891" s="197" t="str">
        <f>IF(AND($I891="x",AND(MAX(CK891:CM891)=CK891,CK891&lt;&gt;"")),Data!$BI$2,"")</f>
        <v/>
      </c>
      <c r="CP891" s="197" t="str">
        <f>IF(AND($J891="x",AND(MAX(CK891:CM891)=CL891,CL891&lt;&gt;"")),Data!$BJ$2,"")</f>
        <v/>
      </c>
      <c r="CQ891" s="197" t="str">
        <f>IF(AND($K891="x",AND(MAX(CK891:CM891)=CM891,CM891&lt;&gt;"")),Data!$BK$2,"")</f>
        <v/>
      </c>
      <c r="CR891" s="197"/>
      <c r="CS891" s="197"/>
      <c r="CT891" s="328"/>
      <c r="CU891" s="255"/>
      <c r="CV891" s="209"/>
      <c r="CW891" s="227"/>
    </row>
    <row r="892" spans="1:101" x14ac:dyDescent="0.2">
      <c r="A892" s="227"/>
      <c r="B892" s="227"/>
      <c r="C892" s="168"/>
      <c r="D892" s="232"/>
      <c r="E892" s="135"/>
      <c r="F892" s="425"/>
      <c r="G892" s="430" t="s">
        <v>51</v>
      </c>
      <c r="H892" s="431"/>
      <c r="I892" s="346" t="str">
        <f t="shared" si="1316"/>
        <v/>
      </c>
      <c r="J892" s="347" t="str">
        <f t="shared" si="1317"/>
        <v/>
      </c>
      <c r="K892" s="348" t="str">
        <f t="shared" si="1318"/>
        <v/>
      </c>
      <c r="L892" s="258"/>
      <c r="M892" s="332"/>
      <c r="N892" s="336"/>
      <c r="O892" s="200"/>
      <c r="P892" s="200"/>
      <c r="Q892" s="439"/>
      <c r="R892" s="440"/>
      <c r="S892" s="441" t="str">
        <f t="shared" si="1319"/>
        <v/>
      </c>
      <c r="T892" s="328"/>
      <c r="U892" s="197" t="str">
        <f>IF(AND($I892="x",AND(MAX(Q892:S892)=Q892,Q892&gt;=0)),Data!$BI$2,"")</f>
        <v/>
      </c>
      <c r="V892" s="197" t="str">
        <f>IF(AND($J892="x",AND(MAX(Q892:S892)=R892,R892&gt;=0)),Data!$BJ$2,"")</f>
        <v/>
      </c>
      <c r="W892" s="197" t="str">
        <f>IF(AND($K892="x",AND(MAX(Q892:S892)=S892,S892&gt;=0)),Data!$BK$2,"")</f>
        <v/>
      </c>
      <c r="X892" s="197"/>
      <c r="Y892" s="328"/>
      <c r="Z892" s="453"/>
      <c r="AA892" s="454"/>
      <c r="AB892" s="441" t="str">
        <f t="shared" si="1320"/>
        <v/>
      </c>
      <c r="AC892" s="328"/>
      <c r="AD892" s="197" t="str">
        <f>IF(AND($I892="x",AND(MAX(Z892:AB892)=Z892,Z892&lt;&gt;"")),Data!$BI$2,"")</f>
        <v/>
      </c>
      <c r="AE892" s="197" t="str">
        <f>IF(AND($J892="x",AND(MAX(Z892:AB892)=AA892,AA892&lt;&gt;"")),Data!$BJ$2,"")</f>
        <v/>
      </c>
      <c r="AF892" s="197" t="str">
        <f>IF(AND($K892="x",AND(MAX(Z892:AB892)=AB892,AB892&lt;&gt;"")),Data!$BK$2,"")</f>
        <v/>
      </c>
      <c r="AG892" s="197"/>
      <c r="AH892" s="328"/>
      <c r="AI892" s="453"/>
      <c r="AJ892" s="454"/>
      <c r="AK892" s="441" t="str">
        <f t="shared" si="1321"/>
        <v/>
      </c>
      <c r="AL892" s="328"/>
      <c r="AM892" s="197" t="str">
        <f>IF(AND($I892="x",AND(MAX(AI892:AK892)=AI892,AI892&lt;&gt;"")),Data!$BI$2,"")</f>
        <v/>
      </c>
      <c r="AN892" s="197" t="str">
        <f>IF(AND($J892="x",AND(MAX(AI892:AK892)=AJ892,AJ892&lt;&gt;"")),Data!$BJ$2,"")</f>
        <v/>
      </c>
      <c r="AO892" s="197" t="str">
        <f>IF(AND($K892="x",AND(MAX(AI892:AK892)=AK892,AK892&lt;&gt;"")),Data!$BK$2,"")</f>
        <v/>
      </c>
      <c r="AP892" s="197"/>
      <c r="AQ892" s="328"/>
      <c r="AR892" s="453"/>
      <c r="AS892" s="454"/>
      <c r="AT892" s="441" t="str">
        <f t="shared" si="1322"/>
        <v/>
      </c>
      <c r="AU892" s="328"/>
      <c r="AV892" s="197" t="str">
        <f>IF(AND($I892="x",AND(MAX(AR892:AT892)=AR892,AR892&lt;&gt;"")),Data!$BI$2,"")</f>
        <v/>
      </c>
      <c r="AW892" s="197" t="str">
        <f>IF(AND($J892="x",AND(MAX(AR892:AT892)=AS892,AS892&lt;&gt;"")),Data!$BJ$2,"")</f>
        <v/>
      </c>
      <c r="AX892" s="197" t="str">
        <f>IF(AND($K892="x",AND(MAX(AR892:AT892)=AT892,AT892&lt;&gt;"")),Data!$BK$2,"")</f>
        <v/>
      </c>
      <c r="AY892" s="197"/>
      <c r="AZ892" s="328"/>
      <c r="BA892" s="453"/>
      <c r="BB892" s="454"/>
      <c r="BC892" s="441" t="str">
        <f t="shared" si="1323"/>
        <v/>
      </c>
      <c r="BD892" s="328"/>
      <c r="BE892" s="197" t="str">
        <f>IF(AND($I892="x",AND(MAX(BA892:BC892)=BA892,BA892&lt;&gt;"")),Data!$BI$2,"")</f>
        <v/>
      </c>
      <c r="BF892" s="197" t="str">
        <f>IF(AND($J892="x",AND(MAX(BA892:BC892)=BB892,BB892&lt;&gt;"")),Data!$BJ$2,"")</f>
        <v/>
      </c>
      <c r="BG892" s="197" t="str">
        <f>IF(AND($K892="x",AND(MAX(BA892:BC892)=BC892,BC892&lt;&gt;"")),Data!$BK$2,"")</f>
        <v/>
      </c>
      <c r="BH892" s="197"/>
      <c r="BI892" s="328"/>
      <c r="BJ892" s="453"/>
      <c r="BK892" s="454"/>
      <c r="BL892" s="441" t="str">
        <f t="shared" si="1324"/>
        <v/>
      </c>
      <c r="BM892" s="328"/>
      <c r="BN892" s="197" t="str">
        <f>IF(AND($I892="x",AND(MAX(BJ892:BL892)=BJ892,BJ892&lt;&gt;"")),Data!$BI$2,"")</f>
        <v/>
      </c>
      <c r="BO892" s="197" t="str">
        <f>IF(AND($J892="x",AND(MAX(BJ892:BL892)=BK892,BK892&lt;&gt;"")),Data!$BJ$2,"")</f>
        <v/>
      </c>
      <c r="BP892" s="197" t="str">
        <f>IF(AND($K892="x",AND(MAX(BJ892:BL892)=BL892,BL892&lt;&gt;"")),Data!$BK$2,"")</f>
        <v/>
      </c>
      <c r="BQ892" s="197"/>
      <c r="BR892" s="328"/>
      <c r="BS892" s="453"/>
      <c r="BT892" s="454"/>
      <c r="BU892" s="441" t="str">
        <f t="shared" si="1325"/>
        <v/>
      </c>
      <c r="BV892" s="328"/>
      <c r="BW892" s="197" t="str">
        <f>IF(AND($I892="x",AND(MAX(BS892:BU892)=BS892,BS892&lt;&gt;"")),Data!$BI$2,"")</f>
        <v/>
      </c>
      <c r="BX892" s="197" t="str">
        <f>IF(AND($J892="x",AND(MAX(BS892:BU892)=BT892,BT892&lt;&gt;"")),Data!$BJ$2,"")</f>
        <v/>
      </c>
      <c r="BY892" s="197" t="str">
        <f>IF(AND($K892="x",AND(MAX(BS892:BU892)=BU892,BU892&lt;&gt;"")),Data!$BK$2,"")</f>
        <v/>
      </c>
      <c r="BZ892" s="197"/>
      <c r="CA892" s="328"/>
      <c r="CB892" s="460" t="str">
        <f t="shared" si="1326"/>
        <v/>
      </c>
      <c r="CC892" s="461" t="str">
        <f t="shared" si="1327"/>
        <v/>
      </c>
      <c r="CD892" s="462" t="str">
        <f t="shared" si="1328"/>
        <v/>
      </c>
      <c r="CE892" s="328"/>
      <c r="CF892" s="197" t="str">
        <f>IF(AND($I892="x",AND(MAX(CB892:CD892)=CB892,CB892&lt;&gt;"")),Data!$BI$2,"")</f>
        <v/>
      </c>
      <c r="CG892" s="197" t="str">
        <f>IF(AND($J892="x",AND(MAX(CB892:CD892)=CC892,CC892&lt;&gt;"")),Data!$BJ$2,"")</f>
        <v/>
      </c>
      <c r="CH892" s="197" t="str">
        <f>IF(AND($K892="x",AND(MAX(CB892:CD892)=CD892,CD892&lt;&gt;"")),Data!$BK$2,"")</f>
        <v/>
      </c>
      <c r="CI892" s="197"/>
      <c r="CJ892" s="197"/>
      <c r="CK892" s="453"/>
      <c r="CL892" s="454"/>
      <c r="CM892" s="441" t="str">
        <f t="shared" si="1329"/>
        <v/>
      </c>
      <c r="CN892" s="328"/>
      <c r="CO892" s="197" t="str">
        <f>IF(AND($I892="x",AND(MAX(CK892:CM892)=CK892,CK892&lt;&gt;"")),Data!$BI$2,"")</f>
        <v/>
      </c>
      <c r="CP892" s="197" t="str">
        <f>IF(AND($J892="x",AND(MAX(CK892:CM892)=CL892,CL892&lt;&gt;"")),Data!$BJ$2,"")</f>
        <v/>
      </c>
      <c r="CQ892" s="197" t="str">
        <f>IF(AND($K892="x",AND(MAX(CK892:CM892)=CM892,CM892&lt;&gt;"")),Data!$BK$2,"")</f>
        <v/>
      </c>
      <c r="CR892" s="197"/>
      <c r="CS892" s="197"/>
      <c r="CT892" s="328"/>
      <c r="CU892" s="255"/>
      <c r="CV892" s="209"/>
      <c r="CW892" s="227"/>
    </row>
    <row r="893" spans="1:101" x14ac:dyDescent="0.2">
      <c r="A893" s="227"/>
      <c r="B893" s="227"/>
      <c r="C893" s="168"/>
      <c r="D893" s="232"/>
      <c r="E893" s="136"/>
      <c r="F893" s="426"/>
      <c r="G893" s="432" t="s">
        <v>51</v>
      </c>
      <c r="H893" s="433"/>
      <c r="I893" s="349" t="str">
        <f t="shared" si="1316"/>
        <v/>
      </c>
      <c r="J893" s="350" t="str">
        <f t="shared" si="1317"/>
        <v/>
      </c>
      <c r="K893" s="351" t="str">
        <f t="shared" si="1318"/>
        <v/>
      </c>
      <c r="L893" s="258"/>
      <c r="M893" s="332"/>
      <c r="N893" s="336"/>
      <c r="O893" s="200"/>
      <c r="P893" s="200"/>
      <c r="Q893" s="445"/>
      <c r="R893" s="446"/>
      <c r="S893" s="447" t="str">
        <f t="shared" si="1319"/>
        <v/>
      </c>
      <c r="T893" s="328"/>
      <c r="U893" s="197" t="str">
        <f>IF(AND($I893="x",AND(MAX(Q893:S893)=Q893,Q893&gt;=0)),Data!$BI$2,"")</f>
        <v/>
      </c>
      <c r="V893" s="197" t="str">
        <f>IF(AND($J893="x",AND(MAX(Q893:S893)=R893,R893&gt;=0)),Data!$BJ$2,"")</f>
        <v/>
      </c>
      <c r="W893" s="197" t="str">
        <f>IF(AND($K893="x",AND(MAX(Q893:S893)=S893,S893&gt;=0)),Data!$BK$2,"")</f>
        <v/>
      </c>
      <c r="X893" s="197"/>
      <c r="Y893" s="328"/>
      <c r="Z893" s="455"/>
      <c r="AA893" s="456"/>
      <c r="AB893" s="447" t="str">
        <f t="shared" si="1320"/>
        <v/>
      </c>
      <c r="AC893" s="328"/>
      <c r="AD893" s="197" t="str">
        <f>IF(AND($I893="x",AND(MAX(Z893:AB893)=Z893,Z893&lt;&gt;"")),Data!$BI$2,"")</f>
        <v/>
      </c>
      <c r="AE893" s="197" t="str">
        <f>IF(AND($J893="x",AND(MAX(Z893:AB893)=AA893,AA893&lt;&gt;"")),Data!$BJ$2,"")</f>
        <v/>
      </c>
      <c r="AF893" s="197" t="str">
        <f>IF(AND($K893="x",AND(MAX(Z893:AB893)=AB893,AB893&lt;&gt;"")),Data!$BK$2,"")</f>
        <v/>
      </c>
      <c r="AG893" s="197"/>
      <c r="AH893" s="328"/>
      <c r="AI893" s="455"/>
      <c r="AJ893" s="456"/>
      <c r="AK893" s="447" t="str">
        <f t="shared" si="1321"/>
        <v/>
      </c>
      <c r="AL893" s="328"/>
      <c r="AM893" s="197" t="str">
        <f>IF(AND($I893="x",AND(MAX(AI893:AK893)=AI893,AI893&lt;&gt;"")),Data!$BI$2,"")</f>
        <v/>
      </c>
      <c r="AN893" s="197" t="str">
        <f>IF(AND($J893="x",AND(MAX(AI893:AK893)=AJ893,AJ893&lt;&gt;"")),Data!$BJ$2,"")</f>
        <v/>
      </c>
      <c r="AO893" s="197" t="str">
        <f>IF(AND($K893="x",AND(MAX(AI893:AK893)=AK893,AK893&lt;&gt;"")),Data!$BK$2,"")</f>
        <v/>
      </c>
      <c r="AP893" s="197"/>
      <c r="AQ893" s="328"/>
      <c r="AR893" s="455"/>
      <c r="AS893" s="456"/>
      <c r="AT893" s="447" t="str">
        <f t="shared" si="1322"/>
        <v/>
      </c>
      <c r="AU893" s="328"/>
      <c r="AV893" s="197" t="str">
        <f>IF(AND($I893="x",AND(MAX(AR893:AT893)=AR893,AR893&lt;&gt;"")),Data!$BI$2,"")</f>
        <v/>
      </c>
      <c r="AW893" s="197" t="str">
        <f>IF(AND($J893="x",AND(MAX(AR893:AT893)=AS893,AS893&lt;&gt;"")),Data!$BJ$2,"")</f>
        <v/>
      </c>
      <c r="AX893" s="197" t="str">
        <f>IF(AND($K893="x",AND(MAX(AR893:AT893)=AT893,AT893&lt;&gt;"")),Data!$BK$2,"")</f>
        <v/>
      </c>
      <c r="AY893" s="197"/>
      <c r="AZ893" s="328"/>
      <c r="BA893" s="455"/>
      <c r="BB893" s="456"/>
      <c r="BC893" s="447" t="str">
        <f t="shared" si="1323"/>
        <v/>
      </c>
      <c r="BD893" s="328"/>
      <c r="BE893" s="197" t="str">
        <f>IF(AND($I893="x",AND(MAX(BA893:BC893)=BA893,BA893&lt;&gt;"")),Data!$BI$2,"")</f>
        <v/>
      </c>
      <c r="BF893" s="197" t="str">
        <f>IF(AND($J893="x",AND(MAX(BA893:BC893)=BB893,BB893&lt;&gt;"")),Data!$BJ$2,"")</f>
        <v/>
      </c>
      <c r="BG893" s="197" t="str">
        <f>IF(AND($K893="x",AND(MAX(BA893:BC893)=BC893,BC893&lt;&gt;"")),Data!$BK$2,"")</f>
        <v/>
      </c>
      <c r="BH893" s="197"/>
      <c r="BI893" s="328"/>
      <c r="BJ893" s="455"/>
      <c r="BK893" s="456"/>
      <c r="BL893" s="447" t="str">
        <f t="shared" si="1324"/>
        <v/>
      </c>
      <c r="BM893" s="328"/>
      <c r="BN893" s="197" t="str">
        <f>IF(AND($I893="x",AND(MAX(BJ893:BL893)=BJ893,BJ893&lt;&gt;"")),Data!$BI$2,"")</f>
        <v/>
      </c>
      <c r="BO893" s="197" t="str">
        <f>IF(AND($J893="x",AND(MAX(BJ893:BL893)=BK893,BK893&lt;&gt;"")),Data!$BJ$2,"")</f>
        <v/>
      </c>
      <c r="BP893" s="197" t="str">
        <f>IF(AND($K893="x",AND(MAX(BJ893:BL893)=BL893,BL893&lt;&gt;"")),Data!$BK$2,"")</f>
        <v/>
      </c>
      <c r="BQ893" s="197"/>
      <c r="BR893" s="328"/>
      <c r="BS893" s="455"/>
      <c r="BT893" s="456"/>
      <c r="BU893" s="447" t="str">
        <f t="shared" si="1325"/>
        <v/>
      </c>
      <c r="BV893" s="328"/>
      <c r="BW893" s="197" t="str">
        <f>IF(AND($I893="x",AND(MAX(BS893:BU893)=BS893,BS893&lt;&gt;"")),Data!$BI$2,"")</f>
        <v/>
      </c>
      <c r="BX893" s="197" t="str">
        <f>IF(AND($J893="x",AND(MAX(BS893:BU893)=BT893,BT893&lt;&gt;"")),Data!$BJ$2,"")</f>
        <v/>
      </c>
      <c r="BY893" s="197" t="str">
        <f>IF(AND($K893="x",AND(MAX(BS893:BU893)=BU893,BU893&lt;&gt;"")),Data!$BK$2,"")</f>
        <v/>
      </c>
      <c r="BZ893" s="197"/>
      <c r="CA893" s="328"/>
      <c r="CB893" s="463" t="str">
        <f t="shared" si="1326"/>
        <v/>
      </c>
      <c r="CC893" s="464" t="str">
        <f t="shared" si="1327"/>
        <v/>
      </c>
      <c r="CD893" s="465" t="str">
        <f t="shared" si="1328"/>
        <v/>
      </c>
      <c r="CE893" s="328"/>
      <c r="CF893" s="197" t="str">
        <f>IF(AND($I893="x",AND(MAX(CB893:CD893)=CB893,CB893&lt;&gt;"")),Data!$BI$2,"")</f>
        <v/>
      </c>
      <c r="CG893" s="197" t="str">
        <f>IF(AND($J893="x",AND(MAX(CB893:CD893)=CC893,CC893&lt;&gt;"")),Data!$BJ$2,"")</f>
        <v/>
      </c>
      <c r="CH893" s="197" t="str">
        <f>IF(AND($K893="x",AND(MAX(CB893:CD893)=CD893,CD893&lt;&gt;"")),Data!$BK$2,"")</f>
        <v/>
      </c>
      <c r="CI893" s="197"/>
      <c r="CJ893" s="197"/>
      <c r="CK893" s="455"/>
      <c r="CL893" s="456"/>
      <c r="CM893" s="447" t="str">
        <f t="shared" si="1329"/>
        <v/>
      </c>
      <c r="CN893" s="328"/>
      <c r="CO893" s="197" t="str">
        <f>IF(AND($I893="x",AND(MAX(CK893:CM893)=CK893,CK893&lt;&gt;"")),Data!$BI$2,"")</f>
        <v/>
      </c>
      <c r="CP893" s="197" t="str">
        <f>IF(AND($J893="x",AND(MAX(CK893:CM893)=CL893,CL893&lt;&gt;"")),Data!$BJ$2,"")</f>
        <v/>
      </c>
      <c r="CQ893" s="197" t="str">
        <f>IF(AND($K893="x",AND(MAX(CK893:CM893)=CM893,CM893&lt;&gt;"")),Data!$BK$2,"")</f>
        <v/>
      </c>
      <c r="CR893" s="197"/>
      <c r="CS893" s="197"/>
      <c r="CT893" s="328"/>
      <c r="CU893" s="255"/>
      <c r="CV893" s="209"/>
      <c r="CW893" s="227"/>
    </row>
    <row r="894" spans="1:101" x14ac:dyDescent="0.2">
      <c r="A894" s="227"/>
      <c r="B894" s="227"/>
      <c r="C894" s="168"/>
      <c r="D894" s="232"/>
      <c r="E894" s="134"/>
      <c r="F894" s="424"/>
      <c r="G894" s="428" t="s">
        <v>51</v>
      </c>
      <c r="H894" s="429"/>
      <c r="I894" s="138" t="str">
        <f t="shared" si="1316"/>
        <v/>
      </c>
      <c r="J894" s="344" t="str">
        <f t="shared" si="1317"/>
        <v/>
      </c>
      <c r="K894" s="345" t="str">
        <f t="shared" si="1318"/>
        <v/>
      </c>
      <c r="L894" s="258"/>
      <c r="M894" s="332"/>
      <c r="N894" s="336"/>
      <c r="O894" s="200"/>
      <c r="P894" s="200"/>
      <c r="Q894" s="436"/>
      <c r="R894" s="437"/>
      <c r="S894" s="438" t="str">
        <f t="shared" si="1319"/>
        <v/>
      </c>
      <c r="T894" s="328"/>
      <c r="U894" s="197" t="str">
        <f>IF(AND($I894="x",AND(MAX(Q894:S894)=Q894,Q894&gt;=0)),Data!$BI$2,"")</f>
        <v/>
      </c>
      <c r="V894" s="197" t="str">
        <f>IF(AND($J894="x",AND(MAX(Q894:S894)=R894,R894&gt;=0)),Data!$BJ$2,"")</f>
        <v/>
      </c>
      <c r="W894" s="197" t="str">
        <f>IF(AND($K894="x",AND(MAX(Q894:S894)=S894,S894&gt;=0)),Data!$BK$2,"")</f>
        <v/>
      </c>
      <c r="X894" s="197"/>
      <c r="Y894" s="328"/>
      <c r="Z894" s="451"/>
      <c r="AA894" s="452"/>
      <c r="AB894" s="438" t="str">
        <f t="shared" si="1320"/>
        <v/>
      </c>
      <c r="AC894" s="328"/>
      <c r="AD894" s="197" t="str">
        <f>IF(AND($I894="x",AND(MAX(Z894:AB894)=Z894,Z894&lt;&gt;"")),Data!$BI$2,"")</f>
        <v/>
      </c>
      <c r="AE894" s="197" t="str">
        <f>IF(AND($J894="x",AND(MAX(Z894:AB894)=AA894,AA894&lt;&gt;"")),Data!$BJ$2,"")</f>
        <v/>
      </c>
      <c r="AF894" s="197" t="str">
        <f>IF(AND($K894="x",AND(MAX(Z894:AB894)=AB894,AB894&lt;&gt;"")),Data!$BK$2,"")</f>
        <v/>
      </c>
      <c r="AG894" s="197"/>
      <c r="AH894" s="328"/>
      <c r="AI894" s="451"/>
      <c r="AJ894" s="452"/>
      <c r="AK894" s="438" t="str">
        <f t="shared" si="1321"/>
        <v/>
      </c>
      <c r="AL894" s="328"/>
      <c r="AM894" s="197" t="str">
        <f>IF(AND($I894="x",AND(MAX(AI894:AK894)=AI894,AI894&lt;&gt;"")),Data!$BI$2,"")</f>
        <v/>
      </c>
      <c r="AN894" s="197" t="str">
        <f>IF(AND($J894="x",AND(MAX(AI894:AK894)=AJ894,AJ894&lt;&gt;"")),Data!$BJ$2,"")</f>
        <v/>
      </c>
      <c r="AO894" s="197" t="str">
        <f>IF(AND($K894="x",AND(MAX(AI894:AK894)=AK894,AK894&lt;&gt;"")),Data!$BK$2,"")</f>
        <v/>
      </c>
      <c r="AP894" s="197"/>
      <c r="AQ894" s="328"/>
      <c r="AR894" s="451"/>
      <c r="AS894" s="452"/>
      <c r="AT894" s="438" t="str">
        <f t="shared" si="1322"/>
        <v/>
      </c>
      <c r="AU894" s="328"/>
      <c r="AV894" s="197" t="str">
        <f>IF(AND($I894="x",AND(MAX(AR894:AT894)=AR894,AR894&lt;&gt;"")),Data!$BI$2,"")</f>
        <v/>
      </c>
      <c r="AW894" s="197" t="str">
        <f>IF(AND($J894="x",AND(MAX(AR894:AT894)=AS894,AS894&lt;&gt;"")),Data!$BJ$2,"")</f>
        <v/>
      </c>
      <c r="AX894" s="197" t="str">
        <f>IF(AND($K894="x",AND(MAX(AR894:AT894)=AT894,AT894&lt;&gt;"")),Data!$BK$2,"")</f>
        <v/>
      </c>
      <c r="AY894" s="197"/>
      <c r="AZ894" s="328"/>
      <c r="BA894" s="451"/>
      <c r="BB894" s="452"/>
      <c r="BC894" s="438" t="str">
        <f t="shared" si="1323"/>
        <v/>
      </c>
      <c r="BD894" s="328"/>
      <c r="BE894" s="197" t="str">
        <f>IF(AND($I894="x",AND(MAX(BA894:BC894)=BA894,BA894&lt;&gt;"")),Data!$BI$2,"")</f>
        <v/>
      </c>
      <c r="BF894" s="197" t="str">
        <f>IF(AND($J894="x",AND(MAX(BA894:BC894)=BB894,BB894&lt;&gt;"")),Data!$BJ$2,"")</f>
        <v/>
      </c>
      <c r="BG894" s="197" t="str">
        <f>IF(AND($K894="x",AND(MAX(BA894:BC894)=BC894,BC894&lt;&gt;"")),Data!$BK$2,"")</f>
        <v/>
      </c>
      <c r="BH894" s="197"/>
      <c r="BI894" s="328"/>
      <c r="BJ894" s="451"/>
      <c r="BK894" s="452"/>
      <c r="BL894" s="438" t="str">
        <f t="shared" si="1324"/>
        <v/>
      </c>
      <c r="BM894" s="328"/>
      <c r="BN894" s="197" t="str">
        <f>IF(AND($I894="x",AND(MAX(BJ894:BL894)=BJ894,BJ894&lt;&gt;"")),Data!$BI$2,"")</f>
        <v/>
      </c>
      <c r="BO894" s="197" t="str">
        <f>IF(AND($J894="x",AND(MAX(BJ894:BL894)=BK894,BK894&lt;&gt;"")),Data!$BJ$2,"")</f>
        <v/>
      </c>
      <c r="BP894" s="197" t="str">
        <f>IF(AND($K894="x",AND(MAX(BJ894:BL894)=BL894,BL894&lt;&gt;"")),Data!$BK$2,"")</f>
        <v/>
      </c>
      <c r="BQ894" s="197"/>
      <c r="BR894" s="328"/>
      <c r="BS894" s="451"/>
      <c r="BT894" s="452"/>
      <c r="BU894" s="438" t="str">
        <f t="shared" si="1325"/>
        <v/>
      </c>
      <c r="BV894" s="328"/>
      <c r="BW894" s="197" t="str">
        <f>IF(AND($I894="x",AND(MAX(BS894:BU894)=BS894,BS894&lt;&gt;"")),Data!$BI$2,"")</f>
        <v/>
      </c>
      <c r="BX894" s="197" t="str">
        <f>IF(AND($J894="x",AND(MAX(BS894:BU894)=BT894,BT894&lt;&gt;"")),Data!$BJ$2,"")</f>
        <v/>
      </c>
      <c r="BY894" s="197" t="str">
        <f>IF(AND($K894="x",AND(MAX(BS894:BU894)=BU894,BU894&lt;&gt;"")),Data!$BK$2,"")</f>
        <v/>
      </c>
      <c r="BZ894" s="197"/>
      <c r="CA894" s="328"/>
      <c r="CB894" s="457" t="str">
        <f t="shared" si="1326"/>
        <v/>
      </c>
      <c r="CC894" s="458" t="str">
        <f t="shared" si="1327"/>
        <v/>
      </c>
      <c r="CD894" s="459" t="str">
        <f t="shared" si="1328"/>
        <v/>
      </c>
      <c r="CE894" s="328"/>
      <c r="CF894" s="197" t="str">
        <f>IF(AND($I894="x",AND(MAX(CB894:CD894)=CB894,CB894&lt;&gt;"")),Data!$BI$2,"")</f>
        <v/>
      </c>
      <c r="CG894" s="197" t="str">
        <f>IF(AND($J894="x",AND(MAX(CB894:CD894)=CC894,CC894&lt;&gt;"")),Data!$BJ$2,"")</f>
        <v/>
      </c>
      <c r="CH894" s="197" t="str">
        <f>IF(AND($K894="x",AND(MAX(CB894:CD894)=CD894,CD894&lt;&gt;"")),Data!$BK$2,"")</f>
        <v/>
      </c>
      <c r="CI894" s="197"/>
      <c r="CJ894" s="197"/>
      <c r="CK894" s="451"/>
      <c r="CL894" s="452"/>
      <c r="CM894" s="438" t="str">
        <f t="shared" si="1329"/>
        <v/>
      </c>
      <c r="CN894" s="328"/>
      <c r="CO894" s="197" t="str">
        <f>IF(AND($I894="x",AND(MAX(CK894:CM894)=CK894,CK894&lt;&gt;"")),Data!$BI$2,"")</f>
        <v/>
      </c>
      <c r="CP894" s="197" t="str">
        <f>IF(AND($J894="x",AND(MAX(CK894:CM894)=CL894,CL894&lt;&gt;"")),Data!$BJ$2,"")</f>
        <v/>
      </c>
      <c r="CQ894" s="197" t="str">
        <f>IF(AND($K894="x",AND(MAX(CK894:CM894)=CM894,CM894&lt;&gt;"")),Data!$BK$2,"")</f>
        <v/>
      </c>
      <c r="CR894" s="197"/>
      <c r="CS894" s="197"/>
      <c r="CT894" s="328"/>
      <c r="CU894" s="259"/>
      <c r="CV894" s="209"/>
      <c r="CW894" s="227"/>
    </row>
    <row r="895" spans="1:101" x14ac:dyDescent="0.2">
      <c r="A895" s="227"/>
      <c r="B895" s="227"/>
      <c r="C895" s="168"/>
      <c r="D895" s="232"/>
      <c r="E895" s="135"/>
      <c r="F895" s="425"/>
      <c r="G895" s="430" t="s">
        <v>51</v>
      </c>
      <c r="H895" s="431"/>
      <c r="I895" s="346" t="str">
        <f t="shared" si="1316"/>
        <v/>
      </c>
      <c r="J895" s="347" t="str">
        <f t="shared" si="1317"/>
        <v/>
      </c>
      <c r="K895" s="348" t="str">
        <f t="shared" si="1318"/>
        <v/>
      </c>
      <c r="L895" s="258"/>
      <c r="M895" s="332"/>
      <c r="N895" s="336"/>
      <c r="O895" s="200"/>
      <c r="P895" s="200"/>
      <c r="Q895" s="439"/>
      <c r="R895" s="440"/>
      <c r="S895" s="441" t="str">
        <f t="shared" si="1319"/>
        <v/>
      </c>
      <c r="T895" s="328"/>
      <c r="U895" s="197" t="str">
        <f>IF(AND($I895="x",AND(MAX(Q895:S895)=Q895,Q895&gt;=0)),Data!$BI$2,"")</f>
        <v/>
      </c>
      <c r="V895" s="197" t="str">
        <f>IF(AND($J895="x",AND(MAX(Q895:S895)=R895,R895&gt;=0)),Data!$BJ$2,"")</f>
        <v/>
      </c>
      <c r="W895" s="197" t="str">
        <f>IF(AND($K895="x",AND(MAX(Q895:S895)=S895,S895&gt;=0)),Data!$BK$2,"")</f>
        <v/>
      </c>
      <c r="X895" s="197"/>
      <c r="Y895" s="328"/>
      <c r="Z895" s="453"/>
      <c r="AA895" s="454"/>
      <c r="AB895" s="441" t="str">
        <f t="shared" si="1320"/>
        <v/>
      </c>
      <c r="AC895" s="328"/>
      <c r="AD895" s="197" t="str">
        <f>IF(AND($I895="x",AND(MAX(Z895:AB895)=Z895,Z895&lt;&gt;"")),Data!$BI$2,"")</f>
        <v/>
      </c>
      <c r="AE895" s="197" t="str">
        <f>IF(AND($J895="x",AND(MAX(Z895:AB895)=AA895,AA895&lt;&gt;"")),Data!$BJ$2,"")</f>
        <v/>
      </c>
      <c r="AF895" s="197" t="str">
        <f>IF(AND($K895="x",AND(MAX(Z895:AB895)=AB895,AB895&lt;&gt;"")),Data!$BK$2,"")</f>
        <v/>
      </c>
      <c r="AG895" s="197"/>
      <c r="AH895" s="328"/>
      <c r="AI895" s="453"/>
      <c r="AJ895" s="454"/>
      <c r="AK895" s="441" t="str">
        <f t="shared" si="1321"/>
        <v/>
      </c>
      <c r="AL895" s="328"/>
      <c r="AM895" s="197" t="str">
        <f>IF(AND($I895="x",AND(MAX(AI895:AK895)=AI895,AI895&lt;&gt;"")),Data!$BI$2,"")</f>
        <v/>
      </c>
      <c r="AN895" s="197" t="str">
        <f>IF(AND($J895="x",AND(MAX(AI895:AK895)=AJ895,AJ895&lt;&gt;"")),Data!$BJ$2,"")</f>
        <v/>
      </c>
      <c r="AO895" s="197" t="str">
        <f>IF(AND($K895="x",AND(MAX(AI895:AK895)=AK895,AK895&lt;&gt;"")),Data!$BK$2,"")</f>
        <v/>
      </c>
      <c r="AP895" s="197"/>
      <c r="AQ895" s="328"/>
      <c r="AR895" s="453"/>
      <c r="AS895" s="454"/>
      <c r="AT895" s="441" t="str">
        <f t="shared" si="1322"/>
        <v/>
      </c>
      <c r="AU895" s="328"/>
      <c r="AV895" s="197" t="str">
        <f>IF(AND($I895="x",AND(MAX(AR895:AT895)=AR895,AR895&lt;&gt;"")),Data!$BI$2,"")</f>
        <v/>
      </c>
      <c r="AW895" s="197" t="str">
        <f>IF(AND($J895="x",AND(MAX(AR895:AT895)=AS895,AS895&lt;&gt;"")),Data!$BJ$2,"")</f>
        <v/>
      </c>
      <c r="AX895" s="197" t="str">
        <f>IF(AND($K895="x",AND(MAX(AR895:AT895)=AT895,AT895&lt;&gt;"")),Data!$BK$2,"")</f>
        <v/>
      </c>
      <c r="AY895" s="197"/>
      <c r="AZ895" s="328"/>
      <c r="BA895" s="453"/>
      <c r="BB895" s="454"/>
      <c r="BC895" s="441" t="str">
        <f t="shared" si="1323"/>
        <v/>
      </c>
      <c r="BD895" s="328"/>
      <c r="BE895" s="197" t="str">
        <f>IF(AND($I895="x",AND(MAX(BA895:BC895)=BA895,BA895&lt;&gt;"")),Data!$BI$2,"")</f>
        <v/>
      </c>
      <c r="BF895" s="197" t="str">
        <f>IF(AND($J895="x",AND(MAX(BA895:BC895)=BB895,BB895&lt;&gt;"")),Data!$BJ$2,"")</f>
        <v/>
      </c>
      <c r="BG895" s="197" t="str">
        <f>IF(AND($K895="x",AND(MAX(BA895:BC895)=BC895,BC895&lt;&gt;"")),Data!$BK$2,"")</f>
        <v/>
      </c>
      <c r="BH895" s="197"/>
      <c r="BI895" s="328"/>
      <c r="BJ895" s="453"/>
      <c r="BK895" s="454"/>
      <c r="BL895" s="441" t="str">
        <f t="shared" si="1324"/>
        <v/>
      </c>
      <c r="BM895" s="328"/>
      <c r="BN895" s="197" t="str">
        <f>IF(AND($I895="x",AND(MAX(BJ895:BL895)=BJ895,BJ895&lt;&gt;"")),Data!$BI$2,"")</f>
        <v/>
      </c>
      <c r="BO895" s="197" t="str">
        <f>IF(AND($J895="x",AND(MAX(BJ895:BL895)=BK895,BK895&lt;&gt;"")),Data!$BJ$2,"")</f>
        <v/>
      </c>
      <c r="BP895" s="197" t="str">
        <f>IF(AND($K895="x",AND(MAX(BJ895:BL895)=BL895,BL895&lt;&gt;"")),Data!$BK$2,"")</f>
        <v/>
      </c>
      <c r="BQ895" s="197"/>
      <c r="BR895" s="328"/>
      <c r="BS895" s="453"/>
      <c r="BT895" s="454"/>
      <c r="BU895" s="441" t="str">
        <f t="shared" si="1325"/>
        <v/>
      </c>
      <c r="BV895" s="328"/>
      <c r="BW895" s="197" t="str">
        <f>IF(AND($I895="x",AND(MAX(BS895:BU895)=BS895,BS895&lt;&gt;"")),Data!$BI$2,"")</f>
        <v/>
      </c>
      <c r="BX895" s="197" t="str">
        <f>IF(AND($J895="x",AND(MAX(BS895:BU895)=BT895,BT895&lt;&gt;"")),Data!$BJ$2,"")</f>
        <v/>
      </c>
      <c r="BY895" s="197" t="str">
        <f>IF(AND($K895="x",AND(MAX(BS895:BU895)=BU895,BU895&lt;&gt;"")),Data!$BK$2,"")</f>
        <v/>
      </c>
      <c r="BZ895" s="197"/>
      <c r="CA895" s="328"/>
      <c r="CB895" s="460" t="str">
        <f t="shared" si="1326"/>
        <v/>
      </c>
      <c r="CC895" s="461" t="str">
        <f t="shared" si="1327"/>
        <v/>
      </c>
      <c r="CD895" s="462" t="str">
        <f t="shared" si="1328"/>
        <v/>
      </c>
      <c r="CE895" s="328"/>
      <c r="CF895" s="197" t="str">
        <f>IF(AND($I895="x",AND(MAX(CB895:CD895)=CB895,CB895&lt;&gt;"")),Data!$BI$2,"")</f>
        <v/>
      </c>
      <c r="CG895" s="197" t="str">
        <f>IF(AND($J895="x",AND(MAX(CB895:CD895)=CC895,CC895&lt;&gt;"")),Data!$BJ$2,"")</f>
        <v/>
      </c>
      <c r="CH895" s="197" t="str">
        <f>IF(AND($K895="x",AND(MAX(CB895:CD895)=CD895,CD895&lt;&gt;"")),Data!$BK$2,"")</f>
        <v/>
      </c>
      <c r="CI895" s="197"/>
      <c r="CJ895" s="197"/>
      <c r="CK895" s="453"/>
      <c r="CL895" s="454"/>
      <c r="CM895" s="441" t="str">
        <f t="shared" si="1329"/>
        <v/>
      </c>
      <c r="CN895" s="328"/>
      <c r="CO895" s="197" t="str">
        <f>IF(AND($I895="x",AND(MAX(CK895:CM895)=CK895,CK895&lt;&gt;"")),Data!$BI$2,"")</f>
        <v/>
      </c>
      <c r="CP895" s="197" t="str">
        <f>IF(AND($J895="x",AND(MAX(CK895:CM895)=CL895,CL895&lt;&gt;"")),Data!$BJ$2,"")</f>
        <v/>
      </c>
      <c r="CQ895" s="197" t="str">
        <f>IF(AND($K895="x",AND(MAX(CK895:CM895)=CM895,CM895&lt;&gt;"")),Data!$BK$2,"")</f>
        <v/>
      </c>
      <c r="CR895" s="197"/>
      <c r="CS895" s="197"/>
      <c r="CT895" s="328"/>
      <c r="CU895" s="259"/>
      <c r="CV895" s="209"/>
      <c r="CW895" s="227"/>
    </row>
    <row r="896" spans="1:101" x14ac:dyDescent="0.2">
      <c r="A896" s="227"/>
      <c r="B896" s="227"/>
      <c r="C896" s="168"/>
      <c r="D896" s="232"/>
      <c r="E896" s="136"/>
      <c r="F896" s="426"/>
      <c r="G896" s="432" t="s">
        <v>51</v>
      </c>
      <c r="H896" s="433"/>
      <c r="I896" s="349" t="str">
        <f t="shared" si="1316"/>
        <v/>
      </c>
      <c r="J896" s="350" t="str">
        <f t="shared" si="1317"/>
        <v/>
      </c>
      <c r="K896" s="351" t="str">
        <f t="shared" si="1318"/>
        <v/>
      </c>
      <c r="L896" s="258"/>
      <c r="M896" s="332"/>
      <c r="N896" s="336"/>
      <c r="O896" s="200"/>
      <c r="P896" s="200"/>
      <c r="Q896" s="445"/>
      <c r="R896" s="446"/>
      <c r="S896" s="447" t="str">
        <f t="shared" si="1319"/>
        <v/>
      </c>
      <c r="T896" s="328"/>
      <c r="U896" s="197" t="str">
        <f>IF(AND($I896="x",AND(MAX(Q896:S896)=Q896,Q896&gt;=0)),Data!$BI$2,"")</f>
        <v/>
      </c>
      <c r="V896" s="197" t="str">
        <f>IF(AND($J896="x",AND(MAX(Q896:S896)=R896,R896&gt;=0)),Data!$BJ$2,"")</f>
        <v/>
      </c>
      <c r="W896" s="197" t="str">
        <f>IF(AND($K896="x",AND(MAX(Q896:S896)=S896,S896&gt;=0)),Data!$BK$2,"")</f>
        <v/>
      </c>
      <c r="X896" s="197"/>
      <c r="Y896" s="328"/>
      <c r="Z896" s="455"/>
      <c r="AA896" s="456"/>
      <c r="AB896" s="447" t="str">
        <f t="shared" si="1320"/>
        <v/>
      </c>
      <c r="AC896" s="328"/>
      <c r="AD896" s="197" t="str">
        <f>IF(AND($I896="x",AND(MAX(Z896:AB896)=Z896,Z896&lt;&gt;"")),Data!$BI$2,"")</f>
        <v/>
      </c>
      <c r="AE896" s="197" t="str">
        <f>IF(AND($J896="x",AND(MAX(Z896:AB896)=AA896,AA896&lt;&gt;"")),Data!$BJ$2,"")</f>
        <v/>
      </c>
      <c r="AF896" s="197" t="str">
        <f>IF(AND($K896="x",AND(MAX(Z896:AB896)=AB896,AB896&lt;&gt;"")),Data!$BK$2,"")</f>
        <v/>
      </c>
      <c r="AG896" s="197"/>
      <c r="AH896" s="328"/>
      <c r="AI896" s="455"/>
      <c r="AJ896" s="456"/>
      <c r="AK896" s="447" t="str">
        <f t="shared" si="1321"/>
        <v/>
      </c>
      <c r="AL896" s="328"/>
      <c r="AM896" s="197" t="str">
        <f>IF(AND($I896="x",AND(MAX(AI896:AK896)=AI896,AI896&lt;&gt;"")),Data!$BI$2,"")</f>
        <v/>
      </c>
      <c r="AN896" s="197" t="str">
        <f>IF(AND($J896="x",AND(MAX(AI896:AK896)=AJ896,AJ896&lt;&gt;"")),Data!$BJ$2,"")</f>
        <v/>
      </c>
      <c r="AO896" s="197" t="str">
        <f>IF(AND($K896="x",AND(MAX(AI896:AK896)=AK896,AK896&lt;&gt;"")),Data!$BK$2,"")</f>
        <v/>
      </c>
      <c r="AP896" s="197"/>
      <c r="AQ896" s="328"/>
      <c r="AR896" s="455"/>
      <c r="AS896" s="456"/>
      <c r="AT896" s="447" t="str">
        <f t="shared" si="1322"/>
        <v/>
      </c>
      <c r="AU896" s="328"/>
      <c r="AV896" s="197" t="str">
        <f>IF(AND($I896="x",AND(MAX(AR896:AT896)=AR896,AR896&lt;&gt;"")),Data!$BI$2,"")</f>
        <v/>
      </c>
      <c r="AW896" s="197" t="str">
        <f>IF(AND($J896="x",AND(MAX(AR896:AT896)=AS896,AS896&lt;&gt;"")),Data!$BJ$2,"")</f>
        <v/>
      </c>
      <c r="AX896" s="197" t="str">
        <f>IF(AND($K896="x",AND(MAX(AR896:AT896)=AT896,AT896&lt;&gt;"")),Data!$BK$2,"")</f>
        <v/>
      </c>
      <c r="AY896" s="197"/>
      <c r="AZ896" s="328"/>
      <c r="BA896" s="455"/>
      <c r="BB896" s="456"/>
      <c r="BC896" s="447" t="str">
        <f t="shared" si="1323"/>
        <v/>
      </c>
      <c r="BD896" s="328"/>
      <c r="BE896" s="197" t="str">
        <f>IF(AND($I896="x",AND(MAX(BA896:BC896)=BA896,BA896&lt;&gt;"")),Data!$BI$2,"")</f>
        <v/>
      </c>
      <c r="BF896" s="197" t="str">
        <f>IF(AND($J896="x",AND(MAX(BA896:BC896)=BB896,BB896&lt;&gt;"")),Data!$BJ$2,"")</f>
        <v/>
      </c>
      <c r="BG896" s="197" t="str">
        <f>IF(AND($K896="x",AND(MAX(BA896:BC896)=BC896,BC896&lt;&gt;"")),Data!$BK$2,"")</f>
        <v/>
      </c>
      <c r="BH896" s="197"/>
      <c r="BI896" s="328"/>
      <c r="BJ896" s="455"/>
      <c r="BK896" s="456"/>
      <c r="BL896" s="447" t="str">
        <f t="shared" si="1324"/>
        <v/>
      </c>
      <c r="BM896" s="328"/>
      <c r="BN896" s="197" t="str">
        <f>IF(AND($I896="x",AND(MAX(BJ896:BL896)=BJ896,BJ896&lt;&gt;"")),Data!$BI$2,"")</f>
        <v/>
      </c>
      <c r="BO896" s="197" t="str">
        <f>IF(AND($J896="x",AND(MAX(BJ896:BL896)=BK896,BK896&lt;&gt;"")),Data!$BJ$2,"")</f>
        <v/>
      </c>
      <c r="BP896" s="197" t="str">
        <f>IF(AND($K896="x",AND(MAX(BJ896:BL896)=BL896,BL896&lt;&gt;"")),Data!$BK$2,"")</f>
        <v/>
      </c>
      <c r="BQ896" s="197"/>
      <c r="BR896" s="328"/>
      <c r="BS896" s="455"/>
      <c r="BT896" s="456"/>
      <c r="BU896" s="447" t="str">
        <f t="shared" si="1325"/>
        <v/>
      </c>
      <c r="BV896" s="328"/>
      <c r="BW896" s="197" t="str">
        <f>IF(AND($I896="x",AND(MAX(BS896:BU896)=BS896,BS896&lt;&gt;"")),Data!$BI$2,"")</f>
        <v/>
      </c>
      <c r="BX896" s="197" t="str">
        <f>IF(AND($J896="x",AND(MAX(BS896:BU896)=BT896,BT896&lt;&gt;"")),Data!$BJ$2,"")</f>
        <v/>
      </c>
      <c r="BY896" s="197" t="str">
        <f>IF(AND($K896="x",AND(MAX(BS896:BU896)=BU896,BU896&lt;&gt;"")),Data!$BK$2,"")</f>
        <v/>
      </c>
      <c r="BZ896" s="197"/>
      <c r="CA896" s="328"/>
      <c r="CB896" s="463" t="str">
        <f t="shared" si="1326"/>
        <v/>
      </c>
      <c r="CC896" s="464" t="str">
        <f t="shared" si="1327"/>
        <v/>
      </c>
      <c r="CD896" s="465" t="str">
        <f t="shared" si="1328"/>
        <v/>
      </c>
      <c r="CE896" s="328"/>
      <c r="CF896" s="197" t="str">
        <f>IF(AND($I896="x",AND(MAX(CB896:CD896)=CB896,CB896&lt;&gt;"")),Data!$BI$2,"")</f>
        <v/>
      </c>
      <c r="CG896" s="197" t="str">
        <f>IF(AND($J896="x",AND(MAX(CB896:CD896)=CC896,CC896&lt;&gt;"")),Data!$BJ$2,"")</f>
        <v/>
      </c>
      <c r="CH896" s="197" t="str">
        <f>IF(AND($K896="x",AND(MAX(CB896:CD896)=CD896,CD896&lt;&gt;"")),Data!$BK$2,"")</f>
        <v/>
      </c>
      <c r="CI896" s="197"/>
      <c r="CJ896" s="197"/>
      <c r="CK896" s="455"/>
      <c r="CL896" s="456"/>
      <c r="CM896" s="447" t="str">
        <f t="shared" si="1329"/>
        <v/>
      </c>
      <c r="CN896" s="328"/>
      <c r="CO896" s="197" t="str">
        <f>IF(AND($I896="x",AND(MAX(CK896:CM896)=CK896,CK896&lt;&gt;"")),Data!$BI$2,"")</f>
        <v/>
      </c>
      <c r="CP896" s="197" t="str">
        <f>IF(AND($J896="x",AND(MAX(CK896:CM896)=CL896,CL896&lt;&gt;"")),Data!$BJ$2,"")</f>
        <v/>
      </c>
      <c r="CQ896" s="197" t="str">
        <f>IF(AND($K896="x",AND(MAX(CK896:CM896)=CM896,CM896&lt;&gt;"")),Data!$BK$2,"")</f>
        <v/>
      </c>
      <c r="CR896" s="197"/>
      <c r="CS896" s="197"/>
      <c r="CT896" s="328"/>
      <c r="CU896" s="259"/>
      <c r="CV896" s="209"/>
      <c r="CW896" s="227"/>
    </row>
    <row r="897" spans="1:101" x14ac:dyDescent="0.2">
      <c r="A897" s="227"/>
      <c r="B897" s="227"/>
      <c r="C897" s="168"/>
      <c r="D897" s="232"/>
      <c r="E897" s="137"/>
      <c r="F897" s="427"/>
      <c r="G897" s="434" t="s">
        <v>51</v>
      </c>
      <c r="H897" s="435"/>
      <c r="I897" s="138" t="str">
        <f t="shared" si="1316"/>
        <v/>
      </c>
      <c r="J897" s="344" t="str">
        <f t="shared" si="1317"/>
        <v/>
      </c>
      <c r="K897" s="345" t="str">
        <f t="shared" si="1318"/>
        <v/>
      </c>
      <c r="L897" s="258"/>
      <c r="M897" s="332"/>
      <c r="N897" s="336"/>
      <c r="O897" s="200"/>
      <c r="P897" s="200"/>
      <c r="Q897" s="448"/>
      <c r="R897" s="449"/>
      <c r="S897" s="450" t="str">
        <f t="shared" si="1319"/>
        <v/>
      </c>
      <c r="T897" s="328"/>
      <c r="U897" s="197" t="str">
        <f>IF(AND($I897="x",AND(MAX(Q897:S897)=Q897,Q897&gt;=0)),Data!$BI$2,"")</f>
        <v/>
      </c>
      <c r="V897" s="197" t="str">
        <f>IF(AND($J897="x",AND(MAX(Q897:S897)=R897,R897&gt;=0)),Data!$BJ$2,"")</f>
        <v/>
      </c>
      <c r="W897" s="197" t="str">
        <f>IF(AND($K897="x",AND(MAX(Q897:S897)=S897,S897&gt;=0)),Data!$BK$2,"")</f>
        <v/>
      </c>
      <c r="X897" s="197"/>
      <c r="Y897" s="328"/>
      <c r="Z897" s="451"/>
      <c r="AA897" s="452"/>
      <c r="AB897" s="450" t="str">
        <f t="shared" si="1320"/>
        <v/>
      </c>
      <c r="AC897" s="328"/>
      <c r="AD897" s="197" t="str">
        <f>IF(AND($I897="x",AND(MAX(Z897:AB897)=Z897,Z897&lt;&gt;"")),Data!$BI$2,"")</f>
        <v/>
      </c>
      <c r="AE897" s="197" t="str">
        <f>IF(AND($J897="x",AND(MAX(Z897:AB897)=AA897,AA897&lt;&gt;"")),Data!$BJ$2,"")</f>
        <v/>
      </c>
      <c r="AF897" s="197" t="str">
        <f>IF(AND($K897="x",AND(MAX(Z897:AB897)=AB897,AB897&lt;&gt;"")),Data!$BK$2,"")</f>
        <v/>
      </c>
      <c r="AG897" s="197"/>
      <c r="AH897" s="328"/>
      <c r="AI897" s="451"/>
      <c r="AJ897" s="452"/>
      <c r="AK897" s="450" t="str">
        <f t="shared" si="1321"/>
        <v/>
      </c>
      <c r="AL897" s="328"/>
      <c r="AM897" s="197" t="str">
        <f>IF(AND($I897="x",AND(MAX(AI897:AK897)=AI897,AI897&lt;&gt;"")),Data!$BI$2,"")</f>
        <v/>
      </c>
      <c r="AN897" s="197" t="str">
        <f>IF(AND($J897="x",AND(MAX(AI897:AK897)=AJ897,AJ897&lt;&gt;"")),Data!$BJ$2,"")</f>
        <v/>
      </c>
      <c r="AO897" s="197" t="str">
        <f>IF(AND($K897="x",AND(MAX(AI897:AK897)=AK897,AK897&lt;&gt;"")),Data!$BK$2,"")</f>
        <v/>
      </c>
      <c r="AP897" s="197"/>
      <c r="AQ897" s="328"/>
      <c r="AR897" s="451"/>
      <c r="AS897" s="452"/>
      <c r="AT897" s="450" t="str">
        <f t="shared" si="1322"/>
        <v/>
      </c>
      <c r="AU897" s="328"/>
      <c r="AV897" s="197" t="str">
        <f>IF(AND($I897="x",AND(MAX(AR897:AT897)=AR897,AR897&lt;&gt;"")),Data!$BI$2,"")</f>
        <v/>
      </c>
      <c r="AW897" s="197" t="str">
        <f>IF(AND($J897="x",AND(MAX(AR897:AT897)=AS897,AS897&lt;&gt;"")),Data!$BJ$2,"")</f>
        <v/>
      </c>
      <c r="AX897" s="197" t="str">
        <f>IF(AND($K897="x",AND(MAX(AR897:AT897)=AT897,AT897&lt;&gt;"")),Data!$BK$2,"")</f>
        <v/>
      </c>
      <c r="AY897" s="197"/>
      <c r="AZ897" s="328"/>
      <c r="BA897" s="451"/>
      <c r="BB897" s="452"/>
      <c r="BC897" s="450" t="str">
        <f t="shared" si="1323"/>
        <v/>
      </c>
      <c r="BD897" s="328"/>
      <c r="BE897" s="197" t="str">
        <f>IF(AND($I897="x",AND(MAX(BA897:BC897)=BA897,BA897&lt;&gt;"")),Data!$BI$2,"")</f>
        <v/>
      </c>
      <c r="BF897" s="197" t="str">
        <f>IF(AND($J897="x",AND(MAX(BA897:BC897)=BB897,BB897&lt;&gt;"")),Data!$BJ$2,"")</f>
        <v/>
      </c>
      <c r="BG897" s="197" t="str">
        <f>IF(AND($K897="x",AND(MAX(BA897:BC897)=BC897,BC897&lt;&gt;"")),Data!$BK$2,"")</f>
        <v/>
      </c>
      <c r="BH897" s="197"/>
      <c r="BI897" s="328"/>
      <c r="BJ897" s="451"/>
      <c r="BK897" s="452"/>
      <c r="BL897" s="450" t="str">
        <f t="shared" si="1324"/>
        <v/>
      </c>
      <c r="BM897" s="328"/>
      <c r="BN897" s="197" t="str">
        <f>IF(AND($I897="x",AND(MAX(BJ897:BL897)=BJ897,BJ897&lt;&gt;"")),Data!$BI$2,"")</f>
        <v/>
      </c>
      <c r="BO897" s="197" t="str">
        <f>IF(AND($J897="x",AND(MAX(BJ897:BL897)=BK897,BK897&lt;&gt;"")),Data!$BJ$2,"")</f>
        <v/>
      </c>
      <c r="BP897" s="197" t="str">
        <f>IF(AND($K897="x",AND(MAX(BJ897:BL897)=BL897,BL897&lt;&gt;"")),Data!$BK$2,"")</f>
        <v/>
      </c>
      <c r="BQ897" s="197"/>
      <c r="BR897" s="328"/>
      <c r="BS897" s="451"/>
      <c r="BT897" s="452"/>
      <c r="BU897" s="450" t="str">
        <f t="shared" si="1325"/>
        <v/>
      </c>
      <c r="BV897" s="328"/>
      <c r="BW897" s="197" t="str">
        <f>IF(AND($I897="x",AND(MAX(BS897:BU897)=BS897,BS897&lt;&gt;"")),Data!$BI$2,"")</f>
        <v/>
      </c>
      <c r="BX897" s="197" t="str">
        <f>IF(AND($J897="x",AND(MAX(BS897:BU897)=BT897,BT897&lt;&gt;"")),Data!$BJ$2,"")</f>
        <v/>
      </c>
      <c r="BY897" s="197" t="str">
        <f>IF(AND($K897="x",AND(MAX(BS897:BU897)=BU897,BU897&lt;&gt;"")),Data!$BK$2,"")</f>
        <v/>
      </c>
      <c r="BZ897" s="197"/>
      <c r="CA897" s="328"/>
      <c r="CB897" s="457" t="str">
        <f t="shared" si="1326"/>
        <v/>
      </c>
      <c r="CC897" s="458" t="str">
        <f t="shared" si="1327"/>
        <v/>
      </c>
      <c r="CD897" s="459" t="str">
        <f t="shared" si="1328"/>
        <v/>
      </c>
      <c r="CE897" s="328"/>
      <c r="CF897" s="197" t="str">
        <f>IF(AND($I897="x",AND(MAX(CB897:CD897)=CB897,CB897&lt;&gt;"")),Data!$BI$2,"")</f>
        <v/>
      </c>
      <c r="CG897" s="197" t="str">
        <f>IF(AND($J897="x",AND(MAX(CB897:CD897)=CC897,CC897&lt;&gt;"")),Data!$BJ$2,"")</f>
        <v/>
      </c>
      <c r="CH897" s="197" t="str">
        <f>IF(AND($K897="x",AND(MAX(CB897:CD897)=CD897,CD897&lt;&gt;"")),Data!$BK$2,"")</f>
        <v/>
      </c>
      <c r="CI897" s="197"/>
      <c r="CJ897" s="197"/>
      <c r="CK897" s="451"/>
      <c r="CL897" s="452"/>
      <c r="CM897" s="450" t="str">
        <f t="shared" si="1329"/>
        <v/>
      </c>
      <c r="CN897" s="328"/>
      <c r="CO897" s="197" t="str">
        <f>IF(AND($I897="x",AND(MAX(CK897:CM897)=CK897,CK897&lt;&gt;"")),Data!$BI$2,"")</f>
        <v/>
      </c>
      <c r="CP897" s="197" t="str">
        <f>IF(AND($J897="x",AND(MAX(CK897:CM897)=CL897,CL897&lt;&gt;"")),Data!$BJ$2,"")</f>
        <v/>
      </c>
      <c r="CQ897" s="197" t="str">
        <f>IF(AND($K897="x",AND(MAX(CK897:CM897)=CM897,CM897&lt;&gt;"")),Data!$BK$2,"")</f>
        <v/>
      </c>
      <c r="CR897" s="197"/>
      <c r="CS897" s="197"/>
      <c r="CT897" s="328"/>
      <c r="CU897" s="259"/>
      <c r="CV897" s="209"/>
      <c r="CW897" s="227"/>
    </row>
    <row r="898" spans="1:101" x14ac:dyDescent="0.2">
      <c r="A898" s="227"/>
      <c r="B898" s="227"/>
      <c r="C898" s="168"/>
      <c r="D898" s="232"/>
      <c r="E898" s="135"/>
      <c r="F898" s="425"/>
      <c r="G898" s="430" t="s">
        <v>51</v>
      </c>
      <c r="H898" s="431"/>
      <c r="I898" s="346" t="str">
        <f t="shared" si="1316"/>
        <v/>
      </c>
      <c r="J898" s="347" t="str">
        <f t="shared" si="1317"/>
        <v/>
      </c>
      <c r="K898" s="348" t="str">
        <f t="shared" si="1318"/>
        <v/>
      </c>
      <c r="L898" s="258"/>
      <c r="M898" s="332"/>
      <c r="N898" s="336"/>
      <c r="O898" s="200"/>
      <c r="P898" s="200"/>
      <c r="Q898" s="439"/>
      <c r="R898" s="440"/>
      <c r="S898" s="441" t="str">
        <f t="shared" si="1319"/>
        <v/>
      </c>
      <c r="T898" s="328"/>
      <c r="U898" s="197" t="str">
        <f>IF(AND($I898="x",AND(MAX(Q898:S898)=Q898,Q898&gt;=0)),Data!$BI$2,"")</f>
        <v/>
      </c>
      <c r="V898" s="197" t="str">
        <f>IF(AND($J898="x",AND(MAX(Q898:S898)=R898,R898&gt;=0)),Data!$BJ$2,"")</f>
        <v/>
      </c>
      <c r="W898" s="197" t="str">
        <f>IF(AND($K898="x",AND(MAX(Q898:S898)=S898,S898&gt;=0)),Data!$BK$2,"")</f>
        <v/>
      </c>
      <c r="X898" s="197"/>
      <c r="Y898" s="328"/>
      <c r="Z898" s="453"/>
      <c r="AA898" s="454"/>
      <c r="AB898" s="441" t="str">
        <f t="shared" si="1320"/>
        <v/>
      </c>
      <c r="AC898" s="328"/>
      <c r="AD898" s="197" t="str">
        <f>IF(AND($I898="x",AND(MAX(Z898:AB898)=Z898,Z898&lt;&gt;"")),Data!$BI$2,"")</f>
        <v/>
      </c>
      <c r="AE898" s="197" t="str">
        <f>IF(AND($J898="x",AND(MAX(Z898:AB898)=AA898,AA898&lt;&gt;"")),Data!$BJ$2,"")</f>
        <v/>
      </c>
      <c r="AF898" s="197" t="str">
        <f>IF(AND($K898="x",AND(MAX(Z898:AB898)=AB898,AB898&lt;&gt;"")),Data!$BK$2,"")</f>
        <v/>
      </c>
      <c r="AG898" s="197"/>
      <c r="AH898" s="328"/>
      <c r="AI898" s="453"/>
      <c r="AJ898" s="454"/>
      <c r="AK898" s="441" t="str">
        <f t="shared" si="1321"/>
        <v/>
      </c>
      <c r="AL898" s="328"/>
      <c r="AM898" s="197" t="str">
        <f>IF(AND($I898="x",AND(MAX(AI898:AK898)=AI898,AI898&lt;&gt;"")),Data!$BI$2,"")</f>
        <v/>
      </c>
      <c r="AN898" s="197" t="str">
        <f>IF(AND($J898="x",AND(MAX(AI898:AK898)=AJ898,AJ898&lt;&gt;"")),Data!$BJ$2,"")</f>
        <v/>
      </c>
      <c r="AO898" s="197" t="str">
        <f>IF(AND($K898="x",AND(MAX(AI898:AK898)=AK898,AK898&lt;&gt;"")),Data!$BK$2,"")</f>
        <v/>
      </c>
      <c r="AP898" s="197"/>
      <c r="AQ898" s="328"/>
      <c r="AR898" s="453"/>
      <c r="AS898" s="454"/>
      <c r="AT898" s="441" t="str">
        <f t="shared" si="1322"/>
        <v/>
      </c>
      <c r="AU898" s="328"/>
      <c r="AV898" s="197" t="str">
        <f>IF(AND($I898="x",AND(MAX(AR898:AT898)=AR898,AR898&lt;&gt;"")),Data!$BI$2,"")</f>
        <v/>
      </c>
      <c r="AW898" s="197" t="str">
        <f>IF(AND($J898="x",AND(MAX(AR898:AT898)=AS898,AS898&lt;&gt;"")),Data!$BJ$2,"")</f>
        <v/>
      </c>
      <c r="AX898" s="197" t="str">
        <f>IF(AND($K898="x",AND(MAX(AR898:AT898)=AT898,AT898&lt;&gt;"")),Data!$BK$2,"")</f>
        <v/>
      </c>
      <c r="AY898" s="197"/>
      <c r="AZ898" s="328"/>
      <c r="BA898" s="453"/>
      <c r="BB898" s="454"/>
      <c r="BC898" s="441" t="str">
        <f t="shared" si="1323"/>
        <v/>
      </c>
      <c r="BD898" s="328"/>
      <c r="BE898" s="197" t="str">
        <f>IF(AND($I898="x",AND(MAX(BA898:BC898)=BA898,BA898&lt;&gt;"")),Data!$BI$2,"")</f>
        <v/>
      </c>
      <c r="BF898" s="197" t="str">
        <f>IF(AND($J898="x",AND(MAX(BA898:BC898)=BB898,BB898&lt;&gt;"")),Data!$BJ$2,"")</f>
        <v/>
      </c>
      <c r="BG898" s="197" t="str">
        <f>IF(AND($K898="x",AND(MAX(BA898:BC898)=BC898,BC898&lt;&gt;"")),Data!$BK$2,"")</f>
        <v/>
      </c>
      <c r="BH898" s="197"/>
      <c r="BI898" s="328"/>
      <c r="BJ898" s="453"/>
      <c r="BK898" s="454"/>
      <c r="BL898" s="441" t="str">
        <f t="shared" si="1324"/>
        <v/>
      </c>
      <c r="BM898" s="328"/>
      <c r="BN898" s="197" t="str">
        <f>IF(AND($I898="x",AND(MAX(BJ898:BL898)=BJ898,BJ898&lt;&gt;"")),Data!$BI$2,"")</f>
        <v/>
      </c>
      <c r="BO898" s="197" t="str">
        <f>IF(AND($J898="x",AND(MAX(BJ898:BL898)=BK898,BK898&lt;&gt;"")),Data!$BJ$2,"")</f>
        <v/>
      </c>
      <c r="BP898" s="197" t="str">
        <f>IF(AND($K898="x",AND(MAX(BJ898:BL898)=BL898,BL898&lt;&gt;"")),Data!$BK$2,"")</f>
        <v/>
      </c>
      <c r="BQ898" s="197"/>
      <c r="BR898" s="328"/>
      <c r="BS898" s="453"/>
      <c r="BT898" s="454"/>
      <c r="BU898" s="441" t="str">
        <f t="shared" si="1325"/>
        <v/>
      </c>
      <c r="BV898" s="328"/>
      <c r="BW898" s="197" t="str">
        <f>IF(AND($I898="x",AND(MAX(BS898:BU898)=BS898,BS898&lt;&gt;"")),Data!$BI$2,"")</f>
        <v/>
      </c>
      <c r="BX898" s="197" t="str">
        <f>IF(AND($J898="x",AND(MAX(BS898:BU898)=BT898,BT898&lt;&gt;"")),Data!$BJ$2,"")</f>
        <v/>
      </c>
      <c r="BY898" s="197" t="str">
        <f>IF(AND($K898="x",AND(MAX(BS898:BU898)=BU898,BU898&lt;&gt;"")),Data!$BK$2,"")</f>
        <v/>
      </c>
      <c r="BZ898" s="197"/>
      <c r="CA898" s="328"/>
      <c r="CB898" s="460" t="str">
        <f t="shared" si="1326"/>
        <v/>
      </c>
      <c r="CC898" s="461" t="str">
        <f t="shared" si="1327"/>
        <v/>
      </c>
      <c r="CD898" s="462" t="str">
        <f t="shared" si="1328"/>
        <v/>
      </c>
      <c r="CE898" s="328"/>
      <c r="CF898" s="197" t="str">
        <f>IF(AND($I898="x",AND(MAX(CB898:CD898)=CB898,CB898&lt;&gt;"")),Data!$BI$2,"")</f>
        <v/>
      </c>
      <c r="CG898" s="197" t="str">
        <f>IF(AND($J898="x",AND(MAX(CB898:CD898)=CC898,CC898&lt;&gt;"")),Data!$BJ$2,"")</f>
        <v/>
      </c>
      <c r="CH898" s="197" t="str">
        <f>IF(AND($K898="x",AND(MAX(CB898:CD898)=CD898,CD898&lt;&gt;"")),Data!$BK$2,"")</f>
        <v/>
      </c>
      <c r="CI898" s="197"/>
      <c r="CJ898" s="197"/>
      <c r="CK898" s="453"/>
      <c r="CL898" s="454"/>
      <c r="CM898" s="441" t="str">
        <f t="shared" si="1329"/>
        <v/>
      </c>
      <c r="CN898" s="328"/>
      <c r="CO898" s="197" t="str">
        <f>IF(AND($I898="x",AND(MAX(CK898:CM898)=CK898,CK898&lt;&gt;"")),Data!$BI$2,"")</f>
        <v/>
      </c>
      <c r="CP898" s="197" t="str">
        <f>IF(AND($J898="x",AND(MAX(CK898:CM898)=CL898,CL898&lt;&gt;"")),Data!$BJ$2,"")</f>
        <v/>
      </c>
      <c r="CQ898" s="197" t="str">
        <f>IF(AND($K898="x",AND(MAX(CK898:CM898)=CM898,CM898&lt;&gt;"")),Data!$BK$2,"")</f>
        <v/>
      </c>
      <c r="CR898" s="197"/>
      <c r="CS898" s="197"/>
      <c r="CT898" s="328"/>
      <c r="CU898" s="259"/>
      <c r="CV898" s="209"/>
      <c r="CW898" s="227"/>
    </row>
    <row r="899" spans="1:101" x14ac:dyDescent="0.2">
      <c r="A899" s="227"/>
      <c r="B899" s="227"/>
      <c r="C899" s="168"/>
      <c r="D899" s="232"/>
      <c r="E899" s="136"/>
      <c r="F899" s="426"/>
      <c r="G899" s="432" t="s">
        <v>51</v>
      </c>
      <c r="H899" s="433"/>
      <c r="I899" s="349" t="str">
        <f t="shared" si="1316"/>
        <v/>
      </c>
      <c r="J899" s="350" t="str">
        <f t="shared" si="1317"/>
        <v/>
      </c>
      <c r="K899" s="351" t="str">
        <f t="shared" si="1318"/>
        <v/>
      </c>
      <c r="L899" s="258"/>
      <c r="M899" s="332"/>
      <c r="N899" s="336"/>
      <c r="O899" s="200"/>
      <c r="P899" s="200"/>
      <c r="Q899" s="445"/>
      <c r="R899" s="446"/>
      <c r="S899" s="447" t="str">
        <f t="shared" si="1319"/>
        <v/>
      </c>
      <c r="T899" s="328"/>
      <c r="U899" s="197" t="str">
        <f>IF(AND($I899="x",AND(MAX(Q899:S899)=Q899,Q899&gt;=0)),Data!$BI$2,"")</f>
        <v/>
      </c>
      <c r="V899" s="197" t="str">
        <f>IF(AND($J899="x",AND(MAX(Q899:S899)=R899,R899&gt;=0)),Data!$BJ$2,"")</f>
        <v/>
      </c>
      <c r="W899" s="197" t="str">
        <f>IF(AND($K899="x",AND(MAX(Q899:S899)=S899,S899&gt;=0)),Data!$BK$2,"")</f>
        <v/>
      </c>
      <c r="X899" s="197"/>
      <c r="Y899" s="328"/>
      <c r="Z899" s="455"/>
      <c r="AA899" s="456"/>
      <c r="AB899" s="447" t="str">
        <f t="shared" si="1320"/>
        <v/>
      </c>
      <c r="AC899" s="328"/>
      <c r="AD899" s="197" t="str">
        <f>IF(AND($I899="x",AND(MAX(Z899:AB899)=Z899,Z899&lt;&gt;"")),Data!$BI$2,"")</f>
        <v/>
      </c>
      <c r="AE899" s="197" t="str">
        <f>IF(AND($J899="x",AND(MAX(Z899:AB899)=AA899,AA899&lt;&gt;"")),Data!$BJ$2,"")</f>
        <v/>
      </c>
      <c r="AF899" s="197" t="str">
        <f>IF(AND($K899="x",AND(MAX(Z899:AB899)=AB899,AB899&lt;&gt;"")),Data!$BK$2,"")</f>
        <v/>
      </c>
      <c r="AG899" s="197"/>
      <c r="AH899" s="328"/>
      <c r="AI899" s="455"/>
      <c r="AJ899" s="456"/>
      <c r="AK899" s="447" t="str">
        <f t="shared" si="1321"/>
        <v/>
      </c>
      <c r="AL899" s="328"/>
      <c r="AM899" s="197" t="str">
        <f>IF(AND($I899="x",AND(MAX(AI899:AK899)=AI899,AI899&lt;&gt;"")),Data!$BI$2,"")</f>
        <v/>
      </c>
      <c r="AN899" s="197" t="str">
        <f>IF(AND($J899="x",AND(MAX(AI899:AK899)=AJ899,AJ899&lt;&gt;"")),Data!$BJ$2,"")</f>
        <v/>
      </c>
      <c r="AO899" s="197" t="str">
        <f>IF(AND($K899="x",AND(MAX(AI899:AK899)=AK899,AK899&lt;&gt;"")),Data!$BK$2,"")</f>
        <v/>
      </c>
      <c r="AP899" s="197"/>
      <c r="AQ899" s="328"/>
      <c r="AR899" s="455"/>
      <c r="AS899" s="456"/>
      <c r="AT899" s="447" t="str">
        <f t="shared" si="1322"/>
        <v/>
      </c>
      <c r="AU899" s="328"/>
      <c r="AV899" s="197" t="str">
        <f>IF(AND($I899="x",AND(MAX(AR899:AT899)=AR899,AR899&lt;&gt;"")),Data!$BI$2,"")</f>
        <v/>
      </c>
      <c r="AW899" s="197" t="str">
        <f>IF(AND($J899="x",AND(MAX(AR899:AT899)=AS899,AS899&lt;&gt;"")),Data!$BJ$2,"")</f>
        <v/>
      </c>
      <c r="AX899" s="197" t="str">
        <f>IF(AND($K899="x",AND(MAX(AR899:AT899)=AT899,AT899&lt;&gt;"")),Data!$BK$2,"")</f>
        <v/>
      </c>
      <c r="AY899" s="197"/>
      <c r="AZ899" s="328"/>
      <c r="BA899" s="455"/>
      <c r="BB899" s="456"/>
      <c r="BC899" s="447" t="str">
        <f t="shared" si="1323"/>
        <v/>
      </c>
      <c r="BD899" s="328"/>
      <c r="BE899" s="197" t="str">
        <f>IF(AND($I899="x",AND(MAX(BA899:BC899)=BA899,BA899&lt;&gt;"")),Data!$BI$2,"")</f>
        <v/>
      </c>
      <c r="BF899" s="197" t="str">
        <f>IF(AND($J899="x",AND(MAX(BA899:BC899)=BB899,BB899&lt;&gt;"")),Data!$BJ$2,"")</f>
        <v/>
      </c>
      <c r="BG899" s="197" t="str">
        <f>IF(AND($K899="x",AND(MAX(BA899:BC899)=BC899,BC899&lt;&gt;"")),Data!$BK$2,"")</f>
        <v/>
      </c>
      <c r="BH899" s="197"/>
      <c r="BI899" s="328"/>
      <c r="BJ899" s="455"/>
      <c r="BK899" s="456"/>
      <c r="BL899" s="447" t="str">
        <f t="shared" si="1324"/>
        <v/>
      </c>
      <c r="BM899" s="328"/>
      <c r="BN899" s="197" t="str">
        <f>IF(AND($I899="x",AND(MAX(BJ899:BL899)=BJ899,BJ899&lt;&gt;"")),Data!$BI$2,"")</f>
        <v/>
      </c>
      <c r="BO899" s="197" t="str">
        <f>IF(AND($J899="x",AND(MAX(BJ899:BL899)=BK899,BK899&lt;&gt;"")),Data!$BJ$2,"")</f>
        <v/>
      </c>
      <c r="BP899" s="197" t="str">
        <f>IF(AND($K899="x",AND(MAX(BJ899:BL899)=BL899,BL899&lt;&gt;"")),Data!$BK$2,"")</f>
        <v/>
      </c>
      <c r="BQ899" s="197"/>
      <c r="BR899" s="328"/>
      <c r="BS899" s="455"/>
      <c r="BT899" s="456"/>
      <c r="BU899" s="447" t="str">
        <f t="shared" si="1325"/>
        <v/>
      </c>
      <c r="BV899" s="328"/>
      <c r="BW899" s="197" t="str">
        <f>IF(AND($I899="x",AND(MAX(BS899:BU899)=BS899,BS899&lt;&gt;"")),Data!$BI$2,"")</f>
        <v/>
      </c>
      <c r="BX899" s="197" t="str">
        <f>IF(AND($J899="x",AND(MAX(BS899:BU899)=BT899,BT899&lt;&gt;"")),Data!$BJ$2,"")</f>
        <v/>
      </c>
      <c r="BY899" s="197" t="str">
        <f>IF(AND($K899="x",AND(MAX(BS899:BU899)=BU899,BU899&lt;&gt;"")),Data!$BK$2,"")</f>
        <v/>
      </c>
      <c r="BZ899" s="197"/>
      <c r="CA899" s="328"/>
      <c r="CB899" s="463" t="str">
        <f t="shared" si="1326"/>
        <v/>
      </c>
      <c r="CC899" s="464" t="str">
        <f t="shared" si="1327"/>
        <v/>
      </c>
      <c r="CD899" s="465" t="str">
        <f t="shared" si="1328"/>
        <v/>
      </c>
      <c r="CE899" s="328"/>
      <c r="CF899" s="197" t="str">
        <f>IF(AND($I899="x",AND(MAX(CB899:CD899)=CB899,CB899&lt;&gt;"")),Data!$BI$2,"")</f>
        <v/>
      </c>
      <c r="CG899" s="197" t="str">
        <f>IF(AND($J899="x",AND(MAX(CB899:CD899)=CC899,CC899&lt;&gt;"")),Data!$BJ$2,"")</f>
        <v/>
      </c>
      <c r="CH899" s="197" t="str">
        <f>IF(AND($K899="x",AND(MAX(CB899:CD899)=CD899,CD899&lt;&gt;"")),Data!$BK$2,"")</f>
        <v/>
      </c>
      <c r="CI899" s="197"/>
      <c r="CJ899" s="197"/>
      <c r="CK899" s="455"/>
      <c r="CL899" s="456"/>
      <c r="CM899" s="447" t="str">
        <f t="shared" si="1329"/>
        <v/>
      </c>
      <c r="CN899" s="328"/>
      <c r="CO899" s="197" t="str">
        <f>IF(AND($I899="x",AND(MAX(CK899:CM899)=CK899,CK899&lt;&gt;"")),Data!$BI$2,"")</f>
        <v/>
      </c>
      <c r="CP899" s="197" t="str">
        <f>IF(AND($J899="x",AND(MAX(CK899:CM899)=CL899,CL899&lt;&gt;"")),Data!$BJ$2,"")</f>
        <v/>
      </c>
      <c r="CQ899" s="197" t="str">
        <f>IF(AND($K899="x",AND(MAX(CK899:CM899)=CM899,CM899&lt;&gt;"")),Data!$BK$2,"")</f>
        <v/>
      </c>
      <c r="CR899" s="197"/>
      <c r="CS899" s="197"/>
      <c r="CT899" s="328"/>
      <c r="CU899" s="259"/>
      <c r="CV899" s="209"/>
      <c r="CW899" s="227"/>
    </row>
    <row r="900" spans="1:101" x14ac:dyDescent="0.2">
      <c r="A900" s="227"/>
      <c r="B900" s="227"/>
      <c r="C900" s="168"/>
      <c r="D900" s="233"/>
      <c r="E900" s="199"/>
      <c r="F900" s="352" t="str">
        <f>IF(SUM(F888:F899)=0,"",SUM(F888:F899))</f>
        <v/>
      </c>
      <c r="G900" s="327" t="s">
        <v>51</v>
      </c>
      <c r="H900" s="353" t="str">
        <f>IF(SUM(H888:H899)=0,"",SUM(H888:H899))</f>
        <v/>
      </c>
      <c r="I900" s="354" t="str">
        <f>IF(COUNTIF(I888:I899,"=x")=0,"",COUNTIF(I888:I899,"=x"))</f>
        <v/>
      </c>
      <c r="J900" s="355" t="str">
        <f>IF(COUNTIF(J888:J899,"=x")=0,"",COUNTIF(J888:J899,"=x"))</f>
        <v/>
      </c>
      <c r="K900" s="356" t="str">
        <f>IF(COUNTIF(K888:K899,"=x")=0,"",COUNTIF(K888:K899,"=x"))</f>
        <v/>
      </c>
      <c r="L900" s="258"/>
      <c r="M900" s="332"/>
      <c r="N900" s="336"/>
      <c r="O900" s="200"/>
      <c r="P900" s="326"/>
      <c r="Q900" s="422">
        <f>SUM(U888:U899)</f>
        <v>0</v>
      </c>
      <c r="R900" s="422">
        <f t="shared" ref="R900:S900" si="1330">SUM(V888:V899)</f>
        <v>0</v>
      </c>
      <c r="S900" s="422">
        <f t="shared" si="1330"/>
        <v>0</v>
      </c>
      <c r="T900" s="325"/>
      <c r="U900" s="197">
        <f>SUM(U888:U899)</f>
        <v>0</v>
      </c>
      <c r="V900" s="197">
        <f t="shared" ref="V900:W900" si="1331">SUM(V888:V899)</f>
        <v>0</v>
      </c>
      <c r="W900" s="197">
        <f t="shared" si="1331"/>
        <v>0</v>
      </c>
      <c r="X900" s="197"/>
      <c r="Y900" s="324"/>
      <c r="Z900" s="422">
        <f>SUM(AD888:AD899)</f>
        <v>0</v>
      </c>
      <c r="AA900" s="422">
        <f t="shared" ref="AA900:AB900" si="1332">SUM(AE888:AE899)</f>
        <v>0</v>
      </c>
      <c r="AB900" s="422">
        <f t="shared" si="1332"/>
        <v>0</v>
      </c>
      <c r="AC900" s="325"/>
      <c r="AD900" s="197">
        <f>SUM(AD888:AD899)</f>
        <v>0</v>
      </c>
      <c r="AE900" s="197">
        <f t="shared" ref="AE900:AF900" si="1333">SUM(AE888:AE899)</f>
        <v>0</v>
      </c>
      <c r="AF900" s="197">
        <f t="shared" si="1333"/>
        <v>0</v>
      </c>
      <c r="AG900" s="197"/>
      <c r="AH900" s="324"/>
      <c r="AI900" s="422">
        <f>SUM(AM888:AM899)</f>
        <v>0</v>
      </c>
      <c r="AJ900" s="422">
        <f t="shared" ref="AJ900:AK900" si="1334">SUM(AN888:AN899)</f>
        <v>0</v>
      </c>
      <c r="AK900" s="422">
        <f t="shared" si="1334"/>
        <v>0</v>
      </c>
      <c r="AL900" s="325"/>
      <c r="AM900" s="197">
        <f>SUM(AM888:AM899)</f>
        <v>0</v>
      </c>
      <c r="AN900" s="197">
        <f t="shared" ref="AN900:AO900" si="1335">SUM(AN888:AN899)</f>
        <v>0</v>
      </c>
      <c r="AO900" s="197">
        <f t="shared" si="1335"/>
        <v>0</v>
      </c>
      <c r="AP900" s="197"/>
      <c r="AQ900" s="324"/>
      <c r="AR900" s="422">
        <f>SUM(AV888:AV899)</f>
        <v>0</v>
      </c>
      <c r="AS900" s="422">
        <f t="shared" ref="AS900:AT900" si="1336">SUM(AW888:AW899)</f>
        <v>0</v>
      </c>
      <c r="AT900" s="422">
        <f t="shared" si="1336"/>
        <v>0</v>
      </c>
      <c r="AU900" s="325"/>
      <c r="AV900" s="197">
        <f>SUM(AV888:AV899)</f>
        <v>0</v>
      </c>
      <c r="AW900" s="197">
        <f t="shared" ref="AW900:AX900" si="1337">SUM(AW888:AW899)</f>
        <v>0</v>
      </c>
      <c r="AX900" s="197">
        <f t="shared" si="1337"/>
        <v>0</v>
      </c>
      <c r="AY900" s="197"/>
      <c r="AZ900" s="324"/>
      <c r="BA900" s="422">
        <f>SUM(BE888:BE899)</f>
        <v>0</v>
      </c>
      <c r="BB900" s="422">
        <f t="shared" ref="BB900:BC900" si="1338">SUM(BF888:BF899)</f>
        <v>0</v>
      </c>
      <c r="BC900" s="422">
        <f t="shared" si="1338"/>
        <v>0</v>
      </c>
      <c r="BD900" s="325"/>
      <c r="BE900" s="197">
        <f>SUM(BE888:BE899)</f>
        <v>0</v>
      </c>
      <c r="BF900" s="197">
        <f t="shared" ref="BF900:BG900" si="1339">SUM(BF888:BF899)</f>
        <v>0</v>
      </c>
      <c r="BG900" s="197">
        <f t="shared" si="1339"/>
        <v>0</v>
      </c>
      <c r="BH900" s="197"/>
      <c r="BI900" s="324"/>
      <c r="BJ900" s="422">
        <f>SUM(BN888:BN899)</f>
        <v>0</v>
      </c>
      <c r="BK900" s="422">
        <f t="shared" ref="BK900" si="1340">SUM(BO888:BO899)</f>
        <v>0</v>
      </c>
      <c r="BL900" s="422">
        <f t="shared" ref="BL900" si="1341">SUM(BP888:BP899)</f>
        <v>0</v>
      </c>
      <c r="BM900" s="325"/>
      <c r="BN900" s="197">
        <f>SUM(BN888:BN899)</f>
        <v>0</v>
      </c>
      <c r="BO900" s="197">
        <f t="shared" ref="BO900:BP900" si="1342">SUM(BO888:BO899)</f>
        <v>0</v>
      </c>
      <c r="BP900" s="197">
        <f t="shared" si="1342"/>
        <v>0</v>
      </c>
      <c r="BQ900" s="197"/>
      <c r="BR900" s="324"/>
      <c r="BS900" s="422">
        <f>SUM(BW888:BW899)</f>
        <v>0</v>
      </c>
      <c r="BT900" s="422">
        <f t="shared" ref="BT900:BU900" si="1343">SUM(BX888:BX899)</f>
        <v>0</v>
      </c>
      <c r="BU900" s="422">
        <f t="shared" si="1343"/>
        <v>0</v>
      </c>
      <c r="BV900" s="325"/>
      <c r="BW900" s="197">
        <f>SUM(BW888:BW899)</f>
        <v>0</v>
      </c>
      <c r="BX900" s="197">
        <f t="shared" ref="BX900:BY900" si="1344">SUM(BX888:BX899)</f>
        <v>0</v>
      </c>
      <c r="BY900" s="197">
        <f t="shared" si="1344"/>
        <v>0</v>
      </c>
      <c r="BZ900" s="197"/>
      <c r="CA900" s="326"/>
      <c r="CB900" s="422">
        <f>SUM(CF888:CF899)</f>
        <v>0</v>
      </c>
      <c r="CC900" s="422">
        <f t="shared" ref="CC900:CD900" si="1345">SUM(CG888:CG899)</f>
        <v>0</v>
      </c>
      <c r="CD900" s="422">
        <f t="shared" si="1345"/>
        <v>0</v>
      </c>
      <c r="CE900" s="325"/>
      <c r="CF900" s="197">
        <f>SUM(CF888:CF899)</f>
        <v>0</v>
      </c>
      <c r="CG900" s="197">
        <f t="shared" ref="CG900:CH900" si="1346">SUM(CG888:CG899)</f>
        <v>0</v>
      </c>
      <c r="CH900" s="197">
        <f t="shared" si="1346"/>
        <v>0</v>
      </c>
      <c r="CI900" s="197"/>
      <c r="CJ900" s="197"/>
      <c r="CK900" s="422">
        <f>SUM(CO888:CO899)</f>
        <v>0</v>
      </c>
      <c r="CL900" s="422">
        <f t="shared" ref="CL900:CM900" si="1347">SUM(CP888:CP899)</f>
        <v>0</v>
      </c>
      <c r="CM900" s="422">
        <f t="shared" si="1347"/>
        <v>0</v>
      </c>
      <c r="CN900" s="325"/>
      <c r="CO900" s="197">
        <f>SUM(CO888:CO899)</f>
        <v>0</v>
      </c>
      <c r="CP900" s="197">
        <f t="shared" ref="CP900:CQ900" si="1348">SUM(CP888:CP899)</f>
        <v>0</v>
      </c>
      <c r="CQ900" s="197">
        <f t="shared" si="1348"/>
        <v>0</v>
      </c>
      <c r="CR900" s="197"/>
      <c r="CS900" s="197"/>
      <c r="CT900" s="197"/>
      <c r="CU900" s="259"/>
      <c r="CV900" s="209"/>
      <c r="CW900" s="228"/>
    </row>
    <row r="901" spans="1:101" x14ac:dyDescent="0.2">
      <c r="A901" s="227"/>
      <c r="B901" s="227"/>
      <c r="C901" s="168"/>
      <c r="D901" s="249"/>
      <c r="E901" s="242"/>
      <c r="F901" s="243"/>
      <c r="G901" s="242"/>
      <c r="H901" s="242"/>
      <c r="I901" s="242"/>
      <c r="J901" s="242"/>
      <c r="K901" s="242"/>
      <c r="L901" s="252"/>
      <c r="M901" s="260"/>
      <c r="N901" s="337"/>
      <c r="O901" s="333"/>
      <c r="P901" s="244"/>
      <c r="Q901" s="245"/>
      <c r="R901" s="245"/>
      <c r="S901" s="245"/>
      <c r="T901" s="246"/>
      <c r="U901" s="247"/>
      <c r="V901" s="247"/>
      <c r="W901" s="247"/>
      <c r="X901" s="247"/>
      <c r="Y901" s="244"/>
      <c r="Z901" s="245"/>
      <c r="AA901" s="245"/>
      <c r="AB901" s="245"/>
      <c r="AC901" s="246"/>
      <c r="AD901" s="247"/>
      <c r="AE901" s="247"/>
      <c r="AF901" s="247"/>
      <c r="AG901" s="247"/>
      <c r="AH901" s="244"/>
      <c r="AI901" s="245"/>
      <c r="AJ901" s="245"/>
      <c r="AK901" s="245"/>
      <c r="AL901" s="246"/>
      <c r="AM901" s="247"/>
      <c r="AN901" s="247"/>
      <c r="AO901" s="247"/>
      <c r="AP901" s="247"/>
      <c r="AQ901" s="244"/>
      <c r="AR901" s="245"/>
      <c r="AS901" s="245"/>
      <c r="AT901" s="245"/>
      <c r="AU901" s="246"/>
      <c r="AV901" s="247"/>
      <c r="AW901" s="247"/>
      <c r="AX901" s="247"/>
      <c r="AY901" s="247"/>
      <c r="AZ901" s="244"/>
      <c r="BA901" s="245"/>
      <c r="BB901" s="245"/>
      <c r="BC901" s="245"/>
      <c r="BD901" s="246"/>
      <c r="BE901" s="247"/>
      <c r="BF901" s="247"/>
      <c r="BG901" s="247"/>
      <c r="BH901" s="247"/>
      <c r="BI901" s="244"/>
      <c r="BJ901" s="244"/>
      <c r="BK901" s="244"/>
      <c r="BL901" s="244"/>
      <c r="BM901" s="244"/>
      <c r="BN901" s="247"/>
      <c r="BO901" s="247"/>
      <c r="BP901" s="247"/>
      <c r="BQ901" s="247"/>
      <c r="BR901" s="244"/>
      <c r="BS901" s="244"/>
      <c r="BT901" s="244"/>
      <c r="BU901" s="244"/>
      <c r="BV901" s="244"/>
      <c r="BW901" s="247"/>
      <c r="BX901" s="247"/>
      <c r="BY901" s="247"/>
      <c r="BZ901" s="247"/>
      <c r="CA901" s="244"/>
      <c r="CB901" s="244"/>
      <c r="CC901" s="244"/>
      <c r="CD901" s="244"/>
      <c r="CE901" s="244"/>
      <c r="CF901" s="247"/>
      <c r="CG901" s="247"/>
      <c r="CH901" s="247"/>
      <c r="CI901" s="247"/>
      <c r="CJ901" s="248"/>
      <c r="CK901" s="248"/>
      <c r="CL901" s="248"/>
      <c r="CM901" s="248"/>
      <c r="CN901" s="248"/>
      <c r="CO901" s="247"/>
      <c r="CP901" s="247"/>
      <c r="CQ901" s="247"/>
      <c r="CR901" s="247"/>
      <c r="CS901" s="248"/>
      <c r="CT901" s="242"/>
      <c r="CU901" s="253"/>
      <c r="CV901" s="209"/>
      <c r="CW901" s="228"/>
    </row>
    <row r="902" spans="1:101" x14ac:dyDescent="0.2">
      <c r="A902" s="219"/>
      <c r="B902" s="219"/>
      <c r="C902" s="175"/>
      <c r="D902" s="176"/>
      <c r="E902" s="210"/>
      <c r="F902" s="211"/>
      <c r="G902" s="210"/>
      <c r="H902" s="210"/>
      <c r="I902" s="210"/>
      <c r="J902" s="210"/>
      <c r="K902" s="210"/>
      <c r="L902" s="212"/>
      <c r="M902" s="213"/>
      <c r="N902" s="213"/>
      <c r="O902" s="213"/>
      <c r="P902" s="213"/>
      <c r="Q902" s="210"/>
      <c r="R902" s="210"/>
      <c r="S902" s="210"/>
      <c r="T902" s="214"/>
      <c r="U902" s="215"/>
      <c r="V902" s="215"/>
      <c r="W902" s="215"/>
      <c r="X902" s="215"/>
      <c r="Y902" s="213"/>
      <c r="Z902" s="210"/>
      <c r="AA902" s="210"/>
      <c r="AB902" s="210"/>
      <c r="AC902" s="214"/>
      <c r="AD902" s="215"/>
      <c r="AE902" s="215"/>
      <c r="AF902" s="215"/>
      <c r="AG902" s="215"/>
      <c r="AH902" s="213"/>
      <c r="AI902" s="210"/>
      <c r="AJ902" s="210"/>
      <c r="AK902" s="210"/>
      <c r="AL902" s="214"/>
      <c r="AM902" s="215"/>
      <c r="AN902" s="215"/>
      <c r="AO902" s="215"/>
      <c r="AP902" s="215"/>
      <c r="AQ902" s="213"/>
      <c r="AR902" s="210"/>
      <c r="AS902" s="210"/>
      <c r="AT902" s="210"/>
      <c r="AU902" s="214"/>
      <c r="AV902" s="215"/>
      <c r="AW902" s="215"/>
      <c r="AX902" s="215"/>
      <c r="AY902" s="215"/>
      <c r="AZ902" s="213"/>
      <c r="BA902" s="210"/>
      <c r="BB902" s="210"/>
      <c r="BC902" s="210"/>
      <c r="BD902" s="214"/>
      <c r="BE902" s="215"/>
      <c r="BF902" s="215"/>
      <c r="BG902" s="215"/>
      <c r="BH902" s="215"/>
      <c r="BI902" s="213"/>
      <c r="BJ902" s="210"/>
      <c r="BK902" s="210"/>
      <c r="BL902" s="210"/>
      <c r="BM902" s="214"/>
      <c r="BN902" s="215"/>
      <c r="BO902" s="215"/>
      <c r="BP902" s="215"/>
      <c r="BQ902" s="215"/>
      <c r="BR902" s="177"/>
      <c r="BS902" s="210"/>
      <c r="BT902" s="210"/>
      <c r="BU902" s="210"/>
      <c r="BV902" s="213"/>
      <c r="BW902" s="215"/>
      <c r="BX902" s="215"/>
      <c r="BY902" s="215"/>
      <c r="BZ902" s="215"/>
      <c r="CA902" s="210"/>
      <c r="CB902" s="216"/>
      <c r="CC902" s="216"/>
      <c r="CD902" s="216"/>
      <c r="CE902" s="216"/>
      <c r="CF902" s="215"/>
      <c r="CG902" s="215"/>
      <c r="CH902" s="215"/>
      <c r="CI902" s="215"/>
      <c r="CJ902" s="210"/>
      <c r="CK902" s="210"/>
      <c r="CL902" s="210"/>
      <c r="CM902" s="210"/>
      <c r="CN902" s="210"/>
      <c r="CO902" s="215"/>
      <c r="CP902" s="215"/>
      <c r="CQ902" s="215"/>
      <c r="CR902" s="215"/>
      <c r="CS902" s="210"/>
      <c r="CT902" s="210"/>
      <c r="CU902" s="210"/>
      <c r="CV902" s="217"/>
      <c r="CW902" s="218"/>
    </row>
    <row r="903" spans="1:101" x14ac:dyDescent="0.2">
      <c r="A903" s="218"/>
      <c r="B903" s="218"/>
      <c r="C903" s="218"/>
      <c r="D903" s="218"/>
      <c r="E903" s="218"/>
      <c r="F903" s="218"/>
      <c r="G903" s="218"/>
      <c r="H903" s="218"/>
      <c r="I903" s="218"/>
      <c r="J903" s="218"/>
      <c r="K903" s="218"/>
      <c r="L903" s="218"/>
      <c r="M903" s="218"/>
      <c r="N903" s="218"/>
      <c r="O903" s="218"/>
      <c r="P903" s="218"/>
      <c r="Q903" s="218"/>
      <c r="R903" s="218"/>
      <c r="S903" s="218"/>
      <c r="T903" s="218"/>
      <c r="U903" s="218"/>
      <c r="V903" s="218"/>
      <c r="W903" s="218"/>
      <c r="X903" s="218"/>
      <c r="Y903" s="218"/>
      <c r="Z903" s="218"/>
      <c r="AA903" s="218"/>
      <c r="AB903" s="218"/>
      <c r="AC903" s="218"/>
      <c r="AD903" s="218"/>
      <c r="AE903" s="218"/>
      <c r="AF903" s="218"/>
      <c r="AG903" s="218"/>
      <c r="AH903" s="218"/>
      <c r="AI903" s="218"/>
      <c r="AJ903" s="218"/>
      <c r="AK903" s="218"/>
      <c r="AL903" s="218"/>
      <c r="AM903" s="218"/>
      <c r="AN903" s="218"/>
      <c r="AO903" s="218"/>
      <c r="AP903" s="218"/>
      <c r="AQ903" s="218"/>
      <c r="AR903" s="218"/>
      <c r="AS903" s="218"/>
      <c r="AT903" s="218"/>
      <c r="AU903" s="218"/>
      <c r="AV903" s="218"/>
      <c r="AW903" s="218"/>
      <c r="AX903" s="218"/>
      <c r="AY903" s="218"/>
      <c r="AZ903" s="218"/>
      <c r="BA903" s="218"/>
      <c r="BB903" s="218"/>
      <c r="BC903" s="218"/>
      <c r="BD903" s="218"/>
      <c r="BE903" s="218"/>
      <c r="BF903" s="218"/>
      <c r="BG903" s="218"/>
      <c r="BH903" s="218"/>
      <c r="BI903" s="218"/>
      <c r="BJ903" s="218"/>
      <c r="BK903" s="218"/>
      <c r="BL903" s="218"/>
      <c r="BM903" s="218"/>
      <c r="BN903" s="218"/>
      <c r="BO903" s="218"/>
      <c r="BP903" s="218"/>
      <c r="BQ903" s="218"/>
      <c r="BR903" s="218"/>
      <c r="BS903" s="218"/>
      <c r="BT903" s="218"/>
      <c r="BU903" s="218"/>
      <c r="BV903" s="218"/>
      <c r="BW903" s="218"/>
      <c r="BX903" s="218"/>
      <c r="BY903" s="218"/>
      <c r="BZ903" s="218"/>
      <c r="CA903" s="218"/>
      <c r="CB903" s="392"/>
      <c r="CC903" s="392"/>
      <c r="CD903" s="392"/>
      <c r="CE903" s="392"/>
      <c r="CF903" s="218"/>
      <c r="CG903" s="218"/>
      <c r="CH903" s="218"/>
      <c r="CI903" s="218"/>
      <c r="CJ903" s="218"/>
      <c r="CK903" s="218"/>
      <c r="CL903" s="218"/>
      <c r="CM903" s="218"/>
      <c r="CN903" s="218"/>
      <c r="CO903" s="218"/>
      <c r="CP903" s="218"/>
      <c r="CQ903" s="218"/>
      <c r="CR903" s="218"/>
      <c r="CS903" s="218"/>
      <c r="CT903" s="218"/>
      <c r="CU903" s="218"/>
      <c r="CV903" s="218"/>
      <c r="CW903" s="218"/>
    </row>
  </sheetData>
  <mergeCells count="82">
    <mergeCell ref="I2:L3"/>
    <mergeCell ref="I24:L25"/>
    <mergeCell ref="I46:L47"/>
    <mergeCell ref="I68:L69"/>
    <mergeCell ref="I92:K93"/>
    <mergeCell ref="I90:L91"/>
    <mergeCell ref="I4:K5"/>
    <mergeCell ref="I26:K27"/>
    <mergeCell ref="I48:K49"/>
    <mergeCell ref="I70:K71"/>
    <mergeCell ref="I112:L113"/>
    <mergeCell ref="I114:K115"/>
    <mergeCell ref="I134:L135"/>
    <mergeCell ref="I136:K137"/>
    <mergeCell ref="I156:L157"/>
    <mergeCell ref="I158:K159"/>
    <mergeCell ref="I178:L179"/>
    <mergeCell ref="I180:K181"/>
    <mergeCell ref="I200:L201"/>
    <mergeCell ref="I268:K269"/>
    <mergeCell ref="I288:L289"/>
    <mergeCell ref="I290:K291"/>
    <mergeCell ref="I310:L311"/>
    <mergeCell ref="I202:K203"/>
    <mergeCell ref="I222:L223"/>
    <mergeCell ref="I224:K225"/>
    <mergeCell ref="I244:L245"/>
    <mergeCell ref="I246:K247"/>
    <mergeCell ref="I266:L267"/>
    <mergeCell ref="I312:K313"/>
    <mergeCell ref="I332:L333"/>
    <mergeCell ref="I334:K335"/>
    <mergeCell ref="I354:L355"/>
    <mergeCell ref="I356:K357"/>
    <mergeCell ref="I488:K489"/>
    <mergeCell ref="I376:L377"/>
    <mergeCell ref="I378:K379"/>
    <mergeCell ref="I398:L399"/>
    <mergeCell ref="I400:K401"/>
    <mergeCell ref="I420:L421"/>
    <mergeCell ref="I422:K423"/>
    <mergeCell ref="I442:L443"/>
    <mergeCell ref="I444:K445"/>
    <mergeCell ref="I464:L465"/>
    <mergeCell ref="I466:K467"/>
    <mergeCell ref="I486:L487"/>
    <mergeCell ref="I620:K621"/>
    <mergeCell ref="I508:L509"/>
    <mergeCell ref="I510:K511"/>
    <mergeCell ref="I530:L531"/>
    <mergeCell ref="I532:K533"/>
    <mergeCell ref="I552:L553"/>
    <mergeCell ref="I554:K555"/>
    <mergeCell ref="I574:L575"/>
    <mergeCell ref="I576:K577"/>
    <mergeCell ref="I596:L597"/>
    <mergeCell ref="I598:K599"/>
    <mergeCell ref="I618:L619"/>
    <mergeCell ref="I752:K753"/>
    <mergeCell ref="I640:L641"/>
    <mergeCell ref="I642:K643"/>
    <mergeCell ref="I662:L663"/>
    <mergeCell ref="I664:K665"/>
    <mergeCell ref="I684:L685"/>
    <mergeCell ref="I686:K687"/>
    <mergeCell ref="I706:L707"/>
    <mergeCell ref="I708:K709"/>
    <mergeCell ref="I728:L729"/>
    <mergeCell ref="I730:K731"/>
    <mergeCell ref="I750:L751"/>
    <mergeCell ref="I884:K885"/>
    <mergeCell ref="I772:L773"/>
    <mergeCell ref="I774:K775"/>
    <mergeCell ref="I794:L795"/>
    <mergeCell ref="I796:K797"/>
    <mergeCell ref="I816:L817"/>
    <mergeCell ref="I818:K819"/>
    <mergeCell ref="I838:L839"/>
    <mergeCell ref="I840:K841"/>
    <mergeCell ref="I860:L861"/>
    <mergeCell ref="I862:K863"/>
    <mergeCell ref="I882:L883"/>
  </mergeCells>
  <phoneticPr fontId="6" type="noConversion"/>
  <conditionalFormatting sqref="Q8:Q19">
    <cfRule type="expression" dxfId="1862" priority="2">
      <formula>AND($I8="x",Q8&gt;0)</formula>
    </cfRule>
  </conditionalFormatting>
  <conditionalFormatting sqref="Q30:Q41">
    <cfRule type="expression" dxfId="1861" priority="4109">
      <formula>AND($I30="x",Q30&gt;0)</formula>
    </cfRule>
  </conditionalFormatting>
  <conditionalFormatting sqref="Q52:Q63">
    <cfRule type="expression" dxfId="1860" priority="295">
      <formula>AND($I52="x",Q52&gt;0)</formula>
    </cfRule>
  </conditionalFormatting>
  <conditionalFormatting sqref="Q74:Q85">
    <cfRule type="expression" dxfId="1859" priority="2346">
      <formula>AND($I74="x",Q74&gt;0)</formula>
    </cfRule>
  </conditionalFormatting>
  <conditionalFormatting sqref="Q96:Q107">
    <cfRule type="expression" dxfId="1858" priority="2303">
      <formula>AND($I96="x",Q96&gt;0)</formula>
    </cfRule>
  </conditionalFormatting>
  <conditionalFormatting sqref="Q118:Q129">
    <cfRule type="expression" dxfId="1857" priority="2260">
      <formula>AND($I118="x",Q118&gt;0)</formula>
    </cfRule>
  </conditionalFormatting>
  <conditionalFormatting sqref="Q140:Q151">
    <cfRule type="expression" dxfId="1856" priority="2217">
      <formula>AND($I140="x",Q140&gt;0)</formula>
    </cfRule>
  </conditionalFormatting>
  <conditionalFormatting sqref="Q162:Q173">
    <cfRule type="expression" dxfId="1855" priority="2174">
      <formula>AND($I162="x",Q162&gt;0)</formula>
    </cfRule>
  </conditionalFormatting>
  <conditionalFormatting sqref="Q184:Q195">
    <cfRule type="expression" dxfId="1854" priority="2131">
      <formula>AND($I184="x",Q184&gt;0)</formula>
    </cfRule>
  </conditionalFormatting>
  <conditionalFormatting sqref="Q206:Q217">
    <cfRule type="expression" dxfId="1853" priority="2088">
      <formula>AND($I206="x",Q206&gt;0)</formula>
    </cfRule>
  </conditionalFormatting>
  <conditionalFormatting sqref="Q228:Q239">
    <cfRule type="expression" dxfId="1852" priority="2045">
      <formula>AND($I228="x",Q228&gt;0)</formula>
    </cfRule>
  </conditionalFormatting>
  <conditionalFormatting sqref="Q250:Q261">
    <cfRule type="expression" dxfId="1851" priority="2002">
      <formula>AND($I250="x",Q250&gt;0)</formula>
    </cfRule>
  </conditionalFormatting>
  <conditionalFormatting sqref="Q272:Q283">
    <cfRule type="expression" dxfId="1850" priority="1959">
      <formula>AND($I272="x",Q272&gt;0)</formula>
    </cfRule>
  </conditionalFormatting>
  <conditionalFormatting sqref="Q294:Q305">
    <cfRule type="expression" dxfId="1849" priority="1916">
      <formula>AND($I294="x",Q294&gt;0)</formula>
    </cfRule>
  </conditionalFormatting>
  <conditionalFormatting sqref="Q316:Q327">
    <cfRule type="expression" dxfId="1848" priority="1873">
      <formula>AND($I316="x",Q316&gt;0)</formula>
    </cfRule>
  </conditionalFormatting>
  <conditionalFormatting sqref="Q338:Q349">
    <cfRule type="expression" dxfId="1847" priority="1830">
      <formula>AND($I338="x",Q338&gt;0)</formula>
    </cfRule>
  </conditionalFormatting>
  <conditionalFormatting sqref="Q360:Q371">
    <cfRule type="expression" dxfId="1846" priority="1787">
      <formula>AND($I360="x",Q360&gt;0)</formula>
    </cfRule>
  </conditionalFormatting>
  <conditionalFormatting sqref="Q382:Q393">
    <cfRule type="expression" dxfId="1845" priority="1744">
      <formula>AND($I382="x",Q382&gt;0)</formula>
    </cfRule>
  </conditionalFormatting>
  <conditionalFormatting sqref="Q404:Q415">
    <cfRule type="expression" dxfId="1844" priority="1701">
      <formula>AND($I404="x",Q404&gt;0)</formula>
    </cfRule>
  </conditionalFormatting>
  <conditionalFormatting sqref="Q426:Q437">
    <cfRule type="expression" dxfId="1843" priority="1658">
      <formula>AND($I426="x",Q426&gt;0)</formula>
    </cfRule>
  </conditionalFormatting>
  <conditionalFormatting sqref="Q448:Q459">
    <cfRule type="expression" dxfId="1842" priority="1615">
      <formula>AND($I448="x",Q448&gt;0)</formula>
    </cfRule>
  </conditionalFormatting>
  <conditionalFormatting sqref="Q470:Q481">
    <cfRule type="expression" dxfId="1841" priority="1572">
      <formula>AND($I470="x",Q470&gt;0)</formula>
    </cfRule>
  </conditionalFormatting>
  <conditionalFormatting sqref="Q492:Q503">
    <cfRule type="expression" dxfId="1840" priority="1529">
      <formula>AND($I492="x",Q492&gt;0)</formula>
    </cfRule>
  </conditionalFormatting>
  <conditionalFormatting sqref="Q514:Q525">
    <cfRule type="expression" dxfId="1839" priority="1486">
      <formula>AND($I514="x",Q514&gt;0)</formula>
    </cfRule>
  </conditionalFormatting>
  <conditionalFormatting sqref="Q536:Q547">
    <cfRule type="expression" dxfId="1838" priority="1443">
      <formula>AND($I536="x",Q536&gt;0)</formula>
    </cfRule>
  </conditionalFormatting>
  <conditionalFormatting sqref="Q558:Q569">
    <cfRule type="expression" dxfId="1837" priority="1400">
      <formula>AND($I558="x",Q558&gt;0)</formula>
    </cfRule>
  </conditionalFormatting>
  <conditionalFormatting sqref="Q580:Q591">
    <cfRule type="expression" dxfId="1836" priority="1357">
      <formula>AND($I580="x",Q580&gt;0)</formula>
    </cfRule>
  </conditionalFormatting>
  <conditionalFormatting sqref="Q602:Q613">
    <cfRule type="expression" dxfId="1835" priority="1314">
      <formula>AND($I602="x",Q602&gt;0)</formula>
    </cfRule>
  </conditionalFormatting>
  <conditionalFormatting sqref="Q624:Q635">
    <cfRule type="expression" dxfId="1834" priority="1271">
      <formula>AND($I624="x",Q624&gt;0)</formula>
    </cfRule>
  </conditionalFormatting>
  <conditionalFormatting sqref="Q646:Q657">
    <cfRule type="expression" dxfId="1833" priority="1228">
      <formula>AND($I646="x",Q646&gt;0)</formula>
    </cfRule>
  </conditionalFormatting>
  <conditionalFormatting sqref="Q668:Q679">
    <cfRule type="expression" dxfId="1832" priority="1185">
      <formula>AND($I668="x",Q668&gt;0)</formula>
    </cfRule>
  </conditionalFormatting>
  <conditionalFormatting sqref="Q690:Q701">
    <cfRule type="expression" dxfId="1831" priority="1142">
      <formula>AND($I690="x",Q690&gt;0)</formula>
    </cfRule>
  </conditionalFormatting>
  <conditionalFormatting sqref="Q712:Q723">
    <cfRule type="expression" dxfId="1830" priority="1099">
      <formula>AND($I712="x",Q712&gt;0)</formula>
    </cfRule>
  </conditionalFormatting>
  <conditionalFormatting sqref="Q734:Q745">
    <cfRule type="expression" dxfId="1829" priority="1056">
      <formula>AND($I734="x",Q734&gt;0)</formula>
    </cfRule>
  </conditionalFormatting>
  <conditionalFormatting sqref="Q756:Q767">
    <cfRule type="expression" dxfId="1828" priority="1013">
      <formula>AND($I756="x",Q756&gt;0)</formula>
    </cfRule>
  </conditionalFormatting>
  <conditionalFormatting sqref="Q778:Q789">
    <cfRule type="expression" dxfId="1827" priority="970">
      <formula>AND($I778="x",Q778&gt;0)</formula>
    </cfRule>
  </conditionalFormatting>
  <conditionalFormatting sqref="Q800:Q811">
    <cfRule type="expression" dxfId="1826" priority="927">
      <formula>AND($I800="x",Q800&gt;0)</formula>
    </cfRule>
  </conditionalFormatting>
  <conditionalFormatting sqref="Q822:Q833">
    <cfRule type="expression" dxfId="1825" priority="884">
      <formula>AND($I822="x",Q822&gt;0)</formula>
    </cfRule>
  </conditionalFormatting>
  <conditionalFormatting sqref="Q844:Q855">
    <cfRule type="expression" dxfId="1824" priority="841">
      <formula>AND($I844="x",Q844&gt;0)</formula>
    </cfRule>
  </conditionalFormatting>
  <conditionalFormatting sqref="Q866:Q877">
    <cfRule type="expression" dxfId="1823" priority="798">
      <formula>AND($I866="x",Q866&gt;0)</formula>
    </cfRule>
  </conditionalFormatting>
  <conditionalFormatting sqref="Q888:Q899">
    <cfRule type="expression" dxfId="1822" priority="755">
      <formula>AND($I888="x",Q888&gt;0)</formula>
    </cfRule>
  </conditionalFormatting>
  <conditionalFormatting sqref="Q4:S4 Z4:AB4 AI4:AK4 AR4:AT4 BA4:BC4 BJ4:BL4 BS4:BU4 CB4:CD4 CK4">
    <cfRule type="top10" dxfId="1821" priority="258" rank="1"/>
  </conditionalFormatting>
  <conditionalFormatting sqref="Q26:S26 Z26:AB26 AI26:AK26 AR26:AT26 BA26:BC26 BJ26:BL26 BS26:BU26 CB26:CD26 CK26">
    <cfRule type="top10" dxfId="1820" priority="217" rank="1"/>
  </conditionalFormatting>
  <conditionalFormatting sqref="Q48:S48 Z48:AB48 AI48:AK48 AR48:AT48 BA48:BC48 BJ48:BL48 BS48:BU48 CB48:CD48 CK48">
    <cfRule type="top10" dxfId="1819" priority="215" rank="1"/>
  </conditionalFormatting>
  <conditionalFormatting sqref="Q70:S70 Z70:AB70 AI70:AK70 AR70:AT70 BA70:BC70 BJ70:BL70 BS70:BU70 CB70:CD70 CK70">
    <cfRule type="top10" dxfId="1818" priority="213" rank="1"/>
  </conditionalFormatting>
  <conditionalFormatting sqref="Q92:S92 Z92:AB92 AI92:AK92 AR92:AT92 BA92:BC92 BJ92:BL92 BS92:BU92 CB92:CD92 CK92">
    <cfRule type="top10" dxfId="1817" priority="211" rank="1"/>
  </conditionalFormatting>
  <conditionalFormatting sqref="Q114:S114 Z114:AB114 AI114:AK114 AR114:AT114 BA114:BC114 BJ114:BL114 BS114:BU114 CB114:CD114 CK114">
    <cfRule type="top10" dxfId="1816" priority="209" rank="1"/>
  </conditionalFormatting>
  <conditionalFormatting sqref="Q136:S136 Z136:AB136 AI136:AK136 AR136:AT136 BA136:BC136 BJ136:BL136 BS136:BU136 CB136:CD136 CK136">
    <cfRule type="top10" dxfId="1815" priority="207" rank="1"/>
  </conditionalFormatting>
  <conditionalFormatting sqref="Q158:S158 Z158:AB158 AI158:AK158 AR158:AT158 BA158:BC158 BJ158:BL158 BS158:BU158 CB158:CD158 CK158">
    <cfRule type="top10" dxfId="1814" priority="205" rank="1"/>
  </conditionalFormatting>
  <conditionalFormatting sqref="Q180:S180 Z180:AB180 AI180:AK180 AR180:AT180 BA180:BC180 BJ180:BL180 BS180:BU180 CB180:CD180 CK180">
    <cfRule type="top10" dxfId="1813" priority="203" rank="1"/>
  </conditionalFormatting>
  <conditionalFormatting sqref="Q202:S202 Z202:AB202 AI202:AK202 AR202:AT202 BA202:BC202 BJ202:BL202 BS202:BU202 CB202:CD202 CK202">
    <cfRule type="top10" dxfId="1812" priority="201" rank="1"/>
  </conditionalFormatting>
  <conditionalFormatting sqref="Q224:S224 Z224:AB224 AI224:AK224 AR224:AT224 BA224:BC224 BJ224:BL224 BS224:BU224 CB224:CD224">
    <cfRule type="top10" dxfId="1811" priority="199" rank="1"/>
  </conditionalFormatting>
  <conditionalFormatting sqref="Q246:S246 Z246:AB246 AI246:AK246 AR246:AT246 BA246:BC246 BJ246:BL246 BS246:BU246 CB246:CD246 CJ246:CK246">
    <cfRule type="top10" dxfId="1810" priority="197" rank="1"/>
  </conditionalFormatting>
  <conditionalFormatting sqref="Q268:S268 Z268:AB268 AI268:AK268 AR268:AT268 BA268:BC268 BJ268:BL268 BS268:BU268 CB268:CD268 CK268">
    <cfRule type="top10" dxfId="1809" priority="195" rank="1"/>
  </conditionalFormatting>
  <conditionalFormatting sqref="Q290:S290 Z290:AB290 AI290:AK290 AR290:AT290 BA290:BC290 BJ290:BL290 BS290:BU290 CB290:CD290 CK290">
    <cfRule type="top10" dxfId="1808" priority="193" rank="1"/>
  </conditionalFormatting>
  <conditionalFormatting sqref="Q312:S312 Z312:AB312 AI312:AK312 AR312:AT312 BA312:BC312 BJ312:BL312 BS312:BU312 CB312:CD312 CK312">
    <cfRule type="top10" dxfId="1807" priority="191" rank="1"/>
  </conditionalFormatting>
  <conditionalFormatting sqref="Q334:S334 Z334:AB334 AI334:AK334 AR334:AT334 BA334:BC334 BJ334:BL334 BS334:BU334 CB334:CD334 CK334">
    <cfRule type="top10" dxfId="1806" priority="189" rank="1"/>
  </conditionalFormatting>
  <conditionalFormatting sqref="Q356:S356 Z356:AB356 AI356:AK356 AR356:AT356 BA356:BC356 BJ356:BL356 BS356:BU356 CB356:CD356 CK356">
    <cfRule type="top10" dxfId="1805" priority="187" rank="1"/>
  </conditionalFormatting>
  <conditionalFormatting sqref="Q378:S378 Z378:AB378 AI378:AK378 AR378:AT378 BA378:BC378 BJ378:BL378 BS378:BU378 CB378:CD378 CK378">
    <cfRule type="top10" dxfId="1804" priority="185" rank="1"/>
  </conditionalFormatting>
  <conditionalFormatting sqref="Q400:S400 Z400:AB400 AI400:AK400 AR400:AT400 BA400:BC400 BJ400:BL400 BS400:BU400 CB400:CD400 CK400">
    <cfRule type="top10" dxfId="1803" priority="183" rank="1"/>
  </conditionalFormatting>
  <conditionalFormatting sqref="Q422:S422 Z422:AB422 AI422:AK422 AR422:AT422 BA422:BC422 BJ422:BL422 BS422:BU422 CB422:CD422 CK422">
    <cfRule type="top10" dxfId="1802" priority="181" rank="1"/>
  </conditionalFormatting>
  <conditionalFormatting sqref="Q444:S444 Z444:AB444 AI444:AK444 AR444:AT444 BA444:BC444 BJ444:BL444 BS444:BU444 CB444:CD444 CK444">
    <cfRule type="top10" dxfId="1801" priority="179" rank="1"/>
  </conditionalFormatting>
  <conditionalFormatting sqref="Q466:S466 Z466:AB466 AI466:AK466 AR466:AT466 BA466:BC466 BJ466:BL466 BS466:BU466 CB466:CD466 CK466">
    <cfRule type="top10" dxfId="1800" priority="177" rank="1"/>
  </conditionalFormatting>
  <conditionalFormatting sqref="Q488:S488 Z488:AB488 AI488:AK488 AR488:AT488 BA488:BC488 BJ488:BL488 BS488:BU488 CB488:CD488 CK488">
    <cfRule type="top10" dxfId="1799" priority="175" rank="1"/>
  </conditionalFormatting>
  <conditionalFormatting sqref="Q510:S510 Z510:AB510 AI510:AK510 AR510:AT510 BA510:BC510 BJ510:BL510 BS510:BU510 CB510:CD510 CK510">
    <cfRule type="top10" dxfId="1798" priority="173" rank="1"/>
  </conditionalFormatting>
  <conditionalFormatting sqref="Q532:S532 Z532:AB532 AI532:AK532 AR532:AT532 BA532:BC532 BJ532:BL532 BS532:BU532 CB532:CD532 CK532">
    <cfRule type="top10" dxfId="1797" priority="171" rank="1"/>
  </conditionalFormatting>
  <conditionalFormatting sqref="Q554:S554 Z554:AB554 AI554:AK554 AR554:AT554 BA554:BC554 BJ554:BL554 BS554:BU554 CB554:CD554 CK554">
    <cfRule type="top10" dxfId="1796" priority="169" rank="1"/>
  </conditionalFormatting>
  <conditionalFormatting sqref="Q576:S576 Z576:AB576 AI576:AK576 AR576:AT576 BA576:BC576 BJ576:BL576 BS576:BU576 CB576:CD576 CK576">
    <cfRule type="top10" dxfId="1795" priority="167" rank="1"/>
  </conditionalFormatting>
  <conditionalFormatting sqref="Q598:S598 Z598:AB598 AI598:AK598 AR598:AT598 BA598:BC598 BJ598:BL598 BS598:BU598 CB598:CD598 CK598">
    <cfRule type="top10" dxfId="1794" priority="165" rank="1"/>
  </conditionalFormatting>
  <conditionalFormatting sqref="Q620:S620 Z620:AB620 AI620:AK620 AR620:AT620 BA620:BC620 BJ620:BL620 BS620:BU620 CB620:CD620 CK620">
    <cfRule type="top10" dxfId="1793" priority="163" rank="1"/>
  </conditionalFormatting>
  <conditionalFormatting sqref="Q642:S642 Z642:AB642 AI642:AK642 AR642:AT642 BA642:BC642 BJ642:BL642 BS642:BU642 CB642:CD642 CK642">
    <cfRule type="top10" dxfId="1792" priority="161" rank="1"/>
  </conditionalFormatting>
  <conditionalFormatting sqref="Q664:S664 Z664:AB664 AI664:AK664 AR664:AT664 BJ664:BL664 BS664:BU664 CB664:CD664 CK664 BA664:BC664">
    <cfRule type="top10" dxfId="1791" priority="159" rank="1"/>
  </conditionalFormatting>
  <conditionalFormatting sqref="Q686:S686 Z686:AB686 AI686:AK686 AR686:AT686 BJ686:BL686 BS686:BU686 CB686:CD686 CK686 BA686:BC686">
    <cfRule type="top10" dxfId="1790" priority="157" rank="1"/>
  </conditionalFormatting>
  <conditionalFormatting sqref="Q708:S708 Z708:AB708 AI708:AK708 AR708:AT708 BB708:BC708 BJ708:BL708 BS708:BU708 CB708:CD708 CK708">
    <cfRule type="top10" dxfId="1789" priority="155" rank="1"/>
  </conditionalFormatting>
  <conditionalFormatting sqref="Q730:S730 Z730:AB730 AI730:AK730 AR730:AT730 BB730:BC730 BJ730:BL730 BS730:BU730 CB730:CD730 CK730">
    <cfRule type="top10" dxfId="1788" priority="153" rank="1"/>
  </conditionalFormatting>
  <conditionalFormatting sqref="Q752:S752 Z752:AB752 AI752:AK752 AR752:AT752 BB752:BC752 BJ752:BL752 BS752:BU752 CB752:CD752 CK752">
    <cfRule type="top10" dxfId="1787" priority="151" rank="1"/>
  </conditionalFormatting>
  <conditionalFormatting sqref="Q774:S774 Z774:AB774 AI774:AK774 AR774:AT774 BB774:BC774 BJ774:BL774 BS774:BU774 CB774:CD774 CK774">
    <cfRule type="top10" dxfId="1786" priority="149" rank="1"/>
  </conditionalFormatting>
  <conditionalFormatting sqref="Q796:S796 Z796:AB796 AI796:AK796 AR796:AT796 BB796:BC796 BJ796:BL796 BS796:BU796 CB796:CD796 CK796">
    <cfRule type="top10" dxfId="1785" priority="147" rank="1"/>
  </conditionalFormatting>
  <conditionalFormatting sqref="Q818:S818 Z818:AB818 AI818:AK818 AR818:AT818 BB818:BC818 BJ818:BL818 BS818:BU818 CB818:CD818 CK818">
    <cfRule type="top10" dxfId="1784" priority="145" rank="1"/>
  </conditionalFormatting>
  <conditionalFormatting sqref="Q840:S840 Z840:AB840 AI840:AK840 AR840:AT840 BB840:BC840 BJ840:BL840 BS840:BU840 CB840:CD840 CK840">
    <cfRule type="top10" dxfId="1783" priority="143" rank="1"/>
  </conditionalFormatting>
  <conditionalFormatting sqref="Q862:S862 Z862:AB862 AI862:AK862 AR862:AT862 BB862:BC862 BJ862:BL862 BS862:BU862 CB862:CD862 CK862">
    <cfRule type="top10" dxfId="1782" priority="141" rank="1"/>
  </conditionalFormatting>
  <conditionalFormatting sqref="Q884:S884 Z884:AB884 AI884:AK884 AR884:AT884 BB884:BC884 BJ884:BL884 BS884:BU884 CB884:CD884 CK884">
    <cfRule type="top10" dxfId="1781" priority="139" rank="1"/>
  </conditionalFormatting>
  <conditionalFormatting sqref="R8:R19">
    <cfRule type="expression" dxfId="1780" priority="1">
      <formula>AND($J8="x",R8&gt;0)</formula>
    </cfRule>
  </conditionalFormatting>
  <conditionalFormatting sqref="R30:R41">
    <cfRule type="expression" dxfId="1779" priority="4108">
      <formula>AND($J30="x",R30&gt;0)</formula>
    </cfRule>
  </conditionalFormatting>
  <conditionalFormatting sqref="R52:R63">
    <cfRule type="expression" dxfId="1778" priority="294">
      <formula>AND($J52="x",R52&gt;0)</formula>
    </cfRule>
  </conditionalFormatting>
  <conditionalFormatting sqref="R74:R85">
    <cfRule type="expression" dxfId="1777" priority="2345">
      <formula>AND($J74="x",R74&gt;0)</formula>
    </cfRule>
  </conditionalFormatting>
  <conditionalFormatting sqref="R96:R107">
    <cfRule type="expression" dxfId="1776" priority="2302">
      <formula>AND($J96="x",R96&gt;0)</formula>
    </cfRule>
  </conditionalFormatting>
  <conditionalFormatting sqref="R118:R129">
    <cfRule type="expression" dxfId="1775" priority="2259">
      <formula>AND($J118="x",R118&gt;0)</formula>
    </cfRule>
  </conditionalFormatting>
  <conditionalFormatting sqref="R140:R151">
    <cfRule type="expression" dxfId="1774" priority="2216">
      <formula>AND($J140="x",R140&gt;0)</formula>
    </cfRule>
  </conditionalFormatting>
  <conditionalFormatting sqref="R162:R173">
    <cfRule type="expression" dxfId="1773" priority="2173">
      <formula>AND($J162="x",R162&gt;0)</formula>
    </cfRule>
  </conditionalFormatting>
  <conditionalFormatting sqref="R184:R195">
    <cfRule type="expression" dxfId="1772" priority="2130">
      <formula>AND($J184="x",R184&gt;0)</formula>
    </cfRule>
  </conditionalFormatting>
  <conditionalFormatting sqref="R206:R217">
    <cfRule type="expression" dxfId="1771" priority="2087">
      <formula>AND($J206="x",R206&gt;0)</formula>
    </cfRule>
  </conditionalFormatting>
  <conditionalFormatting sqref="R228:R239">
    <cfRule type="expression" dxfId="1770" priority="2044">
      <formula>AND($J228="x",R228&gt;0)</formula>
    </cfRule>
  </conditionalFormatting>
  <conditionalFormatting sqref="R250:R261">
    <cfRule type="expression" dxfId="1769" priority="2001">
      <formula>AND($J250="x",R250&gt;0)</formula>
    </cfRule>
  </conditionalFormatting>
  <conditionalFormatting sqref="R272:R283">
    <cfRule type="expression" dxfId="1768" priority="1958">
      <formula>AND($J272="x",R272&gt;0)</formula>
    </cfRule>
  </conditionalFormatting>
  <conditionalFormatting sqref="R294:R305">
    <cfRule type="expression" dxfId="1767" priority="1915">
      <formula>AND($J294="x",R294&gt;0)</formula>
    </cfRule>
  </conditionalFormatting>
  <conditionalFormatting sqref="R316:R327">
    <cfRule type="expression" dxfId="1766" priority="1872">
      <formula>AND($J316="x",R316&gt;0)</formula>
    </cfRule>
  </conditionalFormatting>
  <conditionalFormatting sqref="R338:R349">
    <cfRule type="expression" dxfId="1765" priority="1829">
      <formula>AND($J338="x",R338&gt;0)</formula>
    </cfRule>
  </conditionalFormatting>
  <conditionalFormatting sqref="R360:R371">
    <cfRule type="expression" dxfId="1764" priority="1786">
      <formula>AND($J360="x",R360&gt;0)</formula>
    </cfRule>
  </conditionalFormatting>
  <conditionalFormatting sqref="R382:R393">
    <cfRule type="expression" dxfId="1763" priority="1743">
      <formula>AND($J382="x",R382&gt;0)</formula>
    </cfRule>
  </conditionalFormatting>
  <conditionalFormatting sqref="R404:R415">
    <cfRule type="expression" dxfId="1762" priority="1700">
      <formula>AND($J404="x",R404&gt;0)</formula>
    </cfRule>
  </conditionalFormatting>
  <conditionalFormatting sqref="R426:R437">
    <cfRule type="expression" dxfId="1761" priority="1657">
      <formula>AND($J426="x",R426&gt;0)</formula>
    </cfRule>
  </conditionalFormatting>
  <conditionalFormatting sqref="R448:R459">
    <cfRule type="expression" dxfId="1760" priority="1614">
      <formula>AND($J448="x",R448&gt;0)</formula>
    </cfRule>
  </conditionalFormatting>
  <conditionalFormatting sqref="R470:R481">
    <cfRule type="expression" dxfId="1759" priority="1571">
      <formula>AND($J470="x",R470&gt;0)</formula>
    </cfRule>
  </conditionalFormatting>
  <conditionalFormatting sqref="R492:R503">
    <cfRule type="expression" dxfId="1758" priority="1528">
      <formula>AND($J492="x",R492&gt;0)</formula>
    </cfRule>
  </conditionalFormatting>
  <conditionalFormatting sqref="R514:R525">
    <cfRule type="expression" dxfId="1757" priority="1485">
      <formula>AND($J514="x",R514&gt;0)</formula>
    </cfRule>
  </conditionalFormatting>
  <conditionalFormatting sqref="R536:R547">
    <cfRule type="expression" dxfId="1756" priority="1442">
      <formula>AND($J536="x",R536&gt;0)</formula>
    </cfRule>
  </conditionalFormatting>
  <conditionalFormatting sqref="R558:R569">
    <cfRule type="expression" dxfId="1755" priority="1399">
      <formula>AND($J558="x",R558&gt;0)</formula>
    </cfRule>
  </conditionalFormatting>
  <conditionalFormatting sqref="R580:R591">
    <cfRule type="expression" dxfId="1754" priority="1356">
      <formula>AND($J580="x",R580&gt;0)</formula>
    </cfRule>
  </conditionalFormatting>
  <conditionalFormatting sqref="R602:R613">
    <cfRule type="expression" dxfId="1753" priority="1313">
      <formula>AND($J602="x",R602&gt;0)</formula>
    </cfRule>
  </conditionalFormatting>
  <conditionalFormatting sqref="R624:R635">
    <cfRule type="expression" dxfId="1752" priority="1270">
      <formula>AND($J624="x",R624&gt;0)</formula>
    </cfRule>
  </conditionalFormatting>
  <conditionalFormatting sqref="R646:R657">
    <cfRule type="expression" dxfId="1751" priority="1227">
      <formula>AND($J646="x",R646&gt;0)</formula>
    </cfRule>
  </conditionalFormatting>
  <conditionalFormatting sqref="R668:R679">
    <cfRule type="expression" dxfId="1750" priority="1184">
      <formula>AND($J668="x",R668&gt;0)</formula>
    </cfRule>
  </conditionalFormatting>
  <conditionalFormatting sqref="R690:R701">
    <cfRule type="expression" dxfId="1749" priority="1141">
      <formula>AND($J690="x",R690&gt;0)</formula>
    </cfRule>
  </conditionalFormatting>
  <conditionalFormatting sqref="R712:R723">
    <cfRule type="expression" dxfId="1748" priority="1098">
      <formula>AND($J712="x",R712&gt;0)</formula>
    </cfRule>
  </conditionalFormatting>
  <conditionalFormatting sqref="R734:R745">
    <cfRule type="expression" dxfId="1747" priority="1055">
      <formula>AND($J734="x",R734&gt;0)</formula>
    </cfRule>
  </conditionalFormatting>
  <conditionalFormatting sqref="R756:R767">
    <cfRule type="expression" dxfId="1746" priority="1012">
      <formula>AND($J756="x",R756&gt;0)</formula>
    </cfRule>
  </conditionalFormatting>
  <conditionalFormatting sqref="R778:R789">
    <cfRule type="expression" dxfId="1745" priority="969">
      <formula>AND($J778="x",R778&gt;0)</formula>
    </cfRule>
  </conditionalFormatting>
  <conditionalFormatting sqref="R800:R811">
    <cfRule type="expression" dxfId="1744" priority="926">
      <formula>AND($J800="x",R800&gt;0)</formula>
    </cfRule>
  </conditionalFormatting>
  <conditionalFormatting sqref="R822:R833">
    <cfRule type="expression" dxfId="1743" priority="883">
      <formula>AND($J822="x",R822&gt;0)</formula>
    </cfRule>
  </conditionalFormatting>
  <conditionalFormatting sqref="R844:R855">
    <cfRule type="expression" dxfId="1742" priority="840">
      <formula>AND($J844="x",R844&gt;0)</formula>
    </cfRule>
  </conditionalFormatting>
  <conditionalFormatting sqref="R866:R877">
    <cfRule type="expression" dxfId="1741" priority="797">
      <formula>AND($J866="x",R866&gt;0)</formula>
    </cfRule>
  </conditionalFormatting>
  <conditionalFormatting sqref="R888:R899">
    <cfRule type="expression" dxfId="1740" priority="754">
      <formula>AND($J888="x",R888&gt;0)</formula>
    </cfRule>
  </conditionalFormatting>
  <conditionalFormatting sqref="S6">
    <cfRule type="expression" dxfId="1739" priority="4899">
      <formula>S6&gt;0</formula>
    </cfRule>
  </conditionalFormatting>
  <conditionalFormatting sqref="S8:S19">
    <cfRule type="expression" dxfId="1738" priority="4890">
      <formula>AND($K8="x",S8&gt;0)</formula>
    </cfRule>
    <cfRule type="expression" dxfId="1737" priority="4872">
      <formula>OR(S8&gt;80,S8&lt;10)</formula>
    </cfRule>
  </conditionalFormatting>
  <conditionalFormatting sqref="S28">
    <cfRule type="expression" dxfId="1736" priority="389">
      <formula>S28&gt;0</formula>
    </cfRule>
  </conditionalFormatting>
  <conditionalFormatting sqref="S30:S41">
    <cfRule type="expression" dxfId="1735" priority="4107">
      <formula>AND($K30="x",S30&gt;0)</formula>
    </cfRule>
    <cfRule type="expression" dxfId="1734" priority="4089">
      <formula>OR(S30&gt;80,S30&lt;10)</formula>
    </cfRule>
  </conditionalFormatting>
  <conditionalFormatting sqref="S50">
    <cfRule type="expression" dxfId="1733" priority="381">
      <formula>S50&gt;0</formula>
    </cfRule>
  </conditionalFormatting>
  <conditionalFormatting sqref="S52:S63">
    <cfRule type="expression" dxfId="1732" priority="293">
      <formula>AND($K52="x",S52&gt;0)</formula>
    </cfRule>
    <cfRule type="expression" dxfId="1731" priority="277">
      <formula>OR(S52&gt;80,S52&lt;10)</formula>
    </cfRule>
  </conditionalFormatting>
  <conditionalFormatting sqref="S72">
    <cfRule type="expression" dxfId="1730" priority="373">
      <formula>S72&gt;0</formula>
    </cfRule>
  </conditionalFormatting>
  <conditionalFormatting sqref="S74:S85">
    <cfRule type="expression" dxfId="1729" priority="2344">
      <formula>AND($K74="x",S74&gt;0)</formula>
    </cfRule>
    <cfRule type="expression" dxfId="1728" priority="2326">
      <formula>OR(S74&gt;80,S74&lt;10)</formula>
    </cfRule>
  </conditionalFormatting>
  <conditionalFormatting sqref="S94">
    <cfRule type="expression" dxfId="1727" priority="365">
      <formula>S94&gt;0</formula>
    </cfRule>
  </conditionalFormatting>
  <conditionalFormatting sqref="S96:S107">
    <cfRule type="expression" dxfId="1726" priority="2283">
      <formula>OR(S96&gt;80,S96&lt;10)</formula>
    </cfRule>
    <cfRule type="expression" dxfId="1725" priority="2301">
      <formula>AND($K96="x",S96&gt;0)</formula>
    </cfRule>
  </conditionalFormatting>
  <conditionalFormatting sqref="S116">
    <cfRule type="expression" dxfId="1724" priority="357">
      <formula>S116&gt;0</formula>
    </cfRule>
  </conditionalFormatting>
  <conditionalFormatting sqref="S118:S129">
    <cfRule type="expression" dxfId="1723" priority="2240">
      <formula>OR(S118&gt;80,S118&lt;10)</formula>
    </cfRule>
    <cfRule type="expression" dxfId="1722" priority="2258">
      <formula>AND($K118="x",S118&gt;0)</formula>
    </cfRule>
  </conditionalFormatting>
  <conditionalFormatting sqref="S138">
    <cfRule type="expression" dxfId="1721" priority="349">
      <formula>S138&gt;0</formula>
    </cfRule>
  </conditionalFormatting>
  <conditionalFormatting sqref="S140:S151">
    <cfRule type="expression" dxfId="1720" priority="2215">
      <formula>AND($K140="x",S140&gt;0)</formula>
    </cfRule>
    <cfRule type="expression" dxfId="1719" priority="2197">
      <formula>OR(S140&gt;80,S140&lt;10)</formula>
    </cfRule>
  </conditionalFormatting>
  <conditionalFormatting sqref="S160">
    <cfRule type="expression" dxfId="1718" priority="341">
      <formula>S160&gt;0</formula>
    </cfRule>
  </conditionalFormatting>
  <conditionalFormatting sqref="S162:S173">
    <cfRule type="expression" dxfId="1717" priority="2154">
      <formula>OR(S162&gt;80,S162&lt;10)</formula>
    </cfRule>
    <cfRule type="expression" dxfId="1716" priority="2172">
      <formula>AND($K162="x",S162&gt;0)</formula>
    </cfRule>
  </conditionalFormatting>
  <conditionalFormatting sqref="S182">
    <cfRule type="expression" dxfId="1715" priority="333">
      <formula>S182&gt;0</formula>
    </cfRule>
  </conditionalFormatting>
  <conditionalFormatting sqref="S184:S195">
    <cfRule type="expression" dxfId="1714" priority="2129">
      <formula>AND($K184="x",S184&gt;0)</formula>
    </cfRule>
    <cfRule type="expression" dxfId="1713" priority="2111">
      <formula>OR(S184&gt;80,S184&lt;10)</formula>
    </cfRule>
  </conditionalFormatting>
  <conditionalFormatting sqref="S204">
    <cfRule type="expression" dxfId="1712" priority="325">
      <formula>S204&gt;0</formula>
    </cfRule>
  </conditionalFormatting>
  <conditionalFormatting sqref="S206:S217">
    <cfRule type="expression" dxfId="1711" priority="2086">
      <formula>AND($K206="x",S206&gt;0)</formula>
    </cfRule>
    <cfRule type="expression" dxfId="1710" priority="2068">
      <formula>OR(S206&gt;80,S206&lt;10)</formula>
    </cfRule>
  </conditionalFormatting>
  <conditionalFormatting sqref="S226">
    <cfRule type="expression" dxfId="1709" priority="317">
      <formula>S226&gt;0</formula>
    </cfRule>
  </conditionalFormatting>
  <conditionalFormatting sqref="S228:S239">
    <cfRule type="expression" dxfId="1708" priority="2025">
      <formula>OR(S228&gt;80,S228&lt;10)</formula>
    </cfRule>
    <cfRule type="expression" dxfId="1707" priority="2043">
      <formula>AND($K228="x",S228&gt;0)</formula>
    </cfRule>
  </conditionalFormatting>
  <conditionalFormatting sqref="S248">
    <cfRule type="expression" dxfId="1706" priority="309">
      <formula>S248&gt;0</formula>
    </cfRule>
  </conditionalFormatting>
  <conditionalFormatting sqref="S250:S261">
    <cfRule type="expression" dxfId="1705" priority="1982">
      <formula>OR(S250&gt;80,S250&lt;10)</formula>
    </cfRule>
    <cfRule type="expression" dxfId="1704" priority="2000">
      <formula>AND($K250="x",S250&gt;0)</formula>
    </cfRule>
  </conditionalFormatting>
  <conditionalFormatting sqref="S270">
    <cfRule type="expression" dxfId="1703" priority="621">
      <formula>S270&gt;0</formula>
    </cfRule>
  </conditionalFormatting>
  <conditionalFormatting sqref="S272:S283">
    <cfRule type="expression" dxfId="1702" priority="1939">
      <formula>OR(S272&gt;80,S272&lt;10)</formula>
    </cfRule>
    <cfRule type="expression" dxfId="1701" priority="1957">
      <formula>AND($K272="x",S272&gt;0)</formula>
    </cfRule>
  </conditionalFormatting>
  <conditionalFormatting sqref="S292">
    <cfRule type="expression" dxfId="1700" priority="613">
      <formula>S292&gt;0</formula>
    </cfRule>
  </conditionalFormatting>
  <conditionalFormatting sqref="S294:S305">
    <cfRule type="expression" dxfId="1699" priority="1896">
      <formula>OR(S294&gt;80,S294&lt;10)</formula>
    </cfRule>
    <cfRule type="expression" dxfId="1698" priority="1914">
      <formula>AND($K294="x",S294&gt;0)</formula>
    </cfRule>
  </conditionalFormatting>
  <conditionalFormatting sqref="S314">
    <cfRule type="expression" dxfId="1697" priority="605">
      <formula>S314&gt;0</formula>
    </cfRule>
  </conditionalFormatting>
  <conditionalFormatting sqref="S316:S327">
    <cfRule type="expression" dxfId="1696" priority="1871">
      <formula>AND($K316="x",S316&gt;0)</formula>
    </cfRule>
    <cfRule type="expression" dxfId="1695" priority="1853">
      <formula>OR(S316&gt;80,S316&lt;10)</formula>
    </cfRule>
  </conditionalFormatting>
  <conditionalFormatting sqref="S336">
    <cfRule type="expression" dxfId="1694" priority="597">
      <formula>S336&gt;0</formula>
    </cfRule>
  </conditionalFormatting>
  <conditionalFormatting sqref="S338:S349">
    <cfRule type="expression" dxfId="1693" priority="1828">
      <formula>AND($K338="x",S338&gt;0)</formula>
    </cfRule>
    <cfRule type="expression" dxfId="1692" priority="1810">
      <formula>OR(S338&gt;80,S338&lt;10)</formula>
    </cfRule>
  </conditionalFormatting>
  <conditionalFormatting sqref="S358">
    <cfRule type="expression" dxfId="1691" priority="589">
      <formula>S358&gt;0</formula>
    </cfRule>
  </conditionalFormatting>
  <conditionalFormatting sqref="S360:S371">
    <cfRule type="expression" dxfId="1690" priority="1785">
      <formula>AND($K360="x",S360&gt;0)</formula>
    </cfRule>
    <cfRule type="expression" dxfId="1689" priority="1767">
      <formula>OR(S360&gt;80,S360&lt;10)</formula>
    </cfRule>
  </conditionalFormatting>
  <conditionalFormatting sqref="S380">
    <cfRule type="expression" dxfId="1688" priority="581">
      <formula>S380&gt;0</formula>
    </cfRule>
  </conditionalFormatting>
  <conditionalFormatting sqref="S382:S393">
    <cfRule type="expression" dxfId="1687" priority="1742">
      <formula>AND($K382="x",S382&gt;0)</formula>
    </cfRule>
    <cfRule type="expression" dxfId="1686" priority="1724">
      <formula>OR(S382&gt;80,S382&lt;10)</formula>
    </cfRule>
  </conditionalFormatting>
  <conditionalFormatting sqref="S402">
    <cfRule type="expression" dxfId="1685" priority="573">
      <formula>S402&gt;0</formula>
    </cfRule>
  </conditionalFormatting>
  <conditionalFormatting sqref="S404:S415">
    <cfRule type="expression" dxfId="1684" priority="1699">
      <formula>AND($K404="x",S404&gt;0)</formula>
    </cfRule>
    <cfRule type="expression" dxfId="1683" priority="1681">
      <formula>OR(S404&gt;80,S404&lt;10)</formula>
    </cfRule>
  </conditionalFormatting>
  <conditionalFormatting sqref="S424">
    <cfRule type="expression" dxfId="1682" priority="565">
      <formula>S424&gt;0</formula>
    </cfRule>
  </conditionalFormatting>
  <conditionalFormatting sqref="S426:S437">
    <cfRule type="expression" dxfId="1681" priority="1656">
      <formula>AND($K426="x",S426&gt;0)</formula>
    </cfRule>
    <cfRule type="expression" dxfId="1680" priority="1638">
      <formula>OR(S426&gt;80,S426&lt;10)</formula>
    </cfRule>
  </conditionalFormatting>
  <conditionalFormatting sqref="S446">
    <cfRule type="expression" dxfId="1679" priority="557">
      <formula>S446&gt;0</formula>
    </cfRule>
  </conditionalFormatting>
  <conditionalFormatting sqref="S448:S459">
    <cfRule type="expression" dxfId="1678" priority="1613">
      <formula>AND($K448="x",S448&gt;0)</formula>
    </cfRule>
    <cfRule type="expression" dxfId="1677" priority="1595">
      <formula>OR(S448&gt;80,S448&lt;10)</formula>
    </cfRule>
  </conditionalFormatting>
  <conditionalFormatting sqref="S468">
    <cfRule type="expression" dxfId="1676" priority="549">
      <formula>S468&gt;0</formula>
    </cfRule>
  </conditionalFormatting>
  <conditionalFormatting sqref="S470:S481">
    <cfRule type="expression" dxfId="1675" priority="1570">
      <formula>AND($K470="x",S470&gt;0)</formula>
    </cfRule>
    <cfRule type="expression" dxfId="1674" priority="1552">
      <formula>OR(S470&gt;80,S470&lt;10)</formula>
    </cfRule>
  </conditionalFormatting>
  <conditionalFormatting sqref="S490">
    <cfRule type="expression" dxfId="1673" priority="541">
      <formula>S490&gt;0</formula>
    </cfRule>
  </conditionalFormatting>
  <conditionalFormatting sqref="S492:S503">
    <cfRule type="expression" dxfId="1672" priority="1509">
      <formula>OR(S492&gt;80,S492&lt;10)</formula>
    </cfRule>
    <cfRule type="expression" dxfId="1671" priority="1527">
      <formula>AND($K492="x",S492&gt;0)</formula>
    </cfRule>
  </conditionalFormatting>
  <conditionalFormatting sqref="S512">
    <cfRule type="expression" dxfId="1670" priority="533">
      <formula>S512&gt;0</formula>
    </cfRule>
  </conditionalFormatting>
  <conditionalFormatting sqref="S514:S525">
    <cfRule type="expression" dxfId="1669" priority="1484">
      <formula>AND($K514="x",S514&gt;0)</formula>
    </cfRule>
    <cfRule type="expression" dxfId="1668" priority="1466">
      <formula>OR(S514&gt;80,S514&lt;10)</formula>
    </cfRule>
  </conditionalFormatting>
  <conditionalFormatting sqref="S534">
    <cfRule type="expression" dxfId="1667" priority="525">
      <formula>S534&gt;0</formula>
    </cfRule>
  </conditionalFormatting>
  <conditionalFormatting sqref="S536:S547">
    <cfRule type="expression" dxfId="1666" priority="1441">
      <formula>AND($K536="x",S536&gt;0)</formula>
    </cfRule>
    <cfRule type="expression" dxfId="1665" priority="1423">
      <formula>OR(S536&gt;80,S536&lt;10)</formula>
    </cfRule>
  </conditionalFormatting>
  <conditionalFormatting sqref="S556">
    <cfRule type="expression" dxfId="1664" priority="517">
      <formula>S556&gt;0</formula>
    </cfRule>
  </conditionalFormatting>
  <conditionalFormatting sqref="S558:S569">
    <cfRule type="expression" dxfId="1663" priority="1380">
      <formula>OR(S558&gt;80,S558&lt;10)</formula>
    </cfRule>
    <cfRule type="expression" dxfId="1662" priority="1398">
      <formula>AND($K558="x",S558&gt;0)</formula>
    </cfRule>
  </conditionalFormatting>
  <conditionalFormatting sqref="S578">
    <cfRule type="expression" dxfId="1661" priority="509">
      <formula>S578&gt;0</formula>
    </cfRule>
  </conditionalFormatting>
  <conditionalFormatting sqref="S580:S591">
    <cfRule type="expression" dxfId="1660" priority="1337">
      <formula>OR(S580&gt;80,S580&lt;10)</formula>
    </cfRule>
    <cfRule type="expression" dxfId="1659" priority="1355">
      <formula>AND($K580="x",S580&gt;0)</formula>
    </cfRule>
  </conditionalFormatting>
  <conditionalFormatting sqref="S600">
    <cfRule type="expression" dxfId="1658" priority="501">
      <formula>S600&gt;0</formula>
    </cfRule>
  </conditionalFormatting>
  <conditionalFormatting sqref="S602:S613">
    <cfRule type="expression" dxfId="1657" priority="1312">
      <formula>AND($K602="x",S602&gt;0)</formula>
    </cfRule>
    <cfRule type="expression" dxfId="1656" priority="1294">
      <formula>OR(S602&gt;80,S602&lt;10)</formula>
    </cfRule>
  </conditionalFormatting>
  <conditionalFormatting sqref="S622">
    <cfRule type="expression" dxfId="1655" priority="493">
      <formula>S622&gt;0</formula>
    </cfRule>
  </conditionalFormatting>
  <conditionalFormatting sqref="S624:S635">
    <cfRule type="expression" dxfId="1654" priority="1251">
      <formula>OR(S624&gt;80,S624&lt;10)</formula>
    </cfRule>
    <cfRule type="expression" dxfId="1653" priority="1269">
      <formula>AND($K624="x",S624&gt;0)</formula>
    </cfRule>
  </conditionalFormatting>
  <conditionalFormatting sqref="S644">
    <cfRule type="expression" dxfId="1652" priority="485">
      <formula>S644&gt;0</formula>
    </cfRule>
  </conditionalFormatting>
  <conditionalFormatting sqref="S646:S657">
    <cfRule type="expression" dxfId="1651" priority="1208">
      <formula>OR(S646&gt;80,S646&lt;10)</formula>
    </cfRule>
    <cfRule type="expression" dxfId="1650" priority="1226">
      <formula>AND($K646="x",S646&gt;0)</formula>
    </cfRule>
  </conditionalFormatting>
  <conditionalFormatting sqref="S666">
    <cfRule type="expression" dxfId="1649" priority="477">
      <formula>S666&gt;0</formula>
    </cfRule>
  </conditionalFormatting>
  <conditionalFormatting sqref="S668:S679">
    <cfRule type="expression" dxfId="1648" priority="1165">
      <formula>OR(S668&gt;80,S668&lt;10)</formula>
    </cfRule>
    <cfRule type="expression" dxfId="1647" priority="1183">
      <formula>AND($K668="x",S668&gt;0)</formula>
    </cfRule>
  </conditionalFormatting>
  <conditionalFormatting sqref="S688">
    <cfRule type="expression" dxfId="1646" priority="469">
      <formula>S688&gt;0</formula>
    </cfRule>
  </conditionalFormatting>
  <conditionalFormatting sqref="S690:S701">
    <cfRule type="expression" dxfId="1645" priority="1140">
      <formula>AND($K690="x",S690&gt;0)</formula>
    </cfRule>
    <cfRule type="expression" dxfId="1644" priority="1122">
      <formula>OR(S690&gt;80,S690&lt;10)</formula>
    </cfRule>
  </conditionalFormatting>
  <conditionalFormatting sqref="S710">
    <cfRule type="expression" dxfId="1643" priority="461">
      <formula>S710&gt;0</formula>
    </cfRule>
  </conditionalFormatting>
  <conditionalFormatting sqref="S712:S723">
    <cfRule type="expression" dxfId="1642" priority="1097">
      <formula>AND($K712="x",S712&gt;0)</formula>
    </cfRule>
    <cfRule type="expression" dxfId="1641" priority="1079">
      <formula>OR(S712&gt;80,S712&lt;10)</formula>
    </cfRule>
  </conditionalFormatting>
  <conditionalFormatting sqref="S732">
    <cfRule type="expression" dxfId="1640" priority="453">
      <formula>S732&gt;0</formula>
    </cfRule>
  </conditionalFormatting>
  <conditionalFormatting sqref="S734:S745">
    <cfRule type="expression" dxfId="1639" priority="1054">
      <formula>AND($K734="x",S734&gt;0)</formula>
    </cfRule>
    <cfRule type="expression" dxfId="1638" priority="1036">
      <formula>OR(S734&gt;80,S734&lt;10)</formula>
    </cfRule>
  </conditionalFormatting>
  <conditionalFormatting sqref="S754">
    <cfRule type="expression" dxfId="1637" priority="445">
      <formula>S754&gt;0</formula>
    </cfRule>
  </conditionalFormatting>
  <conditionalFormatting sqref="S756:S767">
    <cfRule type="expression" dxfId="1636" priority="1011">
      <formula>AND($K756="x",S756&gt;0)</formula>
    </cfRule>
    <cfRule type="expression" dxfId="1635" priority="993">
      <formula>OR(S756&gt;80,S756&lt;10)</formula>
    </cfRule>
  </conditionalFormatting>
  <conditionalFormatting sqref="S776">
    <cfRule type="expression" dxfId="1634" priority="437">
      <formula>S776&gt;0</formula>
    </cfRule>
  </conditionalFormatting>
  <conditionalFormatting sqref="S778:S789">
    <cfRule type="expression" dxfId="1633" priority="950">
      <formula>OR(S778&gt;80,S778&lt;10)</formula>
    </cfRule>
    <cfRule type="expression" dxfId="1632" priority="968">
      <formula>AND($K778="x",S778&gt;0)</formula>
    </cfRule>
  </conditionalFormatting>
  <conditionalFormatting sqref="S798">
    <cfRule type="expression" dxfId="1631" priority="429">
      <formula>S798&gt;0</formula>
    </cfRule>
  </conditionalFormatting>
  <conditionalFormatting sqref="S800:S811">
    <cfRule type="expression" dxfId="1630" priority="925">
      <formula>AND($K800="x",S800&gt;0)</formula>
    </cfRule>
    <cfRule type="expression" dxfId="1629" priority="907">
      <formula>OR(S800&gt;80,S800&lt;10)</formula>
    </cfRule>
  </conditionalFormatting>
  <conditionalFormatting sqref="S820">
    <cfRule type="expression" dxfId="1628" priority="421">
      <formula>S820&gt;0</formula>
    </cfRule>
  </conditionalFormatting>
  <conditionalFormatting sqref="S822:S833">
    <cfRule type="expression" dxfId="1627" priority="882">
      <formula>AND($K822="x",S822&gt;0)</formula>
    </cfRule>
    <cfRule type="expression" dxfId="1626" priority="864">
      <formula>OR(S822&gt;80,S822&lt;10)</formula>
    </cfRule>
  </conditionalFormatting>
  <conditionalFormatting sqref="S842">
    <cfRule type="expression" dxfId="1625" priority="413">
      <formula>S842&gt;0</formula>
    </cfRule>
  </conditionalFormatting>
  <conditionalFormatting sqref="S844:S855">
    <cfRule type="expression" dxfId="1624" priority="839">
      <formula>AND($K844="x",S844&gt;0)</formula>
    </cfRule>
    <cfRule type="expression" dxfId="1623" priority="821">
      <formula>OR(S844&gt;80,S844&lt;10)</formula>
    </cfRule>
  </conditionalFormatting>
  <conditionalFormatting sqref="S864">
    <cfRule type="expression" dxfId="1622" priority="405">
      <formula>S864&gt;0</formula>
    </cfRule>
  </conditionalFormatting>
  <conditionalFormatting sqref="S866:S877">
    <cfRule type="expression" dxfId="1621" priority="778">
      <formula>OR(S866&gt;80,S866&lt;10)</formula>
    </cfRule>
    <cfRule type="expression" dxfId="1620" priority="796">
      <formula>AND($K866="x",S866&gt;0)</formula>
    </cfRule>
  </conditionalFormatting>
  <conditionalFormatting sqref="S886">
    <cfRule type="expression" dxfId="1619" priority="397">
      <formula>S886&gt;0</formula>
    </cfRule>
  </conditionalFormatting>
  <conditionalFormatting sqref="S888:S899">
    <cfRule type="expression" dxfId="1618" priority="753">
      <formula>AND($K888="x",S888&gt;0)</formula>
    </cfRule>
    <cfRule type="expression" dxfId="1617" priority="735">
      <formula>OR(S888&gt;80,S888&lt;10)</formula>
    </cfRule>
  </conditionalFormatting>
  <conditionalFormatting sqref="Z8:Z19">
    <cfRule type="expression" dxfId="1616" priority="4887">
      <formula>AND($I8="x",Z8&gt;0)</formula>
    </cfRule>
  </conditionalFormatting>
  <conditionalFormatting sqref="Z30:Z41">
    <cfRule type="expression" dxfId="1615" priority="4104">
      <formula>AND($I30="x",Z30&gt;0)</formula>
    </cfRule>
  </conditionalFormatting>
  <conditionalFormatting sqref="Z52:Z63">
    <cfRule type="expression" dxfId="1614" priority="290">
      <formula>AND($I52="x",Z52&gt;0)</formula>
    </cfRule>
  </conditionalFormatting>
  <conditionalFormatting sqref="Z74:Z85">
    <cfRule type="expression" dxfId="1613" priority="2341">
      <formula>AND($I74="x",Z74&gt;0)</formula>
    </cfRule>
  </conditionalFormatting>
  <conditionalFormatting sqref="Z96:Z107">
    <cfRule type="expression" dxfId="1612" priority="2298">
      <formula>AND($I96="x",Z96&gt;0)</formula>
    </cfRule>
  </conditionalFormatting>
  <conditionalFormatting sqref="Z118:Z129">
    <cfRule type="expression" dxfId="1611" priority="2255">
      <formula>AND($I118="x",Z118&gt;0)</formula>
    </cfRule>
  </conditionalFormatting>
  <conditionalFormatting sqref="Z140:Z151">
    <cfRule type="expression" dxfId="1610" priority="2212">
      <formula>AND($I140="x",Z140&gt;0)</formula>
    </cfRule>
  </conditionalFormatting>
  <conditionalFormatting sqref="Z162:Z173">
    <cfRule type="expression" dxfId="1609" priority="2169">
      <formula>AND($I162="x",Z162&gt;0)</formula>
    </cfRule>
  </conditionalFormatting>
  <conditionalFormatting sqref="Z184:Z195">
    <cfRule type="expression" dxfId="1608" priority="2126">
      <formula>AND($I184="x",Z184&gt;0)</formula>
    </cfRule>
  </conditionalFormatting>
  <conditionalFormatting sqref="Z206:Z217">
    <cfRule type="expression" dxfId="1607" priority="2083">
      <formula>AND($I206="x",Z206&gt;0)</formula>
    </cfRule>
  </conditionalFormatting>
  <conditionalFormatting sqref="Z228:Z239">
    <cfRule type="expression" dxfId="1606" priority="2040">
      <formula>AND($I228="x",Z228&gt;0)</formula>
    </cfRule>
  </conditionalFormatting>
  <conditionalFormatting sqref="Z250:Z261">
    <cfRule type="expression" dxfId="1605" priority="1997">
      <formula>AND($I250="x",Z250&gt;0)</formula>
    </cfRule>
  </conditionalFormatting>
  <conditionalFormatting sqref="Z272:Z283">
    <cfRule type="expression" dxfId="1604" priority="1954">
      <formula>AND($I272="x",Z272&gt;0)</formula>
    </cfRule>
  </conditionalFormatting>
  <conditionalFormatting sqref="Z294:Z305">
    <cfRule type="expression" dxfId="1603" priority="1911">
      <formula>AND($I294="x",Z294&gt;0)</formula>
    </cfRule>
  </conditionalFormatting>
  <conditionalFormatting sqref="Z316:Z327">
    <cfRule type="expression" dxfId="1602" priority="1868">
      <formula>AND($I316="x",Z316&gt;0)</formula>
    </cfRule>
  </conditionalFormatting>
  <conditionalFormatting sqref="Z338:Z349">
    <cfRule type="expression" dxfId="1601" priority="1825">
      <formula>AND($I338="x",Z338&gt;0)</formula>
    </cfRule>
  </conditionalFormatting>
  <conditionalFormatting sqref="Z360:Z371">
    <cfRule type="expression" dxfId="1600" priority="1782">
      <formula>AND($I360="x",Z360&gt;0)</formula>
    </cfRule>
  </conditionalFormatting>
  <conditionalFormatting sqref="Z382:Z393">
    <cfRule type="expression" dxfId="1599" priority="1739">
      <formula>AND($I382="x",Z382&gt;0)</formula>
    </cfRule>
  </conditionalFormatting>
  <conditionalFormatting sqref="Z404:Z415">
    <cfRule type="expression" dxfId="1598" priority="1696">
      <formula>AND($I404="x",Z404&gt;0)</formula>
    </cfRule>
  </conditionalFormatting>
  <conditionalFormatting sqref="Z426:Z437">
    <cfRule type="expression" dxfId="1597" priority="1653">
      <formula>AND($I426="x",Z426&gt;0)</formula>
    </cfRule>
  </conditionalFormatting>
  <conditionalFormatting sqref="Z448:Z459">
    <cfRule type="expression" dxfId="1596" priority="1610">
      <formula>AND($I448="x",Z448&gt;0)</formula>
    </cfRule>
  </conditionalFormatting>
  <conditionalFormatting sqref="Z470:Z481">
    <cfRule type="expression" dxfId="1595" priority="1567">
      <formula>AND($I470="x",Z470&gt;0)</formula>
    </cfRule>
  </conditionalFormatting>
  <conditionalFormatting sqref="Z492:Z503">
    <cfRule type="expression" dxfId="1594" priority="1524">
      <formula>AND($I492="x",Z492&gt;0)</formula>
    </cfRule>
  </conditionalFormatting>
  <conditionalFormatting sqref="Z514:Z525">
    <cfRule type="expression" dxfId="1593" priority="1481">
      <formula>AND($I514="x",Z514&gt;0)</formula>
    </cfRule>
  </conditionalFormatting>
  <conditionalFormatting sqref="Z536:Z547">
    <cfRule type="expression" dxfId="1592" priority="1438">
      <formula>AND($I536="x",Z536&gt;0)</formula>
    </cfRule>
  </conditionalFormatting>
  <conditionalFormatting sqref="Z558:Z569">
    <cfRule type="expression" dxfId="1591" priority="1395">
      <formula>AND($I558="x",Z558&gt;0)</formula>
    </cfRule>
  </conditionalFormatting>
  <conditionalFormatting sqref="Z580:Z591">
    <cfRule type="expression" dxfId="1590" priority="1352">
      <formula>AND($I580="x",Z580&gt;0)</formula>
    </cfRule>
  </conditionalFormatting>
  <conditionalFormatting sqref="Z602:Z613">
    <cfRule type="expression" dxfId="1589" priority="1309">
      <formula>AND($I602="x",Z602&gt;0)</formula>
    </cfRule>
  </conditionalFormatting>
  <conditionalFormatting sqref="Z624:Z635">
    <cfRule type="expression" dxfId="1588" priority="1266">
      <formula>AND($I624="x",Z624&gt;0)</formula>
    </cfRule>
  </conditionalFormatting>
  <conditionalFormatting sqref="Z646:Z657">
    <cfRule type="expression" dxfId="1587" priority="1223">
      <formula>AND($I646="x",Z646&gt;0)</formula>
    </cfRule>
  </conditionalFormatting>
  <conditionalFormatting sqref="Z668:Z679">
    <cfRule type="expression" dxfId="1586" priority="1180">
      <formula>AND($I668="x",Z668&gt;0)</formula>
    </cfRule>
  </conditionalFormatting>
  <conditionalFormatting sqref="Z690:Z701">
    <cfRule type="expression" dxfId="1585" priority="1137">
      <formula>AND($I690="x",Z690&gt;0)</formula>
    </cfRule>
  </conditionalFormatting>
  <conditionalFormatting sqref="Z712:Z723">
    <cfRule type="expression" dxfId="1584" priority="1094">
      <formula>AND($I712="x",Z712&gt;0)</formula>
    </cfRule>
  </conditionalFormatting>
  <conditionalFormatting sqref="Z734:Z745">
    <cfRule type="expression" dxfId="1583" priority="1051">
      <formula>AND($I734="x",Z734&gt;0)</formula>
    </cfRule>
  </conditionalFormatting>
  <conditionalFormatting sqref="Z756:Z767">
    <cfRule type="expression" dxfId="1582" priority="1008">
      <formula>AND($I756="x",Z756&gt;0)</formula>
    </cfRule>
  </conditionalFormatting>
  <conditionalFormatting sqref="Z778:Z789">
    <cfRule type="expression" dxfId="1581" priority="965">
      <formula>AND($I778="x",Z778&gt;0)</formula>
    </cfRule>
  </conditionalFormatting>
  <conditionalFormatting sqref="Z800:Z811">
    <cfRule type="expression" dxfId="1580" priority="922">
      <formula>AND($I800="x",Z800&gt;0)</formula>
    </cfRule>
  </conditionalFormatting>
  <conditionalFormatting sqref="Z822:Z833">
    <cfRule type="expression" dxfId="1579" priority="879">
      <formula>AND($I822="x",Z822&gt;0)</formula>
    </cfRule>
  </conditionalFormatting>
  <conditionalFormatting sqref="Z844:Z855">
    <cfRule type="expression" dxfId="1578" priority="836">
      <formula>AND($I844="x",Z844&gt;0)</formula>
    </cfRule>
  </conditionalFormatting>
  <conditionalFormatting sqref="Z866:Z877">
    <cfRule type="expression" dxfId="1577" priority="793">
      <formula>AND($I866="x",Z866&gt;0)</formula>
    </cfRule>
  </conditionalFormatting>
  <conditionalFormatting sqref="Z888:Z899">
    <cfRule type="expression" dxfId="1576" priority="750">
      <formula>AND($I888="x",Z888&gt;0)</formula>
    </cfRule>
  </conditionalFormatting>
  <conditionalFormatting sqref="AA8:AA19">
    <cfRule type="expression" dxfId="1575" priority="4886">
      <formula>AND($J8="x",AA8&gt;0)</formula>
    </cfRule>
  </conditionalFormatting>
  <conditionalFormatting sqref="AA30:AA41">
    <cfRule type="expression" dxfId="1574" priority="4103">
      <formula>AND($J30="x",AA30&gt;0)</formula>
    </cfRule>
  </conditionalFormatting>
  <conditionalFormatting sqref="AA52:AA63">
    <cfRule type="expression" dxfId="1573" priority="289">
      <formula>AND($J52="x",AA52&gt;0)</formula>
    </cfRule>
  </conditionalFormatting>
  <conditionalFormatting sqref="AA74:AA85">
    <cfRule type="expression" dxfId="1572" priority="2340">
      <formula>AND($J74="x",AA74&gt;0)</formula>
    </cfRule>
  </conditionalFormatting>
  <conditionalFormatting sqref="AA96:AA107">
    <cfRule type="expression" dxfId="1571" priority="2297">
      <formula>AND($J96="x",AA96&gt;0)</formula>
    </cfRule>
  </conditionalFormatting>
  <conditionalFormatting sqref="AA118:AA129">
    <cfRule type="expression" dxfId="1570" priority="2254">
      <formula>AND($J118="x",AA118&gt;0)</formula>
    </cfRule>
  </conditionalFormatting>
  <conditionalFormatting sqref="AA140:AA151">
    <cfRule type="expression" dxfId="1569" priority="2211">
      <formula>AND($J140="x",AA140&gt;0)</formula>
    </cfRule>
  </conditionalFormatting>
  <conditionalFormatting sqref="AA162:AA173">
    <cfRule type="expression" dxfId="1568" priority="2168">
      <formula>AND($J162="x",AA162&gt;0)</formula>
    </cfRule>
  </conditionalFormatting>
  <conditionalFormatting sqref="AA184:AA195">
    <cfRule type="expression" dxfId="1567" priority="2125">
      <formula>AND($J184="x",AA184&gt;0)</formula>
    </cfRule>
  </conditionalFormatting>
  <conditionalFormatting sqref="AA206:AA217">
    <cfRule type="expression" dxfId="1566" priority="2082">
      <formula>AND($J206="x",AA206&gt;0)</formula>
    </cfRule>
  </conditionalFormatting>
  <conditionalFormatting sqref="AA228:AA239">
    <cfRule type="expression" dxfId="1565" priority="2039">
      <formula>AND($J228="x",AA228&gt;0)</formula>
    </cfRule>
  </conditionalFormatting>
  <conditionalFormatting sqref="AA250:AA261">
    <cfRule type="expression" dxfId="1564" priority="1996">
      <formula>AND($J250="x",AA250&gt;0)</formula>
    </cfRule>
  </conditionalFormatting>
  <conditionalFormatting sqref="AA272:AA283">
    <cfRule type="expression" dxfId="1563" priority="1953">
      <formula>AND($J272="x",AA272&gt;0)</formula>
    </cfRule>
  </conditionalFormatting>
  <conditionalFormatting sqref="AA294:AA305">
    <cfRule type="expression" dxfId="1562" priority="1910">
      <formula>AND($J294="x",AA294&gt;0)</formula>
    </cfRule>
  </conditionalFormatting>
  <conditionalFormatting sqref="AA316:AA327">
    <cfRule type="expression" dxfId="1561" priority="1867">
      <formula>AND($J316="x",AA316&gt;0)</formula>
    </cfRule>
  </conditionalFormatting>
  <conditionalFormatting sqref="AA338:AA349">
    <cfRule type="expression" dxfId="1560" priority="1824">
      <formula>AND($J338="x",AA338&gt;0)</formula>
    </cfRule>
  </conditionalFormatting>
  <conditionalFormatting sqref="AA360:AA371">
    <cfRule type="expression" dxfId="1559" priority="1781">
      <formula>AND($J360="x",AA360&gt;0)</formula>
    </cfRule>
  </conditionalFormatting>
  <conditionalFormatting sqref="AA382:AA393">
    <cfRule type="expression" dxfId="1558" priority="1738">
      <formula>AND($J382="x",AA382&gt;0)</formula>
    </cfRule>
  </conditionalFormatting>
  <conditionalFormatting sqref="AA404:AA415">
    <cfRule type="expression" dxfId="1557" priority="1695">
      <formula>AND($J404="x",AA404&gt;0)</formula>
    </cfRule>
  </conditionalFormatting>
  <conditionalFormatting sqref="AA426:AA437">
    <cfRule type="expression" dxfId="1556" priority="1652">
      <formula>AND($J426="x",AA426&gt;0)</formula>
    </cfRule>
  </conditionalFormatting>
  <conditionalFormatting sqref="AA448:AA459">
    <cfRule type="expression" dxfId="1555" priority="1609">
      <formula>AND($J448="x",AA448&gt;0)</formula>
    </cfRule>
  </conditionalFormatting>
  <conditionalFormatting sqref="AA470:AA481">
    <cfRule type="expression" dxfId="1554" priority="1566">
      <formula>AND($J470="x",AA470&gt;0)</formula>
    </cfRule>
  </conditionalFormatting>
  <conditionalFormatting sqref="AA492:AA503">
    <cfRule type="expression" dxfId="1553" priority="1523">
      <formula>AND($J492="x",AA492&gt;0)</formula>
    </cfRule>
  </conditionalFormatting>
  <conditionalFormatting sqref="AA514:AA525">
    <cfRule type="expression" dxfId="1552" priority="1480">
      <formula>AND($J514="x",AA514&gt;0)</formula>
    </cfRule>
  </conditionalFormatting>
  <conditionalFormatting sqref="AA536:AA547">
    <cfRule type="expression" dxfId="1551" priority="1437">
      <formula>AND($J536="x",AA536&gt;0)</formula>
    </cfRule>
  </conditionalFormatting>
  <conditionalFormatting sqref="AA558:AA569">
    <cfRule type="expression" dxfId="1550" priority="1394">
      <formula>AND($J558="x",AA558&gt;0)</formula>
    </cfRule>
  </conditionalFormatting>
  <conditionalFormatting sqref="AA580:AA591">
    <cfRule type="expression" dxfId="1549" priority="1351">
      <formula>AND($J580="x",AA580&gt;0)</formula>
    </cfRule>
  </conditionalFormatting>
  <conditionalFormatting sqref="AA602:AA613">
    <cfRule type="expression" dxfId="1548" priority="1308">
      <formula>AND($J602="x",AA602&gt;0)</formula>
    </cfRule>
  </conditionalFormatting>
  <conditionalFormatting sqref="AA624:AA635">
    <cfRule type="expression" dxfId="1547" priority="1265">
      <formula>AND($J624="x",AA624&gt;0)</formula>
    </cfRule>
  </conditionalFormatting>
  <conditionalFormatting sqref="AA646:AA657">
    <cfRule type="expression" dxfId="1546" priority="1222">
      <formula>AND($J646="x",AA646&gt;0)</formula>
    </cfRule>
  </conditionalFormatting>
  <conditionalFormatting sqref="AA668:AA679">
    <cfRule type="expression" dxfId="1545" priority="1179">
      <formula>AND($J668="x",AA668&gt;0)</formula>
    </cfRule>
  </conditionalFormatting>
  <conditionalFormatting sqref="AA690:AA701">
    <cfRule type="expression" dxfId="1544" priority="1136">
      <formula>AND($J690="x",AA690&gt;0)</formula>
    </cfRule>
  </conditionalFormatting>
  <conditionalFormatting sqref="AA712:AA723">
    <cfRule type="expression" dxfId="1543" priority="1093">
      <formula>AND($J712="x",AA712&gt;0)</formula>
    </cfRule>
  </conditionalFormatting>
  <conditionalFormatting sqref="AA734:AA745">
    <cfRule type="expression" dxfId="1542" priority="1050">
      <formula>AND($J734="x",AA734&gt;0)</formula>
    </cfRule>
  </conditionalFormatting>
  <conditionalFormatting sqref="AA756:AA767">
    <cfRule type="expression" dxfId="1541" priority="1007">
      <formula>AND($J756="x",AA756&gt;0)</formula>
    </cfRule>
  </conditionalFormatting>
  <conditionalFormatting sqref="AA778:AA789">
    <cfRule type="expression" dxfId="1540" priority="964">
      <formula>AND($J778="x",AA778&gt;0)</formula>
    </cfRule>
  </conditionalFormatting>
  <conditionalFormatting sqref="AA800:AA811">
    <cfRule type="expression" dxfId="1539" priority="921">
      <formula>AND($J800="x",AA800&gt;0)</formula>
    </cfRule>
  </conditionalFormatting>
  <conditionalFormatting sqref="AA822:AA833">
    <cfRule type="expression" dxfId="1538" priority="878">
      <formula>AND($J822="x",AA822&gt;0)</formula>
    </cfRule>
  </conditionalFormatting>
  <conditionalFormatting sqref="AA844:AA855">
    <cfRule type="expression" dxfId="1537" priority="835">
      <formula>AND($J844="x",AA844&gt;0)</formula>
    </cfRule>
  </conditionalFormatting>
  <conditionalFormatting sqref="AA866:AA877">
    <cfRule type="expression" dxfId="1536" priority="792">
      <formula>AND($J866="x",AA866&gt;0)</formula>
    </cfRule>
  </conditionalFormatting>
  <conditionalFormatting sqref="AA888:AA899">
    <cfRule type="expression" dxfId="1535" priority="749">
      <formula>AND($J888="x",AA888&gt;0)</formula>
    </cfRule>
  </conditionalFormatting>
  <conditionalFormatting sqref="AB6">
    <cfRule type="expression" dxfId="1534" priority="4898">
      <formula>AB6&gt;0</formula>
    </cfRule>
  </conditionalFormatting>
  <conditionalFormatting sqref="AB8:AB19">
    <cfRule type="expression" dxfId="1533" priority="4871">
      <formula>AND($K8="x",AB8&gt;0)</formula>
    </cfRule>
    <cfRule type="expression" dxfId="1532" priority="4870">
      <formula>OR(AB8&gt;80,AB8&lt;10)</formula>
    </cfRule>
  </conditionalFormatting>
  <conditionalFormatting sqref="AB28">
    <cfRule type="expression" dxfId="1531" priority="388">
      <formula>AB28&gt;0</formula>
    </cfRule>
  </conditionalFormatting>
  <conditionalFormatting sqref="AB30:AB41">
    <cfRule type="expression" dxfId="1530" priority="4087">
      <formula>OR(AB30&gt;80,AB30&lt;10)</formula>
    </cfRule>
    <cfRule type="expression" dxfId="1529" priority="4088">
      <formula>AND($K30="x",AB30&gt;0)</formula>
    </cfRule>
  </conditionalFormatting>
  <conditionalFormatting sqref="AB50">
    <cfRule type="expression" dxfId="1528" priority="380">
      <formula>AB50&gt;0</formula>
    </cfRule>
  </conditionalFormatting>
  <conditionalFormatting sqref="AB52:AB63">
    <cfRule type="expression" dxfId="1527" priority="276">
      <formula>AND($K52="x",AB52&gt;0)</formula>
    </cfRule>
    <cfRule type="expression" dxfId="1526" priority="275">
      <formula>OR(AB52&gt;80,AB52&lt;10)</formula>
    </cfRule>
  </conditionalFormatting>
  <conditionalFormatting sqref="AB72">
    <cfRule type="expression" dxfId="1525" priority="372">
      <formula>AB72&gt;0</formula>
    </cfRule>
  </conditionalFormatting>
  <conditionalFormatting sqref="AB74:AB85">
    <cfRule type="expression" dxfId="1524" priority="2324">
      <formula>OR(AB74&gt;80,AB74&lt;10)</formula>
    </cfRule>
    <cfRule type="expression" dxfId="1523" priority="2325">
      <formula>AND($K74="x",AB74&gt;0)</formula>
    </cfRule>
  </conditionalFormatting>
  <conditionalFormatting sqref="AB94">
    <cfRule type="expression" dxfId="1522" priority="364">
      <formula>AB94&gt;0</formula>
    </cfRule>
  </conditionalFormatting>
  <conditionalFormatting sqref="AB96:AB107">
    <cfRule type="expression" dxfId="1521" priority="2282">
      <formula>AND($K96="x",AB96&gt;0)</formula>
    </cfRule>
    <cfRule type="expression" dxfId="1520" priority="2281">
      <formula>OR(AB96&gt;80,AB96&lt;10)</formula>
    </cfRule>
  </conditionalFormatting>
  <conditionalFormatting sqref="AB116">
    <cfRule type="expression" dxfId="1519" priority="356">
      <formula>AB116&gt;0</formula>
    </cfRule>
  </conditionalFormatting>
  <conditionalFormatting sqref="AB118:AB129">
    <cfRule type="expression" dxfId="1518" priority="2239">
      <formula>AND($K118="x",AB118&gt;0)</formula>
    </cfRule>
    <cfRule type="expression" dxfId="1517" priority="2238">
      <formula>OR(AB118&gt;80,AB118&lt;10)</formula>
    </cfRule>
  </conditionalFormatting>
  <conditionalFormatting sqref="AB138">
    <cfRule type="expression" dxfId="1516" priority="348">
      <formula>AB138&gt;0</formula>
    </cfRule>
  </conditionalFormatting>
  <conditionalFormatting sqref="AB140:AB151">
    <cfRule type="expression" dxfId="1515" priority="2196">
      <formula>AND($K140="x",AB140&gt;0)</formula>
    </cfRule>
    <cfRule type="expression" dxfId="1514" priority="2195">
      <formula>OR(AB140&gt;80,AB140&lt;10)</formula>
    </cfRule>
  </conditionalFormatting>
  <conditionalFormatting sqref="AB160">
    <cfRule type="expression" dxfId="1513" priority="340">
      <formula>AB160&gt;0</formula>
    </cfRule>
  </conditionalFormatting>
  <conditionalFormatting sqref="AB162:AB173">
    <cfRule type="expression" dxfId="1512" priority="2152">
      <formula>OR(AB162&gt;80,AB162&lt;10)</formula>
    </cfRule>
    <cfRule type="expression" dxfId="1511" priority="2153">
      <formula>AND($K162="x",AB162&gt;0)</formula>
    </cfRule>
  </conditionalFormatting>
  <conditionalFormatting sqref="AB182">
    <cfRule type="expression" dxfId="1510" priority="332">
      <formula>AB182&gt;0</formula>
    </cfRule>
  </conditionalFormatting>
  <conditionalFormatting sqref="AB184:AB195">
    <cfRule type="expression" dxfId="1509" priority="2109">
      <formula>OR(AB184&gt;80,AB184&lt;10)</formula>
    </cfRule>
    <cfRule type="expression" dxfId="1508" priority="2110">
      <formula>AND($K184="x",AB184&gt;0)</formula>
    </cfRule>
  </conditionalFormatting>
  <conditionalFormatting sqref="AB204">
    <cfRule type="expression" dxfId="1507" priority="324">
      <formula>AB204&gt;0</formula>
    </cfRule>
  </conditionalFormatting>
  <conditionalFormatting sqref="AB206:AB217">
    <cfRule type="expression" dxfId="1506" priority="2067">
      <formula>AND($K206="x",AB206&gt;0)</formula>
    </cfRule>
    <cfRule type="expression" dxfId="1505" priority="2066">
      <formula>OR(AB206&gt;80,AB206&lt;10)</formula>
    </cfRule>
  </conditionalFormatting>
  <conditionalFormatting sqref="AB226">
    <cfRule type="expression" dxfId="1504" priority="316">
      <formula>AB226&gt;0</formula>
    </cfRule>
  </conditionalFormatting>
  <conditionalFormatting sqref="AB228:AB239">
    <cfRule type="expression" dxfId="1503" priority="2024">
      <formula>AND($K228="x",AB228&gt;0)</formula>
    </cfRule>
    <cfRule type="expression" dxfId="1502" priority="2023">
      <formula>OR(AB228&gt;80,AB228&lt;10)</formula>
    </cfRule>
  </conditionalFormatting>
  <conditionalFormatting sqref="AB248">
    <cfRule type="expression" dxfId="1501" priority="308">
      <formula>AB248&gt;0</formula>
    </cfRule>
  </conditionalFormatting>
  <conditionalFormatting sqref="AB250:AB261">
    <cfRule type="expression" dxfId="1500" priority="1981">
      <formula>AND($K250="x",AB250&gt;0)</formula>
    </cfRule>
    <cfRule type="expression" dxfId="1499" priority="1980">
      <formula>OR(AB250&gt;80,AB250&lt;10)</formula>
    </cfRule>
  </conditionalFormatting>
  <conditionalFormatting sqref="AB270">
    <cfRule type="expression" dxfId="1498" priority="620">
      <formula>AB270&gt;0</formula>
    </cfRule>
  </conditionalFormatting>
  <conditionalFormatting sqref="AB272:AB283">
    <cfRule type="expression" dxfId="1497" priority="1937">
      <formula>OR(AB272&gt;80,AB272&lt;10)</formula>
    </cfRule>
    <cfRule type="expression" dxfId="1496" priority="1938">
      <formula>AND($K272="x",AB272&gt;0)</formula>
    </cfRule>
  </conditionalFormatting>
  <conditionalFormatting sqref="AB292">
    <cfRule type="expression" dxfId="1495" priority="612">
      <formula>AB292&gt;0</formula>
    </cfRule>
  </conditionalFormatting>
  <conditionalFormatting sqref="AB294:AB305">
    <cfRule type="expression" dxfId="1494" priority="1894">
      <formula>OR(AB294&gt;80,AB294&lt;10)</formula>
    </cfRule>
    <cfRule type="expression" dxfId="1493" priority="1895">
      <formula>AND($K294="x",AB294&gt;0)</formula>
    </cfRule>
  </conditionalFormatting>
  <conditionalFormatting sqref="AB314">
    <cfRule type="expression" dxfId="1492" priority="604">
      <formula>AB314&gt;0</formula>
    </cfRule>
  </conditionalFormatting>
  <conditionalFormatting sqref="AB316:AB327">
    <cfRule type="expression" dxfId="1491" priority="1851">
      <formula>OR(AB316&gt;80,AB316&lt;10)</formula>
    </cfRule>
    <cfRule type="expression" dxfId="1490" priority="1852">
      <formula>AND($K316="x",AB316&gt;0)</formula>
    </cfRule>
  </conditionalFormatting>
  <conditionalFormatting sqref="AB336">
    <cfRule type="expression" dxfId="1489" priority="596">
      <formula>AB336&gt;0</formula>
    </cfRule>
  </conditionalFormatting>
  <conditionalFormatting sqref="AB338:AB349">
    <cfRule type="expression" dxfId="1488" priority="1808">
      <formula>OR(AB338&gt;80,AB338&lt;10)</formula>
    </cfRule>
    <cfRule type="expression" dxfId="1487" priority="1809">
      <formula>AND($K338="x",AB338&gt;0)</formula>
    </cfRule>
  </conditionalFormatting>
  <conditionalFormatting sqref="AB358">
    <cfRule type="expression" dxfId="1486" priority="588">
      <formula>AB358&gt;0</formula>
    </cfRule>
  </conditionalFormatting>
  <conditionalFormatting sqref="AB360:AB371">
    <cfRule type="expression" dxfId="1485" priority="1765">
      <formula>OR(AB360&gt;80,AB360&lt;10)</formula>
    </cfRule>
    <cfRule type="expression" dxfId="1484" priority="1766">
      <formula>AND($K360="x",AB360&gt;0)</formula>
    </cfRule>
  </conditionalFormatting>
  <conditionalFormatting sqref="AB380">
    <cfRule type="expression" dxfId="1483" priority="580">
      <formula>AB380&gt;0</formula>
    </cfRule>
  </conditionalFormatting>
  <conditionalFormatting sqref="AB382:AB393">
    <cfRule type="expression" dxfId="1482" priority="1722">
      <formula>OR(AB382&gt;80,AB382&lt;10)</formula>
    </cfRule>
    <cfRule type="expression" dxfId="1481" priority="1723">
      <formula>AND($K382="x",AB382&gt;0)</formula>
    </cfRule>
  </conditionalFormatting>
  <conditionalFormatting sqref="AB402">
    <cfRule type="expression" dxfId="1480" priority="572">
      <formula>AB402&gt;0</formula>
    </cfRule>
  </conditionalFormatting>
  <conditionalFormatting sqref="AB404:AB415">
    <cfRule type="expression" dxfId="1479" priority="1680">
      <formula>AND($K404="x",AB404&gt;0)</formula>
    </cfRule>
    <cfRule type="expression" dxfId="1478" priority="1679">
      <formula>OR(AB404&gt;80,AB404&lt;10)</formula>
    </cfRule>
  </conditionalFormatting>
  <conditionalFormatting sqref="AB424">
    <cfRule type="expression" dxfId="1477" priority="564">
      <formula>AB424&gt;0</formula>
    </cfRule>
  </conditionalFormatting>
  <conditionalFormatting sqref="AB426:AB437">
    <cfRule type="expression" dxfId="1476" priority="1637">
      <formula>AND($K426="x",AB426&gt;0)</formula>
    </cfRule>
    <cfRule type="expression" dxfId="1475" priority="1636">
      <formula>OR(AB426&gt;80,AB426&lt;10)</formula>
    </cfRule>
  </conditionalFormatting>
  <conditionalFormatting sqref="AB446">
    <cfRule type="expression" dxfId="1474" priority="556">
      <formula>AB446&gt;0</formula>
    </cfRule>
  </conditionalFormatting>
  <conditionalFormatting sqref="AB448:AB459">
    <cfRule type="expression" dxfId="1473" priority="1593">
      <formula>OR(AB448&gt;80,AB448&lt;10)</formula>
    </cfRule>
    <cfRule type="expression" dxfId="1472" priority="1594">
      <formula>AND($K448="x",AB448&gt;0)</formula>
    </cfRule>
  </conditionalFormatting>
  <conditionalFormatting sqref="AB468">
    <cfRule type="expression" dxfId="1471" priority="548">
      <formula>AB468&gt;0</formula>
    </cfRule>
  </conditionalFormatting>
  <conditionalFormatting sqref="AB470:AB481">
    <cfRule type="expression" dxfId="1470" priority="1550">
      <formula>OR(AB470&gt;80,AB470&lt;10)</formula>
    </cfRule>
    <cfRule type="expression" dxfId="1469" priority="1551">
      <formula>AND($K470="x",AB470&gt;0)</formula>
    </cfRule>
  </conditionalFormatting>
  <conditionalFormatting sqref="AB490">
    <cfRule type="expression" dxfId="1468" priority="540">
      <formula>AB490&gt;0</formula>
    </cfRule>
  </conditionalFormatting>
  <conditionalFormatting sqref="AB492:AB503">
    <cfRule type="expression" dxfId="1467" priority="1508">
      <formula>AND($K492="x",AB492&gt;0)</formula>
    </cfRule>
    <cfRule type="expression" dxfId="1466" priority="1507">
      <formula>OR(AB492&gt;80,AB492&lt;10)</formula>
    </cfRule>
  </conditionalFormatting>
  <conditionalFormatting sqref="AB512">
    <cfRule type="expression" dxfId="1465" priority="532">
      <formula>AB512&gt;0</formula>
    </cfRule>
  </conditionalFormatting>
  <conditionalFormatting sqref="AB514:AB525">
    <cfRule type="expression" dxfId="1464" priority="1464">
      <formula>OR(AB514&gt;80,AB514&lt;10)</formula>
    </cfRule>
    <cfRule type="expression" dxfId="1463" priority="1465">
      <formula>AND($K514="x",AB514&gt;0)</formula>
    </cfRule>
  </conditionalFormatting>
  <conditionalFormatting sqref="AB534">
    <cfRule type="expression" dxfId="1462" priority="524">
      <formula>AB534&gt;0</formula>
    </cfRule>
  </conditionalFormatting>
  <conditionalFormatting sqref="AB536:AB547">
    <cfRule type="expression" dxfId="1461" priority="1422">
      <formula>AND($K536="x",AB536&gt;0)</formula>
    </cfRule>
    <cfRule type="expression" dxfId="1460" priority="1421">
      <formula>OR(AB536&gt;80,AB536&lt;10)</formula>
    </cfRule>
  </conditionalFormatting>
  <conditionalFormatting sqref="AB556">
    <cfRule type="expression" dxfId="1459" priority="516">
      <formula>AB556&gt;0</formula>
    </cfRule>
  </conditionalFormatting>
  <conditionalFormatting sqref="AB558:AB569">
    <cfRule type="expression" dxfId="1458" priority="1379">
      <formula>AND($K558="x",AB558&gt;0)</formula>
    </cfRule>
    <cfRule type="expression" dxfId="1457" priority="1378">
      <formula>OR(AB558&gt;80,AB558&lt;10)</formula>
    </cfRule>
  </conditionalFormatting>
  <conditionalFormatting sqref="AB578">
    <cfRule type="expression" dxfId="1456" priority="508">
      <formula>AB578&gt;0</formula>
    </cfRule>
  </conditionalFormatting>
  <conditionalFormatting sqref="AB580:AB591">
    <cfRule type="expression" dxfId="1455" priority="1335">
      <formula>OR(AB580&gt;80,AB580&lt;10)</formula>
    </cfRule>
    <cfRule type="expression" dxfId="1454" priority="1336">
      <formula>AND($K580="x",AB580&gt;0)</formula>
    </cfRule>
  </conditionalFormatting>
  <conditionalFormatting sqref="AB600">
    <cfRule type="expression" dxfId="1453" priority="500">
      <formula>AB600&gt;0</formula>
    </cfRule>
  </conditionalFormatting>
  <conditionalFormatting sqref="AB602:AB613">
    <cfRule type="expression" dxfId="1452" priority="1293">
      <formula>AND($K602="x",AB602&gt;0)</formula>
    </cfRule>
    <cfRule type="expression" dxfId="1451" priority="1292">
      <formula>OR(AB602&gt;80,AB602&lt;10)</formula>
    </cfRule>
  </conditionalFormatting>
  <conditionalFormatting sqref="AB622">
    <cfRule type="expression" dxfId="1450" priority="492">
      <formula>AB622&gt;0</formula>
    </cfRule>
  </conditionalFormatting>
  <conditionalFormatting sqref="AB624:AB635">
    <cfRule type="expression" dxfId="1449" priority="1249">
      <formula>OR(AB624&gt;80,AB624&lt;10)</formula>
    </cfRule>
    <cfRule type="expression" dxfId="1448" priority="1250">
      <formula>AND($K624="x",AB624&gt;0)</formula>
    </cfRule>
  </conditionalFormatting>
  <conditionalFormatting sqref="AB644">
    <cfRule type="expression" dxfId="1447" priority="484">
      <formula>AB644&gt;0</formula>
    </cfRule>
  </conditionalFormatting>
  <conditionalFormatting sqref="AB646:AB657">
    <cfRule type="expression" dxfId="1446" priority="1207">
      <formula>AND($K646="x",AB646&gt;0)</formula>
    </cfRule>
    <cfRule type="expression" dxfId="1445" priority="1206">
      <formula>OR(AB646&gt;80,AB646&lt;10)</formula>
    </cfRule>
  </conditionalFormatting>
  <conditionalFormatting sqref="AB666">
    <cfRule type="expression" dxfId="1444" priority="476">
      <formula>AB666&gt;0</formula>
    </cfRule>
  </conditionalFormatting>
  <conditionalFormatting sqref="AB668:AB679">
    <cfRule type="expression" dxfId="1443" priority="1163">
      <formula>OR(AB668&gt;80,AB668&lt;10)</formula>
    </cfRule>
    <cfRule type="expression" dxfId="1442" priority="1164">
      <formula>AND($K668="x",AB668&gt;0)</formula>
    </cfRule>
  </conditionalFormatting>
  <conditionalFormatting sqref="AB688">
    <cfRule type="expression" dxfId="1441" priority="468">
      <formula>AB688&gt;0</formula>
    </cfRule>
  </conditionalFormatting>
  <conditionalFormatting sqref="AB690:AB701">
    <cfRule type="expression" dxfId="1440" priority="1121">
      <formula>AND($K690="x",AB690&gt;0)</formula>
    </cfRule>
    <cfRule type="expression" dxfId="1439" priority="1120">
      <formula>OR(AB690&gt;80,AB690&lt;10)</formula>
    </cfRule>
  </conditionalFormatting>
  <conditionalFormatting sqref="AB710">
    <cfRule type="expression" dxfId="1438" priority="460">
      <formula>AB710&gt;0</formula>
    </cfRule>
  </conditionalFormatting>
  <conditionalFormatting sqref="AB712:AB723">
    <cfRule type="expression" dxfId="1437" priority="1077">
      <formula>OR(AB712&gt;80,AB712&lt;10)</formula>
    </cfRule>
    <cfRule type="expression" dxfId="1436" priority="1078">
      <formula>AND($K712="x",AB712&gt;0)</formula>
    </cfRule>
  </conditionalFormatting>
  <conditionalFormatting sqref="AB732">
    <cfRule type="expression" dxfId="1435" priority="452">
      <formula>AB732&gt;0</formula>
    </cfRule>
  </conditionalFormatting>
  <conditionalFormatting sqref="AB734:AB745">
    <cfRule type="expression" dxfId="1434" priority="1034">
      <formula>OR(AB734&gt;80,AB734&lt;10)</formula>
    </cfRule>
    <cfRule type="expression" dxfId="1433" priority="1035">
      <formula>AND($K734="x",AB734&gt;0)</formula>
    </cfRule>
  </conditionalFormatting>
  <conditionalFormatting sqref="AB754">
    <cfRule type="expression" dxfId="1432" priority="444">
      <formula>AB754&gt;0</formula>
    </cfRule>
  </conditionalFormatting>
  <conditionalFormatting sqref="AB756:AB767">
    <cfRule type="expression" dxfId="1431" priority="991">
      <formula>OR(AB756&gt;80,AB756&lt;10)</formula>
    </cfRule>
    <cfRule type="expression" dxfId="1430" priority="992">
      <formula>AND($K756="x",AB756&gt;0)</formula>
    </cfRule>
  </conditionalFormatting>
  <conditionalFormatting sqref="AB776">
    <cfRule type="expression" dxfId="1429" priority="436">
      <formula>AB776&gt;0</formula>
    </cfRule>
  </conditionalFormatting>
  <conditionalFormatting sqref="AB778:AB789">
    <cfRule type="expression" dxfId="1428" priority="949">
      <formula>AND($K778="x",AB778&gt;0)</formula>
    </cfRule>
    <cfRule type="expression" dxfId="1427" priority="948">
      <formula>OR(AB778&gt;80,AB778&lt;10)</formula>
    </cfRule>
  </conditionalFormatting>
  <conditionalFormatting sqref="AB798">
    <cfRule type="expression" dxfId="1426" priority="428">
      <formula>AB798&gt;0</formula>
    </cfRule>
  </conditionalFormatting>
  <conditionalFormatting sqref="AB800:AB811">
    <cfRule type="expression" dxfId="1425" priority="905">
      <formula>OR(AB800&gt;80,AB800&lt;10)</formula>
    </cfRule>
    <cfRule type="expression" dxfId="1424" priority="906">
      <formula>AND($K800="x",AB800&gt;0)</formula>
    </cfRule>
  </conditionalFormatting>
  <conditionalFormatting sqref="AB820">
    <cfRule type="expression" dxfId="1423" priority="420">
      <formula>AB820&gt;0</formula>
    </cfRule>
  </conditionalFormatting>
  <conditionalFormatting sqref="AB822:AB833">
    <cfRule type="expression" dxfId="1422" priority="863">
      <formula>AND($K822="x",AB822&gt;0)</formula>
    </cfRule>
    <cfRule type="expression" dxfId="1421" priority="862">
      <formula>OR(AB822&gt;80,AB822&lt;10)</formula>
    </cfRule>
  </conditionalFormatting>
  <conditionalFormatting sqref="AB842">
    <cfRule type="expression" dxfId="1420" priority="412">
      <formula>AB842&gt;0</formula>
    </cfRule>
  </conditionalFormatting>
  <conditionalFormatting sqref="AB844:AB855">
    <cfRule type="expression" dxfId="1419" priority="819">
      <formula>OR(AB844&gt;80,AB844&lt;10)</formula>
    </cfRule>
    <cfRule type="expression" dxfId="1418" priority="820">
      <formula>AND($K844="x",AB844&gt;0)</formula>
    </cfRule>
  </conditionalFormatting>
  <conditionalFormatting sqref="AB864">
    <cfRule type="expression" dxfId="1417" priority="404">
      <formula>AB864&gt;0</formula>
    </cfRule>
  </conditionalFormatting>
  <conditionalFormatting sqref="AB866:AB877">
    <cfRule type="expression" dxfId="1416" priority="776">
      <formula>OR(AB866&gt;80,AB866&lt;10)</formula>
    </cfRule>
    <cfRule type="expression" dxfId="1415" priority="777">
      <formula>AND($K866="x",AB866&gt;0)</formula>
    </cfRule>
  </conditionalFormatting>
  <conditionalFormatting sqref="AB886">
    <cfRule type="expression" dxfId="1414" priority="396">
      <formula>AB886&gt;0</formula>
    </cfRule>
  </conditionalFormatting>
  <conditionalFormatting sqref="AB888:AB899">
    <cfRule type="expression" dxfId="1413" priority="734">
      <formula>AND($K888="x",AB888&gt;0)</formula>
    </cfRule>
    <cfRule type="expression" dxfId="1412" priority="733">
      <formula>OR(AB888&gt;80,AB888&lt;10)</formula>
    </cfRule>
  </conditionalFormatting>
  <conditionalFormatting sqref="AI8:AI19">
    <cfRule type="expression" dxfId="1411" priority="4885">
      <formula>AND($I8="x",AI8&gt;0)</formula>
    </cfRule>
  </conditionalFormatting>
  <conditionalFormatting sqref="AI30:AI41">
    <cfRule type="expression" dxfId="1410" priority="4102">
      <formula>AND($I30="x",AI30&gt;0)</formula>
    </cfRule>
  </conditionalFormatting>
  <conditionalFormatting sqref="AI52:AI63">
    <cfRule type="expression" dxfId="1409" priority="288">
      <formula>AND($I52="x",AI52&gt;0)</formula>
    </cfRule>
  </conditionalFormatting>
  <conditionalFormatting sqref="AI74:AI85">
    <cfRule type="expression" dxfId="1408" priority="2339">
      <formula>AND($I74="x",AI74&gt;0)</formula>
    </cfRule>
  </conditionalFormatting>
  <conditionalFormatting sqref="AI96:AI107">
    <cfRule type="expression" dxfId="1407" priority="2296">
      <formula>AND($I96="x",AI96&gt;0)</formula>
    </cfRule>
  </conditionalFormatting>
  <conditionalFormatting sqref="AI118:AI129">
    <cfRule type="expression" dxfId="1406" priority="2253">
      <formula>AND($I118="x",AI118&gt;0)</formula>
    </cfRule>
  </conditionalFormatting>
  <conditionalFormatting sqref="AI140:AI151">
    <cfRule type="expression" dxfId="1405" priority="2210">
      <formula>AND($I140="x",AI140&gt;0)</formula>
    </cfRule>
  </conditionalFormatting>
  <conditionalFormatting sqref="AI162:AI173">
    <cfRule type="expression" dxfId="1404" priority="2167">
      <formula>AND($I162="x",AI162&gt;0)</formula>
    </cfRule>
  </conditionalFormatting>
  <conditionalFormatting sqref="AI184:AI195">
    <cfRule type="expression" dxfId="1403" priority="2124">
      <formula>AND($I184="x",AI184&gt;0)</formula>
    </cfRule>
  </conditionalFormatting>
  <conditionalFormatting sqref="AI206:AI217">
    <cfRule type="expression" dxfId="1402" priority="2081">
      <formula>AND($I206="x",AI206&gt;0)</formula>
    </cfRule>
  </conditionalFormatting>
  <conditionalFormatting sqref="AI228:AI239">
    <cfRule type="expression" dxfId="1401" priority="2038">
      <formula>AND($I228="x",AI228&gt;0)</formula>
    </cfRule>
  </conditionalFormatting>
  <conditionalFormatting sqref="AI250:AI261">
    <cfRule type="expression" dxfId="1400" priority="1995">
      <formula>AND($I250="x",AI250&gt;0)</formula>
    </cfRule>
  </conditionalFormatting>
  <conditionalFormatting sqref="AI272:AI283">
    <cfRule type="expression" dxfId="1399" priority="1952">
      <formula>AND($I272="x",AI272&gt;0)</formula>
    </cfRule>
  </conditionalFormatting>
  <conditionalFormatting sqref="AI294:AI305">
    <cfRule type="expression" dxfId="1398" priority="1909">
      <formula>AND($I294="x",AI294&gt;0)</formula>
    </cfRule>
  </conditionalFormatting>
  <conditionalFormatting sqref="AI316:AI327">
    <cfRule type="expression" dxfId="1397" priority="1866">
      <formula>AND($I316="x",AI316&gt;0)</formula>
    </cfRule>
  </conditionalFormatting>
  <conditionalFormatting sqref="AI338:AI349">
    <cfRule type="expression" dxfId="1396" priority="1823">
      <formula>AND($I338="x",AI338&gt;0)</formula>
    </cfRule>
  </conditionalFormatting>
  <conditionalFormatting sqref="AI360:AI371">
    <cfRule type="expression" dxfId="1395" priority="1780">
      <formula>AND($I360="x",AI360&gt;0)</formula>
    </cfRule>
  </conditionalFormatting>
  <conditionalFormatting sqref="AI382:AI393">
    <cfRule type="expression" dxfId="1394" priority="1737">
      <formula>AND($I382="x",AI382&gt;0)</formula>
    </cfRule>
  </conditionalFormatting>
  <conditionalFormatting sqref="AI404:AI415">
    <cfRule type="expression" dxfId="1393" priority="1694">
      <formula>AND($I404="x",AI404&gt;0)</formula>
    </cfRule>
  </conditionalFormatting>
  <conditionalFormatting sqref="AI426:AI437">
    <cfRule type="expression" dxfId="1392" priority="1651">
      <formula>AND($I426="x",AI426&gt;0)</formula>
    </cfRule>
  </conditionalFormatting>
  <conditionalFormatting sqref="AI448:AI459">
    <cfRule type="expression" dxfId="1391" priority="1608">
      <formula>AND($I448="x",AI448&gt;0)</formula>
    </cfRule>
  </conditionalFormatting>
  <conditionalFormatting sqref="AI470:AI481">
    <cfRule type="expression" dxfId="1390" priority="1565">
      <formula>AND($I470="x",AI470&gt;0)</formula>
    </cfRule>
  </conditionalFormatting>
  <conditionalFormatting sqref="AI492:AI503">
    <cfRule type="expression" dxfId="1389" priority="1522">
      <formula>AND($I492="x",AI492&gt;0)</formula>
    </cfRule>
  </conditionalFormatting>
  <conditionalFormatting sqref="AI514:AI525">
    <cfRule type="expression" dxfId="1388" priority="1479">
      <formula>AND($I514="x",AI514&gt;0)</formula>
    </cfRule>
  </conditionalFormatting>
  <conditionalFormatting sqref="AI536:AI547">
    <cfRule type="expression" dxfId="1387" priority="1436">
      <formula>AND($I536="x",AI536&gt;0)</formula>
    </cfRule>
  </conditionalFormatting>
  <conditionalFormatting sqref="AI558:AI569">
    <cfRule type="expression" dxfId="1386" priority="1393">
      <formula>AND($I558="x",AI558&gt;0)</formula>
    </cfRule>
  </conditionalFormatting>
  <conditionalFormatting sqref="AI580:AI591">
    <cfRule type="expression" dxfId="1385" priority="1350">
      <formula>AND($I580="x",AI580&gt;0)</formula>
    </cfRule>
  </conditionalFormatting>
  <conditionalFormatting sqref="AI602:AI613">
    <cfRule type="expression" dxfId="1384" priority="1307">
      <formula>AND($I602="x",AI602&gt;0)</formula>
    </cfRule>
  </conditionalFormatting>
  <conditionalFormatting sqref="AI624:AI635">
    <cfRule type="expression" dxfId="1383" priority="1264">
      <formula>AND($I624="x",AI624&gt;0)</formula>
    </cfRule>
  </conditionalFormatting>
  <conditionalFormatting sqref="AI646:AI657">
    <cfRule type="expression" dxfId="1382" priority="1221">
      <formula>AND($I646="x",AI646&gt;0)</formula>
    </cfRule>
  </conditionalFormatting>
  <conditionalFormatting sqref="AI668:AI679">
    <cfRule type="expression" dxfId="1381" priority="1178">
      <formula>AND($I668="x",AI668&gt;0)</formula>
    </cfRule>
  </conditionalFormatting>
  <conditionalFormatting sqref="AI690:AI701">
    <cfRule type="expression" dxfId="1380" priority="1135">
      <formula>AND($I690="x",AI690&gt;0)</formula>
    </cfRule>
  </conditionalFormatting>
  <conditionalFormatting sqref="AI712:AI723">
    <cfRule type="expression" dxfId="1379" priority="1092">
      <formula>AND($I712="x",AI712&gt;0)</formula>
    </cfRule>
  </conditionalFormatting>
  <conditionalFormatting sqref="AI734:AI745">
    <cfRule type="expression" dxfId="1378" priority="1049">
      <formula>AND($I734="x",AI734&gt;0)</formula>
    </cfRule>
  </conditionalFormatting>
  <conditionalFormatting sqref="AI756:AI767">
    <cfRule type="expression" dxfId="1377" priority="1006">
      <formula>AND($I756="x",AI756&gt;0)</formula>
    </cfRule>
  </conditionalFormatting>
  <conditionalFormatting sqref="AI778:AI789">
    <cfRule type="expression" dxfId="1376" priority="963">
      <formula>AND($I778="x",AI778&gt;0)</formula>
    </cfRule>
  </conditionalFormatting>
  <conditionalFormatting sqref="AI800:AI811">
    <cfRule type="expression" dxfId="1375" priority="920">
      <formula>AND($I800="x",AI800&gt;0)</formula>
    </cfRule>
  </conditionalFormatting>
  <conditionalFormatting sqref="AI822:AI833">
    <cfRule type="expression" dxfId="1374" priority="877">
      <formula>AND($I822="x",AI822&gt;0)</formula>
    </cfRule>
  </conditionalFormatting>
  <conditionalFormatting sqref="AI844:AI855">
    <cfRule type="expression" dxfId="1373" priority="834">
      <formula>AND($I844="x",AI844&gt;0)</formula>
    </cfRule>
  </conditionalFormatting>
  <conditionalFormatting sqref="AI866:AI877">
    <cfRule type="expression" dxfId="1372" priority="791">
      <formula>AND($I866="x",AI866&gt;0)</formula>
    </cfRule>
  </conditionalFormatting>
  <conditionalFormatting sqref="AI888:AI899">
    <cfRule type="expression" dxfId="1371" priority="748">
      <formula>AND($I888="x",AI888&gt;0)</formula>
    </cfRule>
  </conditionalFormatting>
  <conditionalFormatting sqref="AJ8:AJ19">
    <cfRule type="expression" dxfId="1370" priority="4884">
      <formula>AND($J8="x",AJ8&gt;0)</formula>
    </cfRule>
  </conditionalFormatting>
  <conditionalFormatting sqref="AJ30:AJ41">
    <cfRule type="expression" dxfId="1369" priority="4101">
      <formula>AND($J30="x",AJ30&gt;0)</formula>
    </cfRule>
  </conditionalFormatting>
  <conditionalFormatting sqref="AJ52:AJ63">
    <cfRule type="expression" dxfId="1368" priority="287">
      <formula>AND($J52="x",AJ52&gt;0)</formula>
    </cfRule>
  </conditionalFormatting>
  <conditionalFormatting sqref="AJ74:AJ85">
    <cfRule type="expression" dxfId="1367" priority="2338">
      <formula>AND($J74="x",AJ74&gt;0)</formula>
    </cfRule>
  </conditionalFormatting>
  <conditionalFormatting sqref="AJ96:AJ107">
    <cfRule type="expression" dxfId="1366" priority="2295">
      <formula>AND($J96="x",AJ96&gt;0)</formula>
    </cfRule>
  </conditionalFormatting>
  <conditionalFormatting sqref="AJ118:AJ129">
    <cfRule type="expression" dxfId="1365" priority="2252">
      <formula>AND($J118="x",AJ118&gt;0)</formula>
    </cfRule>
  </conditionalFormatting>
  <conditionalFormatting sqref="AJ140:AJ151">
    <cfRule type="expression" dxfId="1364" priority="2209">
      <formula>AND($J140="x",AJ140&gt;0)</formula>
    </cfRule>
  </conditionalFormatting>
  <conditionalFormatting sqref="AJ162:AJ173">
    <cfRule type="expression" dxfId="1363" priority="2166">
      <formula>AND($J162="x",AJ162&gt;0)</formula>
    </cfRule>
  </conditionalFormatting>
  <conditionalFormatting sqref="AJ184:AJ195">
    <cfRule type="expression" dxfId="1362" priority="2123">
      <formula>AND($J184="x",AJ184&gt;0)</formula>
    </cfRule>
  </conditionalFormatting>
  <conditionalFormatting sqref="AJ206:AJ217">
    <cfRule type="expression" dxfId="1361" priority="2080">
      <formula>AND($J206="x",AJ206&gt;0)</formula>
    </cfRule>
  </conditionalFormatting>
  <conditionalFormatting sqref="AJ228:AJ239">
    <cfRule type="expression" dxfId="1360" priority="2037">
      <formula>AND($J228="x",AJ228&gt;0)</formula>
    </cfRule>
  </conditionalFormatting>
  <conditionalFormatting sqref="AJ250:AJ261">
    <cfRule type="expression" dxfId="1359" priority="1994">
      <formula>AND($J250="x",AJ250&gt;0)</formula>
    </cfRule>
  </conditionalFormatting>
  <conditionalFormatting sqref="AJ272:AJ283">
    <cfRule type="expression" dxfId="1358" priority="1951">
      <formula>AND($J272="x",AJ272&gt;0)</formula>
    </cfRule>
  </conditionalFormatting>
  <conditionalFormatting sqref="AJ294:AJ305">
    <cfRule type="expression" dxfId="1357" priority="1908">
      <formula>AND($J294="x",AJ294&gt;0)</formula>
    </cfRule>
  </conditionalFormatting>
  <conditionalFormatting sqref="AJ316:AJ327">
    <cfRule type="expression" dxfId="1356" priority="1865">
      <formula>AND($J316="x",AJ316&gt;0)</formula>
    </cfRule>
  </conditionalFormatting>
  <conditionalFormatting sqref="AJ338:AJ349">
    <cfRule type="expression" dxfId="1355" priority="1822">
      <formula>AND($J338="x",AJ338&gt;0)</formula>
    </cfRule>
  </conditionalFormatting>
  <conditionalFormatting sqref="AJ360:AJ371">
    <cfRule type="expression" dxfId="1354" priority="1779">
      <formula>AND($J360="x",AJ360&gt;0)</formula>
    </cfRule>
  </conditionalFormatting>
  <conditionalFormatting sqref="AJ382:AJ393">
    <cfRule type="expression" dxfId="1353" priority="1736">
      <formula>AND($J382="x",AJ382&gt;0)</formula>
    </cfRule>
  </conditionalFormatting>
  <conditionalFormatting sqref="AJ404:AJ415">
    <cfRule type="expression" dxfId="1352" priority="1693">
      <formula>AND($J404="x",AJ404&gt;0)</formula>
    </cfRule>
  </conditionalFormatting>
  <conditionalFormatting sqref="AJ426:AJ437">
    <cfRule type="expression" dxfId="1351" priority="1650">
      <formula>AND($J426="x",AJ426&gt;0)</formula>
    </cfRule>
  </conditionalFormatting>
  <conditionalFormatting sqref="AJ448:AJ459">
    <cfRule type="expression" dxfId="1350" priority="1607">
      <formula>AND($J448="x",AJ448&gt;0)</formula>
    </cfRule>
  </conditionalFormatting>
  <conditionalFormatting sqref="AJ470:AJ481">
    <cfRule type="expression" dxfId="1349" priority="1564">
      <formula>AND($J470="x",AJ470&gt;0)</formula>
    </cfRule>
  </conditionalFormatting>
  <conditionalFormatting sqref="AJ492:AJ503">
    <cfRule type="expression" dxfId="1348" priority="1521">
      <formula>AND($J492="x",AJ492&gt;0)</formula>
    </cfRule>
  </conditionalFormatting>
  <conditionalFormatting sqref="AJ514:AJ525">
    <cfRule type="expression" dxfId="1347" priority="1478">
      <formula>AND($J514="x",AJ514&gt;0)</formula>
    </cfRule>
  </conditionalFormatting>
  <conditionalFormatting sqref="AJ536:AJ547">
    <cfRule type="expression" dxfId="1346" priority="1435">
      <formula>AND($J536="x",AJ536&gt;0)</formula>
    </cfRule>
  </conditionalFormatting>
  <conditionalFormatting sqref="AJ558:AJ569">
    <cfRule type="expression" dxfId="1345" priority="1392">
      <formula>AND($J558="x",AJ558&gt;0)</formula>
    </cfRule>
  </conditionalFormatting>
  <conditionalFormatting sqref="AJ580:AJ591">
    <cfRule type="expression" dxfId="1344" priority="1349">
      <formula>AND($J580="x",AJ580&gt;0)</formula>
    </cfRule>
  </conditionalFormatting>
  <conditionalFormatting sqref="AJ602:AJ613">
    <cfRule type="expression" dxfId="1343" priority="1306">
      <formula>AND($J602="x",AJ602&gt;0)</formula>
    </cfRule>
  </conditionalFormatting>
  <conditionalFormatting sqref="AJ624:AJ635">
    <cfRule type="expression" dxfId="1342" priority="1263">
      <formula>AND($J624="x",AJ624&gt;0)</formula>
    </cfRule>
  </conditionalFormatting>
  <conditionalFormatting sqref="AJ646:AJ657">
    <cfRule type="expression" dxfId="1341" priority="1220">
      <formula>AND($J646="x",AJ646&gt;0)</formula>
    </cfRule>
  </conditionalFormatting>
  <conditionalFormatting sqref="AJ668:AJ679">
    <cfRule type="expression" dxfId="1340" priority="1177">
      <formula>AND($J668="x",AJ668&gt;0)</formula>
    </cfRule>
  </conditionalFormatting>
  <conditionalFormatting sqref="AJ690:AJ701">
    <cfRule type="expression" dxfId="1339" priority="1134">
      <formula>AND($J690="x",AJ690&gt;0)</formula>
    </cfRule>
  </conditionalFormatting>
  <conditionalFormatting sqref="AJ712:AJ723">
    <cfRule type="expression" dxfId="1338" priority="1091">
      <formula>AND($J712="x",AJ712&gt;0)</formula>
    </cfRule>
  </conditionalFormatting>
  <conditionalFormatting sqref="AJ734:AJ745">
    <cfRule type="expression" dxfId="1337" priority="1048">
      <formula>AND($J734="x",AJ734&gt;0)</formula>
    </cfRule>
  </conditionalFormatting>
  <conditionalFormatting sqref="AJ756:AJ767">
    <cfRule type="expression" dxfId="1336" priority="1005">
      <formula>AND($J756="x",AJ756&gt;0)</formula>
    </cfRule>
  </conditionalFormatting>
  <conditionalFormatting sqref="AJ778:AJ789">
    <cfRule type="expression" dxfId="1335" priority="962">
      <formula>AND($J778="x",AJ778&gt;0)</formula>
    </cfRule>
  </conditionalFormatting>
  <conditionalFormatting sqref="AJ800:AJ811">
    <cfRule type="expression" dxfId="1334" priority="919">
      <formula>AND($J800="x",AJ800&gt;0)</formula>
    </cfRule>
  </conditionalFormatting>
  <conditionalFormatting sqref="AJ822:AJ833">
    <cfRule type="expression" dxfId="1333" priority="876">
      <formula>AND($J822="x",AJ822&gt;0)</formula>
    </cfRule>
  </conditionalFormatting>
  <conditionalFormatting sqref="AJ844:AJ855">
    <cfRule type="expression" dxfId="1332" priority="833">
      <formula>AND($J844="x",AJ844&gt;0)</formula>
    </cfRule>
  </conditionalFormatting>
  <conditionalFormatting sqref="AJ866:AJ877">
    <cfRule type="expression" dxfId="1331" priority="790">
      <formula>AND($J866="x",AJ866&gt;0)</formula>
    </cfRule>
  </conditionalFormatting>
  <conditionalFormatting sqref="AJ888:AJ899">
    <cfRule type="expression" dxfId="1330" priority="747">
      <formula>AND($J888="x",AJ888&gt;0)</formula>
    </cfRule>
  </conditionalFormatting>
  <conditionalFormatting sqref="AK6">
    <cfRule type="expression" dxfId="1329" priority="4897">
      <formula>AK6&gt;0</formula>
    </cfRule>
  </conditionalFormatting>
  <conditionalFormatting sqref="AK8:AK19">
    <cfRule type="expression" dxfId="1328" priority="4868">
      <formula>OR(AK8&gt;80,AK8&lt;10)</formula>
    </cfRule>
    <cfRule type="expression" dxfId="1327" priority="4869">
      <formula>AND($K8="x",AK8&gt;0)</formula>
    </cfRule>
  </conditionalFormatting>
  <conditionalFormatting sqref="AK28">
    <cfRule type="expression" dxfId="1326" priority="387">
      <formula>AK28&gt;0</formula>
    </cfRule>
  </conditionalFormatting>
  <conditionalFormatting sqref="AK30:AK41">
    <cfRule type="expression" dxfId="1325" priority="4086">
      <formula>AND($K30="x",AK30&gt;0)</formula>
    </cfRule>
    <cfRule type="expression" dxfId="1324" priority="4085">
      <formula>OR(AK30&gt;80,AK30&lt;10)</formula>
    </cfRule>
  </conditionalFormatting>
  <conditionalFormatting sqref="AK50">
    <cfRule type="expression" dxfId="1323" priority="379">
      <formula>AK50&gt;0</formula>
    </cfRule>
  </conditionalFormatting>
  <conditionalFormatting sqref="AK52:AK63">
    <cfRule type="expression" dxfId="1322" priority="274">
      <formula>AND($K52="x",AK52&gt;0)</formula>
    </cfRule>
    <cfRule type="expression" dxfId="1321" priority="273">
      <formula>OR(AK52&gt;80,AK52&lt;10)</formula>
    </cfRule>
  </conditionalFormatting>
  <conditionalFormatting sqref="AK72">
    <cfRule type="expression" dxfId="1320" priority="371">
      <formula>AK72&gt;0</formula>
    </cfRule>
  </conditionalFormatting>
  <conditionalFormatting sqref="AK74:AK85">
    <cfRule type="expression" dxfId="1319" priority="2322">
      <formula>OR(AK74&gt;80,AK74&lt;10)</formula>
    </cfRule>
    <cfRule type="expression" dxfId="1318" priority="2323">
      <formula>AND($K74="x",AK74&gt;0)</formula>
    </cfRule>
  </conditionalFormatting>
  <conditionalFormatting sqref="AK94">
    <cfRule type="expression" dxfId="1317" priority="363">
      <formula>AK94&gt;0</formula>
    </cfRule>
  </conditionalFormatting>
  <conditionalFormatting sqref="AK96:AK107">
    <cfRule type="expression" dxfId="1316" priority="2280">
      <formula>AND($K96="x",AK96&gt;0)</formula>
    </cfRule>
    <cfRule type="expression" dxfId="1315" priority="2279">
      <formula>OR(AK96&gt;80,AK96&lt;10)</formula>
    </cfRule>
  </conditionalFormatting>
  <conditionalFormatting sqref="AK116">
    <cfRule type="expression" dxfId="1314" priority="355">
      <formula>AK116&gt;0</formula>
    </cfRule>
  </conditionalFormatting>
  <conditionalFormatting sqref="AK118:AK129">
    <cfRule type="expression" dxfId="1313" priority="2237">
      <formula>AND($K118="x",AK118&gt;0)</formula>
    </cfRule>
    <cfRule type="expression" dxfId="1312" priority="2236">
      <formula>OR(AK118&gt;80,AK118&lt;10)</formula>
    </cfRule>
  </conditionalFormatting>
  <conditionalFormatting sqref="AK138">
    <cfRule type="expression" dxfId="1311" priority="347">
      <formula>AK138&gt;0</formula>
    </cfRule>
  </conditionalFormatting>
  <conditionalFormatting sqref="AK140:AK151">
    <cfRule type="expression" dxfId="1310" priority="2194">
      <formula>AND($K140="x",AK140&gt;0)</formula>
    </cfRule>
    <cfRule type="expression" dxfId="1309" priority="2193">
      <formula>OR(AK140&gt;80,AK140&lt;10)</formula>
    </cfRule>
  </conditionalFormatting>
  <conditionalFormatting sqref="AK160">
    <cfRule type="expression" dxfId="1308" priority="339">
      <formula>AK160&gt;0</formula>
    </cfRule>
  </conditionalFormatting>
  <conditionalFormatting sqref="AK162:AK173">
    <cfRule type="expression" dxfId="1307" priority="2150">
      <formula>OR(AK162&gt;80,AK162&lt;10)</formula>
    </cfRule>
    <cfRule type="expression" dxfId="1306" priority="2151">
      <formula>AND($K162="x",AK162&gt;0)</formula>
    </cfRule>
  </conditionalFormatting>
  <conditionalFormatting sqref="AK182">
    <cfRule type="expression" dxfId="1305" priority="331">
      <formula>AK182&gt;0</formula>
    </cfRule>
  </conditionalFormatting>
  <conditionalFormatting sqref="AK184:AK195">
    <cfRule type="expression" dxfId="1304" priority="2108">
      <formula>AND($K184="x",AK184&gt;0)</formula>
    </cfRule>
    <cfRule type="expression" dxfId="1303" priority="2107">
      <formula>OR(AK184&gt;80,AK184&lt;10)</formula>
    </cfRule>
  </conditionalFormatting>
  <conditionalFormatting sqref="AK204">
    <cfRule type="expression" dxfId="1302" priority="323">
      <formula>AK204&gt;0</formula>
    </cfRule>
  </conditionalFormatting>
  <conditionalFormatting sqref="AK206:AK217">
    <cfRule type="expression" dxfId="1301" priority="2064">
      <formula>OR(AK206&gt;80,AK206&lt;10)</formula>
    </cfRule>
    <cfRule type="expression" dxfId="1300" priority="2065">
      <formula>AND($K206="x",AK206&gt;0)</formula>
    </cfRule>
  </conditionalFormatting>
  <conditionalFormatting sqref="AK226">
    <cfRule type="expression" dxfId="1299" priority="315">
      <formula>AK226&gt;0</formula>
    </cfRule>
  </conditionalFormatting>
  <conditionalFormatting sqref="AK228:AK239">
    <cfRule type="expression" dxfId="1298" priority="2021">
      <formula>OR(AK228&gt;80,AK228&lt;10)</formula>
    </cfRule>
    <cfRule type="expression" dxfId="1297" priority="2022">
      <formula>AND($K228="x",AK228&gt;0)</formula>
    </cfRule>
  </conditionalFormatting>
  <conditionalFormatting sqref="AK248">
    <cfRule type="expression" dxfId="1296" priority="307">
      <formula>AK248&gt;0</formula>
    </cfRule>
  </conditionalFormatting>
  <conditionalFormatting sqref="AK250:AK261">
    <cfRule type="expression" dxfId="1295" priority="1979">
      <formula>AND($K250="x",AK250&gt;0)</formula>
    </cfRule>
    <cfRule type="expression" dxfId="1294" priority="1978">
      <formula>OR(AK250&gt;80,AK250&lt;10)</formula>
    </cfRule>
  </conditionalFormatting>
  <conditionalFormatting sqref="AK270">
    <cfRule type="expression" dxfId="1293" priority="619">
      <formula>AK270&gt;0</formula>
    </cfRule>
  </conditionalFormatting>
  <conditionalFormatting sqref="AK272:AK283">
    <cfRule type="expression" dxfId="1292" priority="1935">
      <formula>OR(AK272&gt;80,AK272&lt;10)</formula>
    </cfRule>
    <cfRule type="expression" dxfId="1291" priority="1936">
      <formula>AND($K272="x",AK272&gt;0)</formula>
    </cfRule>
  </conditionalFormatting>
  <conditionalFormatting sqref="AK292">
    <cfRule type="expression" dxfId="1290" priority="611">
      <formula>AK292&gt;0</formula>
    </cfRule>
  </conditionalFormatting>
  <conditionalFormatting sqref="AK294:AK305">
    <cfRule type="expression" dxfId="1289" priority="1893">
      <formula>AND($K294="x",AK294&gt;0)</formula>
    </cfRule>
    <cfRule type="expression" dxfId="1288" priority="1892">
      <formula>OR(AK294&gt;80,AK294&lt;10)</formula>
    </cfRule>
  </conditionalFormatting>
  <conditionalFormatting sqref="AK314">
    <cfRule type="expression" dxfId="1287" priority="603">
      <formula>AK314&gt;0</formula>
    </cfRule>
  </conditionalFormatting>
  <conditionalFormatting sqref="AK316:AK327">
    <cfRule type="expression" dxfId="1286" priority="1849">
      <formula>OR(AK316&gt;80,AK316&lt;10)</formula>
    </cfRule>
    <cfRule type="expression" dxfId="1285" priority="1850">
      <formula>AND($K316="x",AK316&gt;0)</formula>
    </cfRule>
  </conditionalFormatting>
  <conditionalFormatting sqref="AK336">
    <cfRule type="expression" dxfId="1284" priority="595">
      <formula>AK336&gt;0</formula>
    </cfRule>
  </conditionalFormatting>
  <conditionalFormatting sqref="AK338:AK349">
    <cfRule type="expression" dxfId="1283" priority="1806">
      <formula>OR(AK338&gt;80,AK338&lt;10)</formula>
    </cfRule>
    <cfRule type="expression" dxfId="1282" priority="1807">
      <formula>AND($K338="x",AK338&gt;0)</formula>
    </cfRule>
  </conditionalFormatting>
  <conditionalFormatting sqref="AK358">
    <cfRule type="expression" dxfId="1281" priority="587">
      <formula>AK358&gt;0</formula>
    </cfRule>
  </conditionalFormatting>
  <conditionalFormatting sqref="AK360:AK371">
    <cfRule type="expression" dxfId="1280" priority="1764">
      <formula>AND($K360="x",AK360&gt;0)</formula>
    </cfRule>
    <cfRule type="expression" dxfId="1279" priority="1763">
      <formula>OR(AK360&gt;80,AK360&lt;10)</formula>
    </cfRule>
  </conditionalFormatting>
  <conditionalFormatting sqref="AK380">
    <cfRule type="expression" dxfId="1278" priority="579">
      <formula>AK380&gt;0</formula>
    </cfRule>
  </conditionalFormatting>
  <conditionalFormatting sqref="AK382:AK393">
    <cfRule type="expression" dxfId="1277" priority="1720">
      <formula>OR(AK382&gt;80,AK382&lt;10)</formula>
    </cfRule>
    <cfRule type="expression" dxfId="1276" priority="1721">
      <formula>AND($K382="x",AK382&gt;0)</formula>
    </cfRule>
  </conditionalFormatting>
  <conditionalFormatting sqref="AK402">
    <cfRule type="expression" dxfId="1275" priority="571">
      <formula>AK402&gt;0</formula>
    </cfRule>
  </conditionalFormatting>
  <conditionalFormatting sqref="AK404:AK415">
    <cfRule type="expression" dxfId="1274" priority="1677">
      <formula>OR(AK404&gt;80,AK404&lt;10)</formula>
    </cfRule>
    <cfRule type="expression" dxfId="1273" priority="1678">
      <formula>AND($K404="x",AK404&gt;0)</formula>
    </cfRule>
  </conditionalFormatting>
  <conditionalFormatting sqref="AK424">
    <cfRule type="expression" dxfId="1272" priority="563">
      <formula>AK424&gt;0</formula>
    </cfRule>
  </conditionalFormatting>
  <conditionalFormatting sqref="AK426:AK437">
    <cfRule type="expression" dxfId="1271" priority="1635">
      <formula>AND($K426="x",AK426&gt;0)</formula>
    </cfRule>
    <cfRule type="expression" dxfId="1270" priority="1634">
      <formula>OR(AK426&gt;80,AK426&lt;10)</formula>
    </cfRule>
  </conditionalFormatting>
  <conditionalFormatting sqref="AK446">
    <cfRule type="expression" dxfId="1269" priority="555">
      <formula>AK446&gt;0</formula>
    </cfRule>
  </conditionalFormatting>
  <conditionalFormatting sqref="AK448:AK459">
    <cfRule type="expression" dxfId="1268" priority="1592">
      <formula>AND($K448="x",AK448&gt;0)</formula>
    </cfRule>
    <cfRule type="expression" dxfId="1267" priority="1591">
      <formula>OR(AK448&gt;80,AK448&lt;10)</formula>
    </cfRule>
  </conditionalFormatting>
  <conditionalFormatting sqref="AK468">
    <cfRule type="expression" dxfId="1266" priority="547">
      <formula>AK468&gt;0</formula>
    </cfRule>
  </conditionalFormatting>
  <conditionalFormatting sqref="AK470:AK481">
    <cfRule type="expression" dxfId="1265" priority="1549">
      <formula>AND($K470="x",AK470&gt;0)</formula>
    </cfRule>
    <cfRule type="expression" dxfId="1264" priority="1548">
      <formula>OR(AK470&gt;80,AK470&lt;10)</formula>
    </cfRule>
  </conditionalFormatting>
  <conditionalFormatting sqref="AK490">
    <cfRule type="expression" dxfId="1263" priority="539">
      <formula>AK490&gt;0</formula>
    </cfRule>
  </conditionalFormatting>
  <conditionalFormatting sqref="AK492:AK503">
    <cfRule type="expression" dxfId="1262" priority="1506">
      <formula>AND($K492="x",AK492&gt;0)</formula>
    </cfRule>
    <cfRule type="expression" dxfId="1261" priority="1505">
      <formula>OR(AK492&gt;80,AK492&lt;10)</formula>
    </cfRule>
  </conditionalFormatting>
  <conditionalFormatting sqref="AK512">
    <cfRule type="expression" dxfId="1260" priority="531">
      <formula>AK512&gt;0</formula>
    </cfRule>
  </conditionalFormatting>
  <conditionalFormatting sqref="AK514:AK525">
    <cfRule type="expression" dxfId="1259" priority="1463">
      <formula>AND($K514="x",AK514&gt;0)</formula>
    </cfRule>
    <cfRule type="expression" dxfId="1258" priority="1462">
      <formula>OR(AK514&gt;80,AK514&lt;10)</formula>
    </cfRule>
  </conditionalFormatting>
  <conditionalFormatting sqref="AK534">
    <cfRule type="expression" dxfId="1257" priority="523">
      <formula>AK534&gt;0</formula>
    </cfRule>
  </conditionalFormatting>
  <conditionalFormatting sqref="AK536:AK547">
    <cfRule type="expression" dxfId="1256" priority="1419">
      <formula>OR(AK536&gt;80,AK536&lt;10)</formula>
    </cfRule>
    <cfRule type="expression" dxfId="1255" priority="1420">
      <formula>AND($K536="x",AK536&gt;0)</formula>
    </cfRule>
  </conditionalFormatting>
  <conditionalFormatting sqref="AK556">
    <cfRule type="expression" dxfId="1254" priority="515">
      <formula>AK556&gt;0</formula>
    </cfRule>
  </conditionalFormatting>
  <conditionalFormatting sqref="AK558:AK569">
    <cfRule type="expression" dxfId="1253" priority="1377">
      <formula>AND($K558="x",AK558&gt;0)</formula>
    </cfRule>
    <cfRule type="expression" dxfId="1252" priority="1376">
      <formula>OR(AK558&gt;80,AK558&lt;10)</formula>
    </cfRule>
  </conditionalFormatting>
  <conditionalFormatting sqref="AK578">
    <cfRule type="expression" dxfId="1251" priority="507">
      <formula>AK578&gt;0</formula>
    </cfRule>
  </conditionalFormatting>
  <conditionalFormatting sqref="AK580:AK591">
    <cfRule type="expression" dxfId="1250" priority="1333">
      <formula>OR(AK580&gt;80,AK580&lt;10)</formula>
    </cfRule>
    <cfRule type="expression" dxfId="1249" priority="1334">
      <formula>AND($K580="x",AK580&gt;0)</formula>
    </cfRule>
  </conditionalFormatting>
  <conditionalFormatting sqref="AK600">
    <cfRule type="expression" dxfId="1248" priority="499">
      <formula>AK600&gt;0</formula>
    </cfRule>
  </conditionalFormatting>
  <conditionalFormatting sqref="AK602:AK613">
    <cfRule type="expression" dxfId="1247" priority="1291">
      <formula>AND($K602="x",AK602&gt;0)</formula>
    </cfRule>
    <cfRule type="expression" dxfId="1246" priority="1290">
      <formula>OR(AK602&gt;80,AK602&lt;10)</formula>
    </cfRule>
  </conditionalFormatting>
  <conditionalFormatting sqref="AK622">
    <cfRule type="expression" dxfId="1245" priority="491">
      <formula>AK622&gt;0</formula>
    </cfRule>
  </conditionalFormatting>
  <conditionalFormatting sqref="AK624:AK635">
    <cfRule type="expression" dxfId="1244" priority="1248">
      <formula>AND($K624="x",AK624&gt;0)</formula>
    </cfRule>
    <cfRule type="expression" dxfId="1243" priority="1247">
      <formula>OR(AK624&gt;80,AK624&lt;10)</formula>
    </cfRule>
  </conditionalFormatting>
  <conditionalFormatting sqref="AK644">
    <cfRule type="expression" dxfId="1242" priority="483">
      <formula>AK644&gt;0</formula>
    </cfRule>
  </conditionalFormatting>
  <conditionalFormatting sqref="AK646:AK657">
    <cfRule type="expression" dxfId="1241" priority="1204">
      <formula>OR(AK646&gt;80,AK646&lt;10)</formula>
    </cfRule>
    <cfRule type="expression" dxfId="1240" priority="1205">
      <formula>AND($K646="x",AK646&gt;0)</formula>
    </cfRule>
  </conditionalFormatting>
  <conditionalFormatting sqref="AK666">
    <cfRule type="expression" dxfId="1239" priority="475">
      <formula>AK666&gt;0</formula>
    </cfRule>
  </conditionalFormatting>
  <conditionalFormatting sqref="AK668:AK679">
    <cfRule type="expression" dxfId="1238" priority="1162">
      <formula>AND($K668="x",AK668&gt;0)</formula>
    </cfRule>
    <cfRule type="expression" dxfId="1237" priority="1161">
      <formula>OR(AK668&gt;80,AK668&lt;10)</formula>
    </cfRule>
  </conditionalFormatting>
  <conditionalFormatting sqref="AK688">
    <cfRule type="expression" dxfId="1236" priority="467">
      <formula>AK688&gt;0</formula>
    </cfRule>
  </conditionalFormatting>
  <conditionalFormatting sqref="AK690:AK701">
    <cfRule type="expression" dxfId="1235" priority="1119">
      <formula>AND($K690="x",AK690&gt;0)</formula>
    </cfRule>
    <cfRule type="expression" dxfId="1234" priority="1118">
      <formula>OR(AK690&gt;80,AK690&lt;10)</formula>
    </cfRule>
  </conditionalFormatting>
  <conditionalFormatting sqref="AK710">
    <cfRule type="expression" dxfId="1233" priority="459">
      <formula>AK710&gt;0</formula>
    </cfRule>
  </conditionalFormatting>
  <conditionalFormatting sqref="AK712:AK723">
    <cfRule type="expression" dxfId="1232" priority="1075">
      <formula>OR(AK712&gt;80,AK712&lt;10)</formula>
    </cfRule>
    <cfRule type="expression" dxfId="1231" priority="1076">
      <formula>AND($K712="x",AK712&gt;0)</formula>
    </cfRule>
  </conditionalFormatting>
  <conditionalFormatting sqref="AK732">
    <cfRule type="expression" dxfId="1230" priority="451">
      <formula>AK732&gt;0</formula>
    </cfRule>
  </conditionalFormatting>
  <conditionalFormatting sqref="AK734:AK745">
    <cfRule type="expression" dxfId="1229" priority="1032">
      <formula>OR(AK734&gt;80,AK734&lt;10)</formula>
    </cfRule>
    <cfRule type="expression" dxfId="1228" priority="1033">
      <formula>AND($K734="x",AK734&gt;0)</formula>
    </cfRule>
  </conditionalFormatting>
  <conditionalFormatting sqref="AK754">
    <cfRule type="expression" dxfId="1227" priority="443">
      <formula>AK754&gt;0</formula>
    </cfRule>
  </conditionalFormatting>
  <conditionalFormatting sqref="AK756:AK767">
    <cfRule type="expression" dxfId="1226" priority="989">
      <formula>OR(AK756&gt;80,AK756&lt;10)</formula>
    </cfRule>
    <cfRule type="expression" dxfId="1225" priority="990">
      <formula>AND($K756="x",AK756&gt;0)</formula>
    </cfRule>
  </conditionalFormatting>
  <conditionalFormatting sqref="AK776">
    <cfRule type="expression" dxfId="1224" priority="435">
      <formula>AK776&gt;0</formula>
    </cfRule>
  </conditionalFormatting>
  <conditionalFormatting sqref="AK778:AK789">
    <cfRule type="expression" dxfId="1223" priority="947">
      <formula>AND($K778="x",AK778&gt;0)</formula>
    </cfRule>
    <cfRule type="expression" dxfId="1222" priority="946">
      <formula>OR(AK778&gt;80,AK778&lt;10)</formula>
    </cfRule>
  </conditionalFormatting>
  <conditionalFormatting sqref="AK798">
    <cfRule type="expression" dxfId="1221" priority="427">
      <formula>AK798&gt;0</formula>
    </cfRule>
  </conditionalFormatting>
  <conditionalFormatting sqref="AK800:AK811">
    <cfRule type="expression" dxfId="1220" priority="904">
      <formula>AND($K800="x",AK800&gt;0)</formula>
    </cfRule>
    <cfRule type="expression" dxfId="1219" priority="903">
      <formula>OR(AK800&gt;80,AK800&lt;10)</formula>
    </cfRule>
  </conditionalFormatting>
  <conditionalFormatting sqref="AK820">
    <cfRule type="expression" dxfId="1218" priority="419">
      <formula>AK820&gt;0</formula>
    </cfRule>
  </conditionalFormatting>
  <conditionalFormatting sqref="AK822:AK833">
    <cfRule type="expression" dxfId="1217" priority="860">
      <formula>OR(AK822&gt;80,AK822&lt;10)</formula>
    </cfRule>
    <cfRule type="expression" dxfId="1216" priority="861">
      <formula>AND($K822="x",AK822&gt;0)</formula>
    </cfRule>
  </conditionalFormatting>
  <conditionalFormatting sqref="AK842">
    <cfRule type="expression" dxfId="1215" priority="411">
      <formula>AK842&gt;0</formula>
    </cfRule>
  </conditionalFormatting>
  <conditionalFormatting sqref="AK844:AK855">
    <cfRule type="expression" dxfId="1214" priority="818">
      <formula>AND($K844="x",AK844&gt;0)</formula>
    </cfRule>
    <cfRule type="expression" dxfId="1213" priority="817">
      <formula>OR(AK844&gt;80,AK844&lt;10)</formula>
    </cfRule>
  </conditionalFormatting>
  <conditionalFormatting sqref="AK864">
    <cfRule type="expression" dxfId="1212" priority="403">
      <formula>AK864&gt;0</formula>
    </cfRule>
  </conditionalFormatting>
  <conditionalFormatting sqref="AK866:AK877">
    <cfRule type="expression" dxfId="1211" priority="774">
      <formula>OR(AK866&gt;80,AK866&lt;10)</formula>
    </cfRule>
    <cfRule type="expression" dxfId="1210" priority="775">
      <formula>AND($K866="x",AK866&gt;0)</formula>
    </cfRule>
  </conditionalFormatting>
  <conditionalFormatting sqref="AK886">
    <cfRule type="expression" dxfId="1209" priority="395">
      <formula>AK886&gt;0</formula>
    </cfRule>
  </conditionalFormatting>
  <conditionalFormatting sqref="AK888:AK899">
    <cfRule type="expression" dxfId="1208" priority="731">
      <formula>OR(AK888&gt;80,AK888&lt;10)</formula>
    </cfRule>
    <cfRule type="expression" dxfId="1207" priority="732">
      <formula>AND($K888="x",AK888&gt;0)</formula>
    </cfRule>
  </conditionalFormatting>
  <conditionalFormatting sqref="AR8:AR19">
    <cfRule type="expression" dxfId="1206" priority="4883">
      <formula>AND($I8="x",AR8&gt;0)</formula>
    </cfRule>
  </conditionalFormatting>
  <conditionalFormatting sqref="AR30:AR41">
    <cfRule type="expression" dxfId="1205" priority="4100">
      <formula>AND($I30="x",AR30&gt;0)</formula>
    </cfRule>
  </conditionalFormatting>
  <conditionalFormatting sqref="AR52:AR63">
    <cfRule type="expression" dxfId="1204" priority="286">
      <formula>AND($I52="x",AR52&gt;0)</formula>
    </cfRule>
  </conditionalFormatting>
  <conditionalFormatting sqref="AR74:AR85">
    <cfRule type="expression" dxfId="1203" priority="2337">
      <formula>AND($I74="x",AR74&gt;0)</formula>
    </cfRule>
  </conditionalFormatting>
  <conditionalFormatting sqref="AR96:AR107">
    <cfRule type="expression" dxfId="1202" priority="2294">
      <formula>AND($I96="x",AR96&gt;0)</formula>
    </cfRule>
  </conditionalFormatting>
  <conditionalFormatting sqref="AR118:AR129">
    <cfRule type="expression" dxfId="1201" priority="2251">
      <formula>AND($I118="x",AR118&gt;0)</formula>
    </cfRule>
  </conditionalFormatting>
  <conditionalFormatting sqref="AR140:AR151">
    <cfRule type="expression" dxfId="1200" priority="2208">
      <formula>AND($I140="x",AR140&gt;0)</formula>
    </cfRule>
  </conditionalFormatting>
  <conditionalFormatting sqref="AR162:AR173">
    <cfRule type="expression" dxfId="1199" priority="2165">
      <formula>AND($I162="x",AR162&gt;0)</formula>
    </cfRule>
  </conditionalFormatting>
  <conditionalFormatting sqref="AR184:AR195">
    <cfRule type="expression" dxfId="1198" priority="2122">
      <formula>AND($I184="x",AR184&gt;0)</formula>
    </cfRule>
  </conditionalFormatting>
  <conditionalFormatting sqref="AR206:AR217">
    <cfRule type="expression" dxfId="1197" priority="2079">
      <formula>AND($I206="x",AR206&gt;0)</formula>
    </cfRule>
  </conditionalFormatting>
  <conditionalFormatting sqref="AR228:AR239">
    <cfRule type="expression" dxfId="1196" priority="2036">
      <formula>AND($I228="x",AR228&gt;0)</formula>
    </cfRule>
  </conditionalFormatting>
  <conditionalFormatting sqref="AR250:AR261">
    <cfRule type="expression" dxfId="1195" priority="1993">
      <formula>AND($I250="x",AR250&gt;0)</formula>
    </cfRule>
  </conditionalFormatting>
  <conditionalFormatting sqref="AR272:AR283">
    <cfRule type="expression" dxfId="1194" priority="1950">
      <formula>AND($I272="x",AR272&gt;0)</formula>
    </cfRule>
  </conditionalFormatting>
  <conditionalFormatting sqref="AR294:AR305">
    <cfRule type="expression" dxfId="1193" priority="1907">
      <formula>AND($I294="x",AR294&gt;0)</formula>
    </cfRule>
  </conditionalFormatting>
  <conditionalFormatting sqref="AR316:AR327">
    <cfRule type="expression" dxfId="1192" priority="1864">
      <formula>AND($I316="x",AR316&gt;0)</formula>
    </cfRule>
  </conditionalFormatting>
  <conditionalFormatting sqref="AR338:AR349">
    <cfRule type="expression" dxfId="1191" priority="1821">
      <formula>AND($I338="x",AR338&gt;0)</formula>
    </cfRule>
  </conditionalFormatting>
  <conditionalFormatting sqref="AR360:AR371">
    <cfRule type="expression" dxfId="1190" priority="1778">
      <formula>AND($I360="x",AR360&gt;0)</formula>
    </cfRule>
  </conditionalFormatting>
  <conditionalFormatting sqref="AR382:AR393">
    <cfRule type="expression" dxfId="1189" priority="1735">
      <formula>AND($I382="x",AR382&gt;0)</formula>
    </cfRule>
  </conditionalFormatting>
  <conditionalFormatting sqref="AR404:AR415">
    <cfRule type="expression" dxfId="1188" priority="1692">
      <formula>AND($I404="x",AR404&gt;0)</formula>
    </cfRule>
  </conditionalFormatting>
  <conditionalFormatting sqref="AR426:AR437">
    <cfRule type="expression" dxfId="1187" priority="1649">
      <formula>AND($I426="x",AR426&gt;0)</formula>
    </cfRule>
  </conditionalFormatting>
  <conditionalFormatting sqref="AR448:AR459">
    <cfRule type="expression" dxfId="1186" priority="1606">
      <formula>AND($I448="x",AR448&gt;0)</formula>
    </cfRule>
  </conditionalFormatting>
  <conditionalFormatting sqref="AR470:AR481">
    <cfRule type="expression" dxfId="1185" priority="1563">
      <formula>AND($I470="x",AR470&gt;0)</formula>
    </cfRule>
  </conditionalFormatting>
  <conditionalFormatting sqref="AR492:AR503">
    <cfRule type="expression" dxfId="1184" priority="1520">
      <formula>AND($I492="x",AR492&gt;0)</formula>
    </cfRule>
  </conditionalFormatting>
  <conditionalFormatting sqref="AR514:AR525">
    <cfRule type="expression" dxfId="1183" priority="1477">
      <formula>AND($I514="x",AR514&gt;0)</formula>
    </cfRule>
  </conditionalFormatting>
  <conditionalFormatting sqref="AR536:AR547">
    <cfRule type="expression" dxfId="1182" priority="1434">
      <formula>AND($I536="x",AR536&gt;0)</formula>
    </cfRule>
  </conditionalFormatting>
  <conditionalFormatting sqref="AR558:AR569">
    <cfRule type="expression" dxfId="1181" priority="1391">
      <formula>AND($I558="x",AR558&gt;0)</formula>
    </cfRule>
  </conditionalFormatting>
  <conditionalFormatting sqref="AR580:AR591">
    <cfRule type="expression" dxfId="1180" priority="1348">
      <formula>AND($I580="x",AR580&gt;0)</formula>
    </cfRule>
  </conditionalFormatting>
  <conditionalFormatting sqref="AR602:AR613">
    <cfRule type="expression" dxfId="1179" priority="1305">
      <formula>AND($I602="x",AR602&gt;0)</formula>
    </cfRule>
  </conditionalFormatting>
  <conditionalFormatting sqref="AR624:AR635">
    <cfRule type="expression" dxfId="1178" priority="1262">
      <formula>AND($I624="x",AR624&gt;0)</formula>
    </cfRule>
  </conditionalFormatting>
  <conditionalFormatting sqref="AR646:AR657">
    <cfRule type="expression" dxfId="1177" priority="1219">
      <formula>AND($I646="x",AR646&gt;0)</formula>
    </cfRule>
  </conditionalFormatting>
  <conditionalFormatting sqref="AR668:AR679">
    <cfRule type="expression" dxfId="1176" priority="1176">
      <formula>AND($I668="x",AR668&gt;0)</formula>
    </cfRule>
  </conditionalFormatting>
  <conditionalFormatting sqref="AR690:AR701">
    <cfRule type="expression" dxfId="1175" priority="1133">
      <formula>AND($I690="x",AR690&gt;0)</formula>
    </cfRule>
  </conditionalFormatting>
  <conditionalFormatting sqref="AR712:AR723">
    <cfRule type="expression" dxfId="1174" priority="1090">
      <formula>AND($I712="x",AR712&gt;0)</formula>
    </cfRule>
  </conditionalFormatting>
  <conditionalFormatting sqref="AR734:AR745">
    <cfRule type="expression" dxfId="1173" priority="1047">
      <formula>AND($I734="x",AR734&gt;0)</formula>
    </cfRule>
  </conditionalFormatting>
  <conditionalFormatting sqref="AR756:AR767">
    <cfRule type="expression" dxfId="1172" priority="1004">
      <formula>AND($I756="x",AR756&gt;0)</formula>
    </cfRule>
  </conditionalFormatting>
  <conditionalFormatting sqref="AR778:AR789">
    <cfRule type="expression" dxfId="1171" priority="961">
      <formula>AND($I778="x",AR778&gt;0)</formula>
    </cfRule>
  </conditionalFormatting>
  <conditionalFormatting sqref="AR800:AR811">
    <cfRule type="expression" dxfId="1170" priority="918">
      <formula>AND($I800="x",AR800&gt;0)</formula>
    </cfRule>
  </conditionalFormatting>
  <conditionalFormatting sqref="AR822:AR833">
    <cfRule type="expression" dxfId="1169" priority="875">
      <formula>AND($I822="x",AR822&gt;0)</formula>
    </cfRule>
  </conditionalFormatting>
  <conditionalFormatting sqref="AR844:AR855">
    <cfRule type="expression" dxfId="1168" priority="832">
      <formula>AND($I844="x",AR844&gt;0)</formula>
    </cfRule>
  </conditionalFormatting>
  <conditionalFormatting sqref="AR866:AR877">
    <cfRule type="expression" dxfId="1167" priority="789">
      <formula>AND($I866="x",AR866&gt;0)</formula>
    </cfRule>
  </conditionalFormatting>
  <conditionalFormatting sqref="AR888:AR899">
    <cfRule type="expression" dxfId="1166" priority="746">
      <formula>AND($I888="x",AR888&gt;0)</formula>
    </cfRule>
  </conditionalFormatting>
  <conditionalFormatting sqref="AS8:AS19">
    <cfRule type="expression" dxfId="1165" priority="4882">
      <formula>AND($J8="x",AS8&gt;0)</formula>
    </cfRule>
  </conditionalFormatting>
  <conditionalFormatting sqref="AS30:AS41">
    <cfRule type="expression" dxfId="1164" priority="4099">
      <formula>AND($J30="x",AS30&gt;0)</formula>
    </cfRule>
  </conditionalFormatting>
  <conditionalFormatting sqref="AS52:AS63">
    <cfRule type="expression" dxfId="1163" priority="285">
      <formula>AND($J52="x",AS52&gt;0)</formula>
    </cfRule>
  </conditionalFormatting>
  <conditionalFormatting sqref="AS74:AS85">
    <cfRule type="expression" dxfId="1162" priority="2336">
      <formula>AND($J74="x",AS74&gt;0)</formula>
    </cfRule>
  </conditionalFormatting>
  <conditionalFormatting sqref="AS96:AS107">
    <cfRule type="expression" dxfId="1161" priority="2293">
      <formula>AND($J96="x",AS96&gt;0)</formula>
    </cfRule>
  </conditionalFormatting>
  <conditionalFormatting sqref="AS118:AS129">
    <cfRule type="expression" dxfId="1160" priority="2250">
      <formula>AND($J118="x",AS118&gt;0)</formula>
    </cfRule>
  </conditionalFormatting>
  <conditionalFormatting sqref="AS140:AS151">
    <cfRule type="expression" dxfId="1159" priority="2207">
      <formula>AND($J140="x",AS140&gt;0)</formula>
    </cfRule>
  </conditionalFormatting>
  <conditionalFormatting sqref="AS162:AS173">
    <cfRule type="expression" dxfId="1158" priority="2164">
      <formula>AND($J162="x",AS162&gt;0)</formula>
    </cfRule>
  </conditionalFormatting>
  <conditionalFormatting sqref="AS184:AS195">
    <cfRule type="expression" dxfId="1157" priority="2121">
      <formula>AND($J184="x",AS184&gt;0)</formula>
    </cfRule>
  </conditionalFormatting>
  <conditionalFormatting sqref="AS206:AS217">
    <cfRule type="expression" dxfId="1156" priority="2078">
      <formula>AND($J206="x",AS206&gt;0)</formula>
    </cfRule>
  </conditionalFormatting>
  <conditionalFormatting sqref="AS228:AS239">
    <cfRule type="expression" dxfId="1155" priority="2035">
      <formula>AND($J228="x",AS228&gt;0)</formula>
    </cfRule>
  </conditionalFormatting>
  <conditionalFormatting sqref="AS250:AS261">
    <cfRule type="expression" dxfId="1154" priority="1992">
      <formula>AND($J250="x",AS250&gt;0)</formula>
    </cfRule>
  </conditionalFormatting>
  <conditionalFormatting sqref="AS272:AS283">
    <cfRule type="expression" dxfId="1153" priority="1949">
      <formula>AND($J272="x",AS272&gt;0)</formula>
    </cfRule>
  </conditionalFormatting>
  <conditionalFormatting sqref="AS294:AS305">
    <cfRule type="expression" dxfId="1152" priority="1906">
      <formula>AND($J294="x",AS294&gt;0)</formula>
    </cfRule>
  </conditionalFormatting>
  <conditionalFormatting sqref="AS316:AS327">
    <cfRule type="expression" dxfId="1151" priority="1863">
      <formula>AND($J316="x",AS316&gt;0)</formula>
    </cfRule>
  </conditionalFormatting>
  <conditionalFormatting sqref="AS338:AS349">
    <cfRule type="expression" dxfId="1150" priority="1820">
      <formula>AND($J338="x",AS338&gt;0)</formula>
    </cfRule>
  </conditionalFormatting>
  <conditionalFormatting sqref="AS360:AS371">
    <cfRule type="expression" dxfId="1149" priority="1777">
      <formula>AND($J360="x",AS360&gt;0)</formula>
    </cfRule>
  </conditionalFormatting>
  <conditionalFormatting sqref="AS382:AS393">
    <cfRule type="expression" dxfId="1148" priority="1734">
      <formula>AND($J382="x",AS382&gt;0)</formula>
    </cfRule>
  </conditionalFormatting>
  <conditionalFormatting sqref="AS404:AS415">
    <cfRule type="expression" dxfId="1147" priority="1691">
      <formula>AND($J404="x",AS404&gt;0)</formula>
    </cfRule>
  </conditionalFormatting>
  <conditionalFormatting sqref="AS426:AS437">
    <cfRule type="expression" dxfId="1146" priority="1648">
      <formula>AND($J426="x",AS426&gt;0)</formula>
    </cfRule>
  </conditionalFormatting>
  <conditionalFormatting sqref="AS448:AS459">
    <cfRule type="expression" dxfId="1145" priority="1605">
      <formula>AND($J448="x",AS448&gt;0)</formula>
    </cfRule>
  </conditionalFormatting>
  <conditionalFormatting sqref="AS470:AS481">
    <cfRule type="expression" dxfId="1144" priority="1562">
      <formula>AND($J470="x",AS470&gt;0)</formula>
    </cfRule>
  </conditionalFormatting>
  <conditionalFormatting sqref="AS492:AS503">
    <cfRule type="expression" dxfId="1143" priority="1519">
      <formula>AND($J492="x",AS492&gt;0)</formula>
    </cfRule>
  </conditionalFormatting>
  <conditionalFormatting sqref="AS514:AS525">
    <cfRule type="expression" dxfId="1142" priority="1476">
      <formula>AND($J514="x",AS514&gt;0)</formula>
    </cfRule>
  </conditionalFormatting>
  <conditionalFormatting sqref="AS536:AS547">
    <cfRule type="expression" dxfId="1141" priority="1433">
      <formula>AND($J536="x",AS536&gt;0)</formula>
    </cfRule>
  </conditionalFormatting>
  <conditionalFormatting sqref="AS558:AS569">
    <cfRule type="expression" dxfId="1140" priority="1390">
      <formula>AND($J558="x",AS558&gt;0)</formula>
    </cfRule>
  </conditionalFormatting>
  <conditionalFormatting sqref="AS580:AS591">
    <cfRule type="expression" dxfId="1139" priority="1347">
      <formula>AND($J580="x",AS580&gt;0)</formula>
    </cfRule>
  </conditionalFormatting>
  <conditionalFormatting sqref="AS602:AS613">
    <cfRule type="expression" dxfId="1138" priority="1304">
      <formula>AND($J602="x",AS602&gt;0)</formula>
    </cfRule>
  </conditionalFormatting>
  <conditionalFormatting sqref="AS624:AS635">
    <cfRule type="expression" dxfId="1137" priority="1261">
      <formula>AND($J624="x",AS624&gt;0)</formula>
    </cfRule>
  </conditionalFormatting>
  <conditionalFormatting sqref="AS646:AS657">
    <cfRule type="expression" dxfId="1136" priority="1218">
      <formula>AND($J646="x",AS646&gt;0)</formula>
    </cfRule>
  </conditionalFormatting>
  <conditionalFormatting sqref="AS668:AS679">
    <cfRule type="expression" dxfId="1135" priority="1175">
      <formula>AND($J668="x",AS668&gt;0)</formula>
    </cfRule>
  </conditionalFormatting>
  <conditionalFormatting sqref="AS690:AS701">
    <cfRule type="expression" dxfId="1134" priority="1132">
      <formula>AND($J690="x",AS690&gt;0)</formula>
    </cfRule>
  </conditionalFormatting>
  <conditionalFormatting sqref="AS712:AS723">
    <cfRule type="expression" dxfId="1133" priority="1089">
      <formula>AND($J712="x",AS712&gt;0)</formula>
    </cfRule>
  </conditionalFormatting>
  <conditionalFormatting sqref="AS734:AS745">
    <cfRule type="expression" dxfId="1132" priority="1046">
      <formula>AND($J734="x",AS734&gt;0)</formula>
    </cfRule>
  </conditionalFormatting>
  <conditionalFormatting sqref="AS756:AS767">
    <cfRule type="expression" dxfId="1131" priority="1003">
      <formula>AND($J756="x",AS756&gt;0)</formula>
    </cfRule>
  </conditionalFormatting>
  <conditionalFormatting sqref="AS778:AS789">
    <cfRule type="expression" dxfId="1130" priority="960">
      <formula>AND($J778="x",AS778&gt;0)</formula>
    </cfRule>
  </conditionalFormatting>
  <conditionalFormatting sqref="AS800:AS811">
    <cfRule type="expression" dxfId="1129" priority="917">
      <formula>AND($J800="x",AS800&gt;0)</formula>
    </cfRule>
  </conditionalFormatting>
  <conditionalFormatting sqref="AS822:AS833">
    <cfRule type="expression" dxfId="1128" priority="874">
      <formula>AND($J822="x",AS822&gt;0)</formula>
    </cfRule>
  </conditionalFormatting>
  <conditionalFormatting sqref="AS844:AS855">
    <cfRule type="expression" dxfId="1127" priority="831">
      <formula>AND($J844="x",AS844&gt;0)</formula>
    </cfRule>
  </conditionalFormatting>
  <conditionalFormatting sqref="AS866:AS877">
    <cfRule type="expression" dxfId="1126" priority="788">
      <formula>AND($J866="x",AS866&gt;0)</formula>
    </cfRule>
  </conditionalFormatting>
  <conditionalFormatting sqref="AS888:AS899">
    <cfRule type="expression" dxfId="1125" priority="745">
      <formula>AND($J888="x",AS888&gt;0)</formula>
    </cfRule>
  </conditionalFormatting>
  <conditionalFormatting sqref="AT6">
    <cfRule type="expression" dxfId="1124" priority="4896">
      <formula>AT6&gt;0</formula>
    </cfRule>
  </conditionalFormatting>
  <conditionalFormatting sqref="AT8:AT19">
    <cfRule type="expression" dxfId="1123" priority="4866">
      <formula>OR(AT8&gt;80,AT8&lt;10)</formula>
    </cfRule>
    <cfRule type="expression" dxfId="1122" priority="4867">
      <formula>AND($K8="x",AT8&gt;0)</formula>
    </cfRule>
  </conditionalFormatting>
  <conditionalFormatting sqref="AT28">
    <cfRule type="expression" dxfId="1121" priority="386">
      <formula>AT28&gt;0</formula>
    </cfRule>
  </conditionalFormatting>
  <conditionalFormatting sqref="AT30:AT41">
    <cfRule type="expression" dxfId="1120" priority="4084">
      <formula>AND($K30="x",AT30&gt;0)</formula>
    </cfRule>
    <cfRule type="expression" dxfId="1119" priority="4083">
      <formula>OR(AT30&gt;80,AT30&lt;10)</formula>
    </cfRule>
  </conditionalFormatting>
  <conditionalFormatting sqref="AT50">
    <cfRule type="expression" dxfId="1118" priority="378">
      <formula>AT50&gt;0</formula>
    </cfRule>
  </conditionalFormatting>
  <conditionalFormatting sqref="AT52:AT63">
    <cfRule type="expression" dxfId="1117" priority="271">
      <formula>OR(AT52&gt;80,AT52&lt;10)</formula>
    </cfRule>
    <cfRule type="expression" dxfId="1116" priority="272">
      <formula>AND($K52="x",AT52&gt;0)</formula>
    </cfRule>
  </conditionalFormatting>
  <conditionalFormatting sqref="AT72">
    <cfRule type="expression" dxfId="1115" priority="370">
      <formula>AT72&gt;0</formula>
    </cfRule>
  </conditionalFormatting>
  <conditionalFormatting sqref="AT74:AT85">
    <cfRule type="expression" dxfId="1114" priority="2321">
      <formula>AND($K74="x",AT74&gt;0)</formula>
    </cfRule>
    <cfRule type="expression" dxfId="1113" priority="2320">
      <formula>OR(AT74&gt;80,AT74&lt;10)</formula>
    </cfRule>
  </conditionalFormatting>
  <conditionalFormatting sqref="AT94">
    <cfRule type="expression" dxfId="1112" priority="362">
      <formula>AT94&gt;0</formula>
    </cfRule>
  </conditionalFormatting>
  <conditionalFormatting sqref="AT96:AT107">
    <cfRule type="expression" dxfId="1111" priority="2278">
      <formula>AND($K96="x",AT96&gt;0)</formula>
    </cfRule>
    <cfRule type="expression" dxfId="1110" priority="2277">
      <formula>OR(AT96&gt;80,AT96&lt;10)</formula>
    </cfRule>
  </conditionalFormatting>
  <conditionalFormatting sqref="AT116">
    <cfRule type="expression" dxfId="1109" priority="354">
      <formula>AT116&gt;0</formula>
    </cfRule>
  </conditionalFormatting>
  <conditionalFormatting sqref="AT118:AT129">
    <cfRule type="expression" dxfId="1108" priority="2234">
      <formula>OR(AT118&gt;80,AT118&lt;10)</formula>
    </cfRule>
    <cfRule type="expression" dxfId="1107" priority="2235">
      <formula>AND($K118="x",AT118&gt;0)</formula>
    </cfRule>
  </conditionalFormatting>
  <conditionalFormatting sqref="AT138">
    <cfRule type="expression" dxfId="1106" priority="346">
      <formula>AT138&gt;0</formula>
    </cfRule>
  </conditionalFormatting>
  <conditionalFormatting sqref="AT140:AT151">
    <cfRule type="expression" dxfId="1105" priority="2192">
      <formula>AND($K140="x",AT140&gt;0)</formula>
    </cfRule>
    <cfRule type="expression" dxfId="1104" priority="2191">
      <formula>OR(AT140&gt;80,AT140&lt;10)</formula>
    </cfRule>
  </conditionalFormatting>
  <conditionalFormatting sqref="AT160">
    <cfRule type="expression" dxfId="1103" priority="338">
      <formula>AT160&gt;0</formula>
    </cfRule>
  </conditionalFormatting>
  <conditionalFormatting sqref="AT162:AT173">
    <cfRule type="expression" dxfId="1102" priority="2149">
      <formula>AND($K162="x",AT162&gt;0)</formula>
    </cfRule>
    <cfRule type="expression" dxfId="1101" priority="2148">
      <formula>OR(AT162&gt;80,AT162&lt;10)</formula>
    </cfRule>
  </conditionalFormatting>
  <conditionalFormatting sqref="AT182">
    <cfRule type="expression" dxfId="1100" priority="330">
      <formula>AT182&gt;0</formula>
    </cfRule>
  </conditionalFormatting>
  <conditionalFormatting sqref="AT184:AT195">
    <cfRule type="expression" dxfId="1099" priority="2106">
      <formula>AND($K184="x",AT184&gt;0)</formula>
    </cfRule>
    <cfRule type="expression" dxfId="1098" priority="2105">
      <formula>OR(AT184&gt;80,AT184&lt;10)</formula>
    </cfRule>
  </conditionalFormatting>
  <conditionalFormatting sqref="AT204">
    <cfRule type="expression" dxfId="1097" priority="322">
      <formula>AT204&gt;0</formula>
    </cfRule>
  </conditionalFormatting>
  <conditionalFormatting sqref="AT206:AT217">
    <cfRule type="expression" dxfId="1096" priority="2062">
      <formula>OR(AT206&gt;80,AT206&lt;10)</formula>
    </cfRule>
    <cfRule type="expression" dxfId="1095" priority="2063">
      <formula>AND($K206="x",AT206&gt;0)</formula>
    </cfRule>
  </conditionalFormatting>
  <conditionalFormatting sqref="AT226">
    <cfRule type="expression" dxfId="1094" priority="314">
      <formula>AT226&gt;0</formula>
    </cfRule>
  </conditionalFormatting>
  <conditionalFormatting sqref="AT228:AT239">
    <cfRule type="expression" dxfId="1093" priority="2019">
      <formula>OR(AT228&gt;80,AT228&lt;10)</formula>
    </cfRule>
    <cfRule type="expression" dxfId="1092" priority="2020">
      <formula>AND($K228="x",AT228&gt;0)</formula>
    </cfRule>
  </conditionalFormatting>
  <conditionalFormatting sqref="AT248">
    <cfRule type="expression" dxfId="1091" priority="306">
      <formula>AT248&gt;0</formula>
    </cfRule>
  </conditionalFormatting>
  <conditionalFormatting sqref="AT250:AT261">
    <cfRule type="expression" dxfId="1090" priority="1977">
      <formula>AND($K250="x",AT250&gt;0)</formula>
    </cfRule>
    <cfRule type="expression" dxfId="1089" priority="1976">
      <formula>OR(AT250&gt;80,AT250&lt;10)</formula>
    </cfRule>
  </conditionalFormatting>
  <conditionalFormatting sqref="AT270">
    <cfRule type="expression" dxfId="1088" priority="618">
      <formula>AT270&gt;0</formula>
    </cfRule>
  </conditionalFormatting>
  <conditionalFormatting sqref="AT272:AT283">
    <cfRule type="expression" dxfId="1087" priority="1933">
      <formula>OR(AT272&gt;80,AT272&lt;10)</formula>
    </cfRule>
    <cfRule type="expression" dxfId="1086" priority="1934">
      <formula>AND($K272="x",AT272&gt;0)</formula>
    </cfRule>
  </conditionalFormatting>
  <conditionalFormatting sqref="AT292">
    <cfRule type="expression" dxfId="1085" priority="610">
      <formula>AT292&gt;0</formula>
    </cfRule>
  </conditionalFormatting>
  <conditionalFormatting sqref="AT294:AT305">
    <cfRule type="expression" dxfId="1084" priority="1891">
      <formula>AND($K294="x",AT294&gt;0)</formula>
    </cfRule>
    <cfRule type="expression" dxfId="1083" priority="1890">
      <formula>OR(AT294&gt;80,AT294&lt;10)</formula>
    </cfRule>
  </conditionalFormatting>
  <conditionalFormatting sqref="AT314">
    <cfRule type="expression" dxfId="1082" priority="602">
      <formula>AT314&gt;0</formula>
    </cfRule>
  </conditionalFormatting>
  <conditionalFormatting sqref="AT316:AT327">
    <cfRule type="expression" dxfId="1081" priority="1848">
      <formula>AND($K316="x",AT316&gt;0)</formula>
    </cfRule>
    <cfRule type="expression" dxfId="1080" priority="1847">
      <formula>OR(AT316&gt;80,AT316&lt;10)</formula>
    </cfRule>
  </conditionalFormatting>
  <conditionalFormatting sqref="AT336">
    <cfRule type="expression" dxfId="1079" priority="594">
      <formula>AT336&gt;0</formula>
    </cfRule>
  </conditionalFormatting>
  <conditionalFormatting sqref="AT338:AT349">
    <cfRule type="expression" dxfId="1078" priority="1804">
      <formula>OR(AT338&gt;80,AT338&lt;10)</formula>
    </cfRule>
    <cfRule type="expression" dxfId="1077" priority="1805">
      <formula>AND($K338="x",AT338&gt;0)</formula>
    </cfRule>
  </conditionalFormatting>
  <conditionalFormatting sqref="AT358">
    <cfRule type="expression" dxfId="1076" priority="586">
      <formula>AT358&gt;0</formula>
    </cfRule>
  </conditionalFormatting>
  <conditionalFormatting sqref="AT360:AT371">
    <cfRule type="expression" dxfId="1075" priority="1761">
      <formula>OR(AT360&gt;80,AT360&lt;10)</formula>
    </cfRule>
    <cfRule type="expression" dxfId="1074" priority="1762">
      <formula>AND($K360="x",AT360&gt;0)</formula>
    </cfRule>
  </conditionalFormatting>
  <conditionalFormatting sqref="AT380">
    <cfRule type="expression" dxfId="1073" priority="578">
      <formula>AT380&gt;0</formula>
    </cfRule>
  </conditionalFormatting>
  <conditionalFormatting sqref="AT382:AT393">
    <cfRule type="expression" dxfId="1072" priority="1718">
      <formula>OR(AT382&gt;80,AT382&lt;10)</formula>
    </cfRule>
    <cfRule type="expression" dxfId="1071" priority="1719">
      <formula>AND($K382="x",AT382&gt;0)</formula>
    </cfRule>
  </conditionalFormatting>
  <conditionalFormatting sqref="AT402">
    <cfRule type="expression" dxfId="1070" priority="570">
      <formula>AT402&gt;0</formula>
    </cfRule>
  </conditionalFormatting>
  <conditionalFormatting sqref="AT404:AT415">
    <cfRule type="expression" dxfId="1069" priority="1676">
      <formula>AND($K404="x",AT404&gt;0)</formula>
    </cfRule>
    <cfRule type="expression" dxfId="1068" priority="1675">
      <formula>OR(AT404&gt;80,AT404&lt;10)</formula>
    </cfRule>
  </conditionalFormatting>
  <conditionalFormatting sqref="AT424">
    <cfRule type="expression" dxfId="1067" priority="562">
      <formula>AT424&gt;0</formula>
    </cfRule>
  </conditionalFormatting>
  <conditionalFormatting sqref="AT426:AT437">
    <cfRule type="expression" dxfId="1066" priority="1632">
      <formula>OR(AT426&gt;80,AT426&lt;10)</formula>
    </cfRule>
    <cfRule type="expression" dxfId="1065" priority="1633">
      <formula>AND($K426="x",AT426&gt;0)</formula>
    </cfRule>
  </conditionalFormatting>
  <conditionalFormatting sqref="AT446">
    <cfRule type="expression" dxfId="1064" priority="554">
      <formula>AT446&gt;0</formula>
    </cfRule>
  </conditionalFormatting>
  <conditionalFormatting sqref="AT448:AT459">
    <cfRule type="expression" dxfId="1063" priority="1589">
      <formula>OR(AT448&gt;80,AT448&lt;10)</formula>
    </cfRule>
    <cfRule type="expression" dxfId="1062" priority="1590">
      <formula>AND($K448="x",AT448&gt;0)</formula>
    </cfRule>
  </conditionalFormatting>
  <conditionalFormatting sqref="AT468">
    <cfRule type="expression" dxfId="1061" priority="546">
      <formula>AT468&gt;0</formula>
    </cfRule>
  </conditionalFormatting>
  <conditionalFormatting sqref="AT470:AT481">
    <cfRule type="expression" dxfId="1060" priority="1546">
      <formula>OR(AT470&gt;80,AT470&lt;10)</formula>
    </cfRule>
    <cfRule type="expression" dxfId="1059" priority="1547">
      <formula>AND($K470="x",AT470&gt;0)</formula>
    </cfRule>
  </conditionalFormatting>
  <conditionalFormatting sqref="AT490">
    <cfRule type="expression" dxfId="1058" priority="538">
      <formula>AT490&gt;0</formula>
    </cfRule>
  </conditionalFormatting>
  <conditionalFormatting sqref="AT492:AT503">
    <cfRule type="expression" dxfId="1057" priority="1504">
      <formula>AND($K492="x",AT492&gt;0)</formula>
    </cfRule>
    <cfRule type="expression" dxfId="1056" priority="1503">
      <formula>OR(AT492&gt;80,AT492&lt;10)</formula>
    </cfRule>
  </conditionalFormatting>
  <conditionalFormatting sqref="AT512">
    <cfRule type="expression" dxfId="1055" priority="530">
      <formula>AT512&gt;0</formula>
    </cfRule>
  </conditionalFormatting>
  <conditionalFormatting sqref="AT514:AT525">
    <cfRule type="expression" dxfId="1054" priority="1460">
      <formula>OR(AT514&gt;80,AT514&lt;10)</formula>
    </cfRule>
    <cfRule type="expression" dxfId="1053" priority="1461">
      <formula>AND($K514="x",AT514&gt;0)</formula>
    </cfRule>
  </conditionalFormatting>
  <conditionalFormatting sqref="AT534">
    <cfRule type="expression" dxfId="1052" priority="522">
      <formula>AT534&gt;0</formula>
    </cfRule>
  </conditionalFormatting>
  <conditionalFormatting sqref="AT536:AT547">
    <cfRule type="expression" dxfId="1051" priority="1418">
      <formula>AND($K536="x",AT536&gt;0)</formula>
    </cfRule>
    <cfRule type="expression" dxfId="1050" priority="1417">
      <formula>OR(AT536&gt;80,AT536&lt;10)</formula>
    </cfRule>
  </conditionalFormatting>
  <conditionalFormatting sqref="AT556">
    <cfRule type="expression" dxfId="1049" priority="514">
      <formula>AT556&gt;0</formula>
    </cfRule>
  </conditionalFormatting>
  <conditionalFormatting sqref="AT558:AT569">
    <cfRule type="expression" dxfId="1048" priority="1374">
      <formula>OR(AT558&gt;80,AT558&lt;10)</formula>
    </cfRule>
    <cfRule type="expression" dxfId="1047" priority="1375">
      <formula>AND($K558="x",AT558&gt;0)</formula>
    </cfRule>
  </conditionalFormatting>
  <conditionalFormatting sqref="AT578">
    <cfRule type="expression" dxfId="1046" priority="506">
      <formula>AT578&gt;0</formula>
    </cfRule>
  </conditionalFormatting>
  <conditionalFormatting sqref="AT580:AT591">
    <cfRule type="expression" dxfId="1045" priority="1331">
      <formula>OR(AT580&gt;80,AT580&lt;10)</formula>
    </cfRule>
    <cfRule type="expression" dxfId="1044" priority="1332">
      <formula>AND($K580="x",AT580&gt;0)</formula>
    </cfRule>
  </conditionalFormatting>
  <conditionalFormatting sqref="AT600">
    <cfRule type="expression" dxfId="1043" priority="498">
      <formula>AT600&gt;0</formula>
    </cfRule>
  </conditionalFormatting>
  <conditionalFormatting sqref="AT602:AT613">
    <cfRule type="expression" dxfId="1042" priority="1288">
      <formula>OR(AT602&gt;80,AT602&lt;10)</formula>
    </cfRule>
    <cfRule type="expression" dxfId="1041" priority="1289">
      <formula>AND($K602="x",AT602&gt;0)</formula>
    </cfRule>
  </conditionalFormatting>
  <conditionalFormatting sqref="AT622">
    <cfRule type="expression" dxfId="1040" priority="490">
      <formula>AT622&gt;0</formula>
    </cfRule>
  </conditionalFormatting>
  <conditionalFormatting sqref="AT624:AT635">
    <cfRule type="expression" dxfId="1039" priority="1246">
      <formula>AND($K624="x",AT624&gt;0)</formula>
    </cfRule>
    <cfRule type="expression" dxfId="1038" priority="1245">
      <formula>OR(AT624&gt;80,AT624&lt;10)</formula>
    </cfRule>
  </conditionalFormatting>
  <conditionalFormatting sqref="AT644">
    <cfRule type="expression" dxfId="1037" priority="482">
      <formula>AT644&gt;0</formula>
    </cfRule>
  </conditionalFormatting>
  <conditionalFormatting sqref="AT646:AT657">
    <cfRule type="expression" dxfId="1036" priority="1202">
      <formula>OR(AT646&gt;80,AT646&lt;10)</formula>
    </cfRule>
    <cfRule type="expression" dxfId="1035" priority="1203">
      <formula>AND($K646="x",AT646&gt;0)</formula>
    </cfRule>
  </conditionalFormatting>
  <conditionalFormatting sqref="AT666">
    <cfRule type="expression" dxfId="1034" priority="474">
      <formula>AT666&gt;0</formula>
    </cfRule>
  </conditionalFormatting>
  <conditionalFormatting sqref="AT668:AT679">
    <cfRule type="expression" dxfId="1033" priority="1160">
      <formula>AND($K668="x",AT668&gt;0)</formula>
    </cfRule>
    <cfRule type="expression" dxfId="1032" priority="1159">
      <formula>OR(AT668&gt;80,AT668&lt;10)</formula>
    </cfRule>
  </conditionalFormatting>
  <conditionalFormatting sqref="AT688">
    <cfRule type="expression" dxfId="1031" priority="466">
      <formula>AT688&gt;0</formula>
    </cfRule>
  </conditionalFormatting>
  <conditionalFormatting sqref="AT690:AT701">
    <cfRule type="expression" dxfId="1030" priority="1116">
      <formula>OR(AT690&gt;80,AT690&lt;10)</formula>
    </cfRule>
    <cfRule type="expression" dxfId="1029" priority="1117">
      <formula>AND($K690="x",AT690&gt;0)</formula>
    </cfRule>
  </conditionalFormatting>
  <conditionalFormatting sqref="AT710">
    <cfRule type="expression" dxfId="1028" priority="458">
      <formula>AT710&gt;0</formula>
    </cfRule>
  </conditionalFormatting>
  <conditionalFormatting sqref="AT712:AT723">
    <cfRule type="expression" dxfId="1027" priority="1074">
      <formula>AND($K712="x",AT712&gt;0)</formula>
    </cfRule>
    <cfRule type="expression" dxfId="1026" priority="1073">
      <formula>OR(AT712&gt;80,AT712&lt;10)</formula>
    </cfRule>
  </conditionalFormatting>
  <conditionalFormatting sqref="AT732">
    <cfRule type="expression" dxfId="1025" priority="450">
      <formula>AT732&gt;0</formula>
    </cfRule>
  </conditionalFormatting>
  <conditionalFormatting sqref="AT734:AT745">
    <cfRule type="expression" dxfId="1024" priority="1030">
      <formula>OR(AT734&gt;80,AT734&lt;10)</formula>
    </cfRule>
    <cfRule type="expression" dxfId="1023" priority="1031">
      <formula>AND($K734="x",AT734&gt;0)</formula>
    </cfRule>
  </conditionalFormatting>
  <conditionalFormatting sqref="AT754">
    <cfRule type="expression" dxfId="1022" priority="442">
      <formula>AT754&gt;0</formula>
    </cfRule>
  </conditionalFormatting>
  <conditionalFormatting sqref="AT756:AT767">
    <cfRule type="expression" dxfId="1021" priority="987">
      <formula>OR(AT756&gt;80,AT756&lt;10)</formula>
    </cfRule>
    <cfRule type="expression" dxfId="1020" priority="988">
      <formula>AND($K756="x",AT756&gt;0)</formula>
    </cfRule>
  </conditionalFormatting>
  <conditionalFormatting sqref="AT776">
    <cfRule type="expression" dxfId="1019" priority="434">
      <formula>AT776&gt;0</formula>
    </cfRule>
  </conditionalFormatting>
  <conditionalFormatting sqref="AT778:AT789">
    <cfRule type="expression" dxfId="1018" priority="944">
      <formula>OR(AT778&gt;80,AT778&lt;10)</formula>
    </cfRule>
    <cfRule type="expression" dxfId="1017" priority="945">
      <formula>AND($K778="x",AT778&gt;0)</formula>
    </cfRule>
  </conditionalFormatting>
  <conditionalFormatting sqref="AT798">
    <cfRule type="expression" dxfId="1016" priority="426">
      <formula>AT798&gt;0</formula>
    </cfRule>
  </conditionalFormatting>
  <conditionalFormatting sqref="AT800:AT811">
    <cfRule type="expression" dxfId="1015" priority="901">
      <formula>OR(AT800&gt;80,AT800&lt;10)</formula>
    </cfRule>
    <cfRule type="expression" dxfId="1014" priority="902">
      <formula>AND($K800="x",AT800&gt;0)</formula>
    </cfRule>
  </conditionalFormatting>
  <conditionalFormatting sqref="AT820">
    <cfRule type="expression" dxfId="1013" priority="418">
      <formula>AT820&gt;0</formula>
    </cfRule>
  </conditionalFormatting>
  <conditionalFormatting sqref="AT822:AT833">
    <cfRule type="expression" dxfId="1012" priority="859">
      <formula>AND($K822="x",AT822&gt;0)</formula>
    </cfRule>
    <cfRule type="expression" dxfId="1011" priority="858">
      <formula>OR(AT822&gt;80,AT822&lt;10)</formula>
    </cfRule>
  </conditionalFormatting>
  <conditionalFormatting sqref="AT842">
    <cfRule type="expression" dxfId="1010" priority="410">
      <formula>AT842&gt;0</formula>
    </cfRule>
  </conditionalFormatting>
  <conditionalFormatting sqref="AT844:AT855">
    <cfRule type="expression" dxfId="1009" priority="816">
      <formula>AND($K844="x",AT844&gt;0)</formula>
    </cfRule>
    <cfRule type="expression" dxfId="1008" priority="815">
      <formula>OR(AT844&gt;80,AT844&lt;10)</formula>
    </cfRule>
  </conditionalFormatting>
  <conditionalFormatting sqref="AT864">
    <cfRule type="expression" dxfId="1007" priority="402">
      <formula>AT864&gt;0</formula>
    </cfRule>
  </conditionalFormatting>
  <conditionalFormatting sqref="AT866:AT877">
    <cfRule type="expression" dxfId="1006" priority="772">
      <formula>OR(AT866&gt;80,AT866&lt;10)</formula>
    </cfRule>
    <cfRule type="expression" dxfId="1005" priority="773">
      <formula>AND($K866="x",AT866&gt;0)</formula>
    </cfRule>
  </conditionalFormatting>
  <conditionalFormatting sqref="AT886">
    <cfRule type="expression" dxfId="1004" priority="394">
      <formula>AT886&gt;0</formula>
    </cfRule>
  </conditionalFormatting>
  <conditionalFormatting sqref="AT888:AT899">
    <cfRule type="expression" dxfId="1003" priority="729">
      <formula>OR(AT888&gt;80,AT888&lt;10)</formula>
    </cfRule>
    <cfRule type="expression" dxfId="1002" priority="730">
      <formula>AND($K888="x",AT888&gt;0)</formula>
    </cfRule>
  </conditionalFormatting>
  <conditionalFormatting sqref="BA8:BA19">
    <cfRule type="expression" dxfId="1001" priority="4889">
      <formula>AND($I8="x",BA8&gt;0)</formula>
    </cfRule>
  </conditionalFormatting>
  <conditionalFormatting sqref="BA30:BA41">
    <cfRule type="expression" dxfId="1000" priority="4106">
      <formula>AND($I30="x",BA30&gt;0)</formula>
    </cfRule>
  </conditionalFormatting>
  <conditionalFormatting sqref="BA52:BA63">
    <cfRule type="expression" dxfId="999" priority="292">
      <formula>AND($I52="x",BA52&gt;0)</formula>
    </cfRule>
  </conditionalFormatting>
  <conditionalFormatting sqref="BA74:BA85">
    <cfRule type="expression" dxfId="998" priority="2343">
      <formula>AND($I74="x",BA74&gt;0)</formula>
    </cfRule>
  </conditionalFormatting>
  <conditionalFormatting sqref="BA96:BA107">
    <cfRule type="expression" dxfId="997" priority="2300">
      <formula>AND($I96="x",BA96&gt;0)</formula>
    </cfRule>
  </conditionalFormatting>
  <conditionalFormatting sqref="BA118:BA129">
    <cfRule type="expression" dxfId="996" priority="2257">
      <formula>AND($I118="x",BA118&gt;0)</formula>
    </cfRule>
  </conditionalFormatting>
  <conditionalFormatting sqref="BA140:BA151">
    <cfRule type="expression" dxfId="995" priority="2214">
      <formula>AND($I140="x",BA140&gt;0)</formula>
    </cfRule>
  </conditionalFormatting>
  <conditionalFormatting sqref="BA162:BA173">
    <cfRule type="expression" dxfId="994" priority="2171">
      <formula>AND($I162="x",BA162&gt;0)</formula>
    </cfRule>
  </conditionalFormatting>
  <conditionalFormatting sqref="BA184:BA195">
    <cfRule type="expression" dxfId="993" priority="2128">
      <formula>AND($I184="x",BA184&gt;0)</formula>
    </cfRule>
  </conditionalFormatting>
  <conditionalFormatting sqref="BA206:BA217">
    <cfRule type="expression" dxfId="992" priority="2085">
      <formula>AND($I206="x",BA206&gt;0)</formula>
    </cfRule>
  </conditionalFormatting>
  <conditionalFormatting sqref="BA228:BA239">
    <cfRule type="expression" dxfId="991" priority="2042">
      <formula>AND($I228="x",BA228&gt;0)</formula>
    </cfRule>
  </conditionalFormatting>
  <conditionalFormatting sqref="BA250:BA261">
    <cfRule type="expression" dxfId="990" priority="1999">
      <formula>AND($I250="x",BA250&gt;0)</formula>
    </cfRule>
  </conditionalFormatting>
  <conditionalFormatting sqref="BA272:BA283">
    <cfRule type="expression" dxfId="989" priority="1956">
      <formula>AND($I272="x",BA272&gt;0)</formula>
    </cfRule>
  </conditionalFormatting>
  <conditionalFormatting sqref="BA294:BA305">
    <cfRule type="expression" dxfId="988" priority="1913">
      <formula>AND($I294="x",BA294&gt;0)</formula>
    </cfRule>
  </conditionalFormatting>
  <conditionalFormatting sqref="BA316:BA327">
    <cfRule type="expression" dxfId="987" priority="1870">
      <formula>AND($I316="x",BA316&gt;0)</formula>
    </cfRule>
  </conditionalFormatting>
  <conditionalFormatting sqref="BA338:BA349">
    <cfRule type="expression" dxfId="986" priority="1827">
      <formula>AND($I338="x",BA338&gt;0)</formula>
    </cfRule>
  </conditionalFormatting>
  <conditionalFormatting sqref="BA360:BA371">
    <cfRule type="expression" dxfId="985" priority="1784">
      <formula>AND($I360="x",BA360&gt;0)</formula>
    </cfRule>
  </conditionalFormatting>
  <conditionalFormatting sqref="BA382:BA393">
    <cfRule type="expression" dxfId="984" priority="1741">
      <formula>AND($I382="x",BA382&gt;0)</formula>
    </cfRule>
  </conditionalFormatting>
  <conditionalFormatting sqref="BA404:BA415">
    <cfRule type="expression" dxfId="983" priority="1698">
      <formula>AND($I404="x",BA404&gt;0)</formula>
    </cfRule>
  </conditionalFormatting>
  <conditionalFormatting sqref="BA426:BA437">
    <cfRule type="expression" dxfId="982" priority="1655">
      <formula>AND($I426="x",BA426&gt;0)</formula>
    </cfRule>
  </conditionalFormatting>
  <conditionalFormatting sqref="BA448:BA459">
    <cfRule type="expression" dxfId="981" priority="1612">
      <formula>AND($I448="x",BA448&gt;0)</formula>
    </cfRule>
  </conditionalFormatting>
  <conditionalFormatting sqref="BA470:BA481">
    <cfRule type="expression" dxfId="980" priority="1569">
      <formula>AND($I470="x",BA470&gt;0)</formula>
    </cfRule>
  </conditionalFormatting>
  <conditionalFormatting sqref="BA492:BA503">
    <cfRule type="expression" dxfId="979" priority="1526">
      <formula>AND($I492="x",BA492&gt;0)</formula>
    </cfRule>
  </conditionalFormatting>
  <conditionalFormatting sqref="BA514:BA525">
    <cfRule type="expression" dxfId="978" priority="1483">
      <formula>AND($I514="x",BA514&gt;0)</formula>
    </cfRule>
  </conditionalFormatting>
  <conditionalFormatting sqref="BA536:BA547">
    <cfRule type="expression" dxfId="977" priority="1440">
      <formula>AND($I536="x",BA536&gt;0)</formula>
    </cfRule>
  </conditionalFormatting>
  <conditionalFormatting sqref="BA558:BA569">
    <cfRule type="expression" dxfId="976" priority="1397">
      <formula>AND($I558="x",BA558&gt;0)</formula>
    </cfRule>
  </conditionalFormatting>
  <conditionalFormatting sqref="BA580:BA591">
    <cfRule type="expression" dxfId="975" priority="1354">
      <formula>AND($I580="x",BA580&gt;0)</formula>
    </cfRule>
  </conditionalFormatting>
  <conditionalFormatting sqref="BA602:BA613">
    <cfRule type="expression" dxfId="974" priority="1311">
      <formula>AND($I602="x",BA602&gt;0)</formula>
    </cfRule>
  </conditionalFormatting>
  <conditionalFormatting sqref="BA624:BA635">
    <cfRule type="expression" dxfId="973" priority="1268">
      <formula>AND($I624="x",BA624&gt;0)</formula>
    </cfRule>
  </conditionalFormatting>
  <conditionalFormatting sqref="BA646:BA657">
    <cfRule type="expression" dxfId="972" priority="1225">
      <formula>AND($I646="x",BA646&gt;0)</formula>
    </cfRule>
  </conditionalFormatting>
  <conditionalFormatting sqref="BA668:BA679">
    <cfRule type="expression" dxfId="971" priority="1182">
      <formula>AND($I668="x",BA668&gt;0)</formula>
    </cfRule>
  </conditionalFormatting>
  <conditionalFormatting sqref="BA690:BA701">
    <cfRule type="expression" dxfId="970" priority="301">
      <formula>AND($I690="x",BA690&gt;0)</formula>
    </cfRule>
  </conditionalFormatting>
  <conditionalFormatting sqref="BA708">
    <cfRule type="top10" dxfId="969" priority="137" rank="1"/>
  </conditionalFormatting>
  <conditionalFormatting sqref="BA712:BA723">
    <cfRule type="expression" dxfId="968" priority="1096">
      <formula>AND($I712="x",BA712&gt;0)</formula>
    </cfRule>
  </conditionalFormatting>
  <conditionalFormatting sqref="BA730">
    <cfRule type="top10" dxfId="967" priority="136" rank="1"/>
  </conditionalFormatting>
  <conditionalFormatting sqref="BA734:BA745">
    <cfRule type="expression" dxfId="966" priority="1053">
      <formula>AND($I734="x",BA734&gt;0)</formula>
    </cfRule>
  </conditionalFormatting>
  <conditionalFormatting sqref="BA752">
    <cfRule type="top10" dxfId="965" priority="135" rank="1"/>
  </conditionalFormatting>
  <conditionalFormatting sqref="BA756:BA767">
    <cfRule type="expression" dxfId="964" priority="1010">
      <formula>AND($I756="x",BA756&gt;0)</formula>
    </cfRule>
  </conditionalFormatting>
  <conditionalFormatting sqref="BA774">
    <cfRule type="top10" dxfId="963" priority="134" rank="1"/>
  </conditionalFormatting>
  <conditionalFormatting sqref="BA778:BA789">
    <cfRule type="expression" dxfId="962" priority="967">
      <formula>AND($I778="x",BA778&gt;0)</formula>
    </cfRule>
  </conditionalFormatting>
  <conditionalFormatting sqref="BA796">
    <cfRule type="top10" dxfId="961" priority="133" rank="1"/>
  </conditionalFormatting>
  <conditionalFormatting sqref="BA800:BA811">
    <cfRule type="expression" dxfId="960" priority="924">
      <formula>AND($I800="x",BA800&gt;0)</formula>
    </cfRule>
  </conditionalFormatting>
  <conditionalFormatting sqref="BA818">
    <cfRule type="top10" dxfId="959" priority="132" rank="1"/>
  </conditionalFormatting>
  <conditionalFormatting sqref="BA822:BA833">
    <cfRule type="expression" dxfId="958" priority="881">
      <formula>AND($I822="x",BA822&gt;0)</formula>
    </cfRule>
  </conditionalFormatting>
  <conditionalFormatting sqref="BA840">
    <cfRule type="top10" dxfId="957" priority="131" rank="1"/>
  </conditionalFormatting>
  <conditionalFormatting sqref="BA844:BA855">
    <cfRule type="expression" dxfId="956" priority="838">
      <formula>AND($I844="x",BA844&gt;0)</formula>
    </cfRule>
  </conditionalFormatting>
  <conditionalFormatting sqref="BA862">
    <cfRule type="top10" dxfId="955" priority="130" rank="1"/>
  </conditionalFormatting>
  <conditionalFormatting sqref="BA866:BA877">
    <cfRule type="expression" dxfId="954" priority="795">
      <formula>AND($I866="x",BA866&gt;0)</formula>
    </cfRule>
  </conditionalFormatting>
  <conditionalFormatting sqref="BA884">
    <cfRule type="top10" dxfId="953" priority="129" rank="1"/>
  </conditionalFormatting>
  <conditionalFormatting sqref="BA888:BA899">
    <cfRule type="expression" dxfId="952" priority="752">
      <formula>AND($I888="x",BA888&gt;0)</formula>
    </cfRule>
  </conditionalFormatting>
  <conditionalFormatting sqref="BB8:BB19">
    <cfRule type="expression" dxfId="951" priority="4888">
      <formula>AND($J8="x",BB8&gt;0)</formula>
    </cfRule>
  </conditionalFormatting>
  <conditionalFormatting sqref="BB30:BB41">
    <cfRule type="expression" dxfId="950" priority="4105">
      <formula>AND($J30="x",BB30&gt;0)</formula>
    </cfRule>
  </conditionalFormatting>
  <conditionalFormatting sqref="BB52:BB63">
    <cfRule type="expression" dxfId="949" priority="291">
      <formula>AND($J52="x",BB52&gt;0)</formula>
    </cfRule>
  </conditionalFormatting>
  <conditionalFormatting sqref="BB74:BB85">
    <cfRule type="expression" dxfId="948" priority="2342">
      <formula>AND($J74="x",BB74&gt;0)</formula>
    </cfRule>
  </conditionalFormatting>
  <conditionalFormatting sqref="BB96:BB107">
    <cfRule type="expression" dxfId="947" priority="2299">
      <formula>AND($J96="x",BB96&gt;0)</formula>
    </cfRule>
  </conditionalFormatting>
  <conditionalFormatting sqref="BB118:BB129">
    <cfRule type="expression" dxfId="946" priority="2256">
      <formula>AND($J118="x",BB118&gt;0)</formula>
    </cfRule>
  </conditionalFormatting>
  <conditionalFormatting sqref="BB140:BB151">
    <cfRule type="expression" dxfId="945" priority="2213">
      <formula>AND($J140="x",BB140&gt;0)</formula>
    </cfRule>
  </conditionalFormatting>
  <conditionalFormatting sqref="BB162:BB173">
    <cfRule type="expression" dxfId="944" priority="2170">
      <formula>AND($J162="x",BB162&gt;0)</formula>
    </cfRule>
  </conditionalFormatting>
  <conditionalFormatting sqref="BB184:BB195">
    <cfRule type="expression" dxfId="943" priority="2127">
      <formula>AND($J184="x",BB184&gt;0)</formula>
    </cfRule>
  </conditionalFormatting>
  <conditionalFormatting sqref="BB206:BB217">
    <cfRule type="expression" dxfId="942" priority="2084">
      <formula>AND($J206="x",BB206&gt;0)</formula>
    </cfRule>
  </conditionalFormatting>
  <conditionalFormatting sqref="BB228:BB239">
    <cfRule type="expression" dxfId="941" priority="2041">
      <formula>AND($J228="x",BB228&gt;0)</formula>
    </cfRule>
  </conditionalFormatting>
  <conditionalFormatting sqref="BB250:BB261">
    <cfRule type="expression" dxfId="940" priority="1998">
      <formula>AND($J250="x",BB250&gt;0)</formula>
    </cfRule>
  </conditionalFormatting>
  <conditionalFormatting sqref="BB272:BB283">
    <cfRule type="expression" dxfId="939" priority="1955">
      <formula>AND($J272="x",BB272&gt;0)</formula>
    </cfRule>
  </conditionalFormatting>
  <conditionalFormatting sqref="BB294:BB305">
    <cfRule type="expression" dxfId="938" priority="1912">
      <formula>AND($J294="x",BB294&gt;0)</formula>
    </cfRule>
  </conditionalFormatting>
  <conditionalFormatting sqref="BB316:BB327">
    <cfRule type="expression" dxfId="937" priority="1869">
      <formula>AND($J316="x",BB316&gt;0)</formula>
    </cfRule>
  </conditionalFormatting>
  <conditionalFormatting sqref="BB338:BB349">
    <cfRule type="expression" dxfId="936" priority="1826">
      <formula>AND($J338="x",BB338&gt;0)</formula>
    </cfRule>
  </conditionalFormatting>
  <conditionalFormatting sqref="BB360:BB371">
    <cfRule type="expression" dxfId="935" priority="1783">
      <formula>AND($J360="x",BB360&gt;0)</formula>
    </cfRule>
  </conditionalFormatting>
  <conditionalFormatting sqref="BB382:BB393">
    <cfRule type="expression" dxfId="934" priority="1740">
      <formula>AND($J382="x",BB382&gt;0)</formula>
    </cfRule>
  </conditionalFormatting>
  <conditionalFormatting sqref="BB404:BB415">
    <cfRule type="expression" dxfId="933" priority="1697">
      <formula>AND($J404="x",BB404&gt;0)</formula>
    </cfRule>
  </conditionalFormatting>
  <conditionalFormatting sqref="BB426:BB437">
    <cfRule type="expression" dxfId="932" priority="1654">
      <formula>AND($J426="x",BB426&gt;0)</formula>
    </cfRule>
  </conditionalFormatting>
  <conditionalFormatting sqref="BB448:BB459">
    <cfRule type="expression" dxfId="931" priority="1611">
      <formula>AND($J448="x",BB448&gt;0)</formula>
    </cfRule>
  </conditionalFormatting>
  <conditionalFormatting sqref="BB470:BB481">
    <cfRule type="expression" dxfId="930" priority="1568">
      <formula>AND($J470="x",BB470&gt;0)</formula>
    </cfRule>
  </conditionalFormatting>
  <conditionalFormatting sqref="BB492:BB503">
    <cfRule type="expression" dxfId="929" priority="1525">
      <formula>AND($J492="x",BB492&gt;0)</formula>
    </cfRule>
  </conditionalFormatting>
  <conditionalFormatting sqref="BB514:BB525">
    <cfRule type="expression" dxfId="928" priority="1482">
      <formula>AND($J514="x",BB514&gt;0)</formula>
    </cfRule>
  </conditionalFormatting>
  <conditionalFormatting sqref="BB536:BB547">
    <cfRule type="expression" dxfId="927" priority="1439">
      <formula>AND($J536="x",BB536&gt;0)</formula>
    </cfRule>
  </conditionalFormatting>
  <conditionalFormatting sqref="BB558:BB569">
    <cfRule type="expression" dxfId="926" priority="1396">
      <formula>AND($J558="x",BB558&gt;0)</formula>
    </cfRule>
  </conditionalFormatting>
  <conditionalFormatting sqref="BB580:BB591">
    <cfRule type="expression" dxfId="925" priority="1353">
      <formula>AND($J580="x",BB580&gt;0)</formula>
    </cfRule>
  </conditionalFormatting>
  <conditionalFormatting sqref="BB602:BB613">
    <cfRule type="expression" dxfId="924" priority="1310">
      <formula>AND($J602="x",BB602&gt;0)</formula>
    </cfRule>
  </conditionalFormatting>
  <conditionalFormatting sqref="BB624:BB635">
    <cfRule type="expression" dxfId="923" priority="1267">
      <formula>AND($J624="x",BB624&gt;0)</formula>
    </cfRule>
  </conditionalFormatting>
  <conditionalFormatting sqref="BB646:BB657">
    <cfRule type="expression" dxfId="922" priority="1224">
      <formula>AND($J646="x",BB646&gt;0)</formula>
    </cfRule>
  </conditionalFormatting>
  <conditionalFormatting sqref="BB668:BB679">
    <cfRule type="expression" dxfId="921" priority="1181">
      <formula>AND($J668="x",BB668&gt;0)</formula>
    </cfRule>
  </conditionalFormatting>
  <conditionalFormatting sqref="BB690:BB701">
    <cfRule type="expression" dxfId="920" priority="300">
      <formula>AND($J690="x",BB690&gt;0)</formula>
    </cfRule>
  </conditionalFormatting>
  <conditionalFormatting sqref="BB712:BB723">
    <cfRule type="expression" dxfId="919" priority="1095">
      <formula>AND($J712="x",BB712&gt;0)</formula>
    </cfRule>
  </conditionalFormatting>
  <conditionalFormatting sqref="BB734:BB745">
    <cfRule type="expression" dxfId="918" priority="1052">
      <formula>AND($J734="x",BB734&gt;0)</formula>
    </cfRule>
  </conditionalFormatting>
  <conditionalFormatting sqref="BB756:BB767">
    <cfRule type="expression" dxfId="917" priority="1009">
      <formula>AND($J756="x",BB756&gt;0)</formula>
    </cfRule>
  </conditionalFormatting>
  <conditionalFormatting sqref="BB778:BB789">
    <cfRule type="expression" dxfId="916" priority="966">
      <formula>AND($J778="x",BB778&gt;0)</formula>
    </cfRule>
  </conditionalFormatting>
  <conditionalFormatting sqref="BB800:BB811">
    <cfRule type="expression" dxfId="915" priority="923">
      <formula>AND($J800="x",BB800&gt;0)</formula>
    </cfRule>
  </conditionalFormatting>
  <conditionalFormatting sqref="BB822:BB833">
    <cfRule type="expression" dxfId="914" priority="880">
      <formula>AND($J822="x",BB822&gt;0)</formula>
    </cfRule>
  </conditionalFormatting>
  <conditionalFormatting sqref="BB844:BB855">
    <cfRule type="expression" dxfId="913" priority="837">
      <formula>AND($J844="x",BB844&gt;0)</formula>
    </cfRule>
  </conditionalFormatting>
  <conditionalFormatting sqref="BB866:BB877">
    <cfRule type="expression" dxfId="912" priority="794">
      <formula>AND($J866="x",BB866&gt;0)</formula>
    </cfRule>
  </conditionalFormatting>
  <conditionalFormatting sqref="BB888:BB899">
    <cfRule type="expression" dxfId="911" priority="751">
      <formula>AND($J888="x",BB888&gt;0)</formula>
    </cfRule>
  </conditionalFormatting>
  <conditionalFormatting sqref="BC6">
    <cfRule type="expression" dxfId="910" priority="4895">
      <formula>BC6&gt;0</formula>
    </cfRule>
  </conditionalFormatting>
  <conditionalFormatting sqref="BC8:BC19">
    <cfRule type="expression" dxfId="909" priority="4865">
      <formula>AND($K8="x",BC8&gt;0)</formula>
    </cfRule>
    <cfRule type="expression" dxfId="908" priority="4864">
      <formula>OR(BC8&gt;80,BC8&lt;10)</formula>
    </cfRule>
  </conditionalFormatting>
  <conditionalFormatting sqref="BC28">
    <cfRule type="expression" dxfId="907" priority="385">
      <formula>BC28&gt;0</formula>
    </cfRule>
  </conditionalFormatting>
  <conditionalFormatting sqref="BC30:BC41">
    <cfRule type="expression" dxfId="906" priority="4082">
      <formula>AND($K30="x",BC30&gt;0)</formula>
    </cfRule>
    <cfRule type="expression" dxfId="905" priority="4081">
      <formula>OR(BC30&gt;80,BC30&lt;10)</formula>
    </cfRule>
  </conditionalFormatting>
  <conditionalFormatting sqref="BC50">
    <cfRule type="expression" dxfId="904" priority="377">
      <formula>BC50&gt;0</formula>
    </cfRule>
  </conditionalFormatting>
  <conditionalFormatting sqref="BC52:BC63">
    <cfRule type="expression" dxfId="903" priority="270">
      <formula>AND($K52="x",BC52&gt;0)</formula>
    </cfRule>
    <cfRule type="expression" dxfId="902" priority="269">
      <formula>OR(BC52&gt;80,BC52&lt;10)</formula>
    </cfRule>
  </conditionalFormatting>
  <conditionalFormatting sqref="BC72">
    <cfRule type="expression" dxfId="901" priority="369">
      <formula>BC72&gt;0</formula>
    </cfRule>
  </conditionalFormatting>
  <conditionalFormatting sqref="BC74:BC85">
    <cfRule type="expression" dxfId="900" priority="2318">
      <formula>OR(BC74&gt;80,BC74&lt;10)</formula>
    </cfRule>
    <cfRule type="expression" dxfId="899" priority="2319">
      <formula>AND($K74="x",BC74&gt;0)</formula>
    </cfRule>
  </conditionalFormatting>
  <conditionalFormatting sqref="BC94">
    <cfRule type="expression" dxfId="898" priority="361">
      <formula>BC94&gt;0</formula>
    </cfRule>
  </conditionalFormatting>
  <conditionalFormatting sqref="BC96:BC107">
    <cfRule type="expression" dxfId="897" priority="2275">
      <formula>OR(BC96&gt;80,BC96&lt;10)</formula>
    </cfRule>
    <cfRule type="expression" dxfId="896" priority="2276">
      <formula>AND($K96="x",BC96&gt;0)</formula>
    </cfRule>
  </conditionalFormatting>
  <conditionalFormatting sqref="BC116">
    <cfRule type="expression" dxfId="895" priority="353">
      <formula>BC116&gt;0</formula>
    </cfRule>
  </conditionalFormatting>
  <conditionalFormatting sqref="BC118:BC129">
    <cfRule type="expression" dxfId="894" priority="2232">
      <formula>OR(BC118&gt;80,BC118&lt;10)</formula>
    </cfRule>
    <cfRule type="expression" dxfId="893" priority="2233">
      <formula>AND($K118="x",BC118&gt;0)</formula>
    </cfRule>
  </conditionalFormatting>
  <conditionalFormatting sqref="BC138">
    <cfRule type="expression" dxfId="892" priority="345">
      <formula>BC138&gt;0</formula>
    </cfRule>
  </conditionalFormatting>
  <conditionalFormatting sqref="BC140:BC151">
    <cfRule type="expression" dxfId="891" priority="2190">
      <formula>AND($K140="x",BC140&gt;0)</formula>
    </cfRule>
    <cfRule type="expression" dxfId="890" priority="2189">
      <formula>OR(BC140&gt;80,BC140&lt;10)</formula>
    </cfRule>
  </conditionalFormatting>
  <conditionalFormatting sqref="BC160">
    <cfRule type="expression" dxfId="889" priority="337">
      <formula>BC160&gt;0</formula>
    </cfRule>
  </conditionalFormatting>
  <conditionalFormatting sqref="BC162:BC173">
    <cfRule type="expression" dxfId="888" priority="2147">
      <formula>AND($K162="x",BC162&gt;0)</formula>
    </cfRule>
    <cfRule type="expression" dxfId="887" priority="2146">
      <formula>OR(BC162&gt;80,BC162&lt;10)</formula>
    </cfRule>
  </conditionalFormatting>
  <conditionalFormatting sqref="BC182">
    <cfRule type="expression" dxfId="886" priority="329">
      <formula>BC182&gt;0</formula>
    </cfRule>
  </conditionalFormatting>
  <conditionalFormatting sqref="BC184:BC195">
    <cfRule type="expression" dxfId="885" priority="2104">
      <formula>AND($K184="x",BC184&gt;0)</formula>
    </cfRule>
    <cfRule type="expression" dxfId="884" priority="2103">
      <formula>OR(BC184&gt;80,BC184&lt;10)</formula>
    </cfRule>
  </conditionalFormatting>
  <conditionalFormatting sqref="BC204">
    <cfRule type="expression" dxfId="883" priority="321">
      <formula>BC204&gt;0</formula>
    </cfRule>
  </conditionalFormatting>
  <conditionalFormatting sqref="BC206:BC217">
    <cfRule type="expression" dxfId="882" priority="2060">
      <formula>OR(BC206&gt;80,BC206&lt;10)</formula>
    </cfRule>
    <cfRule type="expression" dxfId="881" priority="2061">
      <formula>AND($K206="x",BC206&gt;0)</formula>
    </cfRule>
  </conditionalFormatting>
  <conditionalFormatting sqref="BC226">
    <cfRule type="expression" dxfId="880" priority="313">
      <formula>BC226&gt;0</formula>
    </cfRule>
  </conditionalFormatting>
  <conditionalFormatting sqref="BC228:BC239">
    <cfRule type="expression" dxfId="879" priority="2018">
      <formula>AND($K228="x",BC228&gt;0)</formula>
    </cfRule>
    <cfRule type="expression" dxfId="878" priority="2017">
      <formula>OR(BC228&gt;80,BC228&lt;10)</formula>
    </cfRule>
  </conditionalFormatting>
  <conditionalFormatting sqref="BC248">
    <cfRule type="expression" dxfId="877" priority="305">
      <formula>BC248&gt;0</formula>
    </cfRule>
  </conditionalFormatting>
  <conditionalFormatting sqref="BC250:BC261">
    <cfRule type="expression" dxfId="876" priority="1974">
      <formula>OR(BC250&gt;80,BC250&lt;10)</formula>
    </cfRule>
    <cfRule type="expression" dxfId="875" priority="1975">
      <formula>AND($K250="x",BC250&gt;0)</formula>
    </cfRule>
  </conditionalFormatting>
  <conditionalFormatting sqref="BC270">
    <cfRule type="expression" dxfId="874" priority="617">
      <formula>BC270&gt;0</formula>
    </cfRule>
  </conditionalFormatting>
  <conditionalFormatting sqref="BC272:BC283">
    <cfRule type="expression" dxfId="873" priority="1932">
      <formula>AND($K272="x",BC272&gt;0)</formula>
    </cfRule>
    <cfRule type="expression" dxfId="872" priority="1931">
      <formula>OR(BC272&gt;80,BC272&lt;10)</formula>
    </cfRule>
  </conditionalFormatting>
  <conditionalFormatting sqref="BC292">
    <cfRule type="expression" dxfId="871" priority="609">
      <formula>BC292&gt;0</formula>
    </cfRule>
  </conditionalFormatting>
  <conditionalFormatting sqref="BC294:BC305">
    <cfRule type="expression" dxfId="870" priority="1889">
      <formula>AND($K294="x",BC294&gt;0)</formula>
    </cfRule>
    <cfRule type="expression" dxfId="869" priority="1888">
      <formula>OR(BC294&gt;80,BC294&lt;10)</formula>
    </cfRule>
  </conditionalFormatting>
  <conditionalFormatting sqref="BC314">
    <cfRule type="expression" dxfId="868" priority="601">
      <formula>BC314&gt;0</formula>
    </cfRule>
  </conditionalFormatting>
  <conditionalFormatting sqref="BC316:BC327">
    <cfRule type="expression" dxfId="867" priority="1846">
      <formula>AND($K316="x",BC316&gt;0)</formula>
    </cfRule>
    <cfRule type="expression" dxfId="866" priority="1845">
      <formula>OR(BC316&gt;80,BC316&lt;10)</formula>
    </cfRule>
  </conditionalFormatting>
  <conditionalFormatting sqref="BC336">
    <cfRule type="expression" dxfId="865" priority="593">
      <formula>BC336&gt;0</formula>
    </cfRule>
  </conditionalFormatting>
  <conditionalFormatting sqref="BC338:BC349">
    <cfRule type="expression" dxfId="864" priority="1803">
      <formula>AND($K338="x",BC338&gt;0)</formula>
    </cfRule>
    <cfRule type="expression" dxfId="863" priority="1802">
      <formula>OR(BC338&gt;80,BC338&lt;10)</formula>
    </cfRule>
  </conditionalFormatting>
  <conditionalFormatting sqref="BC358">
    <cfRule type="expression" dxfId="862" priority="585">
      <formula>BC358&gt;0</formula>
    </cfRule>
  </conditionalFormatting>
  <conditionalFormatting sqref="BC360:BC371">
    <cfRule type="expression" dxfId="861" priority="1759">
      <formula>OR(BC360&gt;80,BC360&lt;10)</formula>
    </cfRule>
    <cfRule type="expression" dxfId="860" priority="1760">
      <formula>AND($K360="x",BC360&gt;0)</formula>
    </cfRule>
  </conditionalFormatting>
  <conditionalFormatting sqref="BC380">
    <cfRule type="expression" dxfId="859" priority="577">
      <formula>BC380&gt;0</formula>
    </cfRule>
  </conditionalFormatting>
  <conditionalFormatting sqref="BC382:BC393">
    <cfRule type="expression" dxfId="858" priority="1716">
      <formula>OR(BC382&gt;80,BC382&lt;10)</formula>
    </cfRule>
    <cfRule type="expression" dxfId="857" priority="1717">
      <formula>AND($K382="x",BC382&gt;0)</formula>
    </cfRule>
  </conditionalFormatting>
  <conditionalFormatting sqref="BC402">
    <cfRule type="expression" dxfId="856" priority="569">
      <formula>BC402&gt;0</formula>
    </cfRule>
  </conditionalFormatting>
  <conditionalFormatting sqref="BC404:BC415">
    <cfRule type="expression" dxfId="855" priority="1673">
      <formula>OR(BC404&gt;80,BC404&lt;10)</formula>
    </cfRule>
    <cfRule type="expression" dxfId="854" priority="1674">
      <formula>AND($K404="x",BC404&gt;0)</formula>
    </cfRule>
  </conditionalFormatting>
  <conditionalFormatting sqref="BC424">
    <cfRule type="expression" dxfId="853" priority="561">
      <formula>BC424&gt;0</formula>
    </cfRule>
  </conditionalFormatting>
  <conditionalFormatting sqref="BC426:BC437">
    <cfRule type="expression" dxfId="852" priority="1631">
      <formula>AND($K426="x",BC426&gt;0)</formula>
    </cfRule>
    <cfRule type="expression" dxfId="851" priority="1630">
      <formula>OR(BC426&gt;80,BC426&lt;10)</formula>
    </cfRule>
  </conditionalFormatting>
  <conditionalFormatting sqref="BC446">
    <cfRule type="expression" dxfId="850" priority="553">
      <formula>BC446&gt;0</formula>
    </cfRule>
  </conditionalFormatting>
  <conditionalFormatting sqref="BC448:BC459">
    <cfRule type="expression" dxfId="849" priority="1588">
      <formula>AND($K448="x",BC448&gt;0)</formula>
    </cfRule>
    <cfRule type="expression" dxfId="848" priority="1587">
      <formula>OR(BC448&gt;80,BC448&lt;10)</formula>
    </cfRule>
  </conditionalFormatting>
  <conditionalFormatting sqref="BC468">
    <cfRule type="expression" dxfId="847" priority="545">
      <formula>BC468&gt;0</formula>
    </cfRule>
  </conditionalFormatting>
  <conditionalFormatting sqref="BC470:BC481">
    <cfRule type="expression" dxfId="846" priority="1545">
      <formula>AND($K470="x",BC470&gt;0)</formula>
    </cfRule>
    <cfRule type="expression" dxfId="845" priority="1544">
      <formula>OR(BC470&gt;80,BC470&lt;10)</formula>
    </cfRule>
  </conditionalFormatting>
  <conditionalFormatting sqref="BC490">
    <cfRule type="expression" dxfId="844" priority="537">
      <formula>BC490&gt;0</formula>
    </cfRule>
  </conditionalFormatting>
  <conditionalFormatting sqref="BC492:BC503">
    <cfRule type="expression" dxfId="843" priority="1501">
      <formula>OR(BC492&gt;80,BC492&lt;10)</formula>
    </cfRule>
    <cfRule type="expression" dxfId="842" priority="1502">
      <formula>AND($K492="x",BC492&gt;0)</formula>
    </cfRule>
  </conditionalFormatting>
  <conditionalFormatting sqref="BC512">
    <cfRule type="expression" dxfId="841" priority="529">
      <formula>BC512&gt;0</formula>
    </cfRule>
  </conditionalFormatting>
  <conditionalFormatting sqref="BC514:BC525">
    <cfRule type="expression" dxfId="840" priority="1459">
      <formula>AND($K514="x",BC514&gt;0)</formula>
    </cfRule>
    <cfRule type="expression" dxfId="839" priority="1458">
      <formula>OR(BC514&gt;80,BC514&lt;10)</formula>
    </cfRule>
  </conditionalFormatting>
  <conditionalFormatting sqref="BC534">
    <cfRule type="expression" dxfId="838" priority="521">
      <formula>BC534&gt;0</formula>
    </cfRule>
  </conditionalFormatting>
  <conditionalFormatting sqref="BC536:BC547">
    <cfRule type="expression" dxfId="837" priority="1415">
      <formula>OR(BC536&gt;80,BC536&lt;10)</formula>
    </cfRule>
    <cfRule type="expression" dxfId="836" priority="1416">
      <formula>AND($K536="x",BC536&gt;0)</formula>
    </cfRule>
  </conditionalFormatting>
  <conditionalFormatting sqref="BC556">
    <cfRule type="expression" dxfId="835" priority="513">
      <formula>BC556&gt;0</formula>
    </cfRule>
  </conditionalFormatting>
  <conditionalFormatting sqref="BC558:BC569">
    <cfRule type="expression" dxfId="834" priority="1372">
      <formula>OR(BC558&gt;80,BC558&lt;10)</formula>
    </cfRule>
    <cfRule type="expression" dxfId="833" priority="1373">
      <formula>AND($K558="x",BC558&gt;0)</formula>
    </cfRule>
  </conditionalFormatting>
  <conditionalFormatting sqref="BC578">
    <cfRule type="expression" dxfId="832" priority="505">
      <formula>BC578&gt;0</formula>
    </cfRule>
  </conditionalFormatting>
  <conditionalFormatting sqref="BC580:BC591">
    <cfRule type="expression" dxfId="831" priority="1329">
      <formula>OR(BC580&gt;80,BC580&lt;10)</formula>
    </cfRule>
    <cfRule type="expression" dxfId="830" priority="1330">
      <formula>AND($K580="x",BC580&gt;0)</formula>
    </cfRule>
  </conditionalFormatting>
  <conditionalFormatting sqref="BC600">
    <cfRule type="expression" dxfId="829" priority="497">
      <formula>BC600&gt;0</formula>
    </cfRule>
  </conditionalFormatting>
  <conditionalFormatting sqref="BC602:BC613">
    <cfRule type="expression" dxfId="828" priority="1286">
      <formula>OR(BC602&gt;80,BC602&lt;10)</formula>
    </cfRule>
    <cfRule type="expression" dxfId="827" priority="1287">
      <formula>AND($K602="x",BC602&gt;0)</formula>
    </cfRule>
  </conditionalFormatting>
  <conditionalFormatting sqref="BC622">
    <cfRule type="expression" dxfId="826" priority="489">
      <formula>BC622&gt;0</formula>
    </cfRule>
  </conditionalFormatting>
  <conditionalFormatting sqref="BC624:BC635">
    <cfRule type="expression" dxfId="825" priority="1244">
      <formula>AND($K624="x",BC624&gt;0)</formula>
    </cfRule>
    <cfRule type="expression" dxfId="824" priority="1243">
      <formula>OR(BC624&gt;80,BC624&lt;10)</formula>
    </cfRule>
  </conditionalFormatting>
  <conditionalFormatting sqref="BC644">
    <cfRule type="expression" dxfId="823" priority="481">
      <formula>BC644&gt;0</formula>
    </cfRule>
  </conditionalFormatting>
  <conditionalFormatting sqref="BC646:BC657">
    <cfRule type="expression" dxfId="822" priority="1200">
      <formula>OR(BC646&gt;80,BC646&lt;10)</formula>
    </cfRule>
    <cfRule type="expression" dxfId="821" priority="1201">
      <formula>AND($K646="x",BC646&gt;0)</formula>
    </cfRule>
  </conditionalFormatting>
  <conditionalFormatting sqref="BC666">
    <cfRule type="expression" dxfId="820" priority="473">
      <formula>BC666&gt;0</formula>
    </cfRule>
  </conditionalFormatting>
  <conditionalFormatting sqref="BC668:BC679">
    <cfRule type="expression" dxfId="819" priority="1158">
      <formula>AND($K668="x",BC668&gt;0)</formula>
    </cfRule>
    <cfRule type="expression" dxfId="818" priority="1157">
      <formula>OR(BC668&gt;80,BC668&lt;10)</formula>
    </cfRule>
  </conditionalFormatting>
  <conditionalFormatting sqref="BC688">
    <cfRule type="expression" dxfId="817" priority="465">
      <formula>BC688&gt;0</formula>
    </cfRule>
  </conditionalFormatting>
  <conditionalFormatting sqref="BC690:BC701">
    <cfRule type="expression" dxfId="816" priority="298">
      <formula>OR(BC690&gt;80,BC690&lt;10)</formula>
    </cfRule>
    <cfRule type="expression" dxfId="815" priority="299">
      <formula>AND($K690="x",BC690&gt;0)</formula>
    </cfRule>
  </conditionalFormatting>
  <conditionalFormatting sqref="BC710">
    <cfRule type="expression" dxfId="814" priority="457">
      <formula>BC710&gt;0</formula>
    </cfRule>
  </conditionalFormatting>
  <conditionalFormatting sqref="BC712:BC723">
    <cfRule type="expression" dxfId="813" priority="1071">
      <formula>OR(BC712&gt;80,BC712&lt;10)</formula>
    </cfRule>
    <cfRule type="expression" dxfId="812" priority="1072">
      <formula>AND($K712="x",BC712&gt;0)</formula>
    </cfRule>
  </conditionalFormatting>
  <conditionalFormatting sqref="BC732">
    <cfRule type="expression" dxfId="811" priority="449">
      <formula>BC732&gt;0</formula>
    </cfRule>
  </conditionalFormatting>
  <conditionalFormatting sqref="BC734:BC745">
    <cfRule type="expression" dxfId="810" priority="1028">
      <formula>OR(BC734&gt;80,BC734&lt;10)</formula>
    </cfRule>
    <cfRule type="expression" dxfId="809" priority="1029">
      <formula>AND($K734="x",BC734&gt;0)</formula>
    </cfRule>
  </conditionalFormatting>
  <conditionalFormatting sqref="BC754">
    <cfRule type="expression" dxfId="808" priority="441">
      <formula>BC754&gt;0</formula>
    </cfRule>
  </conditionalFormatting>
  <conditionalFormatting sqref="BC756:BC767">
    <cfRule type="expression" dxfId="807" priority="986">
      <formula>AND($K756="x",BC756&gt;0)</formula>
    </cfRule>
    <cfRule type="expression" dxfId="806" priority="985">
      <formula>OR(BC756&gt;80,BC756&lt;10)</formula>
    </cfRule>
  </conditionalFormatting>
  <conditionalFormatting sqref="BC776">
    <cfRule type="expression" dxfId="805" priority="433">
      <formula>BC776&gt;0</formula>
    </cfRule>
  </conditionalFormatting>
  <conditionalFormatting sqref="BC778:BC789">
    <cfRule type="expression" dxfId="804" priority="943">
      <formula>AND($K778="x",BC778&gt;0)</formula>
    </cfRule>
    <cfRule type="expression" dxfId="803" priority="942">
      <formula>OR(BC778&gt;80,BC778&lt;10)</formula>
    </cfRule>
  </conditionalFormatting>
  <conditionalFormatting sqref="BC798">
    <cfRule type="expression" dxfId="802" priority="425">
      <formula>BC798&gt;0</formula>
    </cfRule>
  </conditionalFormatting>
  <conditionalFormatting sqref="BC800:BC811">
    <cfRule type="expression" dxfId="801" priority="899">
      <formula>OR(BC800&gt;80,BC800&lt;10)</formula>
    </cfRule>
    <cfRule type="expression" dxfId="800" priority="900">
      <formula>AND($K800="x",BC800&gt;0)</formula>
    </cfRule>
  </conditionalFormatting>
  <conditionalFormatting sqref="BC820">
    <cfRule type="expression" dxfId="799" priority="417">
      <formula>BC820&gt;0</formula>
    </cfRule>
  </conditionalFormatting>
  <conditionalFormatting sqref="BC822:BC833">
    <cfRule type="expression" dxfId="798" priority="857">
      <formula>AND($K822="x",BC822&gt;0)</formula>
    </cfRule>
    <cfRule type="expression" dxfId="797" priority="856">
      <formula>OR(BC822&gt;80,BC822&lt;10)</formula>
    </cfRule>
  </conditionalFormatting>
  <conditionalFormatting sqref="BC842">
    <cfRule type="expression" dxfId="796" priority="409">
      <formula>BC842&gt;0</formula>
    </cfRule>
  </conditionalFormatting>
  <conditionalFormatting sqref="BC844:BC855">
    <cfRule type="expression" dxfId="795" priority="814">
      <formula>AND($K844="x",BC844&gt;0)</formula>
    </cfRule>
    <cfRule type="expression" dxfId="794" priority="813">
      <formula>OR(BC844&gt;80,BC844&lt;10)</formula>
    </cfRule>
  </conditionalFormatting>
  <conditionalFormatting sqref="BC864">
    <cfRule type="expression" dxfId="793" priority="401">
      <formula>BC864&gt;0</formula>
    </cfRule>
  </conditionalFormatting>
  <conditionalFormatting sqref="BC866:BC877">
    <cfRule type="expression" dxfId="792" priority="771">
      <formula>AND($K866="x",BC866&gt;0)</formula>
    </cfRule>
    <cfRule type="expression" dxfId="791" priority="770">
      <formula>OR(BC866&gt;80,BC866&lt;10)</formula>
    </cfRule>
  </conditionalFormatting>
  <conditionalFormatting sqref="BC886">
    <cfRule type="expression" dxfId="790" priority="393">
      <formula>BC886&gt;0</formula>
    </cfRule>
  </conditionalFormatting>
  <conditionalFormatting sqref="BC888:BC899">
    <cfRule type="expression" dxfId="789" priority="727">
      <formula>OR(BC888&gt;80,BC888&lt;10)</formula>
    </cfRule>
    <cfRule type="expression" dxfId="788" priority="728">
      <formula>AND($K888="x",BC888&gt;0)</formula>
    </cfRule>
  </conditionalFormatting>
  <conditionalFormatting sqref="BJ8:BJ19">
    <cfRule type="expression" dxfId="787" priority="4881">
      <formula>AND($I8="x",BJ8&gt;0)</formula>
    </cfRule>
  </conditionalFormatting>
  <conditionalFormatting sqref="BJ30:BJ41">
    <cfRule type="expression" dxfId="786" priority="4098">
      <formula>AND($I30="x",BJ30&gt;0)</formula>
    </cfRule>
  </conditionalFormatting>
  <conditionalFormatting sqref="BJ52:BJ63">
    <cfRule type="expression" dxfId="785" priority="284">
      <formula>AND($I52="x",BJ52&gt;0)</formula>
    </cfRule>
  </conditionalFormatting>
  <conditionalFormatting sqref="BJ74:BJ85">
    <cfRule type="expression" dxfId="784" priority="2335">
      <formula>AND($I74="x",BJ74&gt;0)</formula>
    </cfRule>
  </conditionalFormatting>
  <conditionalFormatting sqref="BJ96:BJ107">
    <cfRule type="expression" dxfId="783" priority="2292">
      <formula>AND($I96="x",BJ96&gt;0)</formula>
    </cfRule>
  </conditionalFormatting>
  <conditionalFormatting sqref="BJ118:BJ129">
    <cfRule type="expression" dxfId="782" priority="2249">
      <formula>AND($I118="x",BJ118&gt;0)</formula>
    </cfRule>
  </conditionalFormatting>
  <conditionalFormatting sqref="BJ140:BJ151">
    <cfRule type="expression" dxfId="781" priority="2206">
      <formula>AND($I140="x",BJ140&gt;0)</formula>
    </cfRule>
  </conditionalFormatting>
  <conditionalFormatting sqref="BJ162:BJ173">
    <cfRule type="expression" dxfId="780" priority="2163">
      <formula>AND($I162="x",BJ162&gt;0)</formula>
    </cfRule>
  </conditionalFormatting>
  <conditionalFormatting sqref="BJ184:BJ195">
    <cfRule type="expression" dxfId="779" priority="2120">
      <formula>AND($I184="x",BJ184&gt;0)</formula>
    </cfRule>
  </conditionalFormatting>
  <conditionalFormatting sqref="BJ206:BJ217">
    <cfRule type="expression" dxfId="778" priority="2077">
      <formula>AND($I206="x",BJ206&gt;0)</formula>
    </cfRule>
  </conditionalFormatting>
  <conditionalFormatting sqref="BJ228:BJ239">
    <cfRule type="expression" dxfId="777" priority="2034">
      <formula>AND($I228="x",BJ228&gt;0)</formula>
    </cfRule>
  </conditionalFormatting>
  <conditionalFormatting sqref="BJ250:BJ261">
    <cfRule type="expression" dxfId="776" priority="1991">
      <formula>AND($I250="x",BJ250&gt;0)</formula>
    </cfRule>
  </conditionalFormatting>
  <conditionalFormatting sqref="BJ272:BJ283">
    <cfRule type="expression" dxfId="775" priority="1948">
      <formula>AND($I272="x",BJ272&gt;0)</formula>
    </cfRule>
  </conditionalFormatting>
  <conditionalFormatting sqref="BJ294:BJ305">
    <cfRule type="expression" dxfId="774" priority="1905">
      <formula>AND($I294="x",BJ294&gt;0)</formula>
    </cfRule>
  </conditionalFormatting>
  <conditionalFormatting sqref="BJ316:BJ327">
    <cfRule type="expression" dxfId="773" priority="1862">
      <formula>AND($I316="x",BJ316&gt;0)</formula>
    </cfRule>
  </conditionalFormatting>
  <conditionalFormatting sqref="BJ338:BJ349">
    <cfRule type="expression" dxfId="772" priority="1819">
      <formula>AND($I338="x",BJ338&gt;0)</formula>
    </cfRule>
  </conditionalFormatting>
  <conditionalFormatting sqref="BJ360:BJ371">
    <cfRule type="expression" dxfId="771" priority="1776">
      <formula>AND($I360="x",BJ360&gt;0)</formula>
    </cfRule>
  </conditionalFormatting>
  <conditionalFormatting sqref="BJ382:BJ393">
    <cfRule type="expression" dxfId="770" priority="1733">
      <formula>AND($I382="x",BJ382&gt;0)</formula>
    </cfRule>
  </conditionalFormatting>
  <conditionalFormatting sqref="BJ404:BJ415">
    <cfRule type="expression" dxfId="769" priority="1690">
      <formula>AND($I404="x",BJ404&gt;0)</formula>
    </cfRule>
  </conditionalFormatting>
  <conditionalFormatting sqref="BJ426:BJ437">
    <cfRule type="expression" dxfId="768" priority="1647">
      <formula>AND($I426="x",BJ426&gt;0)</formula>
    </cfRule>
  </conditionalFormatting>
  <conditionalFormatting sqref="BJ448:BJ459">
    <cfRule type="expression" dxfId="767" priority="1604">
      <formula>AND($I448="x",BJ448&gt;0)</formula>
    </cfRule>
  </conditionalFormatting>
  <conditionalFormatting sqref="BJ470:BJ481">
    <cfRule type="expression" dxfId="766" priority="1561">
      <formula>AND($I470="x",BJ470&gt;0)</formula>
    </cfRule>
  </conditionalFormatting>
  <conditionalFormatting sqref="BJ492:BJ503">
    <cfRule type="expression" dxfId="765" priority="1518">
      <formula>AND($I492="x",BJ492&gt;0)</formula>
    </cfRule>
  </conditionalFormatting>
  <conditionalFormatting sqref="BJ514:BJ525">
    <cfRule type="expression" dxfId="764" priority="1475">
      <formula>AND($I514="x",BJ514&gt;0)</formula>
    </cfRule>
  </conditionalFormatting>
  <conditionalFormatting sqref="BJ536:BJ547">
    <cfRule type="expression" dxfId="763" priority="1432">
      <formula>AND($I536="x",BJ536&gt;0)</formula>
    </cfRule>
  </conditionalFormatting>
  <conditionalFormatting sqref="BJ558:BJ569">
    <cfRule type="expression" dxfId="762" priority="1389">
      <formula>AND($I558="x",BJ558&gt;0)</formula>
    </cfRule>
  </conditionalFormatting>
  <conditionalFormatting sqref="BJ580:BJ591">
    <cfRule type="expression" dxfId="761" priority="1346">
      <formula>AND($I580="x",BJ580&gt;0)</formula>
    </cfRule>
  </conditionalFormatting>
  <conditionalFormatting sqref="BJ602:BJ613">
    <cfRule type="expression" dxfId="760" priority="1303">
      <formula>AND($I602="x",BJ602&gt;0)</formula>
    </cfRule>
  </conditionalFormatting>
  <conditionalFormatting sqref="BJ624:BJ635">
    <cfRule type="expression" dxfId="759" priority="1260">
      <formula>AND($I624="x",BJ624&gt;0)</formula>
    </cfRule>
  </conditionalFormatting>
  <conditionalFormatting sqref="BJ646:BJ657">
    <cfRule type="expression" dxfId="758" priority="1217">
      <formula>AND($I646="x",BJ646&gt;0)</formula>
    </cfRule>
  </conditionalFormatting>
  <conditionalFormatting sqref="BJ668:BJ679">
    <cfRule type="expression" dxfId="757" priority="1174">
      <formula>AND($I668="x",BJ668&gt;0)</formula>
    </cfRule>
  </conditionalFormatting>
  <conditionalFormatting sqref="BJ690:BJ701">
    <cfRule type="expression" dxfId="756" priority="1131">
      <formula>AND($I690="x",BJ690&gt;0)</formula>
    </cfRule>
  </conditionalFormatting>
  <conditionalFormatting sqref="BJ712:BJ723">
    <cfRule type="expression" dxfId="755" priority="1088">
      <formula>AND($I712="x",BJ712&gt;0)</formula>
    </cfRule>
  </conditionalFormatting>
  <conditionalFormatting sqref="BJ734:BJ745">
    <cfRule type="expression" dxfId="754" priority="1045">
      <formula>AND($I734="x",BJ734&gt;0)</formula>
    </cfRule>
  </conditionalFormatting>
  <conditionalFormatting sqref="BJ756:BJ767">
    <cfRule type="expression" dxfId="753" priority="1002">
      <formula>AND($I756="x",BJ756&gt;0)</formula>
    </cfRule>
  </conditionalFormatting>
  <conditionalFormatting sqref="BJ778:BJ789">
    <cfRule type="expression" dxfId="752" priority="959">
      <formula>AND($I778="x",BJ778&gt;0)</formula>
    </cfRule>
  </conditionalFormatting>
  <conditionalFormatting sqref="BJ800:BJ811">
    <cfRule type="expression" dxfId="751" priority="916">
      <formula>AND($I800="x",BJ800&gt;0)</formula>
    </cfRule>
  </conditionalFormatting>
  <conditionalFormatting sqref="BJ822:BJ833">
    <cfRule type="expression" dxfId="750" priority="873">
      <formula>AND($I822="x",BJ822&gt;0)</formula>
    </cfRule>
  </conditionalFormatting>
  <conditionalFormatting sqref="BJ844:BJ855">
    <cfRule type="expression" dxfId="749" priority="830">
      <formula>AND($I844="x",BJ844&gt;0)</formula>
    </cfRule>
  </conditionalFormatting>
  <conditionalFormatting sqref="BJ866:BJ877">
    <cfRule type="expression" dxfId="748" priority="787">
      <formula>AND($I866="x",BJ866&gt;0)</formula>
    </cfRule>
  </conditionalFormatting>
  <conditionalFormatting sqref="BJ888:BJ899">
    <cfRule type="expression" dxfId="747" priority="744">
      <formula>AND($I888="x",BJ888&gt;0)</formula>
    </cfRule>
  </conditionalFormatting>
  <conditionalFormatting sqref="BK8:BK19">
    <cfRule type="expression" dxfId="746" priority="4880">
      <formula>AND($J8="x",BK8&gt;0)</formula>
    </cfRule>
  </conditionalFormatting>
  <conditionalFormatting sqref="BK30:BK41">
    <cfRule type="expression" dxfId="745" priority="4097">
      <formula>AND($J30="x",BK30&gt;0)</formula>
    </cfRule>
  </conditionalFormatting>
  <conditionalFormatting sqref="BK52:BK63">
    <cfRule type="expression" dxfId="744" priority="283">
      <formula>AND($J52="x",BK52&gt;0)</formula>
    </cfRule>
  </conditionalFormatting>
  <conditionalFormatting sqref="BK74:BK85">
    <cfRule type="expression" dxfId="743" priority="2334">
      <formula>AND($J74="x",BK74&gt;0)</formula>
    </cfRule>
  </conditionalFormatting>
  <conditionalFormatting sqref="BK96:BK107">
    <cfRule type="expression" dxfId="742" priority="2291">
      <formula>AND($J96="x",BK96&gt;0)</formula>
    </cfRule>
  </conditionalFormatting>
  <conditionalFormatting sqref="BK118:BK129">
    <cfRule type="expression" dxfId="741" priority="2248">
      <formula>AND($J118="x",BK118&gt;0)</formula>
    </cfRule>
  </conditionalFormatting>
  <conditionalFormatting sqref="BK140:BK151">
    <cfRule type="expression" dxfId="740" priority="2205">
      <formula>AND($J140="x",BK140&gt;0)</formula>
    </cfRule>
  </conditionalFormatting>
  <conditionalFormatting sqref="BK162:BK173">
    <cfRule type="expression" dxfId="739" priority="2162">
      <formula>AND($J162="x",BK162&gt;0)</formula>
    </cfRule>
  </conditionalFormatting>
  <conditionalFormatting sqref="BK184:BK195">
    <cfRule type="expression" dxfId="738" priority="2119">
      <formula>AND($J184="x",BK184&gt;0)</formula>
    </cfRule>
  </conditionalFormatting>
  <conditionalFormatting sqref="BK206:BK217">
    <cfRule type="expression" dxfId="737" priority="2076">
      <formula>AND($J206="x",BK206&gt;0)</formula>
    </cfRule>
  </conditionalFormatting>
  <conditionalFormatting sqref="BK228:BK239">
    <cfRule type="expression" dxfId="736" priority="2033">
      <formula>AND($J228="x",BK228&gt;0)</formula>
    </cfRule>
  </conditionalFormatting>
  <conditionalFormatting sqref="BK250:BK261">
    <cfRule type="expression" dxfId="735" priority="1990">
      <formula>AND($J250="x",BK250&gt;0)</formula>
    </cfRule>
  </conditionalFormatting>
  <conditionalFormatting sqref="BK272:BK283">
    <cfRule type="expression" dxfId="734" priority="1947">
      <formula>AND($J272="x",BK272&gt;0)</formula>
    </cfRule>
  </conditionalFormatting>
  <conditionalFormatting sqref="BK294:BK305">
    <cfRule type="expression" dxfId="733" priority="1904">
      <formula>AND($J294="x",BK294&gt;0)</formula>
    </cfRule>
  </conditionalFormatting>
  <conditionalFormatting sqref="BK316:BK327">
    <cfRule type="expression" dxfId="732" priority="1861">
      <formula>AND($J316="x",BK316&gt;0)</formula>
    </cfRule>
  </conditionalFormatting>
  <conditionalFormatting sqref="BK338:BK349">
    <cfRule type="expression" dxfId="731" priority="1818">
      <formula>AND($J338="x",BK338&gt;0)</formula>
    </cfRule>
  </conditionalFormatting>
  <conditionalFormatting sqref="BK360:BK371">
    <cfRule type="expression" dxfId="730" priority="1775">
      <formula>AND($J360="x",BK360&gt;0)</formula>
    </cfRule>
  </conditionalFormatting>
  <conditionalFormatting sqref="BK382:BK393">
    <cfRule type="expression" dxfId="729" priority="1732">
      <formula>AND($J382="x",BK382&gt;0)</formula>
    </cfRule>
  </conditionalFormatting>
  <conditionalFormatting sqref="BK404:BK415">
    <cfRule type="expression" dxfId="728" priority="1689">
      <formula>AND($J404="x",BK404&gt;0)</formula>
    </cfRule>
  </conditionalFormatting>
  <conditionalFormatting sqref="BK426:BK437">
    <cfRule type="expression" dxfId="727" priority="1646">
      <formula>AND($J426="x",BK426&gt;0)</formula>
    </cfRule>
  </conditionalFormatting>
  <conditionalFormatting sqref="BK448:BK459">
    <cfRule type="expression" dxfId="726" priority="1603">
      <formula>AND($J448="x",BK448&gt;0)</formula>
    </cfRule>
  </conditionalFormatting>
  <conditionalFormatting sqref="BK470:BK481">
    <cfRule type="expression" dxfId="725" priority="1560">
      <formula>AND($J470="x",BK470&gt;0)</formula>
    </cfRule>
  </conditionalFormatting>
  <conditionalFormatting sqref="BK492:BK503">
    <cfRule type="expression" dxfId="724" priority="1517">
      <formula>AND($J492="x",BK492&gt;0)</formula>
    </cfRule>
  </conditionalFormatting>
  <conditionalFormatting sqref="BK514:BK525">
    <cfRule type="expression" dxfId="723" priority="1474">
      <formula>AND($J514="x",BK514&gt;0)</formula>
    </cfRule>
  </conditionalFormatting>
  <conditionalFormatting sqref="BK536:BK547">
    <cfRule type="expression" dxfId="722" priority="1431">
      <formula>AND($J536="x",BK536&gt;0)</formula>
    </cfRule>
  </conditionalFormatting>
  <conditionalFormatting sqref="BK558:BK569">
    <cfRule type="expression" dxfId="721" priority="1388">
      <formula>AND($J558="x",BK558&gt;0)</formula>
    </cfRule>
  </conditionalFormatting>
  <conditionalFormatting sqref="BK580:BK591">
    <cfRule type="expression" dxfId="720" priority="1345">
      <formula>AND($J580="x",BK580&gt;0)</formula>
    </cfRule>
  </conditionalFormatting>
  <conditionalFormatting sqref="BK602:BK613">
    <cfRule type="expression" dxfId="719" priority="1302">
      <formula>AND($J602="x",BK602&gt;0)</formula>
    </cfRule>
  </conditionalFormatting>
  <conditionalFormatting sqref="BK624:BK635">
    <cfRule type="expression" dxfId="718" priority="1259">
      <formula>AND($J624="x",BK624&gt;0)</formula>
    </cfRule>
  </conditionalFormatting>
  <conditionalFormatting sqref="BK646:BK657">
    <cfRule type="expression" dxfId="717" priority="1216">
      <formula>AND($J646="x",BK646&gt;0)</formula>
    </cfRule>
  </conditionalFormatting>
  <conditionalFormatting sqref="BK668:BK679">
    <cfRule type="expression" dxfId="716" priority="1173">
      <formula>AND($J668="x",BK668&gt;0)</formula>
    </cfRule>
  </conditionalFormatting>
  <conditionalFormatting sqref="BK690:BK701">
    <cfRule type="expression" dxfId="715" priority="1130">
      <formula>AND($J690="x",BK690&gt;0)</formula>
    </cfRule>
  </conditionalFormatting>
  <conditionalFormatting sqref="BK712:BK723">
    <cfRule type="expression" dxfId="714" priority="1087">
      <formula>AND($J712="x",BK712&gt;0)</formula>
    </cfRule>
  </conditionalFormatting>
  <conditionalFormatting sqref="BK734:BK745">
    <cfRule type="expression" dxfId="713" priority="1044">
      <formula>AND($J734="x",BK734&gt;0)</formula>
    </cfRule>
  </conditionalFormatting>
  <conditionalFormatting sqref="BK756:BK767">
    <cfRule type="expression" dxfId="712" priority="1001">
      <formula>AND($J756="x",BK756&gt;0)</formula>
    </cfRule>
  </conditionalFormatting>
  <conditionalFormatting sqref="BK778:BK789">
    <cfRule type="expression" dxfId="711" priority="958">
      <formula>AND($J778="x",BK778&gt;0)</formula>
    </cfRule>
  </conditionalFormatting>
  <conditionalFormatting sqref="BK800:BK811">
    <cfRule type="expression" dxfId="710" priority="915">
      <formula>AND($J800="x",BK800&gt;0)</formula>
    </cfRule>
  </conditionalFormatting>
  <conditionalFormatting sqref="BK822:BK833">
    <cfRule type="expression" dxfId="709" priority="872">
      <formula>AND($J822="x",BK822&gt;0)</formula>
    </cfRule>
  </conditionalFormatting>
  <conditionalFormatting sqref="BK844:BK855">
    <cfRule type="expression" dxfId="708" priority="829">
      <formula>AND($J844="x",BK844&gt;0)</formula>
    </cfRule>
  </conditionalFormatting>
  <conditionalFormatting sqref="BK866:BK877">
    <cfRule type="expression" dxfId="707" priority="786">
      <formula>AND($J866="x",BK866&gt;0)</formula>
    </cfRule>
  </conditionalFormatting>
  <conditionalFormatting sqref="BK888:BK899">
    <cfRule type="expression" dxfId="706" priority="743">
      <formula>AND($J888="x",BK888&gt;0)</formula>
    </cfRule>
  </conditionalFormatting>
  <conditionalFormatting sqref="BL6">
    <cfRule type="expression" dxfId="705" priority="4894">
      <formula>BL6&gt;0</formula>
    </cfRule>
  </conditionalFormatting>
  <conditionalFormatting sqref="BL8:BL19">
    <cfRule type="expression" dxfId="704" priority="4862">
      <formula>OR(BL8&gt;80,BL8&lt;10)</formula>
    </cfRule>
    <cfRule type="expression" dxfId="703" priority="4863">
      <formula>AND($K8="x",BL8&gt;0)</formula>
    </cfRule>
  </conditionalFormatting>
  <conditionalFormatting sqref="BL28">
    <cfRule type="expression" dxfId="702" priority="384">
      <formula>BL28&gt;0</formula>
    </cfRule>
  </conditionalFormatting>
  <conditionalFormatting sqref="BL30:BL41">
    <cfRule type="expression" dxfId="701" priority="4080">
      <formula>AND($K30="x",BL30&gt;0)</formula>
    </cfRule>
    <cfRule type="expression" dxfId="700" priority="4079">
      <formula>OR(BL30&gt;80,BL30&lt;10)</formula>
    </cfRule>
  </conditionalFormatting>
  <conditionalFormatting sqref="BL50">
    <cfRule type="expression" dxfId="699" priority="376">
      <formula>BL50&gt;0</formula>
    </cfRule>
  </conditionalFormatting>
  <conditionalFormatting sqref="BL52:BL63">
    <cfRule type="expression" dxfId="698" priority="267">
      <formula>OR(BL52&gt;80,BL52&lt;10)</formula>
    </cfRule>
    <cfRule type="expression" dxfId="697" priority="268">
      <formula>AND($K52="x",BL52&gt;0)</formula>
    </cfRule>
  </conditionalFormatting>
  <conditionalFormatting sqref="BL72">
    <cfRule type="expression" dxfId="696" priority="368">
      <formula>BL72&gt;0</formula>
    </cfRule>
  </conditionalFormatting>
  <conditionalFormatting sqref="BL74:BL85">
    <cfRule type="expression" dxfId="695" priority="2316">
      <formula>OR(BL74&gt;80,BL74&lt;10)</formula>
    </cfRule>
    <cfRule type="expression" dxfId="694" priority="2317">
      <formula>AND($K74="x",BL74&gt;0)</formula>
    </cfRule>
  </conditionalFormatting>
  <conditionalFormatting sqref="BL94">
    <cfRule type="expression" dxfId="693" priority="360">
      <formula>BL94&gt;0</formula>
    </cfRule>
  </conditionalFormatting>
  <conditionalFormatting sqref="BL96:BL107">
    <cfRule type="expression" dxfId="692" priority="2273">
      <formula>OR(BL96&gt;80,BL96&lt;10)</formula>
    </cfRule>
    <cfRule type="expression" dxfId="691" priority="2274">
      <formula>AND($K96="x",BL96&gt;0)</formula>
    </cfRule>
  </conditionalFormatting>
  <conditionalFormatting sqref="BL116">
    <cfRule type="expression" dxfId="690" priority="352">
      <formula>BL116&gt;0</formula>
    </cfRule>
  </conditionalFormatting>
  <conditionalFormatting sqref="BL118:BL129">
    <cfRule type="expression" dxfId="689" priority="2231">
      <formula>AND($K118="x",BL118&gt;0)</formula>
    </cfRule>
    <cfRule type="expression" dxfId="688" priority="2230">
      <formula>OR(BL118&gt;80,BL118&lt;10)</formula>
    </cfRule>
  </conditionalFormatting>
  <conditionalFormatting sqref="BL138">
    <cfRule type="expression" dxfId="687" priority="344">
      <formula>BL138&gt;0</formula>
    </cfRule>
  </conditionalFormatting>
  <conditionalFormatting sqref="BL140:BL151">
    <cfRule type="expression" dxfId="686" priority="2187">
      <formula>OR(BL140&gt;80,BL140&lt;10)</formula>
    </cfRule>
    <cfRule type="expression" dxfId="685" priority="2188">
      <formula>AND($K140="x",BL140&gt;0)</formula>
    </cfRule>
  </conditionalFormatting>
  <conditionalFormatting sqref="BL160">
    <cfRule type="expression" dxfId="684" priority="336">
      <formula>BL160&gt;0</formula>
    </cfRule>
  </conditionalFormatting>
  <conditionalFormatting sqref="BL162:BL173">
    <cfRule type="expression" dxfId="683" priority="2145">
      <formula>AND($K162="x",BL162&gt;0)</formula>
    </cfRule>
    <cfRule type="expression" dxfId="682" priority="2144">
      <formula>OR(BL162&gt;80,BL162&lt;10)</formula>
    </cfRule>
  </conditionalFormatting>
  <conditionalFormatting sqref="BL182">
    <cfRule type="expression" dxfId="681" priority="328">
      <formula>BL182&gt;0</formula>
    </cfRule>
  </conditionalFormatting>
  <conditionalFormatting sqref="BL184:BL195">
    <cfRule type="expression" dxfId="680" priority="2102">
      <formula>AND($K184="x",BL184&gt;0)</formula>
    </cfRule>
    <cfRule type="expression" dxfId="679" priority="2101">
      <formula>OR(BL184&gt;80,BL184&lt;10)</formula>
    </cfRule>
  </conditionalFormatting>
  <conditionalFormatting sqref="BL204">
    <cfRule type="expression" dxfId="678" priority="320">
      <formula>BL204&gt;0</formula>
    </cfRule>
  </conditionalFormatting>
  <conditionalFormatting sqref="BL206:BL217">
    <cfRule type="expression" dxfId="677" priority="2058">
      <formula>OR(BL206&gt;80,BL206&lt;10)</formula>
    </cfRule>
    <cfRule type="expression" dxfId="676" priority="2059">
      <formula>AND($K206="x",BL206&gt;0)</formula>
    </cfRule>
  </conditionalFormatting>
  <conditionalFormatting sqref="BL226">
    <cfRule type="expression" dxfId="675" priority="312">
      <formula>BL226&gt;0</formula>
    </cfRule>
  </conditionalFormatting>
  <conditionalFormatting sqref="BL228:BL239">
    <cfRule type="expression" dxfId="674" priority="2015">
      <formula>OR(BL228&gt;80,BL228&lt;10)</formula>
    </cfRule>
    <cfRule type="expression" dxfId="673" priority="2016">
      <formula>AND($K228="x",BL228&gt;0)</formula>
    </cfRule>
  </conditionalFormatting>
  <conditionalFormatting sqref="BL248">
    <cfRule type="expression" dxfId="672" priority="304">
      <formula>BL248&gt;0</formula>
    </cfRule>
  </conditionalFormatting>
  <conditionalFormatting sqref="BL250:BL261">
    <cfRule type="expression" dxfId="671" priority="1973">
      <formula>AND($K250="x",BL250&gt;0)</formula>
    </cfRule>
    <cfRule type="expression" dxfId="670" priority="1972">
      <formula>OR(BL250&gt;80,BL250&lt;10)</formula>
    </cfRule>
  </conditionalFormatting>
  <conditionalFormatting sqref="BL270">
    <cfRule type="expression" dxfId="669" priority="616">
      <formula>BL270&gt;0</formula>
    </cfRule>
  </conditionalFormatting>
  <conditionalFormatting sqref="BL272:BL283">
    <cfRule type="expression" dxfId="668" priority="1930">
      <formula>AND($K272="x",BL272&gt;0)</formula>
    </cfRule>
    <cfRule type="expression" dxfId="667" priority="1929">
      <formula>OR(BL272&gt;80,BL272&lt;10)</formula>
    </cfRule>
  </conditionalFormatting>
  <conditionalFormatting sqref="BL292">
    <cfRule type="expression" dxfId="666" priority="608">
      <formula>BL292&gt;0</formula>
    </cfRule>
  </conditionalFormatting>
  <conditionalFormatting sqref="BL294:BL305">
    <cfRule type="expression" dxfId="665" priority="1887">
      <formula>AND($K294="x",BL294&gt;0)</formula>
    </cfRule>
    <cfRule type="expression" dxfId="664" priority="1886">
      <formula>OR(BL294&gt;80,BL294&lt;10)</formula>
    </cfRule>
  </conditionalFormatting>
  <conditionalFormatting sqref="BL314">
    <cfRule type="expression" dxfId="663" priority="600">
      <formula>BL314&gt;0</formula>
    </cfRule>
  </conditionalFormatting>
  <conditionalFormatting sqref="BL316:BL327">
    <cfRule type="expression" dxfId="662" priority="1843">
      <formula>OR(BL316&gt;80,BL316&lt;10)</formula>
    </cfRule>
    <cfRule type="expression" dxfId="661" priority="1844">
      <formula>AND($K316="x",BL316&gt;0)</formula>
    </cfRule>
  </conditionalFormatting>
  <conditionalFormatting sqref="BL336">
    <cfRule type="expression" dxfId="660" priority="592">
      <formula>BL336&gt;0</formula>
    </cfRule>
  </conditionalFormatting>
  <conditionalFormatting sqref="BL338:BL349">
    <cfRule type="expression" dxfId="659" priority="1801">
      <formula>AND($K338="x",BL338&gt;0)</formula>
    </cfRule>
    <cfRule type="expression" dxfId="658" priority="1800">
      <formula>OR(BL338&gt;80,BL338&lt;10)</formula>
    </cfRule>
  </conditionalFormatting>
  <conditionalFormatting sqref="BL358">
    <cfRule type="expression" dxfId="657" priority="584">
      <formula>BL358&gt;0</formula>
    </cfRule>
  </conditionalFormatting>
  <conditionalFormatting sqref="BL360:BL371">
    <cfRule type="expression" dxfId="656" priority="1758">
      <formula>AND($K360="x",BL360&gt;0)</formula>
    </cfRule>
    <cfRule type="expression" dxfId="655" priority="1757">
      <formula>OR(BL360&gt;80,BL360&lt;10)</formula>
    </cfRule>
  </conditionalFormatting>
  <conditionalFormatting sqref="BL380">
    <cfRule type="expression" dxfId="654" priority="576">
      <formula>BL380&gt;0</formula>
    </cfRule>
  </conditionalFormatting>
  <conditionalFormatting sqref="BL382:BL393">
    <cfRule type="expression" dxfId="653" priority="1714">
      <formula>OR(BL382&gt;80,BL382&lt;10)</formula>
    </cfRule>
    <cfRule type="expression" dxfId="652" priority="1715">
      <formula>AND($K382="x",BL382&gt;0)</formula>
    </cfRule>
  </conditionalFormatting>
  <conditionalFormatting sqref="BL402">
    <cfRule type="expression" dxfId="651" priority="568">
      <formula>BL402&gt;0</formula>
    </cfRule>
  </conditionalFormatting>
  <conditionalFormatting sqref="BL404:BL415">
    <cfRule type="expression" dxfId="650" priority="1672">
      <formula>AND($K404="x",BL404&gt;0)</formula>
    </cfRule>
    <cfRule type="expression" dxfId="649" priority="1671">
      <formula>OR(BL404&gt;80,BL404&lt;10)</formula>
    </cfRule>
  </conditionalFormatting>
  <conditionalFormatting sqref="BL424">
    <cfRule type="expression" dxfId="648" priority="560">
      <formula>BL424&gt;0</formula>
    </cfRule>
  </conditionalFormatting>
  <conditionalFormatting sqref="BL426:BL437">
    <cfRule type="expression" dxfId="647" priority="1628">
      <formula>OR(BL426&gt;80,BL426&lt;10)</formula>
    </cfRule>
    <cfRule type="expression" dxfId="646" priority="1629">
      <formula>AND($K426="x",BL426&gt;0)</formula>
    </cfRule>
  </conditionalFormatting>
  <conditionalFormatting sqref="BL446">
    <cfRule type="expression" dxfId="645" priority="552">
      <formula>BL446&gt;0</formula>
    </cfRule>
  </conditionalFormatting>
  <conditionalFormatting sqref="BL448:BL459">
    <cfRule type="expression" dxfId="644" priority="1586">
      <formula>AND($K448="x",BL448&gt;0)</formula>
    </cfRule>
    <cfRule type="expression" dxfId="643" priority="1585">
      <formula>OR(BL448&gt;80,BL448&lt;10)</formula>
    </cfRule>
  </conditionalFormatting>
  <conditionalFormatting sqref="BL468">
    <cfRule type="expression" dxfId="642" priority="544">
      <formula>BL468&gt;0</formula>
    </cfRule>
  </conditionalFormatting>
  <conditionalFormatting sqref="BL470:BL481">
    <cfRule type="expression" dxfId="641" priority="1543">
      <formula>AND($K470="x",BL470&gt;0)</formula>
    </cfRule>
    <cfRule type="expression" dxfId="640" priority="1542">
      <formula>OR(BL470&gt;80,BL470&lt;10)</formula>
    </cfRule>
  </conditionalFormatting>
  <conditionalFormatting sqref="BL490">
    <cfRule type="expression" dxfId="639" priority="536">
      <formula>BL490&gt;0</formula>
    </cfRule>
  </conditionalFormatting>
  <conditionalFormatting sqref="BL492:BL503">
    <cfRule type="expression" dxfId="638" priority="1499">
      <formula>OR(BL492&gt;80,BL492&lt;10)</formula>
    </cfRule>
    <cfRule type="expression" dxfId="637" priority="1500">
      <formula>AND($K492="x",BL492&gt;0)</formula>
    </cfRule>
  </conditionalFormatting>
  <conditionalFormatting sqref="BL512">
    <cfRule type="expression" dxfId="636" priority="528">
      <formula>BL512&gt;0</formula>
    </cfRule>
  </conditionalFormatting>
  <conditionalFormatting sqref="BL514:BL525">
    <cfRule type="expression" dxfId="635" priority="1456">
      <formula>OR(BL514&gt;80,BL514&lt;10)</formula>
    </cfRule>
    <cfRule type="expression" dxfId="634" priority="1457">
      <formula>AND($K514="x",BL514&gt;0)</formula>
    </cfRule>
  </conditionalFormatting>
  <conditionalFormatting sqref="BL534">
    <cfRule type="expression" dxfId="633" priority="520">
      <formula>BL534&gt;0</formula>
    </cfRule>
  </conditionalFormatting>
  <conditionalFormatting sqref="BL536:BL547">
    <cfRule type="expression" dxfId="632" priority="1414">
      <formula>AND($K536="x",BL536&gt;0)</formula>
    </cfRule>
    <cfRule type="expression" dxfId="631" priority="1413">
      <formula>OR(BL536&gt;80,BL536&lt;10)</formula>
    </cfRule>
  </conditionalFormatting>
  <conditionalFormatting sqref="BL556">
    <cfRule type="expression" dxfId="630" priority="512">
      <formula>BL556&gt;0</formula>
    </cfRule>
  </conditionalFormatting>
  <conditionalFormatting sqref="BL558:BL569">
    <cfRule type="expression" dxfId="629" priority="1370">
      <formula>OR(BL558&gt;80,BL558&lt;10)</formula>
    </cfRule>
    <cfRule type="expression" dxfId="628" priority="1371">
      <formula>AND($K558="x",BL558&gt;0)</formula>
    </cfRule>
  </conditionalFormatting>
  <conditionalFormatting sqref="BL578">
    <cfRule type="expression" dxfId="627" priority="504">
      <formula>BL578&gt;0</formula>
    </cfRule>
  </conditionalFormatting>
  <conditionalFormatting sqref="BL580:BL591">
    <cfRule type="expression" dxfId="626" priority="1328">
      <formula>AND($K580="x",BL580&gt;0)</formula>
    </cfRule>
    <cfRule type="expression" dxfId="625" priority="1327">
      <formula>OR(BL580&gt;80,BL580&lt;10)</formula>
    </cfRule>
  </conditionalFormatting>
  <conditionalFormatting sqref="BL600">
    <cfRule type="expression" dxfId="624" priority="496">
      <formula>BL600&gt;0</formula>
    </cfRule>
  </conditionalFormatting>
  <conditionalFormatting sqref="BL602:BL613">
    <cfRule type="expression" dxfId="623" priority="1285">
      <formula>AND($K602="x",BL602&gt;0)</formula>
    </cfRule>
    <cfRule type="expression" dxfId="622" priority="1284">
      <formula>OR(BL602&gt;80,BL602&lt;10)</formula>
    </cfRule>
  </conditionalFormatting>
  <conditionalFormatting sqref="BL622">
    <cfRule type="expression" dxfId="621" priority="488">
      <formula>BL622&gt;0</formula>
    </cfRule>
  </conditionalFormatting>
  <conditionalFormatting sqref="BL624:BL635">
    <cfRule type="expression" dxfId="620" priority="1241">
      <formula>OR(BL624&gt;80,BL624&lt;10)</formula>
    </cfRule>
    <cfRule type="expression" dxfId="619" priority="1242">
      <formula>AND($K624="x",BL624&gt;0)</formula>
    </cfRule>
  </conditionalFormatting>
  <conditionalFormatting sqref="BL644">
    <cfRule type="expression" dxfId="618" priority="480">
      <formula>BL644&gt;0</formula>
    </cfRule>
  </conditionalFormatting>
  <conditionalFormatting sqref="BL646:BL657">
    <cfRule type="expression" dxfId="617" priority="1198">
      <formula>OR(BL646&gt;80,BL646&lt;10)</formula>
    </cfRule>
    <cfRule type="expression" dxfId="616" priority="1199">
      <formula>AND($K646="x",BL646&gt;0)</formula>
    </cfRule>
  </conditionalFormatting>
  <conditionalFormatting sqref="BL666">
    <cfRule type="expression" dxfId="615" priority="472">
      <formula>BL666&gt;0</formula>
    </cfRule>
  </conditionalFormatting>
  <conditionalFormatting sqref="BL668:BL679">
    <cfRule type="expression" dxfId="614" priority="1155">
      <formula>OR(BL668&gt;80,BL668&lt;10)</formula>
    </cfRule>
    <cfRule type="expression" dxfId="613" priority="1156">
      <formula>AND($K668="x",BL668&gt;0)</formula>
    </cfRule>
  </conditionalFormatting>
  <conditionalFormatting sqref="BL688">
    <cfRule type="expression" dxfId="612" priority="464">
      <formula>BL688&gt;0</formula>
    </cfRule>
  </conditionalFormatting>
  <conditionalFormatting sqref="BL690:BL701">
    <cfRule type="expression" dxfId="611" priority="1112">
      <formula>OR(BL690&gt;80,BL690&lt;10)</formula>
    </cfRule>
    <cfRule type="expression" dxfId="610" priority="1113">
      <formula>AND($K690="x",BL690&gt;0)</formula>
    </cfRule>
  </conditionalFormatting>
  <conditionalFormatting sqref="BL710">
    <cfRule type="expression" dxfId="609" priority="456">
      <formula>BL710&gt;0</formula>
    </cfRule>
  </conditionalFormatting>
  <conditionalFormatting sqref="BL712:BL723">
    <cfRule type="expression" dxfId="608" priority="1069">
      <formula>OR(BL712&gt;80,BL712&lt;10)</formula>
    </cfRule>
    <cfRule type="expression" dxfId="607" priority="1070">
      <formula>AND($K712="x",BL712&gt;0)</formula>
    </cfRule>
  </conditionalFormatting>
  <conditionalFormatting sqref="BL732">
    <cfRule type="expression" dxfId="606" priority="448">
      <formula>BL732&gt;0</formula>
    </cfRule>
  </conditionalFormatting>
  <conditionalFormatting sqref="BL734:BL745">
    <cfRule type="expression" dxfId="605" priority="1026">
      <formula>OR(BL734&gt;80,BL734&lt;10)</formula>
    </cfRule>
    <cfRule type="expression" dxfId="604" priority="1027">
      <formula>AND($K734="x",BL734&gt;0)</formula>
    </cfRule>
  </conditionalFormatting>
  <conditionalFormatting sqref="BL754">
    <cfRule type="expression" dxfId="603" priority="440">
      <formula>BL754&gt;0</formula>
    </cfRule>
  </conditionalFormatting>
  <conditionalFormatting sqref="BL756:BL767">
    <cfRule type="expression" dxfId="602" priority="983">
      <formula>OR(BL756&gt;80,BL756&lt;10)</formula>
    </cfRule>
    <cfRule type="expression" dxfId="601" priority="984">
      <formula>AND($K756="x",BL756&gt;0)</formula>
    </cfRule>
  </conditionalFormatting>
  <conditionalFormatting sqref="BL776">
    <cfRule type="expression" dxfId="600" priority="432">
      <formula>BL776&gt;0</formula>
    </cfRule>
  </conditionalFormatting>
  <conditionalFormatting sqref="BL778:BL789">
    <cfRule type="expression" dxfId="599" priority="940">
      <formula>OR(BL778&gt;80,BL778&lt;10)</formula>
    </cfRule>
    <cfRule type="expression" dxfId="598" priority="941">
      <formula>AND($K778="x",BL778&gt;0)</formula>
    </cfRule>
  </conditionalFormatting>
  <conditionalFormatting sqref="BL798">
    <cfRule type="expression" dxfId="597" priority="424">
      <formula>BL798&gt;0</formula>
    </cfRule>
  </conditionalFormatting>
  <conditionalFormatting sqref="BL800:BL811">
    <cfRule type="expression" dxfId="596" priority="897">
      <formula>OR(BL800&gt;80,BL800&lt;10)</formula>
    </cfRule>
    <cfRule type="expression" dxfId="595" priority="898">
      <formula>AND($K800="x",BL800&gt;0)</formula>
    </cfRule>
  </conditionalFormatting>
  <conditionalFormatting sqref="BL820">
    <cfRule type="expression" dxfId="594" priority="416">
      <formula>BL820&gt;0</formula>
    </cfRule>
  </conditionalFormatting>
  <conditionalFormatting sqref="BL822:BL833">
    <cfRule type="expression" dxfId="593" priority="854">
      <formula>OR(BL822&gt;80,BL822&lt;10)</formula>
    </cfRule>
    <cfRule type="expression" dxfId="592" priority="855">
      <formula>AND($K822="x",BL822&gt;0)</formula>
    </cfRule>
  </conditionalFormatting>
  <conditionalFormatting sqref="BL842">
    <cfRule type="expression" dxfId="591" priority="408">
      <formula>BL842&gt;0</formula>
    </cfRule>
  </conditionalFormatting>
  <conditionalFormatting sqref="BL844:BL855">
    <cfRule type="expression" dxfId="590" priority="811">
      <formula>OR(BL844&gt;80,BL844&lt;10)</formula>
    </cfRule>
    <cfRule type="expression" dxfId="589" priority="812">
      <formula>AND($K844="x",BL844&gt;0)</formula>
    </cfRule>
  </conditionalFormatting>
  <conditionalFormatting sqref="BL864">
    <cfRule type="expression" dxfId="588" priority="400">
      <formula>BL864&gt;0</formula>
    </cfRule>
  </conditionalFormatting>
  <conditionalFormatting sqref="BL866:BL877">
    <cfRule type="expression" dxfId="587" priority="768">
      <formula>OR(BL866&gt;80,BL866&lt;10)</formula>
    </cfRule>
    <cfRule type="expression" dxfId="586" priority="769">
      <formula>AND($K866="x",BL866&gt;0)</formula>
    </cfRule>
  </conditionalFormatting>
  <conditionalFormatting sqref="BL886">
    <cfRule type="expression" dxfId="585" priority="392">
      <formula>BL886&gt;0</formula>
    </cfRule>
  </conditionalFormatting>
  <conditionalFormatting sqref="BL888:BL899">
    <cfRule type="expression" dxfId="584" priority="726">
      <formula>AND($K888="x",BL888&gt;0)</formula>
    </cfRule>
    <cfRule type="expression" dxfId="583" priority="725">
      <formula>OR(BL888&gt;80,BL888&lt;10)</formula>
    </cfRule>
  </conditionalFormatting>
  <conditionalFormatting sqref="BS8:BS19">
    <cfRule type="expression" dxfId="582" priority="4879">
      <formula>AND($I8="x",BS8&gt;0)</formula>
    </cfRule>
  </conditionalFormatting>
  <conditionalFormatting sqref="BS30:BS41">
    <cfRule type="expression" dxfId="581" priority="4096">
      <formula>AND($I30="x",BS30&gt;0)</formula>
    </cfRule>
  </conditionalFormatting>
  <conditionalFormatting sqref="BS52:BS63">
    <cfRule type="expression" dxfId="580" priority="282">
      <formula>AND($I52="x",BS52&gt;0)</formula>
    </cfRule>
  </conditionalFormatting>
  <conditionalFormatting sqref="BS74:BS85">
    <cfRule type="expression" dxfId="579" priority="2333">
      <formula>AND($I74="x",BS74&gt;0)</formula>
    </cfRule>
  </conditionalFormatting>
  <conditionalFormatting sqref="BS96:BS107">
    <cfRule type="expression" dxfId="578" priority="2290">
      <formula>AND($I96="x",BS96&gt;0)</formula>
    </cfRule>
  </conditionalFormatting>
  <conditionalFormatting sqref="BS118:BS129">
    <cfRule type="expression" dxfId="577" priority="2247">
      <formula>AND($I118="x",BS118&gt;0)</formula>
    </cfRule>
  </conditionalFormatting>
  <conditionalFormatting sqref="BS140:BS151">
    <cfRule type="expression" dxfId="576" priority="2204">
      <formula>AND($I140="x",BS140&gt;0)</formula>
    </cfRule>
  </conditionalFormatting>
  <conditionalFormatting sqref="BS162:BS173">
    <cfRule type="expression" dxfId="575" priority="2161">
      <formula>AND($I162="x",BS162&gt;0)</formula>
    </cfRule>
  </conditionalFormatting>
  <conditionalFormatting sqref="BS184:BS195">
    <cfRule type="expression" dxfId="574" priority="2118">
      <formula>AND($I184="x",BS184&gt;0)</formula>
    </cfRule>
  </conditionalFormatting>
  <conditionalFormatting sqref="BS206:BS217">
    <cfRule type="expression" dxfId="573" priority="2075">
      <formula>AND($I206="x",BS206&gt;0)</formula>
    </cfRule>
  </conditionalFormatting>
  <conditionalFormatting sqref="BS228:BS239">
    <cfRule type="expression" dxfId="572" priority="2032">
      <formula>AND($I228="x",BS228&gt;0)</formula>
    </cfRule>
  </conditionalFormatting>
  <conditionalFormatting sqref="BS250:BS261">
    <cfRule type="expression" dxfId="571" priority="1989">
      <formula>AND($I250="x",BS250&gt;0)</formula>
    </cfRule>
  </conditionalFormatting>
  <conditionalFormatting sqref="BS272:BS283">
    <cfRule type="expression" dxfId="570" priority="1946">
      <formula>AND($I272="x",BS272&gt;0)</formula>
    </cfRule>
  </conditionalFormatting>
  <conditionalFormatting sqref="BS294:BS305">
    <cfRule type="expression" dxfId="569" priority="1903">
      <formula>AND($I294="x",BS294&gt;0)</formula>
    </cfRule>
  </conditionalFormatting>
  <conditionalFormatting sqref="BS316:BS327">
    <cfRule type="expression" dxfId="568" priority="1860">
      <formula>AND($I316="x",BS316&gt;0)</formula>
    </cfRule>
  </conditionalFormatting>
  <conditionalFormatting sqref="BS338:BS349">
    <cfRule type="expression" dxfId="567" priority="1817">
      <formula>AND($I338="x",BS338&gt;0)</formula>
    </cfRule>
  </conditionalFormatting>
  <conditionalFormatting sqref="BS360:BS371">
    <cfRule type="expression" dxfId="566" priority="1774">
      <formula>AND($I360="x",BS360&gt;0)</formula>
    </cfRule>
  </conditionalFormatting>
  <conditionalFormatting sqref="BS382:BS393">
    <cfRule type="expression" dxfId="565" priority="1731">
      <formula>AND($I382="x",BS382&gt;0)</formula>
    </cfRule>
  </conditionalFormatting>
  <conditionalFormatting sqref="BS404:BS415">
    <cfRule type="expression" dxfId="564" priority="1688">
      <formula>AND($I404="x",BS404&gt;0)</formula>
    </cfRule>
  </conditionalFormatting>
  <conditionalFormatting sqref="BS426:BS437">
    <cfRule type="expression" dxfId="563" priority="1645">
      <formula>AND($I426="x",BS426&gt;0)</formula>
    </cfRule>
  </conditionalFormatting>
  <conditionalFormatting sqref="BS448:BS459">
    <cfRule type="expression" dxfId="562" priority="1602">
      <formula>AND($I448="x",BS448&gt;0)</formula>
    </cfRule>
  </conditionalFormatting>
  <conditionalFormatting sqref="BS470:BS481">
    <cfRule type="expression" dxfId="561" priority="1559">
      <formula>AND($I470="x",BS470&gt;0)</formula>
    </cfRule>
  </conditionalFormatting>
  <conditionalFormatting sqref="BS492:BS503">
    <cfRule type="expression" dxfId="560" priority="1516">
      <formula>AND($I492="x",BS492&gt;0)</formula>
    </cfRule>
  </conditionalFormatting>
  <conditionalFormatting sqref="BS514:BS525">
    <cfRule type="expression" dxfId="559" priority="1473">
      <formula>AND($I514="x",BS514&gt;0)</formula>
    </cfRule>
  </conditionalFormatting>
  <conditionalFormatting sqref="BS536:BS547">
    <cfRule type="expression" dxfId="558" priority="1430">
      <formula>AND($I536="x",BS536&gt;0)</formula>
    </cfRule>
  </conditionalFormatting>
  <conditionalFormatting sqref="BS558:BS569">
    <cfRule type="expression" dxfId="557" priority="1387">
      <formula>AND($I558="x",BS558&gt;0)</formula>
    </cfRule>
  </conditionalFormatting>
  <conditionalFormatting sqref="BS580:BS591">
    <cfRule type="expression" dxfId="556" priority="1344">
      <formula>AND($I580="x",BS580&gt;0)</formula>
    </cfRule>
  </conditionalFormatting>
  <conditionalFormatting sqref="BS602:BS613">
    <cfRule type="expression" dxfId="555" priority="1301">
      <formula>AND($I602="x",BS602&gt;0)</formula>
    </cfRule>
  </conditionalFormatting>
  <conditionalFormatting sqref="BS624:BS635">
    <cfRule type="expression" dxfId="554" priority="1258">
      <formula>AND($I624="x",BS624&gt;0)</formula>
    </cfRule>
  </conditionalFormatting>
  <conditionalFormatting sqref="BS646:BS657">
    <cfRule type="expression" dxfId="553" priority="1215">
      <formula>AND($I646="x",BS646&gt;0)</formula>
    </cfRule>
  </conditionalFormatting>
  <conditionalFormatting sqref="BS668:BS679">
    <cfRule type="expression" dxfId="552" priority="1172">
      <formula>AND($I668="x",BS668&gt;0)</formula>
    </cfRule>
  </conditionalFormatting>
  <conditionalFormatting sqref="BS690:BS701">
    <cfRule type="expression" dxfId="551" priority="1129">
      <formula>AND($I690="x",BS690&gt;0)</formula>
    </cfRule>
  </conditionalFormatting>
  <conditionalFormatting sqref="BS712:BS723">
    <cfRule type="expression" dxfId="550" priority="1086">
      <formula>AND($I712="x",BS712&gt;0)</formula>
    </cfRule>
  </conditionalFormatting>
  <conditionalFormatting sqref="BS734:BS745">
    <cfRule type="expression" dxfId="549" priority="1043">
      <formula>AND($I734="x",BS734&gt;0)</formula>
    </cfRule>
  </conditionalFormatting>
  <conditionalFormatting sqref="BS756:BS767">
    <cfRule type="expression" dxfId="548" priority="1000">
      <formula>AND($I756="x",BS756&gt;0)</formula>
    </cfRule>
  </conditionalFormatting>
  <conditionalFormatting sqref="BS778:BS789">
    <cfRule type="expression" dxfId="547" priority="957">
      <formula>AND($I778="x",BS778&gt;0)</formula>
    </cfRule>
  </conditionalFormatting>
  <conditionalFormatting sqref="BS800:BS811">
    <cfRule type="expression" dxfId="546" priority="914">
      <formula>AND($I800="x",BS800&gt;0)</formula>
    </cfRule>
  </conditionalFormatting>
  <conditionalFormatting sqref="BS822:BS833">
    <cfRule type="expression" dxfId="545" priority="871">
      <formula>AND($I822="x",BS822&gt;0)</formula>
    </cfRule>
  </conditionalFormatting>
  <conditionalFormatting sqref="BS844:BS855">
    <cfRule type="expression" dxfId="544" priority="828">
      <formula>AND($I844="x",BS844&gt;0)</formula>
    </cfRule>
  </conditionalFormatting>
  <conditionalFormatting sqref="BS866:BS877">
    <cfRule type="expression" dxfId="543" priority="785">
      <formula>AND($I866="x",BS866&gt;0)</formula>
    </cfRule>
  </conditionalFormatting>
  <conditionalFormatting sqref="BS888:BS899">
    <cfRule type="expression" dxfId="542" priority="742">
      <formula>AND($I888="x",BS888&gt;0)</formula>
    </cfRule>
  </conditionalFormatting>
  <conditionalFormatting sqref="BT8:BT19">
    <cfRule type="expression" dxfId="541" priority="4878">
      <formula>AND($J8="x",BT8&gt;0)</formula>
    </cfRule>
  </conditionalFormatting>
  <conditionalFormatting sqref="BT30:BT41">
    <cfRule type="expression" dxfId="540" priority="4095">
      <formula>AND($J30="x",BT30&gt;0)</formula>
    </cfRule>
  </conditionalFormatting>
  <conditionalFormatting sqref="BT52:BT63">
    <cfRule type="expression" dxfId="539" priority="281">
      <formula>AND($J52="x",BT52&gt;0)</formula>
    </cfRule>
  </conditionalFormatting>
  <conditionalFormatting sqref="BT74:BT85">
    <cfRule type="expression" dxfId="538" priority="2332">
      <formula>AND($J74="x",BT74&gt;0)</formula>
    </cfRule>
  </conditionalFormatting>
  <conditionalFormatting sqref="BT96:BT107">
    <cfRule type="expression" dxfId="537" priority="2289">
      <formula>AND($J96="x",BT96&gt;0)</formula>
    </cfRule>
  </conditionalFormatting>
  <conditionalFormatting sqref="BT118:BT129">
    <cfRule type="expression" dxfId="536" priority="2246">
      <formula>AND($J118="x",BT118&gt;0)</formula>
    </cfRule>
  </conditionalFormatting>
  <conditionalFormatting sqref="BT140:BT151">
    <cfRule type="expression" dxfId="535" priority="2203">
      <formula>AND($J140="x",BT140&gt;0)</formula>
    </cfRule>
  </conditionalFormatting>
  <conditionalFormatting sqref="BT162:BT173">
    <cfRule type="expression" dxfId="534" priority="2160">
      <formula>AND($J162="x",BT162&gt;0)</formula>
    </cfRule>
  </conditionalFormatting>
  <conditionalFormatting sqref="BT184:BT195">
    <cfRule type="expression" dxfId="533" priority="2117">
      <formula>AND($J184="x",BT184&gt;0)</formula>
    </cfRule>
  </conditionalFormatting>
  <conditionalFormatting sqref="BT206:BT217">
    <cfRule type="expression" dxfId="532" priority="2074">
      <formula>AND($J206="x",BT206&gt;0)</formula>
    </cfRule>
  </conditionalFormatting>
  <conditionalFormatting sqref="BT228:BT239">
    <cfRule type="expression" dxfId="531" priority="2031">
      <formula>AND($J228="x",BT228&gt;0)</formula>
    </cfRule>
  </conditionalFormatting>
  <conditionalFormatting sqref="BT250:BT261">
    <cfRule type="expression" dxfId="530" priority="1988">
      <formula>AND($J250="x",BT250&gt;0)</formula>
    </cfRule>
  </conditionalFormatting>
  <conditionalFormatting sqref="BT272:BT283">
    <cfRule type="expression" dxfId="529" priority="1945">
      <formula>AND($J272="x",BT272&gt;0)</formula>
    </cfRule>
  </conditionalFormatting>
  <conditionalFormatting sqref="BT294:BT305">
    <cfRule type="expression" dxfId="528" priority="1902">
      <formula>AND($J294="x",BT294&gt;0)</formula>
    </cfRule>
  </conditionalFormatting>
  <conditionalFormatting sqref="BT316:BT327">
    <cfRule type="expression" dxfId="527" priority="1859">
      <formula>AND($J316="x",BT316&gt;0)</formula>
    </cfRule>
  </conditionalFormatting>
  <conditionalFormatting sqref="BT338:BT349">
    <cfRule type="expression" dxfId="526" priority="1816">
      <formula>AND($J338="x",BT338&gt;0)</formula>
    </cfRule>
  </conditionalFormatting>
  <conditionalFormatting sqref="BT360:BT371">
    <cfRule type="expression" dxfId="525" priority="1773">
      <formula>AND($J360="x",BT360&gt;0)</formula>
    </cfRule>
  </conditionalFormatting>
  <conditionalFormatting sqref="BT382:BT393">
    <cfRule type="expression" dxfId="524" priority="1730">
      <formula>AND($J382="x",BT382&gt;0)</formula>
    </cfRule>
  </conditionalFormatting>
  <conditionalFormatting sqref="BT404:BT415">
    <cfRule type="expression" dxfId="523" priority="1687">
      <formula>AND($J404="x",BT404&gt;0)</formula>
    </cfRule>
  </conditionalFormatting>
  <conditionalFormatting sqref="BT426:BT437">
    <cfRule type="expression" dxfId="522" priority="1644">
      <formula>AND($J426="x",BT426&gt;0)</formula>
    </cfRule>
  </conditionalFormatting>
  <conditionalFormatting sqref="BT448:BT459">
    <cfRule type="expression" dxfId="521" priority="1601">
      <formula>AND($J448="x",BT448&gt;0)</formula>
    </cfRule>
  </conditionalFormatting>
  <conditionalFormatting sqref="BT470:BT481">
    <cfRule type="expression" dxfId="520" priority="1558">
      <formula>AND($J470="x",BT470&gt;0)</formula>
    </cfRule>
  </conditionalFormatting>
  <conditionalFormatting sqref="BT492:BT503">
    <cfRule type="expression" dxfId="519" priority="1515">
      <formula>AND($J492="x",BT492&gt;0)</formula>
    </cfRule>
  </conditionalFormatting>
  <conditionalFormatting sqref="BT514:BT525">
    <cfRule type="expression" dxfId="518" priority="1472">
      <formula>AND($J514="x",BT514&gt;0)</formula>
    </cfRule>
  </conditionalFormatting>
  <conditionalFormatting sqref="BT536:BT547">
    <cfRule type="expression" dxfId="517" priority="1429">
      <formula>AND($J536="x",BT536&gt;0)</formula>
    </cfRule>
  </conditionalFormatting>
  <conditionalFormatting sqref="BT558:BT569">
    <cfRule type="expression" dxfId="516" priority="1386">
      <formula>AND($J558="x",BT558&gt;0)</formula>
    </cfRule>
  </conditionalFormatting>
  <conditionalFormatting sqref="BT580:BT591">
    <cfRule type="expression" dxfId="515" priority="1343">
      <formula>AND($J580="x",BT580&gt;0)</formula>
    </cfRule>
  </conditionalFormatting>
  <conditionalFormatting sqref="BT602:BT613">
    <cfRule type="expression" dxfId="514" priority="1300">
      <formula>AND($J602="x",BT602&gt;0)</formula>
    </cfRule>
  </conditionalFormatting>
  <conditionalFormatting sqref="BT624:BT635">
    <cfRule type="expression" dxfId="513" priority="1257">
      <formula>AND($J624="x",BT624&gt;0)</formula>
    </cfRule>
  </conditionalFormatting>
  <conditionalFormatting sqref="BT646:BT657">
    <cfRule type="expression" dxfId="512" priority="1214">
      <formula>AND($J646="x",BT646&gt;0)</formula>
    </cfRule>
  </conditionalFormatting>
  <conditionalFormatting sqref="BT668:BT679">
    <cfRule type="expression" dxfId="511" priority="1171">
      <formula>AND($J668="x",BT668&gt;0)</formula>
    </cfRule>
  </conditionalFormatting>
  <conditionalFormatting sqref="BT690:BT701">
    <cfRule type="expression" dxfId="510" priority="1128">
      <formula>AND($J690="x",BT690&gt;0)</formula>
    </cfRule>
  </conditionalFormatting>
  <conditionalFormatting sqref="BT712:BT723">
    <cfRule type="expression" dxfId="509" priority="1085">
      <formula>AND($J712="x",BT712&gt;0)</formula>
    </cfRule>
  </conditionalFormatting>
  <conditionalFormatting sqref="BT734:BT745">
    <cfRule type="expression" dxfId="508" priority="1042">
      <formula>AND($J734="x",BT734&gt;0)</formula>
    </cfRule>
  </conditionalFormatting>
  <conditionalFormatting sqref="BT756:BT767">
    <cfRule type="expression" dxfId="507" priority="999">
      <formula>AND($J756="x",BT756&gt;0)</formula>
    </cfRule>
  </conditionalFormatting>
  <conditionalFormatting sqref="BT778:BT789">
    <cfRule type="expression" dxfId="506" priority="956">
      <formula>AND($J778="x",BT778&gt;0)</formula>
    </cfRule>
  </conditionalFormatting>
  <conditionalFormatting sqref="BT800:BT811">
    <cfRule type="expression" dxfId="505" priority="913">
      <formula>AND($J800="x",BT800&gt;0)</formula>
    </cfRule>
  </conditionalFormatting>
  <conditionalFormatting sqref="BT822:BT833">
    <cfRule type="expression" dxfId="504" priority="870">
      <formula>AND($J822="x",BT822&gt;0)</formula>
    </cfRule>
  </conditionalFormatting>
  <conditionalFormatting sqref="BT844:BT855">
    <cfRule type="expression" dxfId="503" priority="827">
      <formula>AND($J844="x",BT844&gt;0)</formula>
    </cfRule>
  </conditionalFormatting>
  <conditionalFormatting sqref="BT866:BT877">
    <cfRule type="expression" dxfId="502" priority="784">
      <formula>AND($J866="x",BT866&gt;0)</formula>
    </cfRule>
  </conditionalFormatting>
  <conditionalFormatting sqref="BT888:BT899">
    <cfRule type="expression" dxfId="501" priority="741">
      <formula>AND($J888="x",BT888&gt;0)</formula>
    </cfRule>
  </conditionalFormatting>
  <conditionalFormatting sqref="BU6">
    <cfRule type="expression" dxfId="500" priority="4893">
      <formula>BU6&gt;0</formula>
    </cfRule>
  </conditionalFormatting>
  <conditionalFormatting sqref="BU8:BU19">
    <cfRule type="expression" dxfId="499" priority="4860">
      <formula>OR(BU8&gt;80,BU8&lt;10)</formula>
    </cfRule>
    <cfRule type="expression" dxfId="498" priority="4861">
      <formula>AND($K8="x",BU8&gt;0)</formula>
    </cfRule>
  </conditionalFormatting>
  <conditionalFormatting sqref="BU28">
    <cfRule type="expression" dxfId="497" priority="383">
      <formula>BU28&gt;0</formula>
    </cfRule>
  </conditionalFormatting>
  <conditionalFormatting sqref="BU30:BU41">
    <cfRule type="expression" dxfId="496" priority="4077">
      <formula>OR(BU30&gt;80,BU30&lt;10)</formula>
    </cfRule>
    <cfRule type="expression" dxfId="495" priority="4078">
      <formula>AND($K30="x",BU30&gt;0)</formula>
    </cfRule>
  </conditionalFormatting>
  <conditionalFormatting sqref="BU50">
    <cfRule type="expression" dxfId="494" priority="375">
      <formula>BU50&gt;0</formula>
    </cfRule>
  </conditionalFormatting>
  <conditionalFormatting sqref="BU52:BU63">
    <cfRule type="expression" dxfId="493" priority="265">
      <formula>OR(BU52&gt;80,BU52&lt;10)</formula>
    </cfRule>
    <cfRule type="expression" dxfId="492" priority="266">
      <formula>AND($K52="x",BU52&gt;0)</formula>
    </cfRule>
  </conditionalFormatting>
  <conditionalFormatting sqref="BU72">
    <cfRule type="expression" dxfId="491" priority="367">
      <formula>BU72&gt;0</formula>
    </cfRule>
  </conditionalFormatting>
  <conditionalFormatting sqref="BU74:BU85">
    <cfRule type="expression" dxfId="490" priority="2315">
      <formula>AND($K74="x",BU74&gt;0)</formula>
    </cfRule>
    <cfRule type="expression" dxfId="489" priority="2314">
      <formula>OR(BU74&gt;80,BU74&lt;10)</formula>
    </cfRule>
  </conditionalFormatting>
  <conditionalFormatting sqref="BU94">
    <cfRule type="expression" dxfId="488" priority="359">
      <formula>BU94&gt;0</formula>
    </cfRule>
  </conditionalFormatting>
  <conditionalFormatting sqref="BU96:BU107">
    <cfRule type="expression" dxfId="487" priority="2272">
      <formula>AND($K96="x",BU96&gt;0)</formula>
    </cfRule>
    <cfRule type="expression" dxfId="486" priority="2271">
      <formula>OR(BU96&gt;80,BU96&lt;10)</formula>
    </cfRule>
  </conditionalFormatting>
  <conditionalFormatting sqref="BU116">
    <cfRule type="expression" dxfId="485" priority="351">
      <formula>BU116&gt;0</formula>
    </cfRule>
  </conditionalFormatting>
  <conditionalFormatting sqref="BU118:BU129">
    <cfRule type="expression" dxfId="484" priority="2229">
      <formula>AND($K118="x",BU118&gt;0)</formula>
    </cfRule>
    <cfRule type="expression" dxfId="483" priority="2228">
      <formula>OR(BU118&gt;80,BU118&lt;10)</formula>
    </cfRule>
  </conditionalFormatting>
  <conditionalFormatting sqref="BU138">
    <cfRule type="expression" dxfId="482" priority="343">
      <formula>BU138&gt;0</formula>
    </cfRule>
  </conditionalFormatting>
  <conditionalFormatting sqref="BU140:BU151">
    <cfRule type="expression" dxfId="481" priority="2186">
      <formula>AND($K140="x",BU140&gt;0)</formula>
    </cfRule>
    <cfRule type="expression" dxfId="480" priority="2185">
      <formula>OR(BU140&gt;80,BU140&lt;10)</formula>
    </cfRule>
  </conditionalFormatting>
  <conditionalFormatting sqref="BU160">
    <cfRule type="expression" dxfId="479" priority="335">
      <formula>BU160&gt;0</formula>
    </cfRule>
  </conditionalFormatting>
  <conditionalFormatting sqref="BU162:BU173">
    <cfRule type="expression" dxfId="478" priority="2142">
      <formula>OR(BU162&gt;80,BU162&lt;10)</formula>
    </cfRule>
    <cfRule type="expression" dxfId="477" priority="2143">
      <formula>AND($K162="x",BU162&gt;0)</formula>
    </cfRule>
  </conditionalFormatting>
  <conditionalFormatting sqref="BU182">
    <cfRule type="expression" dxfId="476" priority="327">
      <formula>BU182&gt;0</formula>
    </cfRule>
  </conditionalFormatting>
  <conditionalFormatting sqref="BU184:BU195">
    <cfRule type="expression" dxfId="475" priority="2099">
      <formula>OR(BU184&gt;80,BU184&lt;10)</formula>
    </cfRule>
    <cfRule type="expression" dxfId="474" priority="2100">
      <formula>AND($K184="x",BU184&gt;0)</formula>
    </cfRule>
  </conditionalFormatting>
  <conditionalFormatting sqref="BU204">
    <cfRule type="expression" dxfId="473" priority="319">
      <formula>BU204&gt;0</formula>
    </cfRule>
  </conditionalFormatting>
  <conditionalFormatting sqref="BU206:BU217">
    <cfRule type="expression" dxfId="472" priority="2057">
      <formula>AND($K206="x",BU206&gt;0)</formula>
    </cfRule>
    <cfRule type="expression" dxfId="471" priority="2056">
      <formula>OR(BU206&gt;80,BU206&lt;10)</formula>
    </cfRule>
  </conditionalFormatting>
  <conditionalFormatting sqref="BU226">
    <cfRule type="expression" dxfId="470" priority="311">
      <formula>BU226&gt;0</formula>
    </cfRule>
  </conditionalFormatting>
  <conditionalFormatting sqref="BU228:BU239">
    <cfRule type="expression" dxfId="469" priority="2014">
      <formula>AND($K228="x",BU228&gt;0)</formula>
    </cfRule>
    <cfRule type="expression" dxfId="468" priority="2013">
      <formula>OR(BU228&gt;80,BU228&lt;10)</formula>
    </cfRule>
  </conditionalFormatting>
  <conditionalFormatting sqref="BU248">
    <cfRule type="expression" dxfId="467" priority="303">
      <formula>BU248&gt;0</formula>
    </cfRule>
  </conditionalFormatting>
  <conditionalFormatting sqref="BU250:BU261">
    <cfRule type="expression" dxfId="466" priority="1970">
      <formula>OR(BU250&gt;80,BU250&lt;10)</formula>
    </cfRule>
    <cfRule type="expression" dxfId="465" priority="1971">
      <formula>AND($K250="x",BU250&gt;0)</formula>
    </cfRule>
  </conditionalFormatting>
  <conditionalFormatting sqref="BU270">
    <cfRule type="expression" dxfId="464" priority="615">
      <formula>BU270&gt;0</formula>
    </cfRule>
  </conditionalFormatting>
  <conditionalFormatting sqref="BU272:BU283">
    <cfRule type="expression" dxfId="463" priority="1927">
      <formula>OR(BU272&gt;80,BU272&lt;10)</formula>
    </cfRule>
    <cfRule type="expression" dxfId="462" priority="1928">
      <formula>AND($K272="x",BU272&gt;0)</formula>
    </cfRule>
  </conditionalFormatting>
  <conditionalFormatting sqref="BU292">
    <cfRule type="expression" dxfId="461" priority="607">
      <formula>BU292&gt;0</formula>
    </cfRule>
  </conditionalFormatting>
  <conditionalFormatting sqref="BU294:BU305">
    <cfRule type="expression" dxfId="460" priority="1885">
      <formula>AND($K294="x",BU294&gt;0)</formula>
    </cfRule>
    <cfRule type="expression" dxfId="459" priority="1884">
      <formula>OR(BU294&gt;80,BU294&lt;10)</formula>
    </cfRule>
  </conditionalFormatting>
  <conditionalFormatting sqref="BU314">
    <cfRule type="expression" dxfId="458" priority="599">
      <formula>BU314&gt;0</formula>
    </cfRule>
  </conditionalFormatting>
  <conditionalFormatting sqref="BU316:BU327">
    <cfRule type="expression" dxfId="457" priority="1842">
      <formula>AND($K316="x",BU316&gt;0)</formula>
    </cfRule>
    <cfRule type="expression" dxfId="456" priority="1841">
      <formula>OR(BU316&gt;80,BU316&lt;10)</formula>
    </cfRule>
  </conditionalFormatting>
  <conditionalFormatting sqref="BU336">
    <cfRule type="expression" dxfId="455" priority="591">
      <formula>BU336&gt;0</formula>
    </cfRule>
  </conditionalFormatting>
  <conditionalFormatting sqref="BU338:BU349">
    <cfRule type="expression" dxfId="454" priority="1799">
      <formula>AND($K338="x",BU338&gt;0)</formula>
    </cfRule>
    <cfRule type="expression" dxfId="453" priority="1798">
      <formula>OR(BU338&gt;80,BU338&lt;10)</formula>
    </cfRule>
  </conditionalFormatting>
  <conditionalFormatting sqref="BU358">
    <cfRule type="expression" dxfId="452" priority="583">
      <formula>BU358&gt;0</formula>
    </cfRule>
  </conditionalFormatting>
  <conditionalFormatting sqref="BU360:BU371">
    <cfRule type="expression" dxfId="451" priority="1756">
      <formula>AND($K360="x",BU360&gt;0)</formula>
    </cfRule>
    <cfRule type="expression" dxfId="450" priority="1755">
      <formula>OR(BU360&gt;80,BU360&lt;10)</formula>
    </cfRule>
  </conditionalFormatting>
  <conditionalFormatting sqref="BU380">
    <cfRule type="expression" dxfId="449" priority="575">
      <formula>BU380&gt;0</formula>
    </cfRule>
  </conditionalFormatting>
  <conditionalFormatting sqref="BU382:BU393">
    <cfRule type="expression" dxfId="448" priority="1713">
      <formula>AND($K382="x",BU382&gt;0)</formula>
    </cfRule>
    <cfRule type="expression" dxfId="447" priority="1712">
      <formula>OR(BU382&gt;80,BU382&lt;10)</formula>
    </cfRule>
  </conditionalFormatting>
  <conditionalFormatting sqref="BU402">
    <cfRule type="expression" dxfId="446" priority="567">
      <formula>BU402&gt;0</formula>
    </cfRule>
  </conditionalFormatting>
  <conditionalFormatting sqref="BU404:BU415">
    <cfRule type="expression" dxfId="445" priority="1670">
      <formula>AND($K404="x",BU404&gt;0)</formula>
    </cfRule>
    <cfRule type="expression" dxfId="444" priority="1669">
      <formula>OR(BU404&gt;80,BU404&lt;10)</formula>
    </cfRule>
  </conditionalFormatting>
  <conditionalFormatting sqref="BU424">
    <cfRule type="expression" dxfId="443" priority="559">
      <formula>BU424&gt;0</formula>
    </cfRule>
  </conditionalFormatting>
  <conditionalFormatting sqref="BU426:BU437">
    <cfRule type="expression" dxfId="442" priority="1626">
      <formula>OR(BU426&gt;80,BU426&lt;10)</formula>
    </cfRule>
    <cfRule type="expression" dxfId="441" priority="1627">
      <formula>AND($K426="x",BU426&gt;0)</formula>
    </cfRule>
  </conditionalFormatting>
  <conditionalFormatting sqref="BU446">
    <cfRule type="expression" dxfId="440" priority="551">
      <formula>BU446&gt;0</formula>
    </cfRule>
  </conditionalFormatting>
  <conditionalFormatting sqref="BU448:BU459">
    <cfRule type="expression" dxfId="439" priority="1584">
      <formula>AND($K448="x",BU448&gt;0)</formula>
    </cfRule>
    <cfRule type="expression" dxfId="438" priority="1583">
      <formula>OR(BU448&gt;80,BU448&lt;10)</formula>
    </cfRule>
  </conditionalFormatting>
  <conditionalFormatting sqref="BU468">
    <cfRule type="expression" dxfId="437" priority="543">
      <formula>BU468&gt;0</formula>
    </cfRule>
  </conditionalFormatting>
  <conditionalFormatting sqref="BU470:BU481">
    <cfRule type="expression" dxfId="436" priority="1540">
      <formula>OR(BU470&gt;80,BU470&lt;10)</formula>
    </cfRule>
    <cfRule type="expression" dxfId="435" priority="1541">
      <formula>AND($K470="x",BU470&gt;0)</formula>
    </cfRule>
  </conditionalFormatting>
  <conditionalFormatting sqref="BU490">
    <cfRule type="expression" dxfId="434" priority="535">
      <formula>BU490&gt;0</formula>
    </cfRule>
  </conditionalFormatting>
  <conditionalFormatting sqref="BU492:BU503">
    <cfRule type="expression" dxfId="433" priority="1497">
      <formula>OR(BU492&gt;80,BU492&lt;10)</formula>
    </cfRule>
    <cfRule type="expression" dxfId="432" priority="1498">
      <formula>AND($K492="x",BU492&gt;0)</formula>
    </cfRule>
  </conditionalFormatting>
  <conditionalFormatting sqref="BU512">
    <cfRule type="expression" dxfId="431" priority="527">
      <formula>BU512&gt;0</formula>
    </cfRule>
  </conditionalFormatting>
  <conditionalFormatting sqref="BU514:BU525">
    <cfRule type="expression" dxfId="430" priority="1454">
      <formula>OR(BU514&gt;80,BU514&lt;10)</formula>
    </cfRule>
    <cfRule type="expression" dxfId="429" priority="1455">
      <formula>AND($K514="x",BU514&gt;0)</formula>
    </cfRule>
  </conditionalFormatting>
  <conditionalFormatting sqref="BU534">
    <cfRule type="expression" dxfId="428" priority="519">
      <formula>BU534&gt;0</formula>
    </cfRule>
  </conditionalFormatting>
  <conditionalFormatting sqref="BU536:BU547">
    <cfRule type="expression" dxfId="427" priority="1411">
      <formula>OR(BU536&gt;80,BU536&lt;10)</formula>
    </cfRule>
    <cfRule type="expression" dxfId="426" priority="1412">
      <formula>AND($K536="x",BU536&gt;0)</formula>
    </cfRule>
  </conditionalFormatting>
  <conditionalFormatting sqref="BU556">
    <cfRule type="expression" dxfId="425" priority="511">
      <formula>BU556&gt;0</formula>
    </cfRule>
  </conditionalFormatting>
  <conditionalFormatting sqref="BU558:BU569">
    <cfRule type="expression" dxfId="424" priority="1368">
      <formula>OR(BU558&gt;80,BU558&lt;10)</formula>
    </cfRule>
    <cfRule type="expression" dxfId="423" priority="1369">
      <formula>AND($K558="x",BU558&gt;0)</formula>
    </cfRule>
  </conditionalFormatting>
  <conditionalFormatting sqref="BU578">
    <cfRule type="expression" dxfId="422" priority="503">
      <formula>BU578&gt;0</formula>
    </cfRule>
  </conditionalFormatting>
  <conditionalFormatting sqref="BU580:BU591">
    <cfRule type="expression" dxfId="421" priority="1326">
      <formula>AND($K580="x",BU580&gt;0)</formula>
    </cfRule>
    <cfRule type="expression" dxfId="420" priority="1325">
      <formula>OR(BU580&gt;80,BU580&lt;10)</formula>
    </cfRule>
  </conditionalFormatting>
  <conditionalFormatting sqref="BU600">
    <cfRule type="expression" dxfId="419" priority="495">
      <formula>BU600&gt;0</formula>
    </cfRule>
  </conditionalFormatting>
  <conditionalFormatting sqref="BU602:BU613">
    <cfRule type="expression" dxfId="418" priority="1282">
      <formula>OR(BU602&gt;80,BU602&lt;10)</formula>
    </cfRule>
    <cfRule type="expression" dxfId="417" priority="1283">
      <formula>AND($K602="x",BU602&gt;0)</formula>
    </cfRule>
  </conditionalFormatting>
  <conditionalFormatting sqref="BU622">
    <cfRule type="expression" dxfId="416" priority="487">
      <formula>BU622&gt;0</formula>
    </cfRule>
  </conditionalFormatting>
  <conditionalFormatting sqref="BU624:BU635">
    <cfRule type="expression" dxfId="415" priority="1240">
      <formula>AND($K624="x",BU624&gt;0)</formula>
    </cfRule>
    <cfRule type="expression" dxfId="414" priority="1239">
      <formula>OR(BU624&gt;80,BU624&lt;10)</formula>
    </cfRule>
  </conditionalFormatting>
  <conditionalFormatting sqref="BU644">
    <cfRule type="expression" dxfId="413" priority="479">
      <formula>BU644&gt;0</formula>
    </cfRule>
  </conditionalFormatting>
  <conditionalFormatting sqref="BU646:BU657">
    <cfRule type="expression" dxfId="412" priority="1197">
      <formula>AND($K646="x",BU646&gt;0)</formula>
    </cfRule>
    <cfRule type="expression" dxfId="411" priority="1196">
      <formula>OR(BU646&gt;80,BU646&lt;10)</formula>
    </cfRule>
  </conditionalFormatting>
  <conditionalFormatting sqref="BU666">
    <cfRule type="expression" dxfId="410" priority="471">
      <formula>BU666&gt;0</formula>
    </cfRule>
  </conditionalFormatting>
  <conditionalFormatting sqref="BU668:BU679">
    <cfRule type="expression" dxfId="409" priority="1153">
      <formula>OR(BU668&gt;80,BU668&lt;10)</formula>
    </cfRule>
    <cfRule type="expression" dxfId="408" priority="1154">
      <formula>AND($K668="x",BU668&gt;0)</formula>
    </cfRule>
  </conditionalFormatting>
  <conditionalFormatting sqref="BU688">
    <cfRule type="expression" dxfId="407" priority="463">
      <formula>BU688&gt;0</formula>
    </cfRule>
  </conditionalFormatting>
  <conditionalFormatting sqref="BU690:BU701">
    <cfRule type="expression" dxfId="406" priority="1111">
      <formula>AND($K690="x",BU690&gt;0)</formula>
    </cfRule>
    <cfRule type="expression" dxfId="405" priority="1110">
      <formula>OR(BU690&gt;80,BU690&lt;10)</formula>
    </cfRule>
  </conditionalFormatting>
  <conditionalFormatting sqref="BU710">
    <cfRule type="expression" dxfId="404" priority="455">
      <formula>BU710&gt;0</formula>
    </cfRule>
  </conditionalFormatting>
  <conditionalFormatting sqref="BU712:BU723">
    <cfRule type="expression" dxfId="403" priority="1067">
      <formula>OR(BU712&gt;80,BU712&lt;10)</formula>
    </cfRule>
    <cfRule type="expression" dxfId="402" priority="1068">
      <formula>AND($K712="x",BU712&gt;0)</formula>
    </cfRule>
  </conditionalFormatting>
  <conditionalFormatting sqref="BU732">
    <cfRule type="expression" dxfId="401" priority="447">
      <formula>BU732&gt;0</formula>
    </cfRule>
  </conditionalFormatting>
  <conditionalFormatting sqref="BU734:BU745">
    <cfRule type="expression" dxfId="400" priority="1025">
      <formula>AND($K734="x",BU734&gt;0)</formula>
    </cfRule>
    <cfRule type="expression" dxfId="399" priority="1024">
      <formula>OR(BU734&gt;80,BU734&lt;10)</formula>
    </cfRule>
  </conditionalFormatting>
  <conditionalFormatting sqref="BU754">
    <cfRule type="expression" dxfId="398" priority="439">
      <formula>BU754&gt;0</formula>
    </cfRule>
  </conditionalFormatting>
  <conditionalFormatting sqref="BU756:BU767">
    <cfRule type="expression" dxfId="397" priority="982">
      <formula>AND($K756="x",BU756&gt;0)</formula>
    </cfRule>
    <cfRule type="expression" dxfId="396" priority="981">
      <formula>OR(BU756&gt;80,BU756&lt;10)</formula>
    </cfRule>
  </conditionalFormatting>
  <conditionalFormatting sqref="BU776">
    <cfRule type="expression" dxfId="395" priority="431">
      <formula>BU776&gt;0</formula>
    </cfRule>
  </conditionalFormatting>
  <conditionalFormatting sqref="BU778:BU789">
    <cfRule type="expression" dxfId="394" priority="939">
      <formula>AND($K778="x",BU778&gt;0)</formula>
    </cfRule>
    <cfRule type="expression" dxfId="393" priority="938">
      <formula>OR(BU778&gt;80,BU778&lt;10)</formula>
    </cfRule>
  </conditionalFormatting>
  <conditionalFormatting sqref="BU798">
    <cfRule type="expression" dxfId="392" priority="423">
      <formula>BU798&gt;0</formula>
    </cfRule>
  </conditionalFormatting>
  <conditionalFormatting sqref="BU800:BU811">
    <cfRule type="expression" dxfId="391" priority="895">
      <formula>OR(BU800&gt;80,BU800&lt;10)</formula>
    </cfRule>
    <cfRule type="expression" dxfId="390" priority="896">
      <formula>AND($K800="x",BU800&gt;0)</formula>
    </cfRule>
  </conditionalFormatting>
  <conditionalFormatting sqref="BU820">
    <cfRule type="expression" dxfId="389" priority="415">
      <formula>BU820&gt;0</formula>
    </cfRule>
  </conditionalFormatting>
  <conditionalFormatting sqref="BU822:BU833">
    <cfRule type="expression" dxfId="388" priority="852">
      <formula>OR(BU822&gt;80,BU822&lt;10)</formula>
    </cfRule>
    <cfRule type="expression" dxfId="387" priority="853">
      <formula>AND($K822="x",BU822&gt;0)</formula>
    </cfRule>
  </conditionalFormatting>
  <conditionalFormatting sqref="BU842">
    <cfRule type="expression" dxfId="386" priority="407">
      <formula>BU842&gt;0</formula>
    </cfRule>
  </conditionalFormatting>
  <conditionalFormatting sqref="BU844:BU855">
    <cfRule type="expression" dxfId="385" priority="809">
      <formula>OR(BU844&gt;80,BU844&lt;10)</formula>
    </cfRule>
    <cfRule type="expression" dxfId="384" priority="810">
      <formula>AND($K844="x",BU844&gt;0)</formula>
    </cfRule>
  </conditionalFormatting>
  <conditionalFormatting sqref="BU864">
    <cfRule type="expression" dxfId="383" priority="399">
      <formula>BU864&gt;0</formula>
    </cfRule>
  </conditionalFormatting>
  <conditionalFormatting sqref="BU866:BU877">
    <cfRule type="expression" dxfId="382" priority="767">
      <formula>AND($K866="x",BU866&gt;0)</formula>
    </cfRule>
    <cfRule type="expression" dxfId="381" priority="766">
      <formula>OR(BU866&gt;80,BU866&lt;10)</formula>
    </cfRule>
  </conditionalFormatting>
  <conditionalFormatting sqref="BU886">
    <cfRule type="expression" dxfId="380" priority="391">
      <formula>BU886&gt;0</formula>
    </cfRule>
  </conditionalFormatting>
  <conditionalFormatting sqref="BU888:BU899">
    <cfRule type="expression" dxfId="379" priority="723">
      <formula>OR(BU888&gt;80,BU888&lt;10)</formula>
    </cfRule>
    <cfRule type="expression" dxfId="378" priority="724">
      <formula>AND($K888="x",BU888&gt;0)</formula>
    </cfRule>
  </conditionalFormatting>
  <conditionalFormatting sqref="CB8:CB19">
    <cfRule type="expression" dxfId="377" priority="4877">
      <formula>AND($I8="x",CB8&gt;0)</formula>
    </cfRule>
  </conditionalFormatting>
  <conditionalFormatting sqref="CB30:CB41">
    <cfRule type="expression" dxfId="376" priority="719">
      <formula>AND($I30="x",CB30&gt;0)</formula>
    </cfRule>
  </conditionalFormatting>
  <conditionalFormatting sqref="CB52:CB63">
    <cfRule type="expression" dxfId="375" priority="262">
      <formula>AND($I52="x",CB52&gt;0)</formula>
    </cfRule>
  </conditionalFormatting>
  <conditionalFormatting sqref="CB74:CB85">
    <cfRule type="expression" dxfId="374" priority="715">
      <formula>AND($I74="x",CB74&gt;0)</formula>
    </cfRule>
  </conditionalFormatting>
  <conditionalFormatting sqref="CB96:CB107">
    <cfRule type="expression" dxfId="373" priority="713">
      <formula>AND($I96="x",CB96&gt;0)</formula>
    </cfRule>
  </conditionalFormatting>
  <conditionalFormatting sqref="CB118:CB129">
    <cfRule type="expression" dxfId="372" priority="711">
      <formula>AND($I118="x",CB118&gt;0)</formula>
    </cfRule>
  </conditionalFormatting>
  <conditionalFormatting sqref="CB140:CB151">
    <cfRule type="expression" dxfId="371" priority="709">
      <formula>AND($I140="x",CB140&gt;0)</formula>
    </cfRule>
  </conditionalFormatting>
  <conditionalFormatting sqref="CB162:CB173">
    <cfRule type="expression" dxfId="370" priority="707">
      <formula>AND($I162="x",CB162&gt;0)</formula>
    </cfRule>
  </conditionalFormatting>
  <conditionalFormatting sqref="CB184:CB195">
    <cfRule type="expression" dxfId="369" priority="705">
      <formula>AND($I184="x",CB184&gt;0)</formula>
    </cfRule>
  </conditionalFormatting>
  <conditionalFormatting sqref="CB206:CB217">
    <cfRule type="expression" dxfId="368" priority="703">
      <formula>AND($I206="x",CB206&gt;0)</formula>
    </cfRule>
  </conditionalFormatting>
  <conditionalFormatting sqref="CB228:CB239">
    <cfRule type="expression" dxfId="367" priority="701">
      <formula>AND($I228="x",CB228&gt;0)</formula>
    </cfRule>
  </conditionalFormatting>
  <conditionalFormatting sqref="CB250:CB261">
    <cfRule type="expression" dxfId="366" priority="699">
      <formula>AND($I250="x",CB250&gt;0)</formula>
    </cfRule>
  </conditionalFormatting>
  <conditionalFormatting sqref="CB272:CB283">
    <cfRule type="expression" dxfId="365" priority="697">
      <formula>AND($I272="x",CB272&gt;0)</formula>
    </cfRule>
  </conditionalFormatting>
  <conditionalFormatting sqref="CB294:CB305">
    <cfRule type="expression" dxfId="364" priority="695">
      <formula>AND($I294="x",CB294&gt;0)</formula>
    </cfRule>
  </conditionalFormatting>
  <conditionalFormatting sqref="CB316:CB327">
    <cfRule type="expression" dxfId="363" priority="693">
      <formula>AND($I316="x",CB316&gt;0)</formula>
    </cfRule>
  </conditionalFormatting>
  <conditionalFormatting sqref="CB338:CB349">
    <cfRule type="expression" dxfId="362" priority="691">
      <formula>AND($I338="x",CB338&gt;0)</formula>
    </cfRule>
  </conditionalFormatting>
  <conditionalFormatting sqref="CB360:CB371">
    <cfRule type="expression" dxfId="361" priority="689">
      <formula>AND($I360="x",CB360&gt;0)</formula>
    </cfRule>
  </conditionalFormatting>
  <conditionalFormatting sqref="CB382:CB393">
    <cfRule type="expression" dxfId="360" priority="687">
      <formula>AND($I382="x",CB382&gt;0)</formula>
    </cfRule>
  </conditionalFormatting>
  <conditionalFormatting sqref="CB404:CB415">
    <cfRule type="expression" dxfId="359" priority="685">
      <formula>AND($I404="x",CB404&gt;0)</formula>
    </cfRule>
  </conditionalFormatting>
  <conditionalFormatting sqref="CB426:CB437">
    <cfRule type="expression" dxfId="358" priority="683">
      <formula>AND($I426="x",CB426&gt;0)</formula>
    </cfRule>
  </conditionalFormatting>
  <conditionalFormatting sqref="CB448:CB459">
    <cfRule type="expression" dxfId="357" priority="681">
      <formula>AND($I448="x",CB448&gt;0)</formula>
    </cfRule>
  </conditionalFormatting>
  <conditionalFormatting sqref="CB470:CB481">
    <cfRule type="expression" dxfId="356" priority="679">
      <formula>AND($I470="x",CB470&gt;0)</formula>
    </cfRule>
  </conditionalFormatting>
  <conditionalFormatting sqref="CB492:CB503">
    <cfRule type="expression" dxfId="355" priority="677">
      <formula>AND($I492="x",CB492&gt;0)</formula>
    </cfRule>
  </conditionalFormatting>
  <conditionalFormatting sqref="CB514:CB525">
    <cfRule type="expression" dxfId="354" priority="675">
      <formula>AND($I514="x",CB514&gt;0)</formula>
    </cfRule>
  </conditionalFormatting>
  <conditionalFormatting sqref="CB536:CB547">
    <cfRule type="expression" dxfId="353" priority="673">
      <formula>AND($I536="x",CB536&gt;0)</formula>
    </cfRule>
  </conditionalFormatting>
  <conditionalFormatting sqref="CB558:CB569">
    <cfRule type="expression" dxfId="352" priority="671">
      <formula>AND($I558="x",CB558&gt;0)</formula>
    </cfRule>
  </conditionalFormatting>
  <conditionalFormatting sqref="CB580:CB591">
    <cfRule type="expression" dxfId="351" priority="669">
      <formula>AND($I580="x",CB580&gt;0)</formula>
    </cfRule>
  </conditionalFormatting>
  <conditionalFormatting sqref="CB602:CB613">
    <cfRule type="expression" dxfId="350" priority="667">
      <formula>AND($I602="x",CB602&gt;0)</formula>
    </cfRule>
  </conditionalFormatting>
  <conditionalFormatting sqref="CB624:CB635">
    <cfRule type="expression" dxfId="349" priority="665">
      <formula>AND($I624="x",CB624&gt;0)</formula>
    </cfRule>
  </conditionalFormatting>
  <conditionalFormatting sqref="CB646:CB657">
    <cfRule type="expression" dxfId="348" priority="663">
      <formula>AND($I646="x",CB646&gt;0)</formula>
    </cfRule>
  </conditionalFormatting>
  <conditionalFormatting sqref="CB668:CB679">
    <cfRule type="expression" dxfId="347" priority="661">
      <formula>AND($I668="x",CB668&gt;0)</formula>
    </cfRule>
  </conditionalFormatting>
  <conditionalFormatting sqref="CB690:CB701">
    <cfRule type="expression" dxfId="346" priority="659">
      <formula>AND($I690="x",CB690&gt;0)</formula>
    </cfRule>
  </conditionalFormatting>
  <conditionalFormatting sqref="CB712:CB723">
    <cfRule type="expression" dxfId="345" priority="657">
      <formula>AND($I712="x",CB712&gt;0)</formula>
    </cfRule>
  </conditionalFormatting>
  <conditionalFormatting sqref="CB734:CB745">
    <cfRule type="expression" dxfId="344" priority="655">
      <formula>AND($I734="x",CB734&gt;0)</formula>
    </cfRule>
  </conditionalFormatting>
  <conditionalFormatting sqref="CB756:CB767">
    <cfRule type="expression" dxfId="343" priority="653">
      <formula>AND($I756="x",CB756&gt;0)</formula>
    </cfRule>
  </conditionalFormatting>
  <conditionalFormatting sqref="CB778:CB789">
    <cfRule type="expression" dxfId="342" priority="651">
      <formula>AND($I778="x",CB778&gt;0)</formula>
    </cfRule>
  </conditionalFormatting>
  <conditionalFormatting sqref="CB800:CB811">
    <cfRule type="expression" dxfId="341" priority="649">
      <formula>AND($I800="x",CB800&gt;0)</formula>
    </cfRule>
  </conditionalFormatting>
  <conditionalFormatting sqref="CB822:CB833">
    <cfRule type="expression" dxfId="340" priority="647">
      <formula>AND($I822="x",CB822&gt;0)</formula>
    </cfRule>
  </conditionalFormatting>
  <conditionalFormatting sqref="CB844:CB855">
    <cfRule type="expression" dxfId="339" priority="645">
      <formula>AND($I844="x",CB844&gt;0)</formula>
    </cfRule>
  </conditionalFormatting>
  <conditionalFormatting sqref="CB866:CB877">
    <cfRule type="expression" dxfId="338" priority="643">
      <formula>AND($I866="x",CB866&gt;0)</formula>
    </cfRule>
  </conditionalFormatting>
  <conditionalFormatting sqref="CB888:CB899">
    <cfRule type="expression" dxfId="337" priority="641">
      <formula>AND($I888="x",CB888&gt;0)</formula>
    </cfRule>
  </conditionalFormatting>
  <conditionalFormatting sqref="CC8:CC19">
    <cfRule type="expression" dxfId="336" priority="4876">
      <formula>AND($J8="x",CC8&gt;0)</formula>
    </cfRule>
  </conditionalFormatting>
  <conditionalFormatting sqref="CC30:CC41">
    <cfRule type="expression" dxfId="335" priority="718">
      <formula>AND($J30="x",CC30&gt;0)</formula>
    </cfRule>
  </conditionalFormatting>
  <conditionalFormatting sqref="CC52:CC63">
    <cfRule type="expression" dxfId="334" priority="261">
      <formula>AND($J52="x",CC52&gt;0)</formula>
    </cfRule>
  </conditionalFormatting>
  <conditionalFormatting sqref="CC74:CC85">
    <cfRule type="expression" dxfId="333" priority="714">
      <formula>AND($J74="x",CC74&gt;0)</formula>
    </cfRule>
  </conditionalFormatting>
  <conditionalFormatting sqref="CC96:CC107">
    <cfRule type="expression" dxfId="332" priority="712">
      <formula>AND($J96="x",CC96&gt;0)</formula>
    </cfRule>
  </conditionalFormatting>
  <conditionalFormatting sqref="CC118:CC129">
    <cfRule type="expression" dxfId="331" priority="710">
      <formula>AND($J118="x",CC118&gt;0)</formula>
    </cfRule>
  </conditionalFormatting>
  <conditionalFormatting sqref="CC140:CC151">
    <cfRule type="expression" dxfId="330" priority="708">
      <formula>AND($J140="x",CC140&gt;0)</formula>
    </cfRule>
  </conditionalFormatting>
  <conditionalFormatting sqref="CC162:CC173">
    <cfRule type="expression" dxfId="329" priority="706">
      <formula>AND($J162="x",CC162&gt;0)</formula>
    </cfRule>
  </conditionalFormatting>
  <conditionalFormatting sqref="CC184:CC195">
    <cfRule type="expression" dxfId="328" priority="704">
      <formula>AND($J184="x",CC184&gt;0)</formula>
    </cfRule>
  </conditionalFormatting>
  <conditionalFormatting sqref="CC206:CC217">
    <cfRule type="expression" dxfId="327" priority="702">
      <formula>AND($J206="x",CC206&gt;0)</formula>
    </cfRule>
  </conditionalFormatting>
  <conditionalFormatting sqref="CC228:CC239">
    <cfRule type="expression" dxfId="326" priority="700">
      <formula>AND($J228="x",CC228&gt;0)</formula>
    </cfRule>
  </conditionalFormatting>
  <conditionalFormatting sqref="CC250:CC261">
    <cfRule type="expression" dxfId="325" priority="698">
      <formula>AND($J250="x",CC250&gt;0)</formula>
    </cfRule>
  </conditionalFormatting>
  <conditionalFormatting sqref="CC272:CC283">
    <cfRule type="expression" dxfId="324" priority="696">
      <formula>AND($J272="x",CC272&gt;0)</formula>
    </cfRule>
  </conditionalFormatting>
  <conditionalFormatting sqref="CC294:CC305">
    <cfRule type="expression" dxfId="323" priority="694">
      <formula>AND($J294="x",CC294&gt;0)</formula>
    </cfRule>
  </conditionalFormatting>
  <conditionalFormatting sqref="CC316:CC327">
    <cfRule type="expression" dxfId="322" priority="692">
      <formula>AND($J316="x",CC316&gt;0)</formula>
    </cfRule>
  </conditionalFormatting>
  <conditionalFormatting sqref="CC338:CC349">
    <cfRule type="expression" dxfId="321" priority="690">
      <formula>AND($J338="x",CC338&gt;0)</formula>
    </cfRule>
  </conditionalFormatting>
  <conditionalFormatting sqref="CC360:CC371">
    <cfRule type="expression" dxfId="320" priority="688">
      <formula>AND($J360="x",CC360&gt;0)</formula>
    </cfRule>
  </conditionalFormatting>
  <conditionalFormatting sqref="CC382:CC393">
    <cfRule type="expression" dxfId="319" priority="686">
      <formula>AND($J382="x",CC382&gt;0)</formula>
    </cfRule>
  </conditionalFormatting>
  <conditionalFormatting sqref="CC404:CC415">
    <cfRule type="expression" dxfId="318" priority="684">
      <formula>AND($J404="x",CC404&gt;0)</formula>
    </cfRule>
  </conditionalFormatting>
  <conditionalFormatting sqref="CC426:CC437">
    <cfRule type="expression" dxfId="317" priority="682">
      <formula>AND($J426="x",CC426&gt;0)</formula>
    </cfRule>
  </conditionalFormatting>
  <conditionalFormatting sqref="CC448:CC459">
    <cfRule type="expression" dxfId="316" priority="680">
      <formula>AND($J448="x",CC448&gt;0)</formula>
    </cfRule>
  </conditionalFormatting>
  <conditionalFormatting sqref="CC470:CC481">
    <cfRule type="expression" dxfId="315" priority="678">
      <formula>AND($J470="x",CC470&gt;0)</formula>
    </cfRule>
  </conditionalFormatting>
  <conditionalFormatting sqref="CC492:CC503">
    <cfRule type="expression" dxfId="314" priority="676">
      <formula>AND($J492="x",CC492&gt;0)</formula>
    </cfRule>
  </conditionalFormatting>
  <conditionalFormatting sqref="CC514:CC525">
    <cfRule type="expression" dxfId="313" priority="674">
      <formula>AND($J514="x",CC514&gt;0)</formula>
    </cfRule>
  </conditionalFormatting>
  <conditionalFormatting sqref="CC536:CC547">
    <cfRule type="expression" dxfId="312" priority="672">
      <formula>AND($J536="x",CC536&gt;0)</formula>
    </cfRule>
  </conditionalFormatting>
  <conditionalFormatting sqref="CC558:CC569">
    <cfRule type="expression" dxfId="311" priority="670">
      <formula>AND($J558="x",CC558&gt;0)</formula>
    </cfRule>
  </conditionalFormatting>
  <conditionalFormatting sqref="CC580:CC591">
    <cfRule type="expression" dxfId="310" priority="668">
      <formula>AND($J580="x",CC580&gt;0)</formula>
    </cfRule>
  </conditionalFormatting>
  <conditionalFormatting sqref="CC602:CC613">
    <cfRule type="expression" dxfId="309" priority="666">
      <formula>AND($J602="x",CC602&gt;0)</formula>
    </cfRule>
  </conditionalFormatting>
  <conditionalFormatting sqref="CC624:CC635">
    <cfRule type="expression" dxfId="308" priority="664">
      <formula>AND($J624="x",CC624&gt;0)</formula>
    </cfRule>
  </conditionalFormatting>
  <conditionalFormatting sqref="CC646:CC657">
    <cfRule type="expression" dxfId="307" priority="662">
      <formula>AND($J646="x",CC646&gt;0)</formula>
    </cfRule>
  </conditionalFormatting>
  <conditionalFormatting sqref="CC668:CC679">
    <cfRule type="expression" dxfId="306" priority="660">
      <formula>AND($J668="x",CC668&gt;0)</formula>
    </cfRule>
  </conditionalFormatting>
  <conditionalFormatting sqref="CC690:CC701">
    <cfRule type="expression" dxfId="305" priority="658">
      <formula>AND($J690="x",CC690&gt;0)</formula>
    </cfRule>
  </conditionalFormatting>
  <conditionalFormatting sqref="CC712:CC723">
    <cfRule type="expression" dxfId="304" priority="656">
      <formula>AND($J712="x",CC712&gt;0)</formula>
    </cfRule>
  </conditionalFormatting>
  <conditionalFormatting sqref="CC734:CC745">
    <cfRule type="expression" dxfId="303" priority="654">
      <formula>AND($J734="x",CC734&gt;0)</formula>
    </cfRule>
  </conditionalFormatting>
  <conditionalFormatting sqref="CC756:CC767">
    <cfRule type="expression" dxfId="302" priority="652">
      <formula>AND($J756="x",CC756&gt;0)</formula>
    </cfRule>
  </conditionalFormatting>
  <conditionalFormatting sqref="CC778:CC789">
    <cfRule type="expression" dxfId="301" priority="650">
      <formula>AND($J778="x",CC778&gt;0)</formula>
    </cfRule>
  </conditionalFormatting>
  <conditionalFormatting sqref="CC800:CC811">
    <cfRule type="expression" dxfId="300" priority="648">
      <formula>AND($J800="x",CC800&gt;0)</formula>
    </cfRule>
  </conditionalFormatting>
  <conditionalFormatting sqref="CC822:CC833">
    <cfRule type="expression" dxfId="299" priority="646">
      <formula>AND($J822="x",CC822&gt;0)</formula>
    </cfRule>
  </conditionalFormatting>
  <conditionalFormatting sqref="CC844:CC855">
    <cfRule type="expression" dxfId="298" priority="644">
      <formula>AND($J844="x",CC844&gt;0)</formula>
    </cfRule>
  </conditionalFormatting>
  <conditionalFormatting sqref="CC866:CC877">
    <cfRule type="expression" dxfId="297" priority="642">
      <formula>AND($J866="x",CC866&gt;0)</formula>
    </cfRule>
  </conditionalFormatting>
  <conditionalFormatting sqref="CC888:CC899">
    <cfRule type="expression" dxfId="296" priority="640">
      <formula>AND($J888="x",CC888&gt;0)</formula>
    </cfRule>
  </conditionalFormatting>
  <conditionalFormatting sqref="CD8:CD19">
    <cfRule type="expression" dxfId="295" priority="4875">
      <formula>AND($K8="x",CD8&gt;0)</formula>
    </cfRule>
  </conditionalFormatting>
  <conditionalFormatting sqref="CD30:CD41">
    <cfRule type="expression" dxfId="294" priority="4092">
      <formula>AND($K30="x",CD30&gt;0)</formula>
    </cfRule>
  </conditionalFormatting>
  <conditionalFormatting sqref="CD52:CD63">
    <cfRule type="expression" dxfId="293" priority="280">
      <formula>AND($K52="x",CD52&gt;0)</formula>
    </cfRule>
  </conditionalFormatting>
  <conditionalFormatting sqref="CD74:CD85">
    <cfRule type="expression" dxfId="292" priority="2329">
      <formula>AND($K74="x",CD74&gt;0)</formula>
    </cfRule>
  </conditionalFormatting>
  <conditionalFormatting sqref="CD96:CD107">
    <cfRule type="expression" dxfId="291" priority="2286">
      <formula>AND($K96="x",CD96&gt;0)</formula>
    </cfRule>
  </conditionalFormatting>
  <conditionalFormatting sqref="CD118:CD129">
    <cfRule type="expression" dxfId="290" priority="2243">
      <formula>AND($K118="x",CD118&gt;0)</formula>
    </cfRule>
  </conditionalFormatting>
  <conditionalFormatting sqref="CD140:CD151">
    <cfRule type="expression" dxfId="289" priority="2200">
      <formula>AND($K140="x",CD140&gt;0)</formula>
    </cfRule>
  </conditionalFormatting>
  <conditionalFormatting sqref="CD162:CD173">
    <cfRule type="expression" dxfId="288" priority="2157">
      <formula>AND($K162="x",CD162&gt;0)</formula>
    </cfRule>
  </conditionalFormatting>
  <conditionalFormatting sqref="CD184:CD195">
    <cfRule type="expression" dxfId="287" priority="2114">
      <formula>AND($K184="x",CD184&gt;0)</formula>
    </cfRule>
  </conditionalFormatting>
  <conditionalFormatting sqref="CD206:CD217">
    <cfRule type="expression" dxfId="286" priority="2071">
      <formula>AND($K206="x",CD206&gt;0)</formula>
    </cfRule>
  </conditionalFormatting>
  <conditionalFormatting sqref="CD228:CD239">
    <cfRule type="expression" dxfId="285" priority="2028">
      <formula>AND($K228="x",CD228&gt;0)</formula>
    </cfRule>
  </conditionalFormatting>
  <conditionalFormatting sqref="CD250:CD261">
    <cfRule type="expression" dxfId="284" priority="1985">
      <formula>AND($K250="x",CD250&gt;0)</formula>
    </cfRule>
  </conditionalFormatting>
  <conditionalFormatting sqref="CD272:CD283">
    <cfRule type="expression" dxfId="283" priority="1942">
      <formula>AND($K272="x",CD272&gt;0)</formula>
    </cfRule>
  </conditionalFormatting>
  <conditionalFormatting sqref="CD294:CD305">
    <cfRule type="expression" dxfId="282" priority="1899">
      <formula>AND($K294="x",CD294&gt;0)</formula>
    </cfRule>
  </conditionalFormatting>
  <conditionalFormatting sqref="CD316:CD327">
    <cfRule type="expression" dxfId="281" priority="1856">
      <formula>AND($K316="x",CD316&gt;0)</formula>
    </cfRule>
  </conditionalFormatting>
  <conditionalFormatting sqref="CD338:CD349">
    <cfRule type="expression" dxfId="280" priority="1813">
      <formula>AND($K338="x",CD338&gt;0)</formula>
    </cfRule>
  </conditionalFormatting>
  <conditionalFormatting sqref="CD360:CD371">
    <cfRule type="expression" dxfId="279" priority="1770">
      <formula>AND($K360="x",CD360&gt;0)</formula>
    </cfRule>
  </conditionalFormatting>
  <conditionalFormatting sqref="CD382:CD393">
    <cfRule type="expression" dxfId="278" priority="1727">
      <formula>AND($K382="x",CD382&gt;0)</formula>
    </cfRule>
  </conditionalFormatting>
  <conditionalFormatting sqref="CD404:CD415">
    <cfRule type="expression" dxfId="277" priority="1684">
      <formula>AND($K404="x",CD404&gt;0)</formula>
    </cfRule>
  </conditionalFormatting>
  <conditionalFormatting sqref="CD426:CD437">
    <cfRule type="expression" dxfId="276" priority="1641">
      <formula>AND($K426="x",CD426&gt;0)</formula>
    </cfRule>
  </conditionalFormatting>
  <conditionalFormatting sqref="CD448:CD459">
    <cfRule type="expression" dxfId="275" priority="1598">
      <formula>AND($K448="x",CD448&gt;0)</formula>
    </cfRule>
  </conditionalFormatting>
  <conditionalFormatting sqref="CD470:CD481">
    <cfRule type="expression" dxfId="274" priority="1555">
      <formula>AND($K470="x",CD470&gt;0)</formula>
    </cfRule>
  </conditionalFormatting>
  <conditionalFormatting sqref="CD492:CD503">
    <cfRule type="expression" dxfId="273" priority="1512">
      <formula>AND($K492="x",CD492&gt;0)</formula>
    </cfRule>
  </conditionalFormatting>
  <conditionalFormatting sqref="CD514:CD525">
    <cfRule type="expression" dxfId="272" priority="1469">
      <formula>AND($K514="x",CD514&gt;0)</formula>
    </cfRule>
  </conditionalFormatting>
  <conditionalFormatting sqref="CD536:CD547">
    <cfRule type="expression" dxfId="271" priority="1426">
      <formula>AND($K536="x",CD536&gt;0)</formula>
    </cfRule>
  </conditionalFormatting>
  <conditionalFormatting sqref="CD558:CD569">
    <cfRule type="expression" dxfId="270" priority="1383">
      <formula>AND($K558="x",CD558&gt;0)</formula>
    </cfRule>
  </conditionalFormatting>
  <conditionalFormatting sqref="CD580:CD591">
    <cfRule type="expression" dxfId="269" priority="1340">
      <formula>AND($K580="x",CD580&gt;0)</formula>
    </cfRule>
  </conditionalFormatting>
  <conditionalFormatting sqref="CD602:CD613">
    <cfRule type="expression" dxfId="268" priority="1297">
      <formula>AND($K602="x",CD602&gt;0)</formula>
    </cfRule>
  </conditionalFormatting>
  <conditionalFormatting sqref="CD624:CD635">
    <cfRule type="expression" dxfId="267" priority="1254">
      <formula>AND($K624="x",CD624&gt;0)</formula>
    </cfRule>
  </conditionalFormatting>
  <conditionalFormatting sqref="CD646:CD657">
    <cfRule type="expression" dxfId="266" priority="1211">
      <formula>AND($K646="x",CD646&gt;0)</formula>
    </cfRule>
  </conditionalFormatting>
  <conditionalFormatting sqref="CD668:CD679">
    <cfRule type="expression" dxfId="265" priority="1168">
      <formula>AND($K668="x",CD668&gt;0)</formula>
    </cfRule>
  </conditionalFormatting>
  <conditionalFormatting sqref="CD690:CD701">
    <cfRule type="expression" dxfId="264" priority="1125">
      <formula>AND($K690="x",CD690&gt;0)</formula>
    </cfRule>
  </conditionalFormatting>
  <conditionalFormatting sqref="CD712:CD723">
    <cfRule type="expression" dxfId="263" priority="1082">
      <formula>AND($K712="x",CD712&gt;0)</formula>
    </cfRule>
  </conditionalFormatting>
  <conditionalFormatting sqref="CD734:CD745">
    <cfRule type="expression" dxfId="262" priority="1039">
      <formula>AND($K734="x",CD734&gt;0)</formula>
    </cfRule>
  </conditionalFormatting>
  <conditionalFormatting sqref="CD756:CD767">
    <cfRule type="expression" dxfId="261" priority="996">
      <formula>AND($K756="x",CD756&gt;0)</formula>
    </cfRule>
  </conditionalFormatting>
  <conditionalFormatting sqref="CD778:CD789">
    <cfRule type="expression" dxfId="260" priority="953">
      <formula>AND($K778="x",CD778&gt;0)</formula>
    </cfRule>
  </conditionalFormatting>
  <conditionalFormatting sqref="CD800:CD811">
    <cfRule type="expression" dxfId="259" priority="910">
      <formula>AND($K800="x",CD800&gt;0)</formula>
    </cfRule>
  </conditionalFormatting>
  <conditionalFormatting sqref="CD822:CD833">
    <cfRule type="expression" dxfId="258" priority="867">
      <formula>AND($K822="x",CD822&gt;0)</formula>
    </cfRule>
  </conditionalFormatting>
  <conditionalFormatting sqref="CD844:CD855">
    <cfRule type="expression" dxfId="257" priority="824">
      <formula>AND($K844="x",CD844&gt;0)</formula>
    </cfRule>
  </conditionalFormatting>
  <conditionalFormatting sqref="CD866:CD877">
    <cfRule type="expression" dxfId="256" priority="781">
      <formula>AND($K866="x",CD866&gt;0)</formula>
    </cfRule>
  </conditionalFormatting>
  <conditionalFormatting sqref="CD888:CD899">
    <cfRule type="expression" dxfId="255" priority="738">
      <formula>AND($K888="x",CD888&gt;0)</formula>
    </cfRule>
  </conditionalFormatting>
  <conditionalFormatting sqref="CJ224:CK224">
    <cfRule type="top10" dxfId="254" priority="126" rank="1"/>
  </conditionalFormatting>
  <conditionalFormatting sqref="CK8:CK19">
    <cfRule type="expression" dxfId="253" priority="4874">
      <formula>AND($I8="x",CK8&gt;0)</formula>
    </cfRule>
  </conditionalFormatting>
  <conditionalFormatting sqref="CK30:CK41">
    <cfRule type="expression" dxfId="252" priority="4091">
      <formula>AND($I30="x",CK30&gt;0)</formula>
    </cfRule>
  </conditionalFormatting>
  <conditionalFormatting sqref="CK52:CK63">
    <cfRule type="expression" dxfId="251" priority="279">
      <formula>AND($I52="x",CK52&gt;0)</formula>
    </cfRule>
  </conditionalFormatting>
  <conditionalFormatting sqref="CK74:CK85">
    <cfRule type="expression" dxfId="250" priority="2328">
      <formula>AND($I74="x",CK74&gt;0)</formula>
    </cfRule>
  </conditionalFormatting>
  <conditionalFormatting sqref="CK96:CK107">
    <cfRule type="expression" dxfId="249" priority="2285">
      <formula>AND($I96="x",CK96&gt;0)</formula>
    </cfRule>
  </conditionalFormatting>
  <conditionalFormatting sqref="CK118:CK129">
    <cfRule type="expression" dxfId="248" priority="2242">
      <formula>AND($I118="x",CK118&gt;0)</formula>
    </cfRule>
  </conditionalFormatting>
  <conditionalFormatting sqref="CK140:CK151">
    <cfRule type="expression" dxfId="247" priority="2199">
      <formula>AND($I140="x",CK140&gt;0)</formula>
    </cfRule>
  </conditionalFormatting>
  <conditionalFormatting sqref="CK162:CK173">
    <cfRule type="expression" dxfId="246" priority="2156">
      <formula>AND($I162="x",CK162&gt;0)</formula>
    </cfRule>
  </conditionalFormatting>
  <conditionalFormatting sqref="CK184:CK195">
    <cfRule type="expression" dxfId="245" priority="2113">
      <formula>AND($I184="x",CK184&gt;0)</formula>
    </cfRule>
  </conditionalFormatting>
  <conditionalFormatting sqref="CK206:CK217">
    <cfRule type="expression" dxfId="244" priority="2070">
      <formula>AND($I206="x",CK206&gt;0)</formula>
    </cfRule>
  </conditionalFormatting>
  <conditionalFormatting sqref="CK228:CK239">
    <cfRule type="expression" dxfId="243" priority="297">
      <formula>AND($I228="x",CK228&gt;0)</formula>
    </cfRule>
  </conditionalFormatting>
  <conditionalFormatting sqref="CK250:CK261">
    <cfRule type="expression" dxfId="242" priority="1984">
      <formula>AND($I250="x",CK250&gt;0)</formula>
    </cfRule>
  </conditionalFormatting>
  <conditionalFormatting sqref="CK272:CK283">
    <cfRule type="expression" dxfId="241" priority="1941">
      <formula>AND($I272="x",CK272&gt;0)</formula>
    </cfRule>
  </conditionalFormatting>
  <conditionalFormatting sqref="CK294:CK305">
    <cfRule type="expression" dxfId="240" priority="1898">
      <formula>AND($I294="x",CK294&gt;0)</formula>
    </cfRule>
  </conditionalFormatting>
  <conditionalFormatting sqref="CK316:CK327">
    <cfRule type="expression" dxfId="239" priority="1855">
      <formula>AND($I316="x",CK316&gt;0)</formula>
    </cfRule>
  </conditionalFormatting>
  <conditionalFormatting sqref="CK338:CK349">
    <cfRule type="expression" dxfId="238" priority="1812">
      <formula>AND($I338="x",CK338&gt;0)</formula>
    </cfRule>
  </conditionalFormatting>
  <conditionalFormatting sqref="CK360:CK371">
    <cfRule type="expression" dxfId="237" priority="260">
      <formula>AND($I360="x",CK360&gt;0)</formula>
    </cfRule>
  </conditionalFormatting>
  <conditionalFormatting sqref="CK382:CK393">
    <cfRule type="expression" dxfId="236" priority="1726">
      <formula>AND($I382="x",CK382&gt;0)</formula>
    </cfRule>
  </conditionalFormatting>
  <conditionalFormatting sqref="CK404:CK415">
    <cfRule type="expression" dxfId="235" priority="1683">
      <formula>AND($I404="x",CK404&gt;0)</formula>
    </cfRule>
  </conditionalFormatting>
  <conditionalFormatting sqref="CK426:CK437">
    <cfRule type="expression" dxfId="234" priority="1640">
      <formula>AND($I426="x",CK426&gt;0)</formula>
    </cfRule>
  </conditionalFormatting>
  <conditionalFormatting sqref="CK448:CK459">
    <cfRule type="expression" dxfId="233" priority="1597">
      <formula>AND($I448="x",CK448&gt;0)</formula>
    </cfRule>
  </conditionalFormatting>
  <conditionalFormatting sqref="CK470:CK481">
    <cfRule type="expression" dxfId="232" priority="1554">
      <formula>AND($I470="x",CK470&gt;0)</formula>
    </cfRule>
  </conditionalFormatting>
  <conditionalFormatting sqref="CK492:CK503">
    <cfRule type="expression" dxfId="231" priority="1511">
      <formula>AND($I492="x",CK492&gt;0)</formula>
    </cfRule>
  </conditionalFormatting>
  <conditionalFormatting sqref="CK514:CK525">
    <cfRule type="expression" dxfId="230" priority="1468">
      <formula>AND($I514="x",CK514&gt;0)</formula>
    </cfRule>
  </conditionalFormatting>
  <conditionalFormatting sqref="CK536:CK547">
    <cfRule type="expression" dxfId="229" priority="1425">
      <formula>AND($I536="x",CK536&gt;0)</formula>
    </cfRule>
  </conditionalFormatting>
  <conditionalFormatting sqref="CK558:CK569">
    <cfRule type="expression" dxfId="228" priority="1382">
      <formula>AND($I558="x",CK558&gt;0)</formula>
    </cfRule>
  </conditionalFormatting>
  <conditionalFormatting sqref="CK580:CK591">
    <cfRule type="expression" dxfId="227" priority="1339">
      <formula>AND($I580="x",CK580&gt;0)</formula>
    </cfRule>
  </conditionalFormatting>
  <conditionalFormatting sqref="CK602:CK613">
    <cfRule type="expression" dxfId="226" priority="1296">
      <formula>AND($I602="x",CK602&gt;0)</formula>
    </cfRule>
  </conditionalFormatting>
  <conditionalFormatting sqref="CK624:CK635">
    <cfRule type="expression" dxfId="225" priority="1253">
      <formula>AND($I624="x",CK624&gt;0)</formula>
    </cfRule>
  </conditionalFormatting>
  <conditionalFormatting sqref="CK646:CK657">
    <cfRule type="expression" dxfId="224" priority="1210">
      <formula>AND($I646="x",CK646&gt;0)</formula>
    </cfRule>
  </conditionalFormatting>
  <conditionalFormatting sqref="CK668:CK679">
    <cfRule type="expression" dxfId="223" priority="1167">
      <formula>AND($I668="x",CK668&gt;0)</formula>
    </cfRule>
  </conditionalFormatting>
  <conditionalFormatting sqref="CK690:CK701">
    <cfRule type="expression" dxfId="222" priority="1124">
      <formula>AND($I690="x",CK690&gt;0)</formula>
    </cfRule>
  </conditionalFormatting>
  <conditionalFormatting sqref="CK712:CK723">
    <cfRule type="expression" dxfId="221" priority="1081">
      <formula>AND($I712="x",CK712&gt;0)</formula>
    </cfRule>
  </conditionalFormatting>
  <conditionalFormatting sqref="CK734:CK745">
    <cfRule type="expression" dxfId="220" priority="1038">
      <formula>AND($I734="x",CK734&gt;0)</formula>
    </cfRule>
  </conditionalFormatting>
  <conditionalFormatting sqref="CK756:CK767">
    <cfRule type="expression" dxfId="219" priority="995">
      <formula>AND($I756="x",CK756&gt;0)</formula>
    </cfRule>
  </conditionalFormatting>
  <conditionalFormatting sqref="CK778:CK789">
    <cfRule type="expression" dxfId="218" priority="952">
      <formula>AND($I778="x",CK778&gt;0)</formula>
    </cfRule>
  </conditionalFormatting>
  <conditionalFormatting sqref="CK800:CK811">
    <cfRule type="expression" dxfId="217" priority="909">
      <formula>AND($I800="x",CK800&gt;0)</formula>
    </cfRule>
  </conditionalFormatting>
  <conditionalFormatting sqref="CK822:CK833">
    <cfRule type="expression" dxfId="216" priority="866">
      <formula>AND($I822="x",CK822&gt;0)</formula>
    </cfRule>
  </conditionalFormatting>
  <conditionalFormatting sqref="CK844:CK855">
    <cfRule type="expression" dxfId="215" priority="823">
      <formula>AND($I844="x",CK844&gt;0)</formula>
    </cfRule>
  </conditionalFormatting>
  <conditionalFormatting sqref="CK866:CK877">
    <cfRule type="expression" dxfId="214" priority="780">
      <formula>AND($I866="x",CK866&gt;0)</formula>
    </cfRule>
  </conditionalFormatting>
  <conditionalFormatting sqref="CK888:CK899">
    <cfRule type="expression" dxfId="213" priority="737">
      <formula>AND($I888="x",CK888&gt;0)</formula>
    </cfRule>
  </conditionalFormatting>
  <conditionalFormatting sqref="CL4">
    <cfRule type="top10" dxfId="212" priority="4174" rank="1"/>
  </conditionalFormatting>
  <conditionalFormatting sqref="CL8:CL19">
    <cfRule type="expression" dxfId="211" priority="4873">
      <formula>AND($J8="x",CL8&gt;0)</formula>
    </cfRule>
  </conditionalFormatting>
  <conditionalFormatting sqref="CL26">
    <cfRule type="top10" dxfId="210" priority="218" rank="1"/>
  </conditionalFormatting>
  <conditionalFormatting sqref="CL30:CL41">
    <cfRule type="expression" dxfId="209" priority="4090">
      <formula>AND($J30="x",CL30&gt;0)</formula>
    </cfRule>
  </conditionalFormatting>
  <conditionalFormatting sqref="CL48">
    <cfRule type="top10" dxfId="208" priority="216" rank="1"/>
  </conditionalFormatting>
  <conditionalFormatting sqref="CL52:CL63">
    <cfRule type="expression" dxfId="207" priority="278">
      <formula>AND($J52="x",CL52&gt;0)</formula>
    </cfRule>
  </conditionalFormatting>
  <conditionalFormatting sqref="CL70">
    <cfRule type="top10" dxfId="206" priority="214" rank="1"/>
  </conditionalFormatting>
  <conditionalFormatting sqref="CL74:CL85">
    <cfRule type="expression" dxfId="205" priority="2327">
      <formula>AND($J74="x",CL74&gt;0)</formula>
    </cfRule>
  </conditionalFormatting>
  <conditionalFormatting sqref="CL92">
    <cfRule type="top10" dxfId="204" priority="212" rank="1"/>
  </conditionalFormatting>
  <conditionalFormatting sqref="CL96:CL107">
    <cfRule type="expression" dxfId="203" priority="2284">
      <formula>AND($J96="x",CL96&gt;0)</formula>
    </cfRule>
  </conditionalFormatting>
  <conditionalFormatting sqref="CL114">
    <cfRule type="top10" dxfId="202" priority="210" rank="1"/>
  </conditionalFormatting>
  <conditionalFormatting sqref="CL118:CL129">
    <cfRule type="expression" dxfId="201" priority="2241">
      <formula>AND($J118="x",CL118&gt;0)</formula>
    </cfRule>
  </conditionalFormatting>
  <conditionalFormatting sqref="CL136">
    <cfRule type="top10" dxfId="200" priority="208" rank="1"/>
  </conditionalFormatting>
  <conditionalFormatting sqref="CL140:CL151">
    <cfRule type="expression" dxfId="199" priority="2198">
      <formula>AND($J140="x",CL140&gt;0)</formula>
    </cfRule>
  </conditionalFormatting>
  <conditionalFormatting sqref="CL158">
    <cfRule type="top10" dxfId="198" priority="206" rank="1"/>
  </conditionalFormatting>
  <conditionalFormatting sqref="CL162:CL173">
    <cfRule type="expression" dxfId="197" priority="2155">
      <formula>AND($J162="x",CL162&gt;0)</formula>
    </cfRule>
  </conditionalFormatting>
  <conditionalFormatting sqref="CL180">
    <cfRule type="top10" dxfId="196" priority="204" rank="1"/>
  </conditionalFormatting>
  <conditionalFormatting sqref="CL184:CL195">
    <cfRule type="expression" dxfId="195" priority="2112">
      <formula>AND($J184="x",CL184&gt;0)</formula>
    </cfRule>
  </conditionalFormatting>
  <conditionalFormatting sqref="CL202">
    <cfRule type="top10" dxfId="194" priority="202" rank="1"/>
  </conditionalFormatting>
  <conditionalFormatting sqref="CL206:CL217">
    <cfRule type="expression" dxfId="193" priority="2069">
      <formula>AND($J206="x",CL206&gt;0)</formula>
    </cfRule>
  </conditionalFormatting>
  <conditionalFormatting sqref="CL224">
    <cfRule type="top10" dxfId="192" priority="127" rank="1"/>
  </conditionalFormatting>
  <conditionalFormatting sqref="CL228:CL239">
    <cfRule type="expression" dxfId="191" priority="296">
      <formula>AND($J228="x",CL228&gt;0)</formula>
    </cfRule>
  </conditionalFormatting>
  <conditionalFormatting sqref="CL246">
    <cfRule type="top10" dxfId="190" priority="198" rank="1"/>
  </conditionalFormatting>
  <conditionalFormatting sqref="CL250:CL261">
    <cfRule type="expression" dxfId="189" priority="1983">
      <formula>AND($J250="x",CL250&gt;0)</formula>
    </cfRule>
  </conditionalFormatting>
  <conditionalFormatting sqref="CL268">
    <cfRule type="top10" dxfId="188" priority="196" rank="1"/>
  </conditionalFormatting>
  <conditionalFormatting sqref="CL272:CL283">
    <cfRule type="expression" dxfId="187" priority="1940">
      <formula>AND($J272="x",CL272&gt;0)</formula>
    </cfRule>
  </conditionalFormatting>
  <conditionalFormatting sqref="CL290">
    <cfRule type="top10" dxfId="186" priority="194" rank="1"/>
  </conditionalFormatting>
  <conditionalFormatting sqref="CL294:CL305">
    <cfRule type="expression" dxfId="185" priority="1897">
      <formula>AND($J294="x",CL294&gt;0)</formula>
    </cfRule>
  </conditionalFormatting>
  <conditionalFormatting sqref="CL312">
    <cfRule type="top10" dxfId="184" priority="192" rank="1"/>
  </conditionalFormatting>
  <conditionalFormatting sqref="CL316:CL327">
    <cfRule type="expression" dxfId="183" priority="1854">
      <formula>AND($J316="x",CL316&gt;0)</formula>
    </cfRule>
  </conditionalFormatting>
  <conditionalFormatting sqref="CL334">
    <cfRule type="top10" dxfId="182" priority="190" rank="1"/>
  </conditionalFormatting>
  <conditionalFormatting sqref="CL338:CL349">
    <cfRule type="expression" dxfId="181" priority="1811">
      <formula>AND($J338="x",CL338&gt;0)</formula>
    </cfRule>
  </conditionalFormatting>
  <conditionalFormatting sqref="CL356">
    <cfRule type="top10" dxfId="180" priority="188" rank="1"/>
  </conditionalFormatting>
  <conditionalFormatting sqref="CL360:CL371">
    <cfRule type="expression" dxfId="179" priority="259">
      <formula>AND($J360="x",CL360&gt;0)</formula>
    </cfRule>
  </conditionalFormatting>
  <conditionalFormatting sqref="CL378">
    <cfRule type="top10" dxfId="178" priority="186" rank="1"/>
  </conditionalFormatting>
  <conditionalFormatting sqref="CL382:CL393">
    <cfRule type="expression" dxfId="177" priority="1725">
      <formula>AND($J382="x",CL382&gt;0)</formula>
    </cfRule>
  </conditionalFormatting>
  <conditionalFormatting sqref="CL400">
    <cfRule type="top10" dxfId="176" priority="184" rank="1"/>
  </conditionalFormatting>
  <conditionalFormatting sqref="CL404:CL415">
    <cfRule type="expression" dxfId="175" priority="1682">
      <formula>AND($J404="x",CL404&gt;0)</formula>
    </cfRule>
  </conditionalFormatting>
  <conditionalFormatting sqref="CL422">
    <cfRule type="top10" dxfId="174" priority="182" rank="1"/>
  </conditionalFormatting>
  <conditionalFormatting sqref="CL426:CL437">
    <cfRule type="expression" dxfId="173" priority="1639">
      <formula>AND($J426="x",CL426&gt;0)</formula>
    </cfRule>
  </conditionalFormatting>
  <conditionalFormatting sqref="CL444">
    <cfRule type="top10" dxfId="172" priority="180" rank="1"/>
  </conditionalFormatting>
  <conditionalFormatting sqref="CL448:CL459">
    <cfRule type="expression" dxfId="171" priority="1596">
      <formula>AND($J448="x",CL448&gt;0)</formula>
    </cfRule>
  </conditionalFormatting>
  <conditionalFormatting sqref="CL466">
    <cfRule type="top10" dxfId="170" priority="178" rank="1"/>
  </conditionalFormatting>
  <conditionalFormatting sqref="CL470:CL481">
    <cfRule type="expression" dxfId="169" priority="1553">
      <formula>AND($J470="x",CL470&gt;0)</formula>
    </cfRule>
  </conditionalFormatting>
  <conditionalFormatting sqref="CL488">
    <cfRule type="top10" dxfId="168" priority="176" rank="1"/>
  </conditionalFormatting>
  <conditionalFormatting sqref="CL492:CL503">
    <cfRule type="expression" dxfId="167" priority="1510">
      <formula>AND($J492="x",CL492&gt;0)</formula>
    </cfRule>
  </conditionalFormatting>
  <conditionalFormatting sqref="CL510">
    <cfRule type="top10" dxfId="166" priority="174" rank="1"/>
  </conditionalFormatting>
  <conditionalFormatting sqref="CL514:CL525">
    <cfRule type="expression" dxfId="165" priority="1467">
      <formula>AND($J514="x",CL514&gt;0)</formula>
    </cfRule>
  </conditionalFormatting>
  <conditionalFormatting sqref="CL532">
    <cfRule type="top10" dxfId="164" priority="172" rank="1"/>
  </conditionalFormatting>
  <conditionalFormatting sqref="CL536:CL547">
    <cfRule type="expression" dxfId="163" priority="1424">
      <formula>AND($J536="x",CL536&gt;0)</formula>
    </cfRule>
  </conditionalFormatting>
  <conditionalFormatting sqref="CL554">
    <cfRule type="top10" dxfId="162" priority="170" rank="1"/>
  </conditionalFormatting>
  <conditionalFormatting sqref="CL558:CL569">
    <cfRule type="expression" dxfId="161" priority="1381">
      <formula>AND($J558="x",CL558&gt;0)</formula>
    </cfRule>
  </conditionalFormatting>
  <conditionalFormatting sqref="CL576">
    <cfRule type="top10" dxfId="160" priority="168" rank="1"/>
  </conditionalFormatting>
  <conditionalFormatting sqref="CL580:CL591">
    <cfRule type="expression" dxfId="159" priority="1338">
      <formula>AND($J580="x",CL580&gt;0)</formula>
    </cfRule>
  </conditionalFormatting>
  <conditionalFormatting sqref="CL598">
    <cfRule type="top10" dxfId="158" priority="166" rank="1"/>
  </conditionalFormatting>
  <conditionalFormatting sqref="CL602:CL613">
    <cfRule type="expression" dxfId="157" priority="1295">
      <formula>AND($J602="x",CL602&gt;0)</formula>
    </cfRule>
  </conditionalFormatting>
  <conditionalFormatting sqref="CL620">
    <cfRule type="top10" dxfId="156" priority="164" rank="1"/>
  </conditionalFormatting>
  <conditionalFormatting sqref="CL624:CL635">
    <cfRule type="expression" dxfId="155" priority="1252">
      <formula>AND($J624="x",CL624&gt;0)</formula>
    </cfRule>
  </conditionalFormatting>
  <conditionalFormatting sqref="CL642">
    <cfRule type="top10" dxfId="154" priority="162" rank="1"/>
  </conditionalFormatting>
  <conditionalFormatting sqref="CL646:CL657">
    <cfRule type="expression" dxfId="153" priority="1209">
      <formula>AND($J646="x",CL646&gt;0)</formula>
    </cfRule>
  </conditionalFormatting>
  <conditionalFormatting sqref="CL664">
    <cfRule type="top10" dxfId="152" priority="160" rank="1"/>
  </conditionalFormatting>
  <conditionalFormatting sqref="CL668:CL679">
    <cfRule type="expression" dxfId="151" priority="1166">
      <formula>AND($J668="x",CL668&gt;0)</formula>
    </cfRule>
  </conditionalFormatting>
  <conditionalFormatting sqref="CL686">
    <cfRule type="top10" dxfId="150" priority="158" rank="1"/>
  </conditionalFormatting>
  <conditionalFormatting sqref="CL690:CL701">
    <cfRule type="expression" dxfId="149" priority="1123">
      <formula>AND($J690="x",CL690&gt;0)</formula>
    </cfRule>
  </conditionalFormatting>
  <conditionalFormatting sqref="CL708">
    <cfRule type="top10" dxfId="148" priority="156" rank="1"/>
  </conditionalFormatting>
  <conditionalFormatting sqref="CL712:CL723">
    <cfRule type="expression" dxfId="147" priority="1080">
      <formula>AND($J712="x",CL712&gt;0)</formula>
    </cfRule>
  </conditionalFormatting>
  <conditionalFormatting sqref="CL730">
    <cfRule type="top10" dxfId="146" priority="154" rank="1"/>
  </conditionalFormatting>
  <conditionalFormatting sqref="CL734:CL745">
    <cfRule type="expression" dxfId="145" priority="1037">
      <formula>AND($J734="x",CL734&gt;0)</formula>
    </cfRule>
  </conditionalFormatting>
  <conditionalFormatting sqref="CL752">
    <cfRule type="top10" dxfId="144" priority="152" rank="1"/>
  </conditionalFormatting>
  <conditionalFormatting sqref="CL756:CL767">
    <cfRule type="expression" dxfId="143" priority="994">
      <formula>AND($J756="x",CL756&gt;0)</formula>
    </cfRule>
  </conditionalFormatting>
  <conditionalFormatting sqref="CL774">
    <cfRule type="top10" dxfId="142" priority="150" rank="1"/>
  </conditionalFormatting>
  <conditionalFormatting sqref="CL778:CL789">
    <cfRule type="expression" dxfId="141" priority="951">
      <formula>AND($J778="x",CL778&gt;0)</formula>
    </cfRule>
  </conditionalFormatting>
  <conditionalFormatting sqref="CL796">
    <cfRule type="top10" dxfId="140" priority="148" rank="1"/>
  </conditionalFormatting>
  <conditionalFormatting sqref="CL800:CL811">
    <cfRule type="expression" dxfId="139" priority="908">
      <formula>AND($J800="x",CL800&gt;0)</formula>
    </cfRule>
  </conditionalFormatting>
  <conditionalFormatting sqref="CL818">
    <cfRule type="top10" dxfId="138" priority="146" rank="1"/>
  </conditionalFormatting>
  <conditionalFormatting sqref="CL822:CL833">
    <cfRule type="expression" dxfId="137" priority="865">
      <formula>AND($J822="x",CL822&gt;0)</formula>
    </cfRule>
  </conditionalFormatting>
  <conditionalFormatting sqref="CL840">
    <cfRule type="top10" dxfId="136" priority="144" rank="1"/>
  </conditionalFormatting>
  <conditionalFormatting sqref="CL844:CL855">
    <cfRule type="expression" dxfId="135" priority="822">
      <formula>AND($J844="x",CL844&gt;0)</formula>
    </cfRule>
  </conditionalFormatting>
  <conditionalFormatting sqref="CL862">
    <cfRule type="top10" dxfId="134" priority="142" rank="1"/>
  </conditionalFormatting>
  <conditionalFormatting sqref="CL866:CL877">
    <cfRule type="expression" dxfId="133" priority="779">
      <formula>AND($J866="x",CL866&gt;0)</formula>
    </cfRule>
  </conditionalFormatting>
  <conditionalFormatting sqref="CL884">
    <cfRule type="top10" dxfId="132" priority="140" rank="1"/>
  </conditionalFormatting>
  <conditionalFormatting sqref="CL888:CL899">
    <cfRule type="expression" dxfId="131" priority="736">
      <formula>AND($J888="x",CL888&gt;0)</formula>
    </cfRule>
  </conditionalFormatting>
  <conditionalFormatting sqref="CM4">
    <cfRule type="top10" dxfId="130" priority="12" rank="1"/>
  </conditionalFormatting>
  <conditionalFormatting sqref="CM8:CM19">
    <cfRule type="expression" dxfId="129" priority="44">
      <formula>OR(CM8&gt;80,CM8&lt;10)</formula>
    </cfRule>
    <cfRule type="expression" dxfId="128" priority="45">
      <formula>AND($K8="x",CM8&gt;0)</formula>
    </cfRule>
  </conditionalFormatting>
  <conditionalFormatting sqref="CM26">
    <cfRule type="top10" dxfId="127" priority="13" rank="1"/>
  </conditionalFormatting>
  <conditionalFormatting sqref="CM30:CM41">
    <cfRule type="expression" dxfId="126" priority="124">
      <formula>OR(CM30&gt;80,CM30&lt;10)</formula>
    </cfRule>
    <cfRule type="expression" dxfId="125" priority="125">
      <formula>AND($K30="x",CM30&gt;0)</formula>
    </cfRule>
  </conditionalFormatting>
  <conditionalFormatting sqref="CM48">
    <cfRule type="top10" dxfId="124" priority="14" rank="1"/>
  </conditionalFormatting>
  <conditionalFormatting sqref="CM52:CM63">
    <cfRule type="expression" dxfId="123" priority="46">
      <formula>OR(CM52&gt;80,CM52&lt;10)</formula>
    </cfRule>
    <cfRule type="expression" dxfId="122" priority="47">
      <formula>AND($K52="x",CM52&gt;0)</formula>
    </cfRule>
  </conditionalFormatting>
  <conditionalFormatting sqref="CM70">
    <cfRule type="top10" dxfId="121" priority="15" rank="1"/>
  </conditionalFormatting>
  <conditionalFormatting sqref="CM74:CM85">
    <cfRule type="expression" dxfId="120" priority="122">
      <formula>OR(CM74&gt;80,CM74&lt;10)</formula>
    </cfRule>
    <cfRule type="expression" dxfId="119" priority="123">
      <formula>AND($K74="x",CM74&gt;0)</formula>
    </cfRule>
  </conditionalFormatting>
  <conditionalFormatting sqref="CM92">
    <cfRule type="top10" dxfId="118" priority="16" rank="1"/>
  </conditionalFormatting>
  <conditionalFormatting sqref="CM96:CM107">
    <cfRule type="expression" dxfId="117" priority="120">
      <formula>OR(CM96&gt;80,CM96&lt;10)</formula>
    </cfRule>
    <cfRule type="expression" dxfId="116" priority="121">
      <formula>AND($K96="x",CM96&gt;0)</formula>
    </cfRule>
  </conditionalFormatting>
  <conditionalFormatting sqref="CM114">
    <cfRule type="top10" dxfId="115" priority="17" rank="1"/>
  </conditionalFormatting>
  <conditionalFormatting sqref="CM118:CM129">
    <cfRule type="expression" dxfId="114" priority="119">
      <formula>AND($K118="x",CM118&gt;0)</formula>
    </cfRule>
    <cfRule type="expression" dxfId="113" priority="118">
      <formula>OR(CM118&gt;80,CM118&lt;10)</formula>
    </cfRule>
  </conditionalFormatting>
  <conditionalFormatting sqref="CM136">
    <cfRule type="top10" dxfId="112" priority="18" rank="1"/>
  </conditionalFormatting>
  <conditionalFormatting sqref="CM140:CM151">
    <cfRule type="expression" dxfId="111" priority="117">
      <formula>AND($K140="x",CM140&gt;0)</formula>
    </cfRule>
    <cfRule type="expression" dxfId="110" priority="116">
      <formula>OR(CM140&gt;80,CM140&lt;10)</formula>
    </cfRule>
  </conditionalFormatting>
  <conditionalFormatting sqref="CM158">
    <cfRule type="top10" dxfId="109" priority="19" rank="1"/>
  </conditionalFormatting>
  <conditionalFormatting sqref="CM162:CM173">
    <cfRule type="expression" dxfId="108" priority="114">
      <formula>OR(CM162&gt;80,CM162&lt;10)</formula>
    </cfRule>
    <cfRule type="expression" dxfId="107" priority="115">
      <formula>AND($K162="x",CM162&gt;0)</formula>
    </cfRule>
  </conditionalFormatting>
  <conditionalFormatting sqref="CM180">
    <cfRule type="top10" dxfId="106" priority="20" rank="1"/>
  </conditionalFormatting>
  <conditionalFormatting sqref="CM184:CM195">
    <cfRule type="expression" dxfId="105" priority="112">
      <formula>OR(CM184&gt;80,CM184&lt;10)</formula>
    </cfRule>
    <cfRule type="expression" dxfId="104" priority="113">
      <formula>AND($K184="x",CM184&gt;0)</formula>
    </cfRule>
  </conditionalFormatting>
  <conditionalFormatting sqref="CM202">
    <cfRule type="top10" dxfId="103" priority="21" rank="1"/>
  </conditionalFormatting>
  <conditionalFormatting sqref="CM206:CM217">
    <cfRule type="expression" dxfId="102" priority="110">
      <formula>OR(CM206&gt;80,CM206&lt;10)</formula>
    </cfRule>
    <cfRule type="expression" dxfId="101" priority="111">
      <formula>AND($K206="x",CM206&gt;0)</formula>
    </cfRule>
  </conditionalFormatting>
  <conditionalFormatting sqref="CM224">
    <cfRule type="top10" dxfId="100" priority="22" rank="1"/>
  </conditionalFormatting>
  <conditionalFormatting sqref="CM228:CM239">
    <cfRule type="expression" dxfId="99" priority="108">
      <formula>OR(CM228&gt;80,CM228&lt;10)</formula>
    </cfRule>
    <cfRule type="expression" dxfId="98" priority="109">
      <formula>AND($K228="x",CM228&gt;0)</formula>
    </cfRule>
  </conditionalFormatting>
  <conditionalFormatting sqref="CM246">
    <cfRule type="top10" dxfId="97" priority="23" rank="1"/>
  </conditionalFormatting>
  <conditionalFormatting sqref="CM250:CM261">
    <cfRule type="expression" dxfId="96" priority="106">
      <formula>OR(CM250&gt;80,CM250&lt;10)</formula>
    </cfRule>
    <cfRule type="expression" dxfId="95" priority="107">
      <formula>AND($K250="x",CM250&gt;0)</formula>
    </cfRule>
  </conditionalFormatting>
  <conditionalFormatting sqref="CM268">
    <cfRule type="top10" dxfId="94" priority="24" rank="1"/>
  </conditionalFormatting>
  <conditionalFormatting sqref="CM272:CM283">
    <cfRule type="expression" dxfId="93" priority="104">
      <formula>OR(CM272&gt;80,CM272&lt;10)</formula>
    </cfRule>
    <cfRule type="expression" dxfId="92" priority="105">
      <formula>AND($K272="x",CM272&gt;0)</formula>
    </cfRule>
  </conditionalFormatting>
  <conditionalFormatting sqref="CM290">
    <cfRule type="top10" dxfId="91" priority="25" rank="1"/>
  </conditionalFormatting>
  <conditionalFormatting sqref="CM294:CM305">
    <cfRule type="expression" dxfId="90" priority="102">
      <formula>OR(CM294&gt;80,CM294&lt;10)</formula>
    </cfRule>
    <cfRule type="expression" dxfId="89" priority="103">
      <formula>AND($K294="x",CM294&gt;0)</formula>
    </cfRule>
  </conditionalFormatting>
  <conditionalFormatting sqref="CM312">
    <cfRule type="top10" dxfId="88" priority="26" rank="1"/>
  </conditionalFormatting>
  <conditionalFormatting sqref="CM316:CM327">
    <cfRule type="expression" dxfId="87" priority="100">
      <formula>OR(CM316&gt;80,CM316&lt;10)</formula>
    </cfRule>
    <cfRule type="expression" dxfId="86" priority="101">
      <formula>AND($K316="x",CM316&gt;0)</formula>
    </cfRule>
  </conditionalFormatting>
  <conditionalFormatting sqref="CM334">
    <cfRule type="top10" dxfId="85" priority="27" rank="1"/>
  </conditionalFormatting>
  <conditionalFormatting sqref="CM338:CM349">
    <cfRule type="expression" dxfId="84" priority="98">
      <formula>OR(CM338&gt;80,CM338&lt;10)</formula>
    </cfRule>
    <cfRule type="expression" dxfId="83" priority="99">
      <formula>AND($K338="x",CM338&gt;0)</formula>
    </cfRule>
  </conditionalFormatting>
  <conditionalFormatting sqref="CM356">
    <cfRule type="top10" dxfId="82" priority="28" rank="1"/>
  </conditionalFormatting>
  <conditionalFormatting sqref="CM360:CM371">
    <cfRule type="expression" dxfId="81" priority="97">
      <formula>AND($K360="x",CM360&gt;0)</formula>
    </cfRule>
    <cfRule type="expression" dxfId="80" priority="96">
      <formula>OR(CM360&gt;80,CM360&lt;10)</formula>
    </cfRule>
  </conditionalFormatting>
  <conditionalFormatting sqref="CM378">
    <cfRule type="top10" dxfId="79" priority="29" rank="1"/>
  </conditionalFormatting>
  <conditionalFormatting sqref="CM382:CM393">
    <cfRule type="expression" dxfId="78" priority="94">
      <formula>OR(CM382&gt;80,CM382&lt;10)</formula>
    </cfRule>
    <cfRule type="expression" dxfId="77" priority="95">
      <formula>AND($K382="x",CM382&gt;0)</formula>
    </cfRule>
  </conditionalFormatting>
  <conditionalFormatting sqref="CM400">
    <cfRule type="top10" dxfId="76" priority="30" rank="1"/>
  </conditionalFormatting>
  <conditionalFormatting sqref="CM404:CM415">
    <cfRule type="expression" dxfId="75" priority="93">
      <formula>AND($K404="x",CM404&gt;0)</formula>
    </cfRule>
    <cfRule type="expression" dxfId="74" priority="92">
      <formula>OR(CM404&gt;80,CM404&lt;10)</formula>
    </cfRule>
  </conditionalFormatting>
  <conditionalFormatting sqref="CM422">
    <cfRule type="top10" dxfId="73" priority="31" rank="1"/>
  </conditionalFormatting>
  <conditionalFormatting sqref="CM426:CM437">
    <cfRule type="expression" dxfId="72" priority="91">
      <formula>AND($K426="x",CM426&gt;0)</formula>
    </cfRule>
    <cfRule type="expression" dxfId="71" priority="90">
      <formula>OR(CM426&gt;80,CM426&lt;10)</formula>
    </cfRule>
  </conditionalFormatting>
  <conditionalFormatting sqref="CM444">
    <cfRule type="top10" dxfId="70" priority="32" rank="1"/>
  </conditionalFormatting>
  <conditionalFormatting sqref="CM448:CM459">
    <cfRule type="expression" dxfId="69" priority="89">
      <formula>AND($K448="x",CM448&gt;0)</formula>
    </cfRule>
    <cfRule type="expression" dxfId="68" priority="88">
      <formula>OR(CM448&gt;80,CM448&lt;10)</formula>
    </cfRule>
  </conditionalFormatting>
  <conditionalFormatting sqref="CM466">
    <cfRule type="top10" dxfId="67" priority="33" rank="1"/>
  </conditionalFormatting>
  <conditionalFormatting sqref="CM470:CM481">
    <cfRule type="expression" dxfId="66" priority="87">
      <formula>AND($K470="x",CM470&gt;0)</formula>
    </cfRule>
    <cfRule type="expression" dxfId="65" priority="86">
      <formula>OR(CM470&gt;80,CM470&lt;10)</formula>
    </cfRule>
  </conditionalFormatting>
  <conditionalFormatting sqref="CM488">
    <cfRule type="top10" dxfId="64" priority="34" rank="1"/>
  </conditionalFormatting>
  <conditionalFormatting sqref="CM492:CM503">
    <cfRule type="expression" dxfId="63" priority="85">
      <formula>AND($K492="x",CM492&gt;0)</formula>
    </cfRule>
    <cfRule type="expression" dxfId="62" priority="84">
      <formula>OR(CM492&gt;80,CM492&lt;10)</formula>
    </cfRule>
  </conditionalFormatting>
  <conditionalFormatting sqref="CM510">
    <cfRule type="top10" dxfId="61" priority="35" rank="1"/>
  </conditionalFormatting>
  <conditionalFormatting sqref="CM514:CM525">
    <cfRule type="expression" dxfId="60" priority="82">
      <formula>OR(CM514&gt;80,CM514&lt;10)</formula>
    </cfRule>
    <cfRule type="expression" dxfId="59" priority="83">
      <formula>AND($K514="x",CM514&gt;0)</formula>
    </cfRule>
  </conditionalFormatting>
  <conditionalFormatting sqref="CM532">
    <cfRule type="top10" dxfId="58" priority="36" rank="1"/>
  </conditionalFormatting>
  <conditionalFormatting sqref="CM536:CM547">
    <cfRule type="expression" dxfId="57" priority="80">
      <formula>OR(CM536&gt;80,CM536&lt;10)</formula>
    </cfRule>
    <cfRule type="expression" dxfId="56" priority="81">
      <formula>AND($K536="x",CM536&gt;0)</formula>
    </cfRule>
  </conditionalFormatting>
  <conditionalFormatting sqref="CM554">
    <cfRule type="top10" dxfId="55" priority="37" rank="1"/>
  </conditionalFormatting>
  <conditionalFormatting sqref="CM558:CM569">
    <cfRule type="expression" dxfId="54" priority="79">
      <formula>AND($K558="x",CM558&gt;0)</formula>
    </cfRule>
    <cfRule type="expression" dxfId="53" priority="78">
      <formula>OR(CM558&gt;80,CM558&lt;10)</formula>
    </cfRule>
  </conditionalFormatting>
  <conditionalFormatting sqref="CM576">
    <cfRule type="top10" dxfId="52" priority="38" rank="1"/>
  </conditionalFormatting>
  <conditionalFormatting sqref="CM580:CM591">
    <cfRule type="expression" dxfId="51" priority="76">
      <formula>OR(CM580&gt;80,CM580&lt;10)</formula>
    </cfRule>
    <cfRule type="expression" dxfId="50" priority="77">
      <formula>AND($K580="x",CM580&gt;0)</formula>
    </cfRule>
  </conditionalFormatting>
  <conditionalFormatting sqref="CM598">
    <cfRule type="top10" dxfId="49" priority="39" rank="1"/>
  </conditionalFormatting>
  <conditionalFormatting sqref="CM602:CM613">
    <cfRule type="expression" dxfId="48" priority="74">
      <formula>OR(CM602&gt;80,CM602&lt;10)</formula>
    </cfRule>
    <cfRule type="expression" dxfId="47" priority="75">
      <formula>AND($K602="x",CM602&gt;0)</formula>
    </cfRule>
  </conditionalFormatting>
  <conditionalFormatting sqref="CM620">
    <cfRule type="top10" dxfId="46" priority="40" rank="1"/>
  </conditionalFormatting>
  <conditionalFormatting sqref="CM624:CM635">
    <cfRule type="expression" dxfId="45" priority="73">
      <formula>AND($K624="x",CM624&gt;0)</formula>
    </cfRule>
    <cfRule type="expression" dxfId="44" priority="72">
      <formula>OR(CM624&gt;80,CM624&lt;10)</formula>
    </cfRule>
  </conditionalFormatting>
  <conditionalFormatting sqref="CM642">
    <cfRule type="top10" dxfId="43" priority="41" rank="1"/>
  </conditionalFormatting>
  <conditionalFormatting sqref="CM646:CM657">
    <cfRule type="expression" dxfId="42" priority="71">
      <formula>AND($K646="x",CM646&gt;0)</formula>
    </cfRule>
    <cfRule type="expression" dxfId="41" priority="70">
      <formula>OR(CM646&gt;80,CM646&lt;10)</formula>
    </cfRule>
  </conditionalFormatting>
  <conditionalFormatting sqref="CM664">
    <cfRule type="top10" dxfId="40" priority="42" rank="1"/>
  </conditionalFormatting>
  <conditionalFormatting sqref="CM668:CM679">
    <cfRule type="expression" dxfId="39" priority="69">
      <formula>AND($K668="x",CM668&gt;0)</formula>
    </cfRule>
    <cfRule type="expression" dxfId="38" priority="68">
      <formula>OR(CM668&gt;80,CM668&lt;10)</formula>
    </cfRule>
  </conditionalFormatting>
  <conditionalFormatting sqref="CM686">
    <cfRule type="top10" dxfId="37" priority="43" rank="1"/>
  </conditionalFormatting>
  <conditionalFormatting sqref="CM690:CM701">
    <cfRule type="expression" dxfId="36" priority="67">
      <formula>AND($K690="x",CM690&gt;0)</formula>
    </cfRule>
    <cfRule type="expression" dxfId="35" priority="66">
      <formula>OR(CM690&gt;80,CM690&lt;10)</formula>
    </cfRule>
  </conditionalFormatting>
  <conditionalFormatting sqref="CM708">
    <cfRule type="top10" dxfId="34" priority="11" rank="1"/>
  </conditionalFormatting>
  <conditionalFormatting sqref="CM712:CM723">
    <cfRule type="expression" dxfId="33" priority="64">
      <formula>OR(CM712&gt;80,CM712&lt;10)</formula>
    </cfRule>
    <cfRule type="expression" dxfId="32" priority="65">
      <formula>AND($K712="x",CM712&gt;0)</formula>
    </cfRule>
  </conditionalFormatting>
  <conditionalFormatting sqref="CM730">
    <cfRule type="top10" dxfId="31" priority="10" rank="1"/>
  </conditionalFormatting>
  <conditionalFormatting sqref="CM734:CM745">
    <cfRule type="expression" dxfId="30" priority="62">
      <formula>OR(CM734&gt;80,CM734&lt;10)</formula>
    </cfRule>
    <cfRule type="expression" dxfId="29" priority="63">
      <formula>AND($K734="x",CM734&gt;0)</formula>
    </cfRule>
  </conditionalFormatting>
  <conditionalFormatting sqref="CM752">
    <cfRule type="top10" dxfId="28" priority="9" rank="1"/>
  </conditionalFormatting>
  <conditionalFormatting sqref="CM756:CM767">
    <cfRule type="expression" dxfId="27" priority="60">
      <formula>OR(CM756&gt;80,CM756&lt;10)</formula>
    </cfRule>
    <cfRule type="expression" dxfId="26" priority="61">
      <formula>AND($K756="x",CM756&gt;0)</formula>
    </cfRule>
  </conditionalFormatting>
  <conditionalFormatting sqref="CM774">
    <cfRule type="top10" dxfId="25" priority="8" rank="1"/>
  </conditionalFormatting>
  <conditionalFormatting sqref="CM778:CM789">
    <cfRule type="expression" dxfId="24" priority="58">
      <formula>OR(CM778&gt;80,CM778&lt;10)</formula>
    </cfRule>
    <cfRule type="expression" dxfId="23" priority="59">
      <formula>AND($K778="x",CM778&gt;0)</formula>
    </cfRule>
  </conditionalFormatting>
  <conditionalFormatting sqref="CM796">
    <cfRule type="top10" dxfId="22" priority="7" rank="1"/>
  </conditionalFormatting>
  <conditionalFormatting sqref="CM800:CM811">
    <cfRule type="expression" dxfId="21" priority="57">
      <formula>AND($K800="x",CM800&gt;0)</formula>
    </cfRule>
    <cfRule type="expression" dxfId="20" priority="56">
      <formula>OR(CM800&gt;80,CM800&lt;10)</formula>
    </cfRule>
  </conditionalFormatting>
  <conditionalFormatting sqref="CM818">
    <cfRule type="top10" dxfId="19" priority="6" rank="1"/>
  </conditionalFormatting>
  <conditionalFormatting sqref="CM822:CM833">
    <cfRule type="expression" dxfId="18" priority="54">
      <formula>OR(CM822&gt;80,CM822&lt;10)</formula>
    </cfRule>
    <cfRule type="expression" dxfId="17" priority="55">
      <formula>AND($K822="x",CM822&gt;0)</formula>
    </cfRule>
  </conditionalFormatting>
  <conditionalFormatting sqref="CM840">
    <cfRule type="top10" dxfId="16" priority="5" rank="1"/>
  </conditionalFormatting>
  <conditionalFormatting sqref="CM844:CM855">
    <cfRule type="expression" dxfId="15" priority="53">
      <formula>AND($K844="x",CM844&gt;0)</formula>
    </cfRule>
    <cfRule type="expression" dxfId="14" priority="52">
      <formula>OR(CM844&gt;80,CM844&lt;10)</formula>
    </cfRule>
  </conditionalFormatting>
  <conditionalFormatting sqref="CM862">
    <cfRule type="top10" dxfId="13" priority="4" rank="1"/>
  </conditionalFormatting>
  <conditionalFormatting sqref="CM866:CM877">
    <cfRule type="expression" dxfId="12" priority="50">
      <formula>OR(CM866&gt;80,CM866&lt;10)</formula>
    </cfRule>
    <cfRule type="expression" dxfId="11" priority="51">
      <formula>AND($K866="x",CM866&gt;0)</formula>
    </cfRule>
  </conditionalFormatting>
  <conditionalFormatting sqref="CM884">
    <cfRule type="top10" dxfId="10" priority="3" rank="1"/>
  </conditionalFormatting>
  <conditionalFormatting sqref="CM888:CM899">
    <cfRule type="expression" dxfId="9" priority="49">
      <formula>AND($K888="x",CM888&gt;0)</formula>
    </cfRule>
    <cfRule type="expression" dxfId="8" priority="48">
      <formula>OR(CM888&gt;80,CM888&lt;10)</formula>
    </cfRule>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887"/>
  <sheetViews>
    <sheetView showGridLines="0" showZeros="0" topLeftCell="B39" zoomScale="120" zoomScaleNormal="120" workbookViewId="0">
      <selection activeCell="O47" sqref="O47"/>
    </sheetView>
  </sheetViews>
  <sheetFormatPr baseColWidth="10" defaultColWidth="6.42578125" defaultRowHeight="19.5" customHeight="1" x14ac:dyDescent="0.2"/>
  <cols>
    <col min="1" max="1" width="6.42578125" style="27"/>
    <col min="2" max="2" width="10.5703125" style="870" bestFit="1" customWidth="1"/>
    <col min="3" max="4" width="12.5703125" style="27" bestFit="1" customWidth="1"/>
    <col min="5" max="5" width="10.5703125" style="27" bestFit="1" customWidth="1"/>
    <col min="6" max="6" width="12.5703125" style="27" bestFit="1" customWidth="1"/>
    <col min="7" max="7" width="13" style="27" bestFit="1" customWidth="1"/>
    <col min="8" max="8" width="10.85546875" style="27" customWidth="1"/>
    <col min="9" max="10" width="10" style="27" bestFit="1" customWidth="1"/>
    <col min="11" max="11" width="11.28515625" style="27" bestFit="1" customWidth="1"/>
    <col min="12" max="14" width="11.7109375" style="27" customWidth="1"/>
    <col min="15" max="16" width="10.85546875" style="27" customWidth="1"/>
    <col min="17" max="17" width="11.7109375" style="27" customWidth="1"/>
    <col min="18" max="18" width="13.28515625" style="27" customWidth="1"/>
    <col min="19" max="20" width="11.710937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52" customWidth="1"/>
    <col min="45" max="45" width="6.5703125" style="553"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870"/>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52"/>
      <c r="AS1" s="553"/>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18"/>
      <c r="O3" s="46"/>
      <c r="P3" s="51"/>
      <c r="Q3" s="52"/>
      <c r="R3" s="53"/>
      <c r="S3" s="46"/>
      <c r="T3" s="46"/>
      <c r="U3" s="32"/>
      <c r="V3" s="52"/>
      <c r="W3" s="52"/>
      <c r="X3" s="53"/>
      <c r="Y3" s="46"/>
      <c r="Z3" s="46"/>
      <c r="AA3" s="54"/>
      <c r="AB3" s="41"/>
      <c r="AC3" s="41"/>
      <c r="AF3" s="29"/>
      <c r="AG3" s="404" t="s">
        <v>436</v>
      </c>
      <c r="AH3" s="404"/>
      <c r="AI3" s="583" t="s">
        <v>437</v>
      </c>
      <c r="AJ3" s="45"/>
      <c r="AK3" s="54"/>
      <c r="AL3" s="55"/>
      <c r="AM3" s="53"/>
      <c r="CT3" s="47"/>
      <c r="DJ3" s="48"/>
    </row>
    <row r="4" spans="1:193" ht="12.75" x14ac:dyDescent="0.2">
      <c r="A4" s="43"/>
      <c r="B4" s="871"/>
      <c r="C4" s="285" t="s">
        <v>438</v>
      </c>
      <c r="D4" s="293"/>
      <c r="E4" s="49"/>
      <c r="F4" s="49"/>
      <c r="G4" s="285" t="s">
        <v>42</v>
      </c>
      <c r="H4" s="293"/>
      <c r="I4" s="49"/>
      <c r="J4" s="49"/>
      <c r="K4" s="285" t="s">
        <v>439</v>
      </c>
      <c r="L4" s="317"/>
      <c r="M4" s="76"/>
      <c r="N4" s="49"/>
      <c r="O4" s="277" t="s">
        <v>7</v>
      </c>
      <c r="P4" s="280"/>
      <c r="Q4" s="81"/>
      <c r="R4" s="277" t="s">
        <v>8</v>
      </c>
      <c r="S4" s="280"/>
      <c r="T4" s="82"/>
      <c r="U4" s="81"/>
      <c r="V4" s="277" t="s">
        <v>9</v>
      </c>
      <c r="W4" s="280"/>
      <c r="X4" s="81"/>
      <c r="Y4" s="81"/>
      <c r="Z4" s="285" t="s">
        <v>5</v>
      </c>
      <c r="AA4" s="286" t="s">
        <v>440</v>
      </c>
      <c r="AB4" s="287" t="s">
        <v>441</v>
      </c>
      <c r="AD4" s="277" t="s">
        <v>442</v>
      </c>
      <c r="AE4" s="280"/>
      <c r="AF4" s="84"/>
      <c r="AG4" s="423">
        <v>2</v>
      </c>
      <c r="AH4" s="278" t="s">
        <v>443</v>
      </c>
      <c r="AI4" s="278" t="s">
        <v>444</v>
      </c>
      <c r="AJ4" s="278" t="s">
        <v>445</v>
      </c>
      <c r="AK4" s="278" t="s">
        <v>446</v>
      </c>
      <c r="AL4" s="551" t="s">
        <v>447</v>
      </c>
      <c r="AM4" s="798"/>
      <c r="AO4" s="418" t="s">
        <v>448</v>
      </c>
      <c r="AP4" s="795">
        <v>10</v>
      </c>
      <c r="AQ4" s="796">
        <v>11</v>
      </c>
      <c r="AR4" s="797">
        <v>12</v>
      </c>
      <c r="CQ4" s="47"/>
      <c r="CR4" s="47"/>
      <c r="CT4" s="47"/>
      <c r="CU4" s="47"/>
      <c r="CV4" s="47"/>
    </row>
    <row r="5" spans="1:193" ht="12.75" x14ac:dyDescent="0.2">
      <c r="A5" s="43"/>
      <c r="B5" s="871"/>
      <c r="C5" s="272" t="str">
        <f>Data!E11</f>
        <v>AHH</v>
      </c>
      <c r="D5" s="314">
        <f t="shared" ref="D5:D13" ca="1" si="0">_xlfn.AGGREGATE(4,6,INDIRECT("t_"&amp;C5&amp;"[hp]"))</f>
        <v>780</v>
      </c>
      <c r="E5" s="61"/>
      <c r="F5" s="61"/>
      <c r="G5" s="272" t="str">
        <f>Data!E19</f>
        <v>LEV</v>
      </c>
      <c r="H5" s="314">
        <f t="shared" ref="H5:H13" ca="1" si="1">_xlfn.AGGREGATE(5,6,INDIRECT("t_"&amp;G5&amp;"[tp]"))</f>
        <v>710</v>
      </c>
      <c r="I5" s="61"/>
      <c r="J5" s="61"/>
      <c r="K5" s="272" t="str">
        <f>Data!$E$11</f>
        <v>AHH</v>
      </c>
      <c r="L5" s="314">
        <f t="shared" ref="L5:L13" ca="1" si="2">COUNTIF(Uketapere,K5)</f>
        <v>32</v>
      </c>
      <c r="M5" s="61"/>
      <c r="N5" s="61"/>
      <c r="O5" s="272" t="str">
        <f>Data!E15</f>
        <v>ØG</v>
      </c>
      <c r="P5" s="314">
        <f t="shared" ref="P5:P13" ca="1" si="3">SUMIF(INDIRECT("t_"&amp;O5&amp;"[hp]"),"&lt;&gt;#I/T")</f>
        <v>2340</v>
      </c>
      <c r="Q5" s="312"/>
      <c r="R5" s="284" t="str">
        <f>Data!E11</f>
        <v>AHH</v>
      </c>
      <c r="S5" s="281">
        <f t="shared" ref="S5:S13" ca="1" si="4">SUMIF(INDIRECT("t_"&amp;R5&amp;"[up]"),"&lt;&gt;#I/T")</f>
        <v>1702</v>
      </c>
      <c r="T5" s="61"/>
      <c r="U5" s="312"/>
      <c r="V5" s="284" t="str">
        <f>Data!E16</f>
        <v>JH</v>
      </c>
      <c r="W5" s="281">
        <f t="shared" ref="W5:W13" ca="1" si="5">SUMIF(INDIRECT("t_"&amp;V5&amp;"[bp]"),"&lt;&gt;#I/T")</f>
        <v>2414</v>
      </c>
      <c r="X5" s="61"/>
      <c r="Y5" s="312"/>
      <c r="Z5" s="288" t="str">
        <f>Data!E12</f>
        <v>RB</v>
      </c>
      <c r="AA5" s="792">
        <f t="shared" ref="AA5:AA13" ca="1" si="6">ABS((AB5/50)*-1)</f>
        <v>0</v>
      </c>
      <c r="AB5" s="791">
        <f t="shared" ref="AB5:AB13" ca="1" si="7">SUMIF(INDIRECT("t_"&amp;Z5&amp;"[straff]"),"&lt;&gt;#I/T")</f>
        <v>0</v>
      </c>
      <c r="AC5" s="61"/>
      <c r="AD5" s="284" t="s">
        <v>19</v>
      </c>
      <c r="AE5" s="788">
        <f ca="1">INDIRECT("f_"&amp;AD5&amp;"!M46")</f>
        <v>0</v>
      </c>
      <c r="AF5" s="84"/>
      <c r="AG5" s="272" t="str">
        <f>Data!E11</f>
        <v>AHH</v>
      </c>
      <c r="AH5" s="273">
        <f ca="1">SUMIFS(t_ahh[hp],t_ahh[hp],"&lt;&gt;#I/T",t_ahh[uke],Tabeller!$AG$4)</f>
        <v>0</v>
      </c>
      <c r="AI5" s="273">
        <f ca="1">SUMIFS(t_ahh[up],t_ahh[up],"&lt;&gt;#I/T",t_ahh[uke],Tabeller!$AG$4)</f>
        <v>0</v>
      </c>
      <c r="AJ5" s="273">
        <f ca="1">SUMIFS(t_ahh[bp],t_ahh[bp],"&lt;&gt;#I/T",t_ahh[uke],Tabeller!$AG$4)</f>
        <v>0</v>
      </c>
      <c r="AK5" s="273">
        <f ca="1">SUMIFS(t_ahh[hp],t_ahh[hp],"&lt;&gt;#I/T",t_ahh[uke],Tabeller!$AG$4)</f>
        <v>0</v>
      </c>
      <c r="AL5" s="549">
        <f ca="1">IFERROR(IF($AG$4&lt;2,"",_xlfn.XLOOKUP($AG$4,t_ahh[uke],t_ahh[Antall_rette])),"")</f>
        <v>0</v>
      </c>
      <c r="AM5" s="799" t="e">
        <f ca="1">SUMIFS(INDIRECT("t_"&amp;AG5&amp;"[hp]"),INDIRECT("t_"&amp;AG5&amp;"[hp]"),"&lt;&gt;#I/T",INDIRECT("t_"&amp;AG5&amp;"[Ukenr]"),Tabeller!$AG$4)-SUMIFS(INDIRECT("t_"&amp;AG5&amp;"[hp]"),INDIRECT("t_"&amp;AG5&amp;"[hp]"),"&lt;&gt;#I/T",INDIRECT("t_"&amp;AG5&amp;"[Ukenr]"),Tabeller!$AG$4-1)</f>
        <v>#REF!</v>
      </c>
      <c r="AO5" s="272" t="s">
        <v>19</v>
      </c>
      <c r="AP5" s="273" t="e">
        <f ca="1">COUNTIF(INDIRECT("t_"&amp;AO5&amp;"[Antall Rette]"),10)</f>
        <v>#REF!</v>
      </c>
      <c r="AQ5" s="274" t="e">
        <f ca="1">COUNTIF(INDIRECT("t_"&amp;AO5&amp;"[Antall Rette]"),11)</f>
        <v>#REF!</v>
      </c>
      <c r="AR5" s="281" t="e">
        <f ca="1">COUNTIF(INDIRECT("t_"&amp;AO5&amp;"[Antall Rette]"),12)</f>
        <v>#REF!</v>
      </c>
      <c r="CL5" s="59"/>
      <c r="CM5" s="56"/>
      <c r="CN5" s="56"/>
      <c r="CQ5" s="47"/>
      <c r="CR5" s="47"/>
      <c r="CT5" s="47"/>
      <c r="CU5" s="47"/>
      <c r="CV5" s="47"/>
      <c r="DF5" s="60"/>
    </row>
    <row r="6" spans="1:193" ht="12.75" x14ac:dyDescent="0.2">
      <c r="A6" s="43"/>
      <c r="B6" s="871"/>
      <c r="C6" s="272" t="str">
        <f>Data!E12</f>
        <v>RB</v>
      </c>
      <c r="D6" s="315">
        <f t="shared" ca="1" si="0"/>
        <v>780</v>
      </c>
      <c r="E6" s="61"/>
      <c r="F6" s="61"/>
      <c r="G6" s="272" t="str">
        <f>Data!E14</f>
        <v>KAF</v>
      </c>
      <c r="H6" s="315">
        <f t="shared" ca="1" si="1"/>
        <v>710</v>
      </c>
      <c r="I6" s="61"/>
      <c r="J6" s="61"/>
      <c r="K6" s="272" t="str">
        <f>Data!$E$15</f>
        <v>ØG</v>
      </c>
      <c r="L6" s="315">
        <f t="shared" ca="1" si="2"/>
        <v>24</v>
      </c>
      <c r="M6" s="61"/>
      <c r="N6" s="61"/>
      <c r="O6" s="272" t="str">
        <f>Data!E18</f>
        <v>UTG</v>
      </c>
      <c r="P6" s="315">
        <f t="shared" ca="1" si="3"/>
        <v>2340</v>
      </c>
      <c r="Q6" s="312"/>
      <c r="R6" s="272" t="str">
        <f>Data!E14</f>
        <v>KAF</v>
      </c>
      <c r="S6" s="282">
        <f t="shared" ca="1" si="4"/>
        <v>1702</v>
      </c>
      <c r="T6" s="61"/>
      <c r="U6" s="312"/>
      <c r="V6" s="272" t="str">
        <f>Data!E15</f>
        <v>ØG</v>
      </c>
      <c r="W6" s="282">
        <f t="shared" ca="1" si="5"/>
        <v>2414</v>
      </c>
      <c r="X6" s="61"/>
      <c r="Y6" s="312"/>
      <c r="Z6" s="289" t="str">
        <f>Data!E17</f>
        <v>TOH</v>
      </c>
      <c r="AA6" s="786">
        <f t="shared" ca="1" si="6"/>
        <v>0</v>
      </c>
      <c r="AB6" s="290">
        <f t="shared" ca="1" si="7"/>
        <v>0</v>
      </c>
      <c r="AD6" s="272" t="s">
        <v>23</v>
      </c>
      <c r="AE6" s="789">
        <f t="shared" ref="AE6:AE13" ca="1" si="8">INDIRECT("f_"&amp;AD6&amp;"!m46")</f>
        <v>0</v>
      </c>
      <c r="AF6" s="84"/>
      <c r="AG6" s="272" t="str">
        <f>Data!E12</f>
        <v>RB</v>
      </c>
      <c r="AH6" s="274">
        <f ca="1">SUMIFS(t_rb[hp],t_rb[hp],"&lt;&gt;#I/T",t_rb[uke],Tabeller!$AG$4)</f>
        <v>0</v>
      </c>
      <c r="AI6" s="274">
        <f ca="1">SUMIFS(t_rb[up],t_rb[up],"&lt;&gt;#I/T",t_rb[uke],Tabeller!$AG$4)</f>
        <v>0</v>
      </c>
      <c r="AJ6" s="274">
        <f ca="1">SUMIFS(t_rb[bp],t_rb[bp],"&lt;&gt;#I/T",t_rb[uke],Tabeller!$AG$4)</f>
        <v>0</v>
      </c>
      <c r="AK6" s="274">
        <f ca="1">SUMIFS(t_rb[hp],t_rb[hp],"&lt;&gt;#I/T",t_rb[uke],Tabeller!$AG$4)</f>
        <v>0</v>
      </c>
      <c r="AL6" s="549">
        <f ca="1">IFERROR(IF($AG$4&lt;2,"",_xlfn.XLOOKUP($AG$4,t_rb[uke],t_rb[Antall_rette])),"")</f>
        <v>0</v>
      </c>
      <c r="AM6" s="800" t="e">
        <f ca="1">SUMIFS(INDIRECT("t_"&amp;AG6&amp;"[hp]"),INDIRECT("t_"&amp;AG6&amp;"[hp]"),"&lt;&gt;#I/T",INDIRECT("t_"&amp;AG6&amp;"[Ukenr]"),Tabeller!$AG$4)-SUMIFS(INDIRECT("t_"&amp;AG6&amp;"[hp]"),INDIRECT("t_"&amp;AG6&amp;"[hp]"),"&lt;&gt;#I/T",INDIRECT("t_"&amp;AG6&amp;"[Ukenr]"),Tabeller!$AG$4-1)</f>
        <v>#REF!</v>
      </c>
      <c r="AN6" s="81"/>
      <c r="AO6" s="272" t="s">
        <v>20</v>
      </c>
      <c r="AP6" s="274" t="e">
        <f t="shared" ref="AP6:AP12" ca="1" si="9">COUNTIF(INDIRECT("t_"&amp;AO6&amp;"[Antall Rette]"),10)</f>
        <v>#REF!</v>
      </c>
      <c r="AQ6" s="274" t="e">
        <f t="shared" ref="AQ6:AQ13" ca="1" si="10">COUNTIF(INDIRECT("t_"&amp;AO6&amp;"[Antall Rette]"),11)</f>
        <v>#REF!</v>
      </c>
      <c r="AR6" s="282" t="e">
        <f t="shared" ref="AR6:AR13" ca="1" si="11">COUNTIF(INDIRECT("t_"&amp;AO6&amp;"[Antall Rette]"),12)</f>
        <v>#REF!</v>
      </c>
      <c r="CL6" s="45"/>
      <c r="CM6" s="46"/>
      <c r="CN6" s="63"/>
      <c r="CO6" s="55"/>
      <c r="CQ6" s="47"/>
      <c r="CR6" s="47"/>
      <c r="CT6" s="47"/>
      <c r="CU6" s="47"/>
      <c r="CV6" s="47"/>
      <c r="DF6" s="896"/>
      <c r="DG6" s="896"/>
      <c r="DH6" s="766"/>
      <c r="DI6" s="766"/>
      <c r="DJ6" s="64"/>
      <c r="DK6" s="65"/>
      <c r="DL6" s="766"/>
      <c r="DM6" s="58"/>
    </row>
    <row r="7" spans="1:193" ht="12.75" x14ac:dyDescent="0.2">
      <c r="A7" s="43"/>
      <c r="B7" s="871"/>
      <c r="C7" s="272" t="str">
        <f>Data!E13</f>
        <v>EB</v>
      </c>
      <c r="D7" s="315">
        <f t="shared" ca="1" si="0"/>
        <v>780</v>
      </c>
      <c r="E7" s="61"/>
      <c r="F7" s="61"/>
      <c r="G7" s="272" t="str">
        <f>Data!E16</f>
        <v>JH</v>
      </c>
      <c r="H7" s="315">
        <f t="shared" ca="1" si="1"/>
        <v>710</v>
      </c>
      <c r="I7" s="61"/>
      <c r="J7" s="61"/>
      <c r="K7" s="272" t="str">
        <f>Data!$E$17</f>
        <v>TOH</v>
      </c>
      <c r="L7" s="315">
        <f t="shared" ca="1" si="2"/>
        <v>23</v>
      </c>
      <c r="M7" s="61"/>
      <c r="N7" s="61"/>
      <c r="O7" s="272" t="str">
        <f>Data!E11</f>
        <v>AHH</v>
      </c>
      <c r="P7" s="315">
        <f t="shared" ca="1" si="3"/>
        <v>2340</v>
      </c>
      <c r="Q7" s="312"/>
      <c r="R7" s="272" t="str">
        <f>Data!E17</f>
        <v>TOH</v>
      </c>
      <c r="S7" s="282">
        <f t="shared" ca="1" si="4"/>
        <v>1702</v>
      </c>
      <c r="T7" s="61"/>
      <c r="U7" s="312"/>
      <c r="V7" s="272" t="str">
        <f>Data!E19</f>
        <v>LEV</v>
      </c>
      <c r="W7" s="282">
        <f t="shared" ca="1" si="5"/>
        <v>2414</v>
      </c>
      <c r="X7" s="61"/>
      <c r="Y7" s="312"/>
      <c r="Z7" s="289" t="str">
        <f>Data!E14</f>
        <v>KAF</v>
      </c>
      <c r="AA7" s="786">
        <f t="shared" ca="1" si="6"/>
        <v>0</v>
      </c>
      <c r="AB7" s="290">
        <f t="shared" ca="1" si="7"/>
        <v>0</v>
      </c>
      <c r="AC7" s="61"/>
      <c r="AD7" s="272" t="s">
        <v>20</v>
      </c>
      <c r="AE7" s="789">
        <f t="shared" ca="1" si="8"/>
        <v>0</v>
      </c>
      <c r="AF7" s="84"/>
      <c r="AG7" s="272" t="str">
        <f>Data!E13</f>
        <v>EB</v>
      </c>
      <c r="AH7" s="274">
        <f ca="1">SUMIFS(t_eb[hp],t_eb[hp],"&lt;&gt;#I/T",t_eb[uke],Tabeller!$AG$4)</f>
        <v>0</v>
      </c>
      <c r="AI7" s="274">
        <f ca="1">SUMIFS(t_eb[up],t_eb[up],"&lt;&gt;#I/T",t_eb[uke],Tabeller!$AG$4)</f>
        <v>0</v>
      </c>
      <c r="AJ7" s="274">
        <f ca="1">SUMIFS(t_eb[bp],t_eb[bp],"&lt;&gt;#I/T",t_eb[uke],Tabeller!$AG$4)</f>
        <v>0</v>
      </c>
      <c r="AK7" s="274">
        <f ca="1">SUMIFS(t_eb[hp],t_eb[hp],"&lt;&gt;#I/T",t_eb[uke],Tabeller!$AG$4)</f>
        <v>0</v>
      </c>
      <c r="AL7" s="549">
        <f ca="1">IFERROR(IF($AG$4&lt;2,"",_xlfn.XLOOKUP($AG$4,t_eb[uke],t_eb[Antall_rette])),"")</f>
        <v>0</v>
      </c>
      <c r="AM7" s="800" t="e">
        <f ca="1">SUMIFS(INDIRECT("t_"&amp;AG7&amp;"[hp]"),INDIRECT("t_"&amp;AG7&amp;"[hp]"),"&lt;&gt;#I/T",INDIRECT("t_"&amp;AG7&amp;"[Ukenr]"),Tabeller!$AG$4)-SUMIFS(INDIRECT("t_"&amp;AG7&amp;"[hp]"),INDIRECT("t_"&amp;AG7&amp;"[hp]"),"&lt;&gt;#I/T",INDIRECT("t_"&amp;AG7&amp;"[Ukenr]"),Tabeller!$AG$4-1)</f>
        <v>#REF!</v>
      </c>
      <c r="AN7" s="54"/>
      <c r="AO7" s="272" t="s">
        <v>21</v>
      </c>
      <c r="AP7" s="274" t="e">
        <f t="shared" ca="1" si="9"/>
        <v>#REF!</v>
      </c>
      <c r="AQ7" s="274" t="e">
        <f t="shared" ca="1" si="10"/>
        <v>#REF!</v>
      </c>
      <c r="AR7" s="282" t="e">
        <f t="shared" ca="1" si="11"/>
        <v>#REF!</v>
      </c>
      <c r="CL7" s="45"/>
      <c r="CM7" s="46"/>
      <c r="CN7" s="63"/>
      <c r="CO7" s="55"/>
      <c r="CQ7" s="47"/>
      <c r="CR7" s="47"/>
      <c r="CT7" s="47"/>
      <c r="CU7" s="47"/>
      <c r="CV7" s="47"/>
      <c r="DF7" s="53"/>
      <c r="DG7" s="45"/>
      <c r="DH7" s="63"/>
      <c r="DI7" s="66"/>
      <c r="DJ7" s="67"/>
      <c r="DK7" s="67"/>
      <c r="DL7" s="67"/>
      <c r="DM7" s="68"/>
    </row>
    <row r="8" spans="1:193" ht="12.75" x14ac:dyDescent="0.2">
      <c r="A8" s="43"/>
      <c r="B8" s="871"/>
      <c r="C8" s="272" t="str">
        <f>Data!E14</f>
        <v>KAF</v>
      </c>
      <c r="D8" s="315">
        <f t="shared" ca="1" si="0"/>
        <v>780</v>
      </c>
      <c r="E8" s="61"/>
      <c r="F8" s="61"/>
      <c r="G8" s="272" t="str">
        <f>Data!E11</f>
        <v>AHH</v>
      </c>
      <c r="H8" s="315">
        <f t="shared" ca="1" si="1"/>
        <v>710</v>
      </c>
      <c r="I8" s="61"/>
      <c r="J8" s="61"/>
      <c r="K8" s="272" t="str">
        <f>Data!$E$12</f>
        <v>RB</v>
      </c>
      <c r="L8" s="315">
        <f t="shared" ca="1" si="2"/>
        <v>25</v>
      </c>
      <c r="M8" s="61"/>
      <c r="N8" s="61"/>
      <c r="O8" s="272" t="str">
        <f>Data!E12</f>
        <v>RB</v>
      </c>
      <c r="P8" s="315">
        <f t="shared" ca="1" si="3"/>
        <v>2340</v>
      </c>
      <c r="Q8" s="312"/>
      <c r="R8" s="272" t="str">
        <f>Data!E13</f>
        <v>EB</v>
      </c>
      <c r="S8" s="282">
        <f t="shared" ca="1" si="4"/>
        <v>1702</v>
      </c>
      <c r="T8" s="61"/>
      <c r="U8" s="312"/>
      <c r="V8" s="272" t="str">
        <f>Data!E14</f>
        <v>KAF</v>
      </c>
      <c r="W8" s="282">
        <f t="shared" ca="1" si="5"/>
        <v>2414</v>
      </c>
      <c r="X8" s="61"/>
      <c r="Y8" s="312"/>
      <c r="Z8" s="289" t="str">
        <f>Data!E11</f>
        <v>AHH</v>
      </c>
      <c r="AA8" s="794">
        <f t="shared" ca="1" si="6"/>
        <v>0</v>
      </c>
      <c r="AB8" s="290">
        <f t="shared" ca="1" si="7"/>
        <v>0</v>
      </c>
      <c r="AC8" s="61"/>
      <c r="AD8" s="272" t="s">
        <v>26</v>
      </c>
      <c r="AE8" s="789">
        <f t="shared" ca="1" si="8"/>
        <v>0</v>
      </c>
      <c r="AF8" s="86"/>
      <c r="AG8" s="272" t="str">
        <f>Data!E14</f>
        <v>KAF</v>
      </c>
      <c r="AH8" s="274">
        <f ca="1">SUMIFS(t_kaf[hp],t_kaf[hp],"&lt;&gt;#I/T",t_kaf[Uke],Tabeller!$AG$4)</f>
        <v>0</v>
      </c>
      <c r="AI8" s="274">
        <f ca="1">SUMIFS(t_kaf[up],t_kaf[up],"&lt;&gt;#I/T",t_kaf[Uke],Tabeller!$AG$4)</f>
        <v>0</v>
      </c>
      <c r="AJ8" s="274">
        <f ca="1">SUMIFS(t_kaf[bp],t_kaf[bp],"&lt;&gt;#I/T",t_kaf[Uke],Tabeller!$AG$4)</f>
        <v>0</v>
      </c>
      <c r="AK8" s="274">
        <f ca="1">SUMIFS(t_kaf[hp],t_kaf[hp],"&lt;&gt;#I/T",t_kaf[Uke],Tabeller!$AG$4)</f>
        <v>0</v>
      </c>
      <c r="AL8" s="549">
        <f ca="1">IFERROR(IF($AG$4&lt;2,"",_xlfn.XLOOKUP($AG$4,t_kaf[Uke],t_kaf[Antall_rette])),"")</f>
        <v>0</v>
      </c>
      <c r="AM8" s="800" t="e">
        <f ca="1">SUMIFS(INDIRECT("t_"&amp;AG8&amp;"[hp]"),INDIRECT("t_"&amp;AG8&amp;"[hp]"),"&lt;&gt;#I/T",INDIRECT("t_"&amp;AG8&amp;"[Ukenr]"),Tabeller!$AG$4)-SUMIFS(INDIRECT("t_"&amp;AG8&amp;"[hp]"),INDIRECT("t_"&amp;AG8&amp;"[hp]"),"&lt;&gt;#I/T",INDIRECT("t_"&amp;AG8&amp;"[Ukenr]"),Tabeller!$AG$4-1)</f>
        <v>#REF!</v>
      </c>
      <c r="AN8" s="57"/>
      <c r="AO8" s="272" t="s">
        <v>22</v>
      </c>
      <c r="AP8" s="274" t="e">
        <f t="shared" ca="1" si="9"/>
        <v>#REF!</v>
      </c>
      <c r="AQ8" s="274" t="e">
        <f t="shared" ca="1" si="10"/>
        <v>#REF!</v>
      </c>
      <c r="AR8" s="282" t="e">
        <f t="shared" ca="1" si="11"/>
        <v>#REF!</v>
      </c>
      <c r="CL8" s="45"/>
      <c r="CM8" s="46"/>
      <c r="CN8" s="63"/>
      <c r="CO8" s="55"/>
      <c r="CQ8" s="47"/>
      <c r="CR8" s="47"/>
      <c r="CT8" s="47"/>
      <c r="CU8" s="47"/>
      <c r="CV8" s="47"/>
      <c r="DF8" s="53"/>
      <c r="DG8" s="45"/>
      <c r="DH8" s="63"/>
      <c r="DI8" s="66"/>
      <c r="DJ8" s="67"/>
      <c r="DK8" s="67"/>
      <c r="DL8" s="67"/>
      <c r="DM8" s="68"/>
    </row>
    <row r="9" spans="1:193" ht="12.75" x14ac:dyDescent="0.2">
      <c r="A9" s="43"/>
      <c r="B9" s="871"/>
      <c r="C9" s="272" t="str">
        <f>Data!E15</f>
        <v>ØG</v>
      </c>
      <c r="D9" s="315">
        <f t="shared" ca="1" si="0"/>
        <v>780</v>
      </c>
      <c r="E9" s="61"/>
      <c r="F9" s="61"/>
      <c r="G9" s="272" t="str">
        <f>Data!E12</f>
        <v>RB</v>
      </c>
      <c r="H9" s="315">
        <f t="shared" ca="1" si="1"/>
        <v>710</v>
      </c>
      <c r="I9" s="61"/>
      <c r="J9" s="61"/>
      <c r="K9" s="272" t="str">
        <f>Data!$E$16</f>
        <v>JH</v>
      </c>
      <c r="L9" s="315">
        <f t="shared" ca="1" si="2"/>
        <v>24</v>
      </c>
      <c r="M9" s="61"/>
      <c r="N9" s="61"/>
      <c r="O9" s="272" t="str">
        <f>Data!E19</f>
        <v>LEV</v>
      </c>
      <c r="P9" s="315">
        <f t="shared" ca="1" si="3"/>
        <v>2340</v>
      </c>
      <c r="Q9" s="312"/>
      <c r="R9" s="272" t="str">
        <f>Data!E19</f>
        <v>LEV</v>
      </c>
      <c r="S9" s="282">
        <f t="shared" ca="1" si="4"/>
        <v>1702</v>
      </c>
      <c r="T9" s="61"/>
      <c r="U9" s="312"/>
      <c r="V9" s="272" t="str">
        <f>Data!E17</f>
        <v>TOH</v>
      </c>
      <c r="W9" s="282">
        <f t="shared" ca="1" si="5"/>
        <v>2414</v>
      </c>
      <c r="X9" s="61"/>
      <c r="Y9" s="312"/>
      <c r="Z9" s="289" t="str">
        <f>Data!E13</f>
        <v>EB</v>
      </c>
      <c r="AA9" s="786">
        <f t="shared" ca="1" si="6"/>
        <v>0</v>
      </c>
      <c r="AB9" s="290">
        <f t="shared" ca="1" si="7"/>
        <v>0</v>
      </c>
      <c r="AC9" s="61"/>
      <c r="AD9" s="272" t="s">
        <v>27</v>
      </c>
      <c r="AE9" s="789">
        <f t="shared" ca="1" si="8"/>
        <v>0</v>
      </c>
      <c r="AF9" s="84"/>
      <c r="AG9" s="272" t="str">
        <f>Data!E15</f>
        <v>ØG</v>
      </c>
      <c r="AH9" s="274">
        <f ca="1">SUMIFS(t_øg[hp],t_øg[hp],"&lt;&gt;#I/T",t_øg[uke],Tabeller!$AG$4)</f>
        <v>0</v>
      </c>
      <c r="AI9" s="274">
        <f ca="1">SUMIFS(t_øg[up],t_øg[up],"&lt;&gt;#I/T",t_øg[uke],Tabeller!$AG$4)</f>
        <v>0</v>
      </c>
      <c r="AJ9" s="274">
        <f ca="1">SUMIFS(t_øg[bp],t_øg[bp],"&lt;&gt;#I/T",t_øg[uke],Tabeller!$AG$4)</f>
        <v>0</v>
      </c>
      <c r="AK9" s="274">
        <f ca="1">SUMIFS(t_øg[hp],t_øg[hp],"&lt;&gt;#I/T",t_øg[uke],Tabeller!$AG$4)</f>
        <v>0</v>
      </c>
      <c r="AL9" s="549">
        <f ca="1">IFERROR(IF($AG$4&lt;2,"",_xlfn.XLOOKUP($AG$4,t_øg[uke],t_øg[Antall_rette])),"")</f>
        <v>0</v>
      </c>
      <c r="AM9" s="800" t="e">
        <f ca="1">SUMIFS(INDIRECT("t_"&amp;AG9&amp;"[hp]"),INDIRECT("t_"&amp;AG9&amp;"[hp]"),"&lt;&gt;#I/T",INDIRECT("t_"&amp;AG9&amp;"[Ukenr]"),Tabeller!$AG$4)-SUMIFS(INDIRECT("t_"&amp;AG9&amp;"[hp]"),INDIRECT("t_"&amp;AG9&amp;"[hp]"),"&lt;&gt;#I/T",INDIRECT("t_"&amp;AG9&amp;"[Ukenr]"),Tabeller!$AG$4-1)</f>
        <v>#REF!</v>
      </c>
      <c r="AN9" s="54"/>
      <c r="AO9" s="272" t="s">
        <v>23</v>
      </c>
      <c r="AP9" s="274" t="e">
        <f t="shared" ca="1" si="9"/>
        <v>#REF!</v>
      </c>
      <c r="AQ9" s="274" t="e">
        <f t="shared" ca="1" si="10"/>
        <v>#REF!</v>
      </c>
      <c r="AR9" s="282" t="e">
        <f t="shared" ca="1" si="11"/>
        <v>#REF!</v>
      </c>
      <c r="CL9" s="45"/>
      <c r="CM9" s="46"/>
      <c r="CN9" s="63"/>
      <c r="CO9" s="55"/>
      <c r="CQ9" s="47"/>
      <c r="CR9" s="47"/>
      <c r="CT9" s="47"/>
      <c r="CU9" s="47"/>
      <c r="CV9" s="47"/>
      <c r="DF9" s="69"/>
      <c r="DG9" s="45"/>
      <c r="DH9" s="63"/>
      <c r="DI9" s="66"/>
      <c r="DJ9" s="70"/>
      <c r="DK9" s="70"/>
      <c r="DL9" s="70"/>
      <c r="DM9" s="71"/>
    </row>
    <row r="10" spans="1:193" ht="12.75" x14ac:dyDescent="0.2">
      <c r="A10" s="43"/>
      <c r="B10" s="871"/>
      <c r="C10" s="272" t="str">
        <f>Data!E16</f>
        <v>JH</v>
      </c>
      <c r="D10" s="315">
        <f t="shared" ca="1" si="0"/>
        <v>780</v>
      </c>
      <c r="E10" s="61"/>
      <c r="F10" s="61"/>
      <c r="G10" s="272" t="str">
        <f>Data!E13</f>
        <v>EB</v>
      </c>
      <c r="H10" s="315">
        <f t="shared" ca="1" si="1"/>
        <v>710</v>
      </c>
      <c r="I10" s="61"/>
      <c r="J10" s="61"/>
      <c r="K10" s="272" t="str">
        <f>Data!$E$19</f>
        <v>LEV</v>
      </c>
      <c r="L10" s="315">
        <f t="shared" ca="1" si="2"/>
        <v>24</v>
      </c>
      <c r="M10" s="61"/>
      <c r="N10" s="61"/>
      <c r="O10" s="272" t="str">
        <f>Data!E17</f>
        <v>TOH</v>
      </c>
      <c r="P10" s="315">
        <f t="shared" ca="1" si="3"/>
        <v>2340</v>
      </c>
      <c r="Q10" s="312"/>
      <c r="R10" s="272" t="str">
        <f>Data!E16</f>
        <v>JH</v>
      </c>
      <c r="S10" s="282">
        <f t="shared" ca="1" si="4"/>
        <v>1702</v>
      </c>
      <c r="T10" s="61"/>
      <c r="U10" s="312"/>
      <c r="V10" s="272" t="str">
        <f>Data!E18</f>
        <v>UTG</v>
      </c>
      <c r="W10" s="282">
        <f t="shared" ca="1" si="5"/>
        <v>2414</v>
      </c>
      <c r="X10" s="61"/>
      <c r="Y10" s="312"/>
      <c r="Z10" s="291" t="str">
        <f>Data!E15</f>
        <v>ØG</v>
      </c>
      <c r="AA10" s="786">
        <f t="shared" ca="1" si="6"/>
        <v>0</v>
      </c>
      <c r="AB10" s="290">
        <f t="shared" ca="1" si="7"/>
        <v>0</v>
      </c>
      <c r="AC10" s="61"/>
      <c r="AD10" s="272" t="s">
        <v>24</v>
      </c>
      <c r="AE10" s="789">
        <f t="shared" ca="1" si="8"/>
        <v>0</v>
      </c>
      <c r="AF10" s="84"/>
      <c r="AG10" s="272" t="str">
        <f>Data!E16</f>
        <v>JH</v>
      </c>
      <c r="AH10" s="274">
        <f ca="1">SUMIFS(t_jh[hp],t_jh[hp],"&lt;&gt;#I/T",t_jh[uke],Tabeller!$AG$4)</f>
        <v>0</v>
      </c>
      <c r="AI10" s="274">
        <f ca="1">SUMIFS(t_jh[up],t_jh[up],"&lt;&gt;#I/T",t_jh[uke],Tabeller!$AG$4)</f>
        <v>0</v>
      </c>
      <c r="AJ10" s="274">
        <f ca="1">SUMIFS(t_jh[bp],t_jh[bp],"&lt;&gt;#I/T",t_jh[uke],Tabeller!$AG$4)</f>
        <v>0</v>
      </c>
      <c r="AK10" s="274">
        <f ca="1">SUMIFS(t_jh[hp],t_jh[hp],"&lt;&gt;#I/T",t_jh[uke],Tabeller!$AG$4)</f>
        <v>0</v>
      </c>
      <c r="AL10" s="549">
        <f ca="1">IFERROR(IF($AG$4&lt;2,"",_xlfn.XLOOKUP($AG$4,t_jh[uke],t_jh[Antall_rette])),"")</f>
        <v>0</v>
      </c>
      <c r="AM10" s="800" t="e">
        <f ca="1">SUMIFS(INDIRECT("t_"&amp;AG10&amp;"[hp]"),INDIRECT("t_"&amp;AG10&amp;"[hp]"),"&lt;&gt;#I/T",INDIRECT("t_"&amp;AG10&amp;"[Ukenr]"),Tabeller!$AG$4)-SUMIFS(INDIRECT("t_"&amp;AG10&amp;"[hp]"),INDIRECT("t_"&amp;AG10&amp;"[hp]"),"&lt;&gt;#I/T",INDIRECT("t_"&amp;AG10&amp;"[Ukenr]"),Tabeller!$AG$4-1)</f>
        <v>#REF!</v>
      </c>
      <c r="AN10" s="54"/>
      <c r="AO10" s="272" t="s">
        <v>24</v>
      </c>
      <c r="AP10" s="274" t="e">
        <f t="shared" ca="1" si="9"/>
        <v>#REF!</v>
      </c>
      <c r="AQ10" s="274" t="e">
        <f t="shared" ca="1" si="10"/>
        <v>#REF!</v>
      </c>
      <c r="AR10" s="282" t="e">
        <f t="shared" ca="1" si="11"/>
        <v>#REF!</v>
      </c>
      <c r="CL10" s="45"/>
      <c r="CM10" s="46"/>
      <c r="CN10" s="46"/>
      <c r="CO10" s="55"/>
      <c r="CQ10" s="47"/>
      <c r="CR10" s="47"/>
      <c r="CT10" s="47"/>
      <c r="CU10" s="47"/>
      <c r="CV10" s="47"/>
      <c r="DF10" s="53"/>
      <c r="DG10" s="45"/>
      <c r="DH10" s="46"/>
      <c r="DI10" s="66"/>
      <c r="DJ10" s="67"/>
      <c r="DK10" s="67"/>
      <c r="DL10" s="67"/>
      <c r="DM10" s="68"/>
    </row>
    <row r="11" spans="1:193" ht="12.75" x14ac:dyDescent="0.2">
      <c r="A11" s="43"/>
      <c r="B11" s="871"/>
      <c r="C11" s="272" t="str">
        <f>Data!E17</f>
        <v>TOH</v>
      </c>
      <c r="D11" s="315">
        <f t="shared" ca="1" si="0"/>
        <v>780</v>
      </c>
      <c r="E11" s="61"/>
      <c r="F11" s="61"/>
      <c r="G11" s="272" t="str">
        <f>Data!E15</f>
        <v>ØG</v>
      </c>
      <c r="H11" s="315">
        <f t="shared" ca="1" si="1"/>
        <v>710</v>
      </c>
      <c r="I11" s="61"/>
      <c r="J11" s="61"/>
      <c r="K11" s="272" t="str">
        <f>Data!$E$13</f>
        <v>EB</v>
      </c>
      <c r="L11" s="315">
        <f t="shared" ca="1" si="2"/>
        <v>24</v>
      </c>
      <c r="M11" s="61"/>
      <c r="N11" s="61"/>
      <c r="O11" s="272" t="str">
        <f>Data!E13</f>
        <v>EB</v>
      </c>
      <c r="P11" s="315">
        <f t="shared" ca="1" si="3"/>
        <v>2340</v>
      </c>
      <c r="Q11" s="312"/>
      <c r="R11" s="272" t="str">
        <f>Data!E12</f>
        <v>RB</v>
      </c>
      <c r="S11" s="282">
        <f t="shared" ca="1" si="4"/>
        <v>1702</v>
      </c>
      <c r="T11" s="61"/>
      <c r="U11" s="312"/>
      <c r="V11" s="272" t="str">
        <f>Data!E12</f>
        <v>RB</v>
      </c>
      <c r="W11" s="282">
        <f t="shared" ca="1" si="5"/>
        <v>2414</v>
      </c>
      <c r="X11" s="61"/>
      <c r="Y11" s="312"/>
      <c r="Z11" s="289" t="str">
        <f>Data!E16</f>
        <v>JH</v>
      </c>
      <c r="AA11" s="787">
        <f t="shared" ca="1" si="6"/>
        <v>0</v>
      </c>
      <c r="AB11" s="290">
        <f t="shared" ca="1" si="7"/>
        <v>0</v>
      </c>
      <c r="AC11" s="61"/>
      <c r="AD11" s="272" t="s">
        <v>21</v>
      </c>
      <c r="AE11" s="789">
        <f t="shared" ca="1" si="8"/>
        <v>0</v>
      </c>
      <c r="AF11" s="84"/>
      <c r="AG11" s="272" t="str">
        <f>Data!E17</f>
        <v>TOH</v>
      </c>
      <c r="AH11" s="274">
        <f ca="1">SUMIFS(t_toh[hp],t_toh[hp],"&lt;&gt;#I/T",t_toh[uke],Tabeller!$AG$4)</f>
        <v>0</v>
      </c>
      <c r="AI11" s="274">
        <f ca="1">SUMIFS(t_toh[up],t_toh[up],"&lt;&gt;#I/T",t_toh[uke],Tabeller!$AG$4)</f>
        <v>0</v>
      </c>
      <c r="AJ11" s="274">
        <f ca="1">SUMIFS(t_toh[bp],t_toh[bp],"&lt;&gt;#I/T",t_toh[uke],Tabeller!$AG$4)</f>
        <v>0</v>
      </c>
      <c r="AK11" s="274">
        <f ca="1">SUMIFS(t_toh[hp],t_toh[hp],"&lt;&gt;#I/T",t_toh[uke],Tabeller!$AG$4)</f>
        <v>0</v>
      </c>
      <c r="AL11" s="549">
        <f ca="1">IFERROR(IF($AG$4&lt;2,"",_xlfn.XLOOKUP($AG$4,t_toh[uke],t_toh[Antall_rette])),"")</f>
        <v>0</v>
      </c>
      <c r="AM11" s="800" t="e">
        <f ca="1">SUMIFS(INDIRECT("t_"&amp;AG11&amp;"[hp]"),INDIRECT("t_"&amp;AG11&amp;"[hp]"),"&lt;&gt;#I/T",INDIRECT("t_"&amp;AG11&amp;"[Ukenr]"),Tabeller!$AG$4)-SUMIFS(INDIRECT("t_"&amp;AG11&amp;"[hp]"),INDIRECT("t_"&amp;AG11&amp;"[hp]"),"&lt;&gt;#I/T",INDIRECT("t_"&amp;AG11&amp;"[Ukenr]"),Tabeller!$AG$4-1)</f>
        <v>#REF!</v>
      </c>
      <c r="AN11" s="54"/>
      <c r="AO11" s="272" t="s">
        <v>25</v>
      </c>
      <c r="AP11" s="372" t="e">
        <f t="shared" ca="1" si="9"/>
        <v>#REF!</v>
      </c>
      <c r="AQ11" s="274" t="e">
        <f t="shared" ca="1" si="10"/>
        <v>#REF!</v>
      </c>
      <c r="AR11" s="315" t="e">
        <f t="shared" ca="1" si="11"/>
        <v>#REF!</v>
      </c>
      <c r="CL11" s="45"/>
      <c r="CM11" s="46"/>
      <c r="CN11" s="63"/>
      <c r="CO11" s="55"/>
      <c r="CQ11" s="47"/>
      <c r="CR11" s="47"/>
      <c r="CT11" s="47"/>
      <c r="CU11" s="47"/>
      <c r="CV11" s="47"/>
      <c r="DF11" s="53"/>
      <c r="DG11" s="45"/>
      <c r="DH11" s="46"/>
      <c r="DI11" s="66"/>
      <c r="DJ11" s="67"/>
      <c r="DK11" s="67"/>
      <c r="DL11" s="67"/>
      <c r="DM11" s="68"/>
    </row>
    <row r="12" spans="1:193" ht="12.75" x14ac:dyDescent="0.2">
      <c r="A12" s="43"/>
      <c r="B12" s="871"/>
      <c r="C12" s="272" t="str">
        <f>Data!E19</f>
        <v>LEV</v>
      </c>
      <c r="D12" s="315">
        <f t="shared" ca="1" si="0"/>
        <v>780</v>
      </c>
      <c r="E12" s="61"/>
      <c r="G12" s="272" t="str">
        <f>Data!E18</f>
        <v>UTG</v>
      </c>
      <c r="H12" s="315">
        <f t="shared" ca="1" si="1"/>
        <v>710</v>
      </c>
      <c r="I12" s="61"/>
      <c r="K12" s="272" t="str">
        <f>Data!$E$14</f>
        <v>KAF</v>
      </c>
      <c r="L12" s="315">
        <f t="shared" ca="1" si="2"/>
        <v>24</v>
      </c>
      <c r="M12" s="61"/>
      <c r="O12" s="272" t="str">
        <f>Data!E14</f>
        <v>KAF</v>
      </c>
      <c r="P12" s="315">
        <f t="shared" ca="1" si="3"/>
        <v>2340</v>
      </c>
      <c r="Q12" s="312"/>
      <c r="R12" s="272" t="str">
        <f>Data!E18</f>
        <v>UTG</v>
      </c>
      <c r="S12" s="282">
        <f t="shared" ca="1" si="4"/>
        <v>1702</v>
      </c>
      <c r="T12" s="61"/>
      <c r="U12" s="312"/>
      <c r="V12" s="272" t="str">
        <f>Data!E13</f>
        <v>EB</v>
      </c>
      <c r="W12" s="282">
        <f t="shared" ca="1" si="5"/>
        <v>2414</v>
      </c>
      <c r="X12" s="61"/>
      <c r="Y12" s="312"/>
      <c r="Z12" s="289" t="str">
        <f>Data!E19</f>
        <v>LEV</v>
      </c>
      <c r="AA12" s="786">
        <f t="shared" ca="1" si="6"/>
        <v>0</v>
      </c>
      <c r="AB12" s="290">
        <f t="shared" ca="1" si="7"/>
        <v>0</v>
      </c>
      <c r="AC12" s="61"/>
      <c r="AD12" s="272" t="s">
        <v>22</v>
      </c>
      <c r="AE12" s="789">
        <f t="shared" ca="1" si="8"/>
        <v>0</v>
      </c>
      <c r="AF12" s="84"/>
      <c r="AG12" s="272" t="str">
        <f>Data!E18</f>
        <v>UTG</v>
      </c>
      <c r="AH12" s="274">
        <f ca="1">SUMIFS(t_utg[hp],t_utg[hp],"&lt;&gt;#I/T",t_utg[uke],Tabeller!$AG$4)</f>
        <v>0</v>
      </c>
      <c r="AI12" s="274">
        <f ca="1">SUMIFS(t_utg[up],t_utg[up],"&lt;&gt;#I/T",t_utg[uke],Tabeller!$AG$4)</f>
        <v>0</v>
      </c>
      <c r="AJ12" s="274">
        <f ca="1">SUMIFS(t_utg[bp],t_utg[bp],"&lt;&gt;#I/T",t_utg[uke],Tabeller!$AG$4)</f>
        <v>0</v>
      </c>
      <c r="AK12" s="274">
        <f ca="1">SUMIFS(t_utg[hp],t_utg[hp],"&lt;&gt;#I/T",t_utg[uke],Tabeller!$AG$4)</f>
        <v>0</v>
      </c>
      <c r="AL12" s="549">
        <f ca="1">IFERROR(IF($AG$4&lt;2,"",_xlfn.XLOOKUP($AG$4,t_utg[uke],t_utg[Antall_rette])),"")</f>
        <v>0</v>
      </c>
      <c r="AM12" s="800" t="e">
        <f ca="1">SUMIFS(INDIRECT("t_"&amp;AG12&amp;"[hp]"),INDIRECT("t_"&amp;AG12&amp;"[hp]"),"&lt;&gt;#I/T",INDIRECT("t_"&amp;AG12&amp;"[Ukenr]"),Tabeller!$AG$4)-SUMIFS(INDIRECT("t_"&amp;AG12&amp;"[hp]"),INDIRECT("t_"&amp;AG12&amp;"[hp]"),"&lt;&gt;#I/T",INDIRECT("t_"&amp;AG12&amp;"[Ukenr]"),Tabeller!$AG$4-1)</f>
        <v>#REF!</v>
      </c>
      <c r="AN12" s="54"/>
      <c r="AO12" s="272" t="s">
        <v>26</v>
      </c>
      <c r="AP12" s="274" t="e">
        <f t="shared" ca="1" si="9"/>
        <v>#REF!</v>
      </c>
      <c r="AQ12" s="274" t="e">
        <f t="shared" ca="1" si="10"/>
        <v>#REF!</v>
      </c>
      <c r="AR12" s="282" t="e">
        <f t="shared" ca="1" si="11"/>
        <v>#REF!</v>
      </c>
      <c r="CL12" s="45"/>
      <c r="CM12" s="46"/>
      <c r="CN12" s="63"/>
      <c r="CO12" s="55"/>
      <c r="CQ12" s="47"/>
      <c r="CR12" s="47"/>
      <c r="CT12" s="47"/>
      <c r="CU12" s="47"/>
      <c r="CV12" s="47"/>
      <c r="DF12" s="53"/>
      <c r="DG12" s="45"/>
      <c r="DH12" s="46"/>
      <c r="DI12" s="66"/>
      <c r="DJ12" s="67"/>
      <c r="DK12" s="67"/>
      <c r="DL12" s="67"/>
      <c r="DM12" s="68"/>
    </row>
    <row r="13" spans="1:193" ht="12.75" x14ac:dyDescent="0.2">
      <c r="A13" s="43"/>
      <c r="B13" s="871"/>
      <c r="C13" s="275" t="str">
        <f>Data!E18</f>
        <v>UTG</v>
      </c>
      <c r="D13" s="316">
        <f t="shared" ca="1" si="0"/>
        <v>780</v>
      </c>
      <c r="E13" s="61"/>
      <c r="G13" s="275" t="str">
        <f>Data!E17</f>
        <v>TOH</v>
      </c>
      <c r="H13" s="316">
        <f t="shared" ca="1" si="1"/>
        <v>710</v>
      </c>
      <c r="I13" s="61"/>
      <c r="K13" s="275" t="str">
        <f>Data!$E$18</f>
        <v>UTG</v>
      </c>
      <c r="L13" s="316">
        <f t="shared" ca="1" si="2"/>
        <v>32</v>
      </c>
      <c r="M13" s="61"/>
      <c r="O13" s="275" t="str">
        <f>Data!E16</f>
        <v>JH</v>
      </c>
      <c r="P13" s="316">
        <f t="shared" ca="1" si="3"/>
        <v>2340</v>
      </c>
      <c r="R13" s="275" t="str">
        <f>Data!E15</f>
        <v>ØG</v>
      </c>
      <c r="S13" s="283">
        <f t="shared" ca="1" si="4"/>
        <v>1702</v>
      </c>
      <c r="T13" s="61"/>
      <c r="V13" s="275" t="str">
        <f>Data!E11</f>
        <v>AHH</v>
      </c>
      <c r="W13" s="283">
        <f t="shared" ca="1" si="5"/>
        <v>2414</v>
      </c>
      <c r="X13" s="61"/>
      <c r="Z13" s="292" t="str">
        <f>Data!E18</f>
        <v>UTG</v>
      </c>
      <c r="AA13" s="730">
        <f t="shared" ca="1" si="6"/>
        <v>0</v>
      </c>
      <c r="AB13" s="802">
        <f t="shared" ca="1" si="7"/>
        <v>0</v>
      </c>
      <c r="AC13" s="76"/>
      <c r="AD13" s="275" t="s">
        <v>25</v>
      </c>
      <c r="AE13" s="790">
        <f t="shared" ca="1" si="8"/>
        <v>0</v>
      </c>
      <c r="AG13" s="275" t="str">
        <f>Data!E19</f>
        <v>LEV</v>
      </c>
      <c r="AH13" s="276">
        <f ca="1">SUMIFS(t_lev[hp],t_lev[hp],"&lt;&gt;#I/T",t_lev[uke],Tabeller!$AG$4)</f>
        <v>0</v>
      </c>
      <c r="AI13" s="276">
        <f ca="1">SUMIFS(t_lev[up],t_lev[up],"&lt;&gt;#I/T",t_lev[uke],Tabeller!$AG$4)</f>
        <v>0</v>
      </c>
      <c r="AJ13" s="276">
        <f ca="1">SUMIFS(t_lev[bp],t_lev[bp],"&lt;&gt;#I/T",t_lev[uke],Tabeller!$AG$4)</f>
        <v>0</v>
      </c>
      <c r="AK13" s="276">
        <f ca="1">SUMIFS(t_lev[hp],t_lev[hp],"&lt;&gt;#I/T",t_lev[uke],Tabeller!$AG$4)</f>
        <v>0</v>
      </c>
      <c r="AL13" s="550">
        <f ca="1">IFERROR(IF($AG$4&lt;2,"",_xlfn.XLOOKUP($AG$4,t_lev[uke],t_lev[Antall_rette])),"")</f>
        <v>0</v>
      </c>
      <c r="AM13" s="801" t="e">
        <f ca="1">SUMIFS(INDIRECT("t_"&amp;AG13&amp;"[hp]"),INDIRECT("t_"&amp;AG13&amp;"[hp]"),"&lt;&gt;#I/T",INDIRECT("t_"&amp;AG13&amp;"[Ukenr]"),Tabeller!$AG$4)-SUMIFS(INDIRECT("t_"&amp;AG13&amp;"[hp]"),INDIRECT("t_"&amp;AG13&amp;"[hp]"),"&lt;&gt;#I/T",INDIRECT("t_"&amp;AG13&amp;"[Ukenr]"),Tabeller!$AG$4-1)</f>
        <v>#REF!</v>
      </c>
      <c r="AN13" s="54"/>
      <c r="AO13" s="275" t="s">
        <v>27</v>
      </c>
      <c r="AP13" s="276" t="e">
        <f ca="1">COUNTIF(INDIRECT("t_"&amp;AO13&amp;"[Antall Rette]"),10)</f>
        <v>#REF!</v>
      </c>
      <c r="AQ13" s="276" t="e">
        <f t="shared" ca="1" si="10"/>
        <v>#REF!</v>
      </c>
      <c r="AR13" s="283" t="e">
        <f t="shared" ca="1" si="11"/>
        <v>#REF!</v>
      </c>
      <c r="CT13" s="75"/>
      <c r="CZ13" s="47"/>
      <c r="DA13" s="47"/>
      <c r="DC13" s="47"/>
      <c r="DD13" s="47"/>
      <c r="DE13" s="47"/>
      <c r="DO13" s="53"/>
      <c r="DP13" s="45"/>
      <c r="DQ13" s="46"/>
      <c r="DR13" s="66"/>
      <c r="DS13" s="67"/>
      <c r="DT13" s="67"/>
      <c r="DU13" s="67"/>
      <c r="DV13" s="68"/>
    </row>
    <row r="14" spans="1:193" ht="12.75" x14ac:dyDescent="0.2">
      <c r="A14" s="43"/>
      <c r="B14" s="871"/>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871"/>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871"/>
      <c r="J16" s="47"/>
      <c r="K16" s="50"/>
      <c r="L16" s="33"/>
      <c r="M16" s="33"/>
      <c r="N16" s="78"/>
      <c r="O16" s="58"/>
      <c r="P16" s="78"/>
      <c r="Q16" s="35"/>
      <c r="R16" s="58"/>
      <c r="S16" s="78"/>
      <c r="T16" s="41"/>
      <c r="U16" s="41"/>
      <c r="W16" s="32"/>
      <c r="Y16" s="76"/>
      <c r="Z16" s="77"/>
      <c r="AA16" s="46"/>
      <c r="AB16" s="45"/>
      <c r="AC16" s="79"/>
      <c r="AD16" s="55"/>
      <c r="AE16" s="53"/>
      <c r="AF16" s="45"/>
      <c r="AI16" s="554"/>
      <c r="AJ16" s="754" t="s">
        <v>449</v>
      </c>
      <c r="AK16" s="755"/>
      <c r="AN16" s="85"/>
      <c r="CL16" s="47"/>
      <c r="CM16" s="47"/>
      <c r="CN16" s="47"/>
      <c r="CO16" s="47"/>
      <c r="CQ16" s="47"/>
      <c r="CR16" s="47"/>
      <c r="CS16" s="47"/>
      <c r="DC16" s="53"/>
      <c r="DD16" s="45"/>
      <c r="DE16" s="46"/>
      <c r="DF16" s="63"/>
      <c r="DG16" s="68"/>
      <c r="DH16" s="68"/>
      <c r="DI16" s="68"/>
      <c r="DJ16" s="68"/>
    </row>
    <row r="17" spans="1:113" ht="12.75" x14ac:dyDescent="0.2">
      <c r="A17" s="43"/>
      <c r="B17" s="871"/>
      <c r="C17" s="285" t="s">
        <v>450</v>
      </c>
      <c r="D17" s="295"/>
      <c r="E17" s="294"/>
      <c r="F17" s="293"/>
      <c r="G17" s="93"/>
      <c r="H17" s="285" t="s">
        <v>41</v>
      </c>
      <c r="I17" s="293"/>
      <c r="J17" s="63"/>
      <c r="K17" s="277" t="s">
        <v>40</v>
      </c>
      <c r="L17" s="280"/>
      <c r="M17" s="82"/>
      <c r="N17" s="108"/>
      <c r="O17" s="277" t="s">
        <v>451</v>
      </c>
      <c r="P17" s="280"/>
      <c r="Q17" s="52"/>
      <c r="R17" s="277" t="s">
        <v>452</v>
      </c>
      <c r="S17" s="278"/>
      <c r="T17" s="278" t="s">
        <v>453</v>
      </c>
      <c r="U17" s="279" t="s">
        <v>454</v>
      </c>
      <c r="V17" s="80" t="s">
        <v>454</v>
      </c>
      <c r="W17" s="81"/>
      <c r="X17" s="277" t="s">
        <v>455</v>
      </c>
      <c r="Y17" s="296">
        <v>1</v>
      </c>
      <c r="Z17" s="296">
        <v>2</v>
      </c>
      <c r="AA17" s="296">
        <v>3</v>
      </c>
      <c r="AB17" s="296">
        <v>4</v>
      </c>
      <c r="AC17" s="296">
        <v>5</v>
      </c>
      <c r="AD17" s="296">
        <v>6</v>
      </c>
      <c r="AE17" s="296">
        <v>7</v>
      </c>
      <c r="AF17" s="296">
        <v>8</v>
      </c>
      <c r="AG17" s="297">
        <v>9</v>
      </c>
      <c r="AI17" s="758" t="s">
        <v>456</v>
      </c>
      <c r="AJ17" s="756" t="s">
        <v>457</v>
      </c>
      <c r="AK17" s="756" t="s">
        <v>458</v>
      </c>
      <c r="AL17" s="757" t="s">
        <v>459</v>
      </c>
      <c r="CL17" s="47"/>
      <c r="CM17" s="47"/>
      <c r="CN17" s="47"/>
      <c r="CO17" s="47"/>
      <c r="CQ17" s="47"/>
      <c r="CR17" s="47"/>
      <c r="CS17" s="47"/>
      <c r="DC17" s="75"/>
    </row>
    <row r="18" spans="1:113" ht="12.75" x14ac:dyDescent="0.2">
      <c r="A18" s="43"/>
      <c r="B18" s="871"/>
      <c r="C18" s="272" t="str">
        <f>Data!E11</f>
        <v>AHH</v>
      </c>
      <c r="D18" s="371">
        <f ca="1">IFERROR(LARGE(INDIRECT("t_"&amp;C18&amp;"[tp]"),1),"")</f>
        <v>888</v>
      </c>
      <c r="E18" s="274">
        <f ca="1">IFERROR(LARGE(INDIRECT("t_"&amp;C18&amp;"[tp]"),2),"")</f>
        <v>852</v>
      </c>
      <c r="F18" s="314">
        <f ca="1">IFERROR(LARGE(INDIRECT("t_"&amp;C18&amp;"[tp]"),3),"")</f>
        <v>852</v>
      </c>
      <c r="G18" s="61"/>
      <c r="H18" s="272" t="str">
        <f>Data!E11</f>
        <v>AHH</v>
      </c>
      <c r="I18" s="314">
        <f ca="1">COUNTIF(t_rang[ahh],1)</f>
        <v>5</v>
      </c>
      <c r="J18" s="63"/>
      <c r="K18" s="272" t="str">
        <f>Data!E18</f>
        <v>UTG</v>
      </c>
      <c r="L18" s="314">
        <f t="shared" ref="L18:L26" ca="1" si="12">IFERROR(AVERAGEIFS(INDIRECT("t_"&amp;K18&amp;"[tp]"),INDIRECT("t_"&amp;K18&amp;"[tp]"),"&lt;&gt;#I/T"),"")</f>
        <v>807</v>
      </c>
      <c r="M18" s="312"/>
      <c r="N18" s="313"/>
      <c r="O18" s="272" t="str">
        <f>Data!E16</f>
        <v>JH</v>
      </c>
      <c r="P18" s="281">
        <f t="shared" ref="P18:P26" ca="1" si="13">IFERROR(IF(INDEX(INDIRECT("t_"&amp;O18&amp;"[summert]"),MATCH(9.99999999999999E+307,INDIRECT("t_"&amp;O18&amp;"[summert]")))&lt;&gt;0,INDEX(INDIRECT("t_"&amp;O18&amp;"[summert]"),MATCH(9.99999999999999E+307,INDIRECT("t_"&amp;O18&amp;"[summert]"))),0),0)</f>
        <v>0</v>
      </c>
      <c r="Q18" s="52"/>
      <c r="R18" s="272" t="str">
        <f>Data!E18</f>
        <v>UTG</v>
      </c>
      <c r="S18" s="274">
        <f t="shared" ref="S18:S24" ca="1" si="14">SUM(INDIRECT("t_"&amp;R18&amp;"[Summert]"),0)</f>
        <v>6456</v>
      </c>
      <c r="T18" s="274">
        <f t="shared" ref="T18" ca="1" si="15">$S$18-S18</f>
        <v>0</v>
      </c>
      <c r="U18" s="732"/>
      <c r="V18" s="61"/>
      <c r="W18" s="83"/>
      <c r="X18" s="289" t="str">
        <f>Data!E11</f>
        <v>AHH</v>
      </c>
      <c r="Y18" s="298">
        <f ca="1">COUNTIF(INDIRECT(_xlfn.XLOOKUP($X18,Data!$E:$E,Data!$M:$M)&amp;"!t_"&amp;$X18&amp;"[Rank]"),Y$17)</f>
        <v>5</v>
      </c>
      <c r="Z18" s="298">
        <f ca="1">COUNTIF(INDIRECT(_xlfn.XLOOKUP($X18,Data!$E:$E,Data!$M:$M)&amp;"!t_"&amp;$X18&amp;"[Rank]"),Z$17)</f>
        <v>0</v>
      </c>
      <c r="AA18" s="298">
        <f ca="1">COUNTIF(INDIRECT(_xlfn.XLOOKUP($X18,Data!$E:$E,Data!$M:$M)&amp;"!t_"&amp;$X18&amp;"[Rank]"),AA$17)</f>
        <v>0</v>
      </c>
      <c r="AB18" s="298">
        <f ca="1">COUNTIF(INDIRECT(_xlfn.XLOOKUP($X18,Data!$E:$E,Data!$M:$M)&amp;"!t_"&amp;$X18&amp;"[Rank]"),AB$17)</f>
        <v>0</v>
      </c>
      <c r="AC18" s="298">
        <f ca="1">COUNTIF(INDIRECT(_xlfn.XLOOKUP($X18,Data!$E:$E,Data!$M:$M)&amp;"!t_"&amp;$X18&amp;"[Rank]"),AC$17)</f>
        <v>0</v>
      </c>
      <c r="AD18" s="298">
        <f ca="1">COUNTIF(INDIRECT(_xlfn.XLOOKUP($X18,Data!$E:$E,Data!$M:$M)&amp;"!t_"&amp;$X18&amp;"[Rank]"),AD$17)</f>
        <v>0</v>
      </c>
      <c r="AE18" s="298">
        <f ca="1">COUNTIF(INDIRECT(_xlfn.XLOOKUP($X18,Data!$E:$E,Data!$M:$M)&amp;"!t_"&amp;$X18&amp;"[Rank]"),AE$17)</f>
        <v>0</v>
      </c>
      <c r="AF18" s="298">
        <f ca="1">COUNTIF(INDIRECT(_xlfn.XLOOKUP($X18,Data!$E:$E,Data!$M:$M)&amp;"!t_"&amp;$X18&amp;"[Rank]"),AF$17)</f>
        <v>0</v>
      </c>
      <c r="AG18" s="299">
        <f ca="1">COUNTIF(INDIRECT(_xlfn.XLOOKUP($X18,Data!$E:$E,Data!$M:$M)&amp;"!t_"&amp;$X18&amp;"[Rank]"),AG$17)</f>
        <v>0</v>
      </c>
      <c r="AH18" s="570"/>
      <c r="AI18" s="782" t="s">
        <v>19</v>
      </c>
      <c r="AJ18" s="784">
        <f>COUNTIFS(Kuponger!$U$8:$W$934,Tabeller!$AA$29)</f>
        <v>23</v>
      </c>
      <c r="AK18" s="784">
        <f>COUNTIFS(Kuponger!$Q$8:$S$934,Tabeller!$AA$29)</f>
        <v>0</v>
      </c>
      <c r="AL18" s="762" t="e">
        <f t="shared" ref="AL18:AL26" si="16">AJ18/AK18</f>
        <v>#DIV/0!</v>
      </c>
      <c r="AN18" s="41">
        <v>50</v>
      </c>
      <c r="CL18" s="47"/>
      <c r="CM18" s="47"/>
      <c r="CN18" s="47"/>
      <c r="CP18" s="47"/>
      <c r="CQ18" s="47"/>
      <c r="CR18" s="47"/>
    </row>
    <row r="19" spans="1:113" ht="12.75" x14ac:dyDescent="0.2">
      <c r="A19" s="43"/>
      <c r="B19" s="871"/>
      <c r="C19" s="272" t="str">
        <f>Data!E12</f>
        <v>RB</v>
      </c>
      <c r="D19" s="372">
        <f t="shared" ref="D19:D26" ca="1" si="17">IFERROR(LARGE(INDIRECT("t_"&amp;C19&amp;"[tp]"),1),"")</f>
        <v>888</v>
      </c>
      <c r="E19" s="274">
        <f t="shared" ref="E19:E26" ca="1" si="18">IFERROR(LARGE(INDIRECT("t_"&amp;C19&amp;"[tp]"),2),"")</f>
        <v>852</v>
      </c>
      <c r="F19" s="315">
        <f t="shared" ref="F19:F26" ca="1" si="19">IFERROR(LARGE(INDIRECT("t_"&amp;C19&amp;"[tp]"),3),"")</f>
        <v>852</v>
      </c>
      <c r="G19" s="61"/>
      <c r="H19" s="272" t="str">
        <f>Data!E12</f>
        <v>RB</v>
      </c>
      <c r="I19" s="315">
        <f ca="1">COUNTIF(t_rang[eb],1)</f>
        <v>5</v>
      </c>
      <c r="J19" s="63"/>
      <c r="K19" s="272" t="str">
        <f>Data!E14</f>
        <v>KAF</v>
      </c>
      <c r="L19" s="315">
        <f t="shared" ca="1" si="12"/>
        <v>807</v>
      </c>
      <c r="M19" s="312"/>
      <c r="N19" s="313"/>
      <c r="O19" s="272" t="str">
        <f>Data!E13</f>
        <v>EB</v>
      </c>
      <c r="P19" s="282">
        <f t="shared" ca="1" si="13"/>
        <v>0</v>
      </c>
      <c r="Q19" s="52"/>
      <c r="R19" s="272" t="str">
        <f>Data!E15</f>
        <v>ØG</v>
      </c>
      <c r="S19" s="274">
        <f t="shared" ca="1" si="14"/>
        <v>6456</v>
      </c>
      <c r="T19" s="274">
        <f t="shared" ref="T19:T26" ca="1" si="20">$S$18-S19</f>
        <v>0</v>
      </c>
      <c r="U19" s="732">
        <f t="shared" ref="U19:U26" ca="1" si="21">IF(S19="",0,S18-S19)</f>
        <v>0</v>
      </c>
      <c r="V19" s="61"/>
      <c r="W19" s="85"/>
      <c r="X19" s="289" t="str">
        <f>Data!E12</f>
        <v>RB</v>
      </c>
      <c r="Y19" s="298">
        <f ca="1">COUNTIF(INDIRECT(_xlfn.XLOOKUP($X19,Data!$E:$E,Data!$M:$M)&amp;"!t_"&amp;$X19&amp;"[Rank]"),Y$17)</f>
        <v>5</v>
      </c>
      <c r="Z19" s="298">
        <f ca="1">COUNTIF(INDIRECT(_xlfn.XLOOKUP($X19,Data!$E:$E,Data!$M:$M)&amp;"!t_"&amp;$X19&amp;"[Rank]"),Z$17)</f>
        <v>0</v>
      </c>
      <c r="AA19" s="298">
        <f ca="1">COUNTIF(INDIRECT(_xlfn.XLOOKUP($X19,Data!$E:$E,Data!$M:$M)&amp;"!t_"&amp;$X19&amp;"[Rank]"),AA$17)</f>
        <v>0</v>
      </c>
      <c r="AB19" s="298">
        <f ca="1">COUNTIF(INDIRECT(_xlfn.XLOOKUP($X19,Data!$E:$E,Data!$M:$M)&amp;"!t_"&amp;$X19&amp;"[Rank]"),AB$17)</f>
        <v>0</v>
      </c>
      <c r="AC19" s="298">
        <f ca="1">COUNTIF(INDIRECT(_xlfn.XLOOKUP($X19,Data!$E:$E,Data!$M:$M)&amp;"!t_"&amp;$X19&amp;"[Rank]"),AC$17)</f>
        <v>0</v>
      </c>
      <c r="AD19" s="298">
        <f ca="1">COUNTIF(INDIRECT(_xlfn.XLOOKUP($X19,Data!$E:$E,Data!$M:$M)&amp;"!t_"&amp;$X19&amp;"[Rank]"),AD$17)</f>
        <v>0</v>
      </c>
      <c r="AE19" s="298">
        <f ca="1">COUNTIF(INDIRECT(_xlfn.XLOOKUP($X19,Data!$E:$E,Data!$M:$M)&amp;"!t_"&amp;$X19&amp;"[Rank]"),AE$17)</f>
        <v>0</v>
      </c>
      <c r="AF19" s="298">
        <f ca="1">COUNTIF(INDIRECT(_xlfn.XLOOKUP($X19,Data!$E:$E,Data!$M:$M)&amp;"!t_"&amp;$X19&amp;"[Rank]"),AF$17)</f>
        <v>0</v>
      </c>
      <c r="AG19" s="299">
        <f ca="1">COUNTIF(INDIRECT(_xlfn.XLOOKUP($X19,Data!$E:$E,Data!$M:$M)&amp;"!t_"&amp;$X19&amp;"[Rank]"),AG$17)</f>
        <v>0</v>
      </c>
      <c r="AI19" s="759" t="s">
        <v>25</v>
      </c>
      <c r="AJ19" s="566">
        <f>COUNTIFS(Kuponger!$BW$8:$BY$934,Tabeller!$AA$29)</f>
        <v>23</v>
      </c>
      <c r="AK19" s="566">
        <f>COUNTIFS(Kuponger!$BS$8:$BU$934,Tabeller!$AA$29)</f>
        <v>0</v>
      </c>
      <c r="AL19" s="763" t="e">
        <f t="shared" si="16"/>
        <v>#DIV/0!</v>
      </c>
      <c r="AN19" s="45"/>
      <c r="CL19" s="47"/>
      <c r="CM19" s="47"/>
      <c r="CN19" s="47"/>
      <c r="CP19" s="47"/>
      <c r="CQ19" s="47"/>
      <c r="CR19" s="47"/>
    </row>
    <row r="20" spans="1:113" ht="12.75" x14ac:dyDescent="0.2">
      <c r="A20" s="43"/>
      <c r="B20" s="871"/>
      <c r="C20" s="272" t="str">
        <f>Data!E13</f>
        <v>EB</v>
      </c>
      <c r="D20" s="372">
        <f t="shared" ca="1" si="17"/>
        <v>888</v>
      </c>
      <c r="E20" s="274">
        <f t="shared" ca="1" si="18"/>
        <v>852</v>
      </c>
      <c r="F20" s="315">
        <f t="shared" ca="1" si="19"/>
        <v>852</v>
      </c>
      <c r="G20" s="61"/>
      <c r="H20" s="272" t="str">
        <f>Data!E13</f>
        <v>EB</v>
      </c>
      <c r="I20" s="315">
        <f ca="1">COUNTIF(t_rang[eb],1)</f>
        <v>5</v>
      </c>
      <c r="K20" s="272" t="str">
        <f>Data!E15</f>
        <v>ØG</v>
      </c>
      <c r="L20" s="315">
        <f t="shared" ca="1" si="12"/>
        <v>807</v>
      </c>
      <c r="M20" s="312"/>
      <c r="N20" s="313"/>
      <c r="O20" s="272" t="str">
        <f>Data!E19</f>
        <v>LEV</v>
      </c>
      <c r="P20" s="282">
        <f t="shared" ca="1" si="13"/>
        <v>0</v>
      </c>
      <c r="Q20" s="52"/>
      <c r="R20" s="272" t="str">
        <f>Data!E14</f>
        <v>KAF</v>
      </c>
      <c r="S20" s="274">
        <f t="shared" ca="1" si="14"/>
        <v>6456</v>
      </c>
      <c r="T20" s="274">
        <f t="shared" ca="1" si="20"/>
        <v>0</v>
      </c>
      <c r="U20" s="732">
        <f t="shared" ca="1" si="21"/>
        <v>0</v>
      </c>
      <c r="V20" s="61"/>
      <c r="W20" s="85"/>
      <c r="X20" s="291" t="str">
        <f>Data!E13</f>
        <v>EB</v>
      </c>
      <c r="Y20" s="298">
        <f ca="1">COUNTIF(INDIRECT(_xlfn.XLOOKUP($X20,Data!$E:$E,Data!$M:$M)&amp;"!t_"&amp;$X20&amp;"[Rank]"),Y$17)</f>
        <v>5</v>
      </c>
      <c r="Z20" s="298">
        <f ca="1">COUNTIF(INDIRECT(_xlfn.XLOOKUP($X20,Data!$E:$E,Data!$M:$M)&amp;"!t_"&amp;$X20&amp;"[Rank]"),Z$17)</f>
        <v>0</v>
      </c>
      <c r="AA20" s="298">
        <f ca="1">COUNTIF(INDIRECT(_xlfn.XLOOKUP($X20,Data!$E:$E,Data!$M:$M)&amp;"!t_"&amp;$X20&amp;"[Rank]"),AA$17)</f>
        <v>0</v>
      </c>
      <c r="AB20" s="298">
        <f ca="1">COUNTIF(INDIRECT(_xlfn.XLOOKUP($X20,Data!$E:$E,Data!$M:$M)&amp;"!t_"&amp;$X20&amp;"[Rank]"),AB$17)</f>
        <v>0</v>
      </c>
      <c r="AC20" s="298">
        <f ca="1">COUNTIF(INDIRECT(_xlfn.XLOOKUP($X20,Data!$E:$E,Data!$M:$M)&amp;"!t_"&amp;$X20&amp;"[Rank]"),AC$17)</f>
        <v>0</v>
      </c>
      <c r="AD20" s="298">
        <f ca="1">COUNTIF(INDIRECT(_xlfn.XLOOKUP($X20,Data!$E:$E,Data!$M:$M)&amp;"!t_"&amp;$X20&amp;"[Rank]"),AD$17)</f>
        <v>0</v>
      </c>
      <c r="AE20" s="298">
        <f ca="1">COUNTIF(INDIRECT(_xlfn.XLOOKUP($X20,Data!$E:$E,Data!$M:$M)&amp;"!t_"&amp;$X20&amp;"[Rank]"),AE$17)</f>
        <v>0</v>
      </c>
      <c r="AF20" s="298">
        <f ca="1">COUNTIF(INDIRECT(_xlfn.XLOOKUP($X20,Data!$E:$E,Data!$M:$M)&amp;"!t_"&amp;$X20&amp;"[Rank]"),AF$17)</f>
        <v>0</v>
      </c>
      <c r="AG20" s="299">
        <f ca="1">COUNTIF(INDIRECT(_xlfn.XLOOKUP($X20,Data!$E:$E,Data!$M:$M)&amp;"!t_"&amp;$X20&amp;"[Rank]"),AG$17)</f>
        <v>0</v>
      </c>
      <c r="AI20" s="759" t="s">
        <v>26</v>
      </c>
      <c r="AJ20" s="566">
        <f>COUNTIFS(Kuponger!$CF$8:$CH$934,Tabeller!$AA$29)</f>
        <v>23</v>
      </c>
      <c r="AK20" s="566">
        <f>COUNTIFS(Kuponger!$CB$8:$CD$934,Tabeller!$AA$29)</f>
        <v>0</v>
      </c>
      <c r="AL20" s="763" t="e">
        <f t="shared" si="16"/>
        <v>#DIV/0!</v>
      </c>
      <c r="AN20" s="59"/>
      <c r="CL20" s="47"/>
      <c r="CM20" s="47"/>
      <c r="CN20" s="47"/>
      <c r="CP20" s="47"/>
      <c r="CQ20" s="47"/>
      <c r="CR20" s="47"/>
    </row>
    <row r="21" spans="1:113" ht="12.75" x14ac:dyDescent="0.2">
      <c r="A21" s="43"/>
      <c r="B21" s="871"/>
      <c r="C21" s="272" t="str">
        <f>Data!E14</f>
        <v>KAF</v>
      </c>
      <c r="D21" s="372">
        <f t="shared" ca="1" si="17"/>
        <v>888</v>
      </c>
      <c r="E21" s="274">
        <f t="shared" ca="1" si="18"/>
        <v>852</v>
      </c>
      <c r="F21" s="315">
        <f t="shared" ca="1" si="19"/>
        <v>852</v>
      </c>
      <c r="G21" s="61"/>
      <c r="H21" s="272" t="str">
        <f>Data!E14</f>
        <v>KAF</v>
      </c>
      <c r="I21" s="315">
        <f ca="1">COUNTIF(t_rang[kaf],1)</f>
        <v>5</v>
      </c>
      <c r="K21" s="272" t="str">
        <f>Data!E13</f>
        <v>EB</v>
      </c>
      <c r="L21" s="315">
        <f t="shared" ca="1" si="12"/>
        <v>807</v>
      </c>
      <c r="M21" s="312"/>
      <c r="N21" s="313"/>
      <c r="O21" s="272" t="str">
        <f>Data!E11</f>
        <v>AHH</v>
      </c>
      <c r="P21" s="282">
        <f t="shared" ca="1" si="13"/>
        <v>0</v>
      </c>
      <c r="Q21" s="52"/>
      <c r="R21" s="272" t="str">
        <f>Data!E13</f>
        <v>EB</v>
      </c>
      <c r="S21" s="274">
        <f t="shared" ca="1" si="14"/>
        <v>6456</v>
      </c>
      <c r="T21" s="274">
        <f t="shared" ca="1" si="20"/>
        <v>0</v>
      </c>
      <c r="U21" s="732">
        <f t="shared" ca="1" si="21"/>
        <v>0</v>
      </c>
      <c r="V21" s="61"/>
      <c r="W21" s="85"/>
      <c r="X21" s="289" t="str">
        <f>Data!E14</f>
        <v>KAF</v>
      </c>
      <c r="Y21" s="298">
        <f ca="1">COUNTIF(INDIRECT(_xlfn.XLOOKUP($X21,Data!$E:$E,Data!$M:$M)&amp;"!t_"&amp;$X21&amp;"[Rank]"),Y$17)</f>
        <v>5</v>
      </c>
      <c r="Z21" s="298">
        <f ca="1">COUNTIF(INDIRECT(_xlfn.XLOOKUP($X21,Data!$E:$E,Data!$M:$M)&amp;"!t_"&amp;$X21&amp;"[Rank]"),Z$17)</f>
        <v>0</v>
      </c>
      <c r="AA21" s="298">
        <f ca="1">COUNTIF(INDIRECT(_xlfn.XLOOKUP($X21,Data!$E:$E,Data!$M:$M)&amp;"!t_"&amp;$X21&amp;"[Rank]"),AA$17)</f>
        <v>0</v>
      </c>
      <c r="AB21" s="298">
        <f ca="1">COUNTIF(INDIRECT(_xlfn.XLOOKUP($X21,Data!$E:$E,Data!$M:$M)&amp;"!t_"&amp;$X21&amp;"[Rank]"),AB$17)</f>
        <v>0</v>
      </c>
      <c r="AC21" s="298">
        <f ca="1">COUNTIF(INDIRECT(_xlfn.XLOOKUP($X21,Data!$E:$E,Data!$M:$M)&amp;"!t_"&amp;$X21&amp;"[Rank]"),AC$17)</f>
        <v>0</v>
      </c>
      <c r="AD21" s="298">
        <f ca="1">COUNTIF(INDIRECT(_xlfn.XLOOKUP($X21,Data!$E:$E,Data!$M:$M)&amp;"!t_"&amp;$X21&amp;"[Rank]"),AD$17)</f>
        <v>0</v>
      </c>
      <c r="AE21" s="298">
        <f ca="1">COUNTIF(INDIRECT(_xlfn.XLOOKUP($X21,Data!$E:$E,Data!$M:$M)&amp;"!t_"&amp;$X21&amp;"[Rank]"),AE$17)</f>
        <v>0</v>
      </c>
      <c r="AF21" s="298">
        <f ca="1">COUNTIF(INDIRECT(_xlfn.XLOOKUP($X21,Data!$E:$E,Data!$M:$M)&amp;"!t_"&amp;$X21&amp;"[Rank]"),AF$17)</f>
        <v>0</v>
      </c>
      <c r="AG21" s="299">
        <f ca="1">COUNTIF(INDIRECT(_xlfn.XLOOKUP($X21,Data!$E:$E,Data!$M:$M)&amp;"!t_"&amp;$X21&amp;"[Rank]"),AG$17)</f>
        <v>0</v>
      </c>
      <c r="AI21" s="759" t="s">
        <v>21</v>
      </c>
      <c r="AJ21" s="566">
        <f>COUNTIFS(Kuponger!$AM$8:$AO$934,Tabeller!$AA$29)</f>
        <v>23</v>
      </c>
      <c r="AK21" s="566">
        <f>COUNTIFS(Kuponger!$AI$8:$AK$934,Tabeller!$AA$29)</f>
        <v>0</v>
      </c>
      <c r="AL21" s="763" t="e">
        <f t="shared" si="16"/>
        <v>#DIV/0!</v>
      </c>
      <c r="AN21" s="46"/>
      <c r="CL21" s="47"/>
      <c r="CM21" s="47"/>
      <c r="CN21" s="47"/>
      <c r="CP21" s="47"/>
      <c r="CQ21" s="47"/>
      <c r="CR21" s="47"/>
    </row>
    <row r="22" spans="1:113" ht="12.75" x14ac:dyDescent="0.2">
      <c r="A22" s="43"/>
      <c r="B22" s="871"/>
      <c r="C22" s="272" t="str">
        <f>Data!E15</f>
        <v>ØG</v>
      </c>
      <c r="D22" s="372">
        <f t="shared" ca="1" si="17"/>
        <v>888</v>
      </c>
      <c r="E22" s="274">
        <f t="shared" ca="1" si="18"/>
        <v>852</v>
      </c>
      <c r="F22" s="315">
        <f t="shared" ca="1" si="19"/>
        <v>852</v>
      </c>
      <c r="G22" s="61"/>
      <c r="H22" s="272" t="str">
        <f>Data!E15</f>
        <v>ØG</v>
      </c>
      <c r="I22" s="315">
        <f ca="1">COUNTIF(t_rang[øg],1)</f>
        <v>5</v>
      </c>
      <c r="K22" s="272" t="str">
        <f>Data!E19</f>
        <v>LEV</v>
      </c>
      <c r="L22" s="315">
        <f t="shared" ca="1" si="12"/>
        <v>807</v>
      </c>
      <c r="M22" s="312"/>
      <c r="N22" s="313"/>
      <c r="O22" s="272" t="str">
        <f>Data!E14</f>
        <v>KAF</v>
      </c>
      <c r="P22" s="282">
        <f t="shared" ca="1" si="13"/>
        <v>0</v>
      </c>
      <c r="Q22" s="52"/>
      <c r="R22" s="272" t="str">
        <f>Data!E19</f>
        <v>LEV</v>
      </c>
      <c r="S22" s="274">
        <f t="shared" ca="1" si="14"/>
        <v>6456</v>
      </c>
      <c r="T22" s="274">
        <f t="shared" ca="1" si="20"/>
        <v>0</v>
      </c>
      <c r="U22" s="732">
        <f t="shared" ca="1" si="21"/>
        <v>0</v>
      </c>
      <c r="V22" s="61"/>
      <c r="W22" s="85"/>
      <c r="X22" s="289" t="str">
        <f>Data!E15</f>
        <v>ØG</v>
      </c>
      <c r="Y22" s="298">
        <f ca="1">COUNTIF(INDIRECT(_xlfn.XLOOKUP($X22,Data!$E:$E,Data!$M:$M)&amp;"!t_"&amp;$X22&amp;"[Rank]"),Y$17)</f>
        <v>5</v>
      </c>
      <c r="Z22" s="298">
        <f ca="1">COUNTIF(INDIRECT(_xlfn.XLOOKUP($X22,Data!$E:$E,Data!$M:$M)&amp;"!t_"&amp;$X22&amp;"[Rank]"),Z$17)</f>
        <v>0</v>
      </c>
      <c r="AA22" s="298">
        <f ca="1">COUNTIF(INDIRECT(_xlfn.XLOOKUP($X22,Data!$E:$E,Data!$M:$M)&amp;"!t_"&amp;$X22&amp;"[Rank]"),AA$17)</f>
        <v>0</v>
      </c>
      <c r="AB22" s="298">
        <f ca="1">COUNTIF(INDIRECT(_xlfn.XLOOKUP($X22,Data!$E:$E,Data!$M:$M)&amp;"!t_"&amp;$X22&amp;"[Rank]"),AB$17)</f>
        <v>0</v>
      </c>
      <c r="AC22" s="298">
        <f ca="1">COUNTIF(INDIRECT(_xlfn.XLOOKUP($X22,Data!$E:$E,Data!$M:$M)&amp;"!t_"&amp;$X22&amp;"[Rank]"),AC$17)</f>
        <v>0</v>
      </c>
      <c r="AD22" s="298">
        <f ca="1">COUNTIF(INDIRECT(_xlfn.XLOOKUP($X22,Data!$E:$E,Data!$M:$M)&amp;"!t_"&amp;$X22&amp;"[Rank]"),AD$17)</f>
        <v>0</v>
      </c>
      <c r="AE22" s="298">
        <f ca="1">COUNTIF(INDIRECT(_xlfn.XLOOKUP($X22,Data!$E:$E,Data!$M:$M)&amp;"!t_"&amp;$X22&amp;"[Rank]"),AE$17)</f>
        <v>0</v>
      </c>
      <c r="AF22" s="298">
        <f ca="1">COUNTIF(INDIRECT(_xlfn.XLOOKUP($X22,Data!$E:$E,Data!$M:$M)&amp;"!t_"&amp;$X22&amp;"[Rank]"),AF$17)</f>
        <v>0</v>
      </c>
      <c r="AG22" s="299">
        <f ca="1">COUNTIF(INDIRECT(_xlfn.XLOOKUP($X22,Data!$E:$E,Data!$M:$M)&amp;"!t_"&amp;$X22&amp;"[Rank]"),AG$17)</f>
        <v>0</v>
      </c>
      <c r="AI22" s="759" t="s">
        <v>20</v>
      </c>
      <c r="AJ22" s="566">
        <f>COUNTIFS(Kuponger!$AD$8:$AF$934,Tabeller!$AA$29)</f>
        <v>23</v>
      </c>
      <c r="AK22" s="566">
        <f>COUNTIFS(Kuponger!$Z$8:$AB$934,Tabeller!$AA$29)</f>
        <v>0</v>
      </c>
      <c r="AL22" s="763" t="e">
        <f t="shared" si="16"/>
        <v>#DIV/0!</v>
      </c>
      <c r="AN22" s="46"/>
      <c r="CL22" s="47"/>
      <c r="CM22" s="47"/>
      <c r="CN22" s="47"/>
      <c r="CP22" s="47"/>
      <c r="CQ22" s="47"/>
      <c r="CR22" s="47"/>
    </row>
    <row r="23" spans="1:113" ht="12.75" x14ac:dyDescent="0.2">
      <c r="A23" s="43"/>
      <c r="B23" s="871"/>
      <c r="C23" s="272" t="str">
        <f>Data!E16</f>
        <v>JH</v>
      </c>
      <c r="D23" s="372">
        <f t="shared" ca="1" si="17"/>
        <v>888</v>
      </c>
      <c r="E23" s="274">
        <f t="shared" ca="1" si="18"/>
        <v>852</v>
      </c>
      <c r="F23" s="315">
        <f t="shared" ca="1" si="19"/>
        <v>852</v>
      </c>
      <c r="G23" s="61"/>
      <c r="H23" s="272" t="str">
        <f>Data!E16</f>
        <v>JH</v>
      </c>
      <c r="I23" s="315">
        <f ca="1">COUNTIF(t_rang[jh],1)</f>
        <v>5</v>
      </c>
      <c r="K23" s="272" t="str">
        <f>Data!E12</f>
        <v>RB</v>
      </c>
      <c r="L23" s="315">
        <f t="shared" ca="1" si="12"/>
        <v>807</v>
      </c>
      <c r="M23" s="312"/>
      <c r="N23" s="313"/>
      <c r="O23" s="272" t="str">
        <f>Data!E17</f>
        <v>TOH</v>
      </c>
      <c r="P23" s="282">
        <f t="shared" ca="1" si="13"/>
        <v>0</v>
      </c>
      <c r="Q23" s="52"/>
      <c r="R23" s="272" t="str">
        <f>Data!E12</f>
        <v>RB</v>
      </c>
      <c r="S23" s="274">
        <f t="shared" ca="1" si="14"/>
        <v>6456</v>
      </c>
      <c r="T23" s="274">
        <f t="shared" ca="1" si="20"/>
        <v>0</v>
      </c>
      <c r="U23" s="732">
        <f t="shared" ca="1" si="21"/>
        <v>0</v>
      </c>
      <c r="V23" s="61"/>
      <c r="W23" s="85"/>
      <c r="X23" s="289" t="str">
        <f>Data!E16</f>
        <v>JH</v>
      </c>
      <c r="Y23" s="298">
        <f ca="1">COUNTIF(INDIRECT(_xlfn.XLOOKUP($X23,Data!$E:$E,Data!$M:$M)&amp;"!t_"&amp;$X23&amp;"[Rank]"),Y$17)</f>
        <v>5</v>
      </c>
      <c r="Z23" s="298">
        <f ca="1">COUNTIF(INDIRECT(_xlfn.XLOOKUP($X23,Data!$E:$E,Data!$M:$M)&amp;"!t_"&amp;$X23&amp;"[Rank]"),Z$17)</f>
        <v>0</v>
      </c>
      <c r="AA23" s="298">
        <f ca="1">COUNTIF(INDIRECT(_xlfn.XLOOKUP($X23,Data!$E:$E,Data!$M:$M)&amp;"!t_"&amp;$X23&amp;"[Rank]"),AA$17)</f>
        <v>0</v>
      </c>
      <c r="AB23" s="298">
        <f ca="1">COUNTIF(INDIRECT(_xlfn.XLOOKUP($X23,Data!$E:$E,Data!$M:$M)&amp;"!t_"&amp;$X23&amp;"[Rank]"),AB$17)</f>
        <v>0</v>
      </c>
      <c r="AC23" s="298">
        <f ca="1">COUNTIF(INDIRECT(_xlfn.XLOOKUP($X23,Data!$E:$E,Data!$M:$M)&amp;"!t_"&amp;$X23&amp;"[Rank]"),AC$17)</f>
        <v>0</v>
      </c>
      <c r="AD23" s="298">
        <f ca="1">COUNTIF(INDIRECT(_xlfn.XLOOKUP($X23,Data!$E:$E,Data!$M:$M)&amp;"!t_"&amp;$X23&amp;"[Rank]"),AD$17)</f>
        <v>0</v>
      </c>
      <c r="AE23" s="298">
        <f ca="1">COUNTIF(INDIRECT(_xlfn.XLOOKUP($X23,Data!$E:$E,Data!$M:$M)&amp;"!t_"&amp;$X23&amp;"[Rank]"),AE$17)</f>
        <v>0</v>
      </c>
      <c r="AF23" s="298">
        <f ca="1">COUNTIF(INDIRECT(_xlfn.XLOOKUP($X23,Data!$E:$E,Data!$M:$M)&amp;"!t_"&amp;$X23&amp;"[Rank]"),AF$17)</f>
        <v>0</v>
      </c>
      <c r="AG23" s="299">
        <f ca="1">COUNTIF(INDIRECT(_xlfn.XLOOKUP($X23,Data!$E:$E,Data!$M:$M)&amp;"!t_"&amp;$X23&amp;"[Rank]"),AG$17)</f>
        <v>0</v>
      </c>
      <c r="AI23" s="759" t="s">
        <v>23</v>
      </c>
      <c r="AJ23" s="566">
        <f>COUNTIFS(Kuponger!$BE$8:$BG$934,Tabeller!$AA$29)</f>
        <v>23</v>
      </c>
      <c r="AK23" s="566">
        <f>COUNTIFS(Kuponger!$BA$8:$BC$934,Tabeller!$AA$29)</f>
        <v>0</v>
      </c>
      <c r="AL23" s="763" t="e">
        <f t="shared" si="16"/>
        <v>#DIV/0!</v>
      </c>
      <c r="AN23" s="46"/>
      <c r="CL23" s="47"/>
      <c r="CM23" s="47"/>
      <c r="CN23" s="47"/>
      <c r="CP23" s="47"/>
      <c r="CQ23" s="47"/>
      <c r="CR23" s="47"/>
    </row>
    <row r="24" spans="1:113" ht="12.75" x14ac:dyDescent="0.2">
      <c r="A24" s="43"/>
      <c r="B24" s="871"/>
      <c r="C24" s="272" t="str">
        <f>Data!E17</f>
        <v>TOH</v>
      </c>
      <c r="D24" s="372">
        <f t="shared" ca="1" si="17"/>
        <v>888</v>
      </c>
      <c r="E24" s="274">
        <f t="shared" ca="1" si="18"/>
        <v>852</v>
      </c>
      <c r="F24" s="315">
        <f t="shared" ca="1" si="19"/>
        <v>852</v>
      </c>
      <c r="G24" s="61"/>
      <c r="H24" s="272" t="str">
        <f>Data!E17</f>
        <v>TOH</v>
      </c>
      <c r="I24" s="315">
        <f ca="1">COUNTIF(t_rang[toh],1)</f>
        <v>5</v>
      </c>
      <c r="J24" s="47"/>
      <c r="K24" s="272" t="str">
        <f>Data!E17</f>
        <v>TOH</v>
      </c>
      <c r="L24" s="315">
        <f t="shared" ca="1" si="12"/>
        <v>807</v>
      </c>
      <c r="M24" s="312"/>
      <c r="N24" s="313"/>
      <c r="O24" s="272" t="str">
        <f>Data!E18</f>
        <v>UTG</v>
      </c>
      <c r="P24" s="315">
        <f t="shared" ca="1" si="13"/>
        <v>0</v>
      </c>
      <c r="Q24" s="52"/>
      <c r="R24" s="272" t="str">
        <f>Data!E17</f>
        <v>TOH</v>
      </c>
      <c r="S24" s="274">
        <f t="shared" ca="1" si="14"/>
        <v>6456</v>
      </c>
      <c r="T24" s="274">
        <f t="shared" ca="1" si="20"/>
        <v>0</v>
      </c>
      <c r="U24" s="732">
        <f t="shared" ca="1" si="21"/>
        <v>0</v>
      </c>
      <c r="V24" s="61"/>
      <c r="W24" s="85"/>
      <c r="X24" s="289" t="str">
        <f>Data!E17</f>
        <v>TOH</v>
      </c>
      <c r="Y24" s="298">
        <f ca="1">COUNTIF(INDIRECT(_xlfn.XLOOKUP($X24,Data!$E:$E,Data!$M:$M)&amp;"!t_"&amp;$X24&amp;"[Rank]"),Y$17)</f>
        <v>5</v>
      </c>
      <c r="Z24" s="298">
        <f ca="1">COUNTIF(INDIRECT(_xlfn.XLOOKUP($X24,Data!$E:$E,Data!$M:$M)&amp;"!t_"&amp;$X24&amp;"[Rank]"),Z$17)</f>
        <v>0</v>
      </c>
      <c r="AA24" s="298">
        <f ca="1">COUNTIF(INDIRECT(_xlfn.XLOOKUP($X24,Data!$E:$E,Data!$M:$M)&amp;"!t_"&amp;$X24&amp;"[Rank]"),AA$17)</f>
        <v>0</v>
      </c>
      <c r="AB24" s="298">
        <f ca="1">COUNTIF(INDIRECT(_xlfn.XLOOKUP($X24,Data!$E:$E,Data!$M:$M)&amp;"!t_"&amp;$X24&amp;"[Rank]"),AB$17)</f>
        <v>0</v>
      </c>
      <c r="AC24" s="298">
        <f ca="1">COUNTIF(INDIRECT(_xlfn.XLOOKUP($X24,Data!$E:$E,Data!$M:$M)&amp;"!t_"&amp;$X24&amp;"[Rank]"),AC$17)</f>
        <v>0</v>
      </c>
      <c r="AD24" s="298">
        <f ca="1">COUNTIF(INDIRECT(_xlfn.XLOOKUP($X24,Data!$E:$E,Data!$M:$M)&amp;"!t_"&amp;$X24&amp;"[Rank]"),AD$17)</f>
        <v>0</v>
      </c>
      <c r="AE24" s="298">
        <f ca="1">COUNTIF(INDIRECT(_xlfn.XLOOKUP($X24,Data!$E:$E,Data!$M:$M)&amp;"!t_"&amp;$X24&amp;"[Rank]"),AE$17)</f>
        <v>0</v>
      </c>
      <c r="AF24" s="298">
        <f ca="1">COUNTIF(INDIRECT(_xlfn.XLOOKUP($X24,Data!$E:$E,Data!$M:$M)&amp;"!t_"&amp;$X24&amp;"[Rank]"),AF$17)</f>
        <v>0</v>
      </c>
      <c r="AG24" s="299">
        <f ca="1">COUNTIF(INDIRECT(_xlfn.XLOOKUP($X24,Data!$E:$E,Data!$M:$M)&amp;"!t_"&amp;$X24&amp;"[Rank]"),AG$17)</f>
        <v>0</v>
      </c>
      <c r="AI24" s="783" t="s">
        <v>22</v>
      </c>
      <c r="AJ24" s="567">
        <f>COUNTIFS(Kuponger!$AV$8:$AX$934,Tabeller!$AA$29)</f>
        <v>23</v>
      </c>
      <c r="AK24" s="567">
        <f>COUNTIFS(Kuponger!$AR$8:$AT$934,Tabeller!$AA$29)</f>
        <v>0</v>
      </c>
      <c r="AL24" s="763" t="e">
        <f t="shared" si="16"/>
        <v>#DIV/0!</v>
      </c>
      <c r="AN24" s="46"/>
      <c r="CL24" s="47"/>
      <c r="CM24" s="47"/>
      <c r="CN24" s="47"/>
      <c r="CP24" s="47"/>
      <c r="CQ24" s="47"/>
      <c r="CR24" s="47"/>
    </row>
    <row r="25" spans="1:113" ht="12.75" x14ac:dyDescent="0.2">
      <c r="A25" s="43"/>
      <c r="B25" s="871"/>
      <c r="C25" s="272" t="str">
        <f>Data!E18</f>
        <v>UTG</v>
      </c>
      <c r="D25" s="372">
        <f t="shared" ca="1" si="17"/>
        <v>888</v>
      </c>
      <c r="E25" s="274">
        <f t="shared" ca="1" si="18"/>
        <v>852</v>
      </c>
      <c r="F25" s="315">
        <f t="shared" ca="1" si="19"/>
        <v>852</v>
      </c>
      <c r="H25" s="272" t="str">
        <f>Data!E18</f>
        <v>UTG</v>
      </c>
      <c r="I25" s="315">
        <f ca="1">COUNTIF(t_rang[utg],1)</f>
        <v>5</v>
      </c>
      <c r="J25" s="63"/>
      <c r="K25" s="272" t="str">
        <f>Data!E11</f>
        <v>AHH</v>
      </c>
      <c r="L25" s="315">
        <f t="shared" ca="1" si="12"/>
        <v>807</v>
      </c>
      <c r="M25" s="46"/>
      <c r="N25" s="73"/>
      <c r="O25" s="272" t="str">
        <f>Data!E12</f>
        <v>RB</v>
      </c>
      <c r="P25" s="282">
        <f t="shared" ca="1" si="13"/>
        <v>0</v>
      </c>
      <c r="Q25" s="52"/>
      <c r="R25" s="272" t="str">
        <f>Data!E11</f>
        <v>AHH</v>
      </c>
      <c r="S25" s="274">
        <f ca="1">SUM(INDIRECT("t_"&amp;R25&amp;"[Summert]"),0)</f>
        <v>6456</v>
      </c>
      <c r="T25" s="274">
        <f t="shared" ca="1" si="20"/>
        <v>0</v>
      </c>
      <c r="U25" s="732">
        <f t="shared" ca="1" si="21"/>
        <v>0</v>
      </c>
      <c r="V25" s="49"/>
      <c r="W25" s="75"/>
      <c r="X25" s="289" t="str">
        <f>Data!E18</f>
        <v>UTG</v>
      </c>
      <c r="Y25" s="298">
        <f ca="1">COUNTIF(INDIRECT(_xlfn.XLOOKUP($X25,Data!$E:$E,Data!$M:$M)&amp;"!t_"&amp;$X25&amp;"[Rank]"),Y$17)</f>
        <v>5</v>
      </c>
      <c r="Z25" s="298">
        <f ca="1">COUNTIF(INDIRECT(_xlfn.XLOOKUP($X25,Data!$E:$E,Data!$M:$M)&amp;"!t_"&amp;$X25&amp;"[Rank]"),Z$17)</f>
        <v>0</v>
      </c>
      <c r="AA25" s="298">
        <f ca="1">COUNTIF(INDIRECT(_xlfn.XLOOKUP($X25,Data!$E:$E,Data!$M:$M)&amp;"!t_"&amp;$X25&amp;"[Rank]"),AA$17)</f>
        <v>0</v>
      </c>
      <c r="AB25" s="298">
        <f ca="1">COUNTIF(INDIRECT(_xlfn.XLOOKUP($X25,Data!$E:$E,Data!$M:$M)&amp;"!t_"&amp;$X25&amp;"[Rank]"),AB$17)</f>
        <v>0</v>
      </c>
      <c r="AC25" s="298">
        <f ca="1">COUNTIF(INDIRECT(_xlfn.XLOOKUP($X25,Data!$E:$E,Data!$M:$M)&amp;"!t_"&amp;$X25&amp;"[Rank]"),AC$17)</f>
        <v>0</v>
      </c>
      <c r="AD25" s="298">
        <f ca="1">COUNTIF(INDIRECT(_xlfn.XLOOKUP($X25,Data!$E:$E,Data!$M:$M)&amp;"!t_"&amp;$X25&amp;"[Rank]"),AD$17)</f>
        <v>0</v>
      </c>
      <c r="AE25" s="298">
        <f ca="1">COUNTIF(INDIRECT(_xlfn.XLOOKUP($X25,Data!$E:$E,Data!$M:$M)&amp;"!t_"&amp;$X25&amp;"[Rank]"),AE$17)</f>
        <v>0</v>
      </c>
      <c r="AF25" s="298">
        <f ca="1">COUNTIF(INDIRECT(_xlfn.XLOOKUP($X25,Data!$E:$E,Data!$M:$M)&amp;"!t_"&amp;$X25&amp;"[Rank]"),AF$17)</f>
        <v>0</v>
      </c>
      <c r="AG25" s="299">
        <f ca="1">COUNTIF(INDIRECT(_xlfn.XLOOKUP($X25,Data!$E:$E,Data!$M:$M)&amp;"!t_"&amp;$X25&amp;"[Rank]"),AG$17)</f>
        <v>0</v>
      </c>
      <c r="AI25" s="759" t="s">
        <v>27</v>
      </c>
      <c r="AJ25" s="566">
        <f>COUNTIFS(Kuponger!$CO$8:$CQ$934,Tabeller!$AA$29)</f>
        <v>23</v>
      </c>
      <c r="AK25" s="566">
        <f>COUNTIFS(Kuponger!$CK$8:$CM$934,Tabeller!$AA$29)</f>
        <v>0</v>
      </c>
      <c r="AL25" s="763" t="e">
        <f t="shared" si="16"/>
        <v>#DIV/0!</v>
      </c>
      <c r="AN25" s="46"/>
      <c r="CL25" s="47"/>
      <c r="CM25" s="47"/>
      <c r="CN25" s="47"/>
      <c r="CP25" s="47"/>
      <c r="CQ25" s="47"/>
      <c r="CR25" s="47"/>
    </row>
    <row r="26" spans="1:113" ht="12.75" x14ac:dyDescent="0.2">
      <c r="A26" s="43"/>
      <c r="B26" s="871"/>
      <c r="C26" s="275" t="s">
        <v>27</v>
      </c>
      <c r="D26" s="373">
        <f t="shared" ca="1" si="17"/>
        <v>888</v>
      </c>
      <c r="E26" s="276">
        <f t="shared" ca="1" si="18"/>
        <v>852</v>
      </c>
      <c r="F26" s="316">
        <f t="shared" ca="1" si="19"/>
        <v>852</v>
      </c>
      <c r="H26" s="275" t="str">
        <f>Data!E19</f>
        <v>LEV</v>
      </c>
      <c r="I26" s="316">
        <f ca="1">COUNTIF(t_rang[lev],1)</f>
        <v>5</v>
      </c>
      <c r="J26" s="63"/>
      <c r="K26" s="275" t="str">
        <f>Data!E16</f>
        <v>JH</v>
      </c>
      <c r="L26" s="316">
        <f t="shared" ca="1" si="12"/>
        <v>807</v>
      </c>
      <c r="M26" s="49"/>
      <c r="N26" s="46"/>
      <c r="O26" s="275" t="str">
        <f>Data!E15</f>
        <v>ØG</v>
      </c>
      <c r="P26" s="283">
        <f t="shared" ca="1" si="13"/>
        <v>0</v>
      </c>
      <c r="Q26" s="52"/>
      <c r="R26" s="275" t="str">
        <f>Data!E16</f>
        <v>JH</v>
      </c>
      <c r="S26" s="274">
        <f ca="1">SUM(INDIRECT("t_"&amp;R26&amp;"[Summert]"),0)</f>
        <v>6456</v>
      </c>
      <c r="T26" s="276">
        <f t="shared" ca="1" si="20"/>
        <v>0</v>
      </c>
      <c r="U26" s="733">
        <f t="shared" ca="1" si="21"/>
        <v>0</v>
      </c>
      <c r="V26" s="46"/>
      <c r="W26" s="49"/>
      <c r="X26" s="292" t="str">
        <f>Data!E19</f>
        <v>LEV</v>
      </c>
      <c r="Y26" s="300">
        <f ca="1">COUNTIF(INDIRECT(_xlfn.XLOOKUP($X26,Data!$E:$E,Data!$M:$M)&amp;"!t_"&amp;$X26&amp;"[Rank]"),Y$17)</f>
        <v>5</v>
      </c>
      <c r="Z26" s="300">
        <f ca="1">COUNTIF(INDIRECT(_xlfn.XLOOKUP($X26,Data!$E:$E,Data!$M:$M)&amp;"!t_"&amp;$X26&amp;"[Rank]"),Z$17)</f>
        <v>0</v>
      </c>
      <c r="AA26" s="300">
        <f ca="1">COUNTIF(INDIRECT(_xlfn.XLOOKUP($X26,Data!$E:$E,Data!$M:$M)&amp;"!t_"&amp;$X26&amp;"[Rank]"),AA$17)</f>
        <v>0</v>
      </c>
      <c r="AB26" s="300">
        <f ca="1">COUNTIF(INDIRECT(_xlfn.XLOOKUP($X26,Data!$E:$E,Data!$M:$M)&amp;"!t_"&amp;$X26&amp;"[Rank]"),AB$17)</f>
        <v>0</v>
      </c>
      <c r="AC26" s="300">
        <f ca="1">COUNTIF(INDIRECT(_xlfn.XLOOKUP($X26,Data!$E:$E,Data!$M:$M)&amp;"!t_"&amp;$X26&amp;"[Rank]"),AC$17)</f>
        <v>0</v>
      </c>
      <c r="AD26" s="300">
        <f ca="1">COUNTIF(INDIRECT(_xlfn.XLOOKUP($X26,Data!$E:$E,Data!$M:$M)&amp;"!t_"&amp;$X26&amp;"[Rank]"),AD$17)</f>
        <v>0</v>
      </c>
      <c r="AE26" s="300">
        <f ca="1">COUNTIF(INDIRECT(_xlfn.XLOOKUP($X26,Data!$E:$E,Data!$M:$M)&amp;"!t_"&amp;$X26&amp;"[Rank]"),AE$17)</f>
        <v>0</v>
      </c>
      <c r="AF26" s="300">
        <f ca="1">COUNTIF(INDIRECT(_xlfn.XLOOKUP($X26,Data!$E:$E,Data!$M:$M)&amp;"!t_"&amp;$X26&amp;"[Rank]"),AF$17)</f>
        <v>0</v>
      </c>
      <c r="AG26" s="301">
        <f ca="1">COUNTIF(INDIRECT(_xlfn.XLOOKUP($X26,Data!$E:$E,Data!$M:$M)&amp;"!t_"&amp;$X26&amp;"[Rank]"),AG$17)</f>
        <v>0</v>
      </c>
      <c r="AI26" s="760" t="s">
        <v>24</v>
      </c>
      <c r="AJ26" s="761">
        <f>COUNTIFS(Kuponger!$BN$8:$BP$934,Tabeller!$AA$29)</f>
        <v>23</v>
      </c>
      <c r="AK26" s="761">
        <f>COUNTIFS(Kuponger!$BJ$8:$BL$934,Tabeller!$AA$29)</f>
        <v>0</v>
      </c>
      <c r="AL26" s="764" t="e">
        <f t="shared" si="16"/>
        <v>#DIV/0!</v>
      </c>
      <c r="AN26" s="45"/>
      <c r="CX26" s="53"/>
      <c r="CY26" s="63"/>
      <c r="CZ26" s="63"/>
      <c r="DA26" s="63"/>
      <c r="DB26" s="47"/>
      <c r="DC26" s="47"/>
      <c r="DD26" s="47"/>
      <c r="DE26" s="47"/>
      <c r="DG26" s="47"/>
      <c r="DH26" s="47"/>
      <c r="DI26" s="47"/>
    </row>
    <row r="27" spans="1:113" ht="12.75" x14ac:dyDescent="0.2">
      <c r="A27" s="43"/>
      <c r="B27" s="871"/>
      <c r="C27" s="49"/>
      <c r="D27" s="302"/>
      <c r="E27" s="302"/>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871"/>
      <c r="C28" s="32"/>
      <c r="F28" s="76"/>
      <c r="G28" s="49"/>
      <c r="H28" s="62"/>
      <c r="J28" s="53"/>
      <c r="K28" s="45"/>
      <c r="L28" s="46"/>
      <c r="M28" s="63"/>
      <c r="N28" s="46"/>
      <c r="O28" s="95"/>
      <c r="Q28" s="33"/>
      <c r="R28" s="78"/>
      <c r="S28" s="35"/>
      <c r="T28" s="35"/>
      <c r="U28" s="58"/>
      <c r="V28" s="33"/>
      <c r="W28" s="33"/>
      <c r="X28" s="78"/>
      <c r="Y28" s="35"/>
      <c r="Z28" s="58"/>
      <c r="AA28" s="404" t="s">
        <v>460</v>
      </c>
      <c r="AB28" s="41"/>
      <c r="AC28" s="49"/>
      <c r="AE28" s="308"/>
      <c r="AF28" s="309"/>
      <c r="AG28" s="308"/>
      <c r="AH28" s="309"/>
      <c r="AI28" s="45"/>
      <c r="AJ28" s="27"/>
      <c r="AK28" s="27"/>
      <c r="AL28" s="63"/>
      <c r="AM28" s="53"/>
      <c r="AN28" s="45"/>
      <c r="CL28" s="63"/>
      <c r="CM28" s="63"/>
      <c r="CN28" s="63"/>
      <c r="CO28" s="47"/>
      <c r="CP28" s="47"/>
      <c r="CQ28" s="47"/>
      <c r="CR28" s="47"/>
      <c r="CT28" s="47"/>
      <c r="CU28" s="47"/>
      <c r="CV28" s="47"/>
    </row>
    <row r="29" spans="1:113" ht="12.75" x14ac:dyDescent="0.2">
      <c r="A29" s="43"/>
      <c r="B29" s="871"/>
      <c r="F29" s="45"/>
      <c r="G29" s="91"/>
      <c r="P29" s="50"/>
      <c r="Q29" s="46"/>
      <c r="R29" s="73"/>
      <c r="S29" s="52"/>
      <c r="T29" s="52"/>
      <c r="U29" s="53"/>
      <c r="V29" s="46"/>
      <c r="W29" s="46"/>
      <c r="X29" s="277" t="s">
        <v>461</v>
      </c>
      <c r="Y29" s="357"/>
      <c r="Z29" s="53"/>
      <c r="AA29" s="555">
        <v>74</v>
      </c>
      <c r="AB29" s="278" t="s">
        <v>462</v>
      </c>
      <c r="AC29" s="278" t="s">
        <v>463</v>
      </c>
      <c r="AD29" s="280" t="s">
        <v>464</v>
      </c>
      <c r="AE29" s="278"/>
      <c r="AF29" s="418" t="s">
        <v>465</v>
      </c>
      <c r="AG29" s="278"/>
      <c r="AH29" s="280"/>
      <c r="AI29" s="45"/>
      <c r="AJ29" s="277" t="s">
        <v>466</v>
      </c>
      <c r="AK29" s="296">
        <v>10</v>
      </c>
      <c r="AL29" s="296">
        <v>11</v>
      </c>
      <c r="AM29" s="296">
        <v>12</v>
      </c>
      <c r="AN29" s="297" t="s">
        <v>467</v>
      </c>
      <c r="CL29" s="46"/>
      <c r="CM29" s="46"/>
      <c r="CN29" s="46"/>
      <c r="CO29" s="47"/>
      <c r="CP29" s="47"/>
      <c r="CQ29" s="47"/>
      <c r="CR29" s="47"/>
      <c r="CT29" s="47"/>
      <c r="CU29" s="47"/>
      <c r="CV29" s="47"/>
    </row>
    <row r="30" spans="1:113" ht="12.75" x14ac:dyDescent="0.2">
      <c r="A30" s="43"/>
      <c r="B30" s="871"/>
      <c r="F30" s="61"/>
      <c r="G30" s="56"/>
      <c r="P30" s="81"/>
      <c r="Q30" s="82"/>
      <c r="R30" s="108"/>
      <c r="S30" s="52"/>
      <c r="T30" s="52"/>
      <c r="U30" s="81"/>
      <c r="V30" s="82"/>
      <c r="W30" s="82"/>
      <c r="X30" s="284" t="s">
        <v>19</v>
      </c>
      <c r="Y30" s="281">
        <f ca="1">_xlfn.XLOOKUP(X30,$O$18:$O$26,$P$18:$P$26)</f>
        <v>0</v>
      </c>
      <c r="Z30" s="61"/>
      <c r="AA30" s="272" t="str">
        <f>Data!E12</f>
        <v>RB</v>
      </c>
      <c r="AB30" s="273">
        <f>COUNTIFS(Kuponger!$AD$8:$AF$934,Tabeller!$AA$29)</f>
        <v>23</v>
      </c>
      <c r="AC30" s="273">
        <f>COUNTIFS(Kuponger!$Z$8:$AB$934,Tabeller!$AA$29)</f>
        <v>0</v>
      </c>
      <c r="AD30" s="314">
        <f t="shared" ref="AD30:AD38" si="22">IFERROR((AB30*$AA$29),"")</f>
        <v>1702</v>
      </c>
      <c r="AE30" s="566"/>
      <c r="AF30" s="416">
        <v>1</v>
      </c>
      <c r="AG30" s="419" t="str">
        <f>_xlfn.XLOOKUP(MAX($AD$30:$AD$38),$AD$30:$AD$38,$AA$30:$AA$38)</f>
        <v>RB</v>
      </c>
      <c r="AH30" s="314">
        <f t="shared" ref="AH30:AH38" si="23">_xlfn.XLOOKUP(AG30,$AA$30:$AA$38,$AD$30:$AD$38)</f>
        <v>1702</v>
      </c>
      <c r="AI30" s="45"/>
      <c r="AJ30" s="289" t="s">
        <v>19</v>
      </c>
      <c r="AK30" s="298" t="e">
        <f ca="1">SUM(INDIRECT("t_"&amp;AJ30&amp;"[10 poeng]"))</f>
        <v>#REF!</v>
      </c>
      <c r="AL30" s="298" t="e">
        <f ca="1">SUM(INDIRECT("t_"&amp;AJ30&amp;"[11 poeng]"))</f>
        <v>#REF!</v>
      </c>
      <c r="AM30" s="298" t="e">
        <f ca="1">SUM(INDIRECT("t_"&amp;AJ30&amp;"[12 poeng]"))</f>
        <v>#REF!</v>
      </c>
      <c r="AN30" s="299" t="e">
        <f ca="1">SUM(AK30:AM30)</f>
        <v>#REF!</v>
      </c>
      <c r="CL30" s="63"/>
      <c r="CM30" s="63"/>
      <c r="CN30" s="63"/>
      <c r="CO30" s="47"/>
      <c r="CP30" s="47"/>
      <c r="CQ30" s="47"/>
      <c r="CR30" s="47"/>
      <c r="CT30" s="47"/>
      <c r="CU30" s="47"/>
      <c r="CV30" s="47"/>
    </row>
    <row r="31" spans="1:113" ht="12.75" x14ac:dyDescent="0.2">
      <c r="A31" s="43"/>
      <c r="B31" s="871"/>
      <c r="F31" s="61"/>
      <c r="P31" s="85"/>
      <c r="Q31" s="84"/>
      <c r="R31" s="109"/>
      <c r="S31" s="61"/>
      <c r="T31" s="61"/>
      <c r="U31" s="83"/>
      <c r="V31" s="84"/>
      <c r="W31" s="84"/>
      <c r="X31" s="272" t="s">
        <v>21</v>
      </c>
      <c r="Y31" s="282">
        <f t="shared" ref="Y31:Y36" ca="1" si="24">_xlfn.XLOOKUP(X31,$O$18:$O$26,$P$18:$P$26)</f>
        <v>0</v>
      </c>
      <c r="Z31" s="61"/>
      <c r="AA31" s="272" t="str">
        <f>Data!E15</f>
        <v>ØG</v>
      </c>
      <c r="AB31" s="274">
        <f>COUNTIFS(Kuponger!$BE$8:$BG$934,Tabeller!$AA$29)</f>
        <v>23</v>
      </c>
      <c r="AC31" s="274">
        <f>COUNTIFS(Kuponger!$BA$8:$BC$934,Tabeller!$AA$29)</f>
        <v>0</v>
      </c>
      <c r="AD31" s="315">
        <f t="shared" si="22"/>
        <v>1702</v>
      </c>
      <c r="AE31" s="566"/>
      <c r="AF31" s="416">
        <v>2</v>
      </c>
      <c r="AG31" s="420" t="str">
        <f>_xlfn.XLOOKUP(LARGE($AD$30:$AD$38,2),$AD$30:$AD$38,$AA$30:$AA$38)</f>
        <v>RB</v>
      </c>
      <c r="AH31" s="315">
        <f t="shared" si="23"/>
        <v>1702</v>
      </c>
      <c r="AI31" s="45"/>
      <c r="AJ31" s="289" t="s">
        <v>20</v>
      </c>
      <c r="AK31" s="298" t="e">
        <f t="shared" ref="AK31:AK38" ca="1" si="25">SUM(INDIRECT("t_"&amp;AJ31&amp;"[10 poeng]"))</f>
        <v>#REF!</v>
      </c>
      <c r="AL31" s="298" t="e">
        <f t="shared" ref="AL31:AL38" ca="1" si="26">SUM(INDIRECT("t_"&amp;AJ31&amp;"[11 poeng]"))</f>
        <v>#REF!</v>
      </c>
      <c r="AM31" s="298" t="e">
        <f t="shared" ref="AM31:AM38" ca="1" si="27">SUM(INDIRECT("t_"&amp;AJ31&amp;"[12 poeng]"))</f>
        <v>#REF!</v>
      </c>
      <c r="AN31" s="299" t="e">
        <f t="shared" ref="AN31:AN38" ca="1" si="28">SUM(AK31:AM31)</f>
        <v>#REF!</v>
      </c>
      <c r="CL31" s="63"/>
      <c r="CM31" s="63"/>
      <c r="CN31" s="63"/>
      <c r="CO31" s="47"/>
      <c r="CP31" s="47"/>
      <c r="CQ31" s="47"/>
      <c r="CR31" s="47"/>
      <c r="CT31" s="47"/>
      <c r="CU31" s="47"/>
      <c r="CV31" s="47"/>
    </row>
    <row r="32" spans="1:113" ht="12.75" x14ac:dyDescent="0.2">
      <c r="A32" s="43"/>
      <c r="B32" s="871"/>
      <c r="F32" s="61"/>
      <c r="P32" s="85"/>
      <c r="Q32" s="84"/>
      <c r="R32" s="109"/>
      <c r="S32" s="61"/>
      <c r="T32" s="61"/>
      <c r="U32" s="85"/>
      <c r="V32" s="84"/>
      <c r="W32" s="84"/>
      <c r="X32" s="272" t="s">
        <v>24</v>
      </c>
      <c r="Y32" s="282">
        <f t="shared" ca="1" si="24"/>
        <v>0</v>
      </c>
      <c r="Z32" s="61"/>
      <c r="AA32" s="272" t="str">
        <f>Data!E16</f>
        <v>JH</v>
      </c>
      <c r="AB32" s="274">
        <f>COUNTIFS(Kuponger!$BN$8:$BP$934,Tabeller!$AA$29)</f>
        <v>23</v>
      </c>
      <c r="AC32" s="274">
        <f>COUNTIFS(Kuponger!$BJ$8:$BL$934,Tabeller!$AA$29)</f>
        <v>0</v>
      </c>
      <c r="AD32" s="315">
        <f t="shared" si="22"/>
        <v>1702</v>
      </c>
      <c r="AE32" s="566"/>
      <c r="AF32" s="416">
        <v>3</v>
      </c>
      <c r="AG32" s="420" t="str">
        <f>_xlfn.XLOOKUP(LARGE($AD$30:$AD$38,3),$AD$30:$AD$38,$AA$30:$AA$38)</f>
        <v>RB</v>
      </c>
      <c r="AH32" s="315">
        <f t="shared" si="23"/>
        <v>1702</v>
      </c>
      <c r="AI32" s="45"/>
      <c r="AJ32" s="291" t="s">
        <v>21</v>
      </c>
      <c r="AK32" s="298" t="e">
        <f t="shared" ca="1" si="25"/>
        <v>#REF!</v>
      </c>
      <c r="AL32" s="298" t="e">
        <f t="shared" ca="1" si="26"/>
        <v>#REF!</v>
      </c>
      <c r="AM32" s="298" t="e">
        <f t="shared" ca="1" si="27"/>
        <v>#REF!</v>
      </c>
      <c r="AN32" s="299" t="e">
        <f t="shared" ca="1" si="28"/>
        <v>#REF!</v>
      </c>
      <c r="CL32" s="63"/>
      <c r="CM32" s="63"/>
      <c r="CN32" s="63"/>
      <c r="CO32" s="47"/>
      <c r="CP32" s="47"/>
      <c r="CQ32" s="47"/>
      <c r="CR32" s="47"/>
      <c r="CT32" s="47"/>
      <c r="CU32" s="47"/>
      <c r="CV32" s="47"/>
    </row>
    <row r="33" spans="1:107" ht="12.75" x14ac:dyDescent="0.2">
      <c r="A33" s="43"/>
      <c r="B33" s="871"/>
      <c r="F33" s="61"/>
      <c r="P33" s="83"/>
      <c r="Q33" s="84"/>
      <c r="R33" s="109"/>
      <c r="S33" s="61"/>
      <c r="T33" s="61"/>
      <c r="U33" s="85"/>
      <c r="V33" s="84"/>
      <c r="W33" s="84"/>
      <c r="X33" s="272" t="s">
        <v>22</v>
      </c>
      <c r="Y33" s="282">
        <f t="shared" ca="1" si="24"/>
        <v>0</v>
      </c>
      <c r="Z33" s="61"/>
      <c r="AA33" s="272" t="str">
        <f>Data!E19</f>
        <v>LEV</v>
      </c>
      <c r="AB33" s="274">
        <f>COUNTIFS(Kuponger!$CO$8:$CQ$934,Tabeller!$AA$29)</f>
        <v>23</v>
      </c>
      <c r="AC33" s="274">
        <f>COUNTIFS(Kuponger!$CK$8:$CM$934,Tabeller!$AA$29)</f>
        <v>0</v>
      </c>
      <c r="AD33" s="315">
        <f t="shared" si="22"/>
        <v>1702</v>
      </c>
      <c r="AE33" s="567"/>
      <c r="AF33" s="416">
        <v>4</v>
      </c>
      <c r="AG33" s="420" t="str">
        <f>_xlfn.XLOOKUP(LARGE($AD$30:$AD$38,4),$AD$30:$AD$38,$AA$30:$AA$38)</f>
        <v>RB</v>
      </c>
      <c r="AH33" s="315">
        <f t="shared" si="23"/>
        <v>1702</v>
      </c>
      <c r="AI33" s="45"/>
      <c r="AJ33" s="289" t="s">
        <v>22</v>
      </c>
      <c r="AK33" s="298" t="e">
        <f t="shared" ca="1" si="25"/>
        <v>#REF!</v>
      </c>
      <c r="AL33" s="298" t="e">
        <f t="shared" ca="1" si="26"/>
        <v>#REF!</v>
      </c>
      <c r="AM33" s="298" t="e">
        <f t="shared" ca="1" si="27"/>
        <v>#REF!</v>
      </c>
      <c r="AN33" s="299" t="e">
        <f t="shared" ca="1" si="28"/>
        <v>#REF!</v>
      </c>
      <c r="CL33" s="63"/>
      <c r="CM33" s="63"/>
      <c r="CN33" s="63"/>
      <c r="CO33" s="47"/>
      <c r="CP33" s="47"/>
      <c r="CQ33" s="47"/>
      <c r="CR33" s="47"/>
      <c r="CT33" s="47"/>
      <c r="CU33" s="47"/>
      <c r="CV33" s="47"/>
    </row>
    <row r="34" spans="1:107" ht="12.75" x14ac:dyDescent="0.2">
      <c r="A34" s="43"/>
      <c r="B34" s="871"/>
      <c r="F34" s="61"/>
      <c r="G34" s="56"/>
      <c r="P34" s="85"/>
      <c r="Q34" s="86">
        <v>0</v>
      </c>
      <c r="R34" s="109"/>
      <c r="S34" s="61"/>
      <c r="T34" s="61"/>
      <c r="U34" s="85"/>
      <c r="V34" s="84"/>
      <c r="W34" s="84"/>
      <c r="X34" s="272" t="s">
        <v>20</v>
      </c>
      <c r="Y34" s="282">
        <f t="shared" ca="1" si="24"/>
        <v>0</v>
      </c>
      <c r="Z34" s="61"/>
      <c r="AA34" s="272" t="str">
        <f>Data!E13</f>
        <v>EB</v>
      </c>
      <c r="AB34" s="274">
        <f>COUNTIFS(Kuponger!$AM$8:$AO$934,Tabeller!$AA$29)</f>
        <v>23</v>
      </c>
      <c r="AC34" s="274">
        <f>COUNTIFS(Kuponger!$AI$8:$AK$934,Tabeller!$AA$29)</f>
        <v>0</v>
      </c>
      <c r="AD34" s="315">
        <f t="shared" si="22"/>
        <v>1702</v>
      </c>
      <c r="AE34" s="566"/>
      <c r="AF34" s="416">
        <v>5</v>
      </c>
      <c r="AG34" s="420" t="str">
        <f>_xlfn.XLOOKUP(LARGE($AD$30:$AD$38,5),$AD$30:$AD$38,$AA$30:$AA$38)</f>
        <v>RB</v>
      </c>
      <c r="AH34" s="315">
        <f t="shared" si="23"/>
        <v>1702</v>
      </c>
      <c r="AI34" s="45"/>
      <c r="AJ34" s="289" t="s">
        <v>23</v>
      </c>
      <c r="AK34" s="298" t="e">
        <f t="shared" ca="1" si="25"/>
        <v>#REF!</v>
      </c>
      <c r="AL34" s="298" t="e">
        <f t="shared" ca="1" si="26"/>
        <v>#REF!</v>
      </c>
      <c r="AM34" s="298" t="e">
        <f t="shared" ca="1" si="27"/>
        <v>#REF!</v>
      </c>
      <c r="AN34" s="299" t="e">
        <f t="shared" ca="1" si="28"/>
        <v>#REF!</v>
      </c>
      <c r="CL34" s="63"/>
      <c r="CM34" s="63"/>
      <c r="CN34" s="63"/>
      <c r="CO34" s="47"/>
      <c r="CP34" s="47"/>
      <c r="CQ34" s="47"/>
      <c r="CR34" s="47"/>
      <c r="CT34" s="47"/>
      <c r="CU34" s="47"/>
      <c r="CV34" s="47"/>
    </row>
    <row r="35" spans="1:107" ht="12.75" x14ac:dyDescent="0.2">
      <c r="A35" s="43"/>
      <c r="B35" s="871"/>
      <c r="F35" s="61"/>
      <c r="G35" s="46"/>
      <c r="P35" s="85"/>
      <c r="Q35" s="84"/>
      <c r="R35" s="109"/>
      <c r="S35" s="61"/>
      <c r="T35" s="61"/>
      <c r="U35" s="85"/>
      <c r="V35" s="84"/>
      <c r="W35" s="84" t="s">
        <v>468</v>
      </c>
      <c r="X35" s="272" t="s">
        <v>25</v>
      </c>
      <c r="Y35" s="282">
        <f t="shared" ca="1" si="24"/>
        <v>0</v>
      </c>
      <c r="Z35" s="61"/>
      <c r="AA35" s="272" t="str">
        <f>Data!E14</f>
        <v>KAF</v>
      </c>
      <c r="AB35" s="274">
        <f>COUNTIFS(Kuponger!$AV$8:$AX$934,Tabeller!$AA$29)</f>
        <v>23</v>
      </c>
      <c r="AC35" s="274">
        <f>COUNTIFS(Kuponger!$AR$8:$AT$934,Tabeller!$AA$29)</f>
        <v>0</v>
      </c>
      <c r="AD35" s="315">
        <f t="shared" si="22"/>
        <v>1702</v>
      </c>
      <c r="AE35" s="566"/>
      <c r="AF35" s="416">
        <v>6</v>
      </c>
      <c r="AG35" s="420" t="str">
        <f>_xlfn.XLOOKUP(LARGE($AD$30:$AD$38,6),$AD$30:$AD$38,$AA$30:$AA$38)</f>
        <v>RB</v>
      </c>
      <c r="AH35" s="315">
        <f t="shared" si="23"/>
        <v>1702</v>
      </c>
      <c r="AI35" s="45"/>
      <c r="AJ35" s="289" t="s">
        <v>24</v>
      </c>
      <c r="AK35" s="298" t="e">
        <f t="shared" ca="1" si="25"/>
        <v>#REF!</v>
      </c>
      <c r="AL35" s="298" t="e">
        <f t="shared" ca="1" si="26"/>
        <v>#REF!</v>
      </c>
      <c r="AM35" s="298" t="e">
        <f t="shared" ca="1" si="27"/>
        <v>#REF!</v>
      </c>
      <c r="AN35" s="299" t="e">
        <f t="shared" ca="1" si="28"/>
        <v>#REF!</v>
      </c>
      <c r="CL35" s="46"/>
      <c r="CM35" s="46"/>
      <c r="CN35" s="46"/>
      <c r="CO35" s="47"/>
      <c r="CP35" s="47"/>
      <c r="CQ35" s="47"/>
      <c r="CR35" s="47"/>
      <c r="CT35" s="47"/>
      <c r="CU35" s="47"/>
      <c r="CV35" s="47"/>
    </row>
    <row r="36" spans="1:107" ht="12.75" x14ac:dyDescent="0.2">
      <c r="A36" s="43"/>
      <c r="B36" s="871"/>
      <c r="F36" s="61"/>
      <c r="G36" s="46"/>
      <c r="P36" s="85"/>
      <c r="Q36" s="84"/>
      <c r="R36" s="109"/>
      <c r="S36" s="61"/>
      <c r="T36" s="61"/>
      <c r="U36" s="85"/>
      <c r="V36" s="84"/>
      <c r="W36" s="84"/>
      <c r="X36" s="275" t="s">
        <v>23</v>
      </c>
      <c r="Y36" s="283">
        <f t="shared" ca="1" si="24"/>
        <v>0</v>
      </c>
      <c r="Z36" s="61"/>
      <c r="AA36" s="272" t="str">
        <f>Data!E11</f>
        <v>AHH</v>
      </c>
      <c r="AB36" s="274">
        <f>COUNTIFS(Kuponger!$U$8:$W$934,Tabeller!$AA$29)</f>
        <v>23</v>
      </c>
      <c r="AC36" s="274">
        <f>COUNTIFS(Kuponger!$Q$8:$S$934,Tabeller!$AA$29)</f>
        <v>0</v>
      </c>
      <c r="AD36" s="315">
        <f t="shared" si="22"/>
        <v>1702</v>
      </c>
      <c r="AE36" s="568"/>
      <c r="AF36" s="416">
        <v>7</v>
      </c>
      <c r="AG36" s="420" t="str">
        <f>_xlfn.XLOOKUP(LARGE($AD$30:$AD$38,7),$AD$30:$AD$38,$AA$30:$AA$38)</f>
        <v>RB</v>
      </c>
      <c r="AH36" s="315">
        <f t="shared" si="23"/>
        <v>1702</v>
      </c>
      <c r="AI36" s="45"/>
      <c r="AJ36" s="289" t="s">
        <v>25</v>
      </c>
      <c r="AK36" s="298" t="e">
        <f t="shared" ca="1" si="25"/>
        <v>#REF!</v>
      </c>
      <c r="AL36" s="298" t="e">
        <f t="shared" ca="1" si="26"/>
        <v>#REF!</v>
      </c>
      <c r="AM36" s="298" t="e">
        <f t="shared" ca="1" si="27"/>
        <v>#REF!</v>
      </c>
      <c r="AN36" s="299" t="e">
        <f t="shared" ca="1" si="28"/>
        <v>#REF!</v>
      </c>
      <c r="CL36" s="63"/>
      <c r="CM36" s="63"/>
      <c r="CN36" s="63"/>
      <c r="CO36" s="47"/>
      <c r="CP36" s="47"/>
      <c r="CQ36" s="47"/>
      <c r="CR36" s="47"/>
      <c r="CT36" s="47"/>
      <c r="CU36" s="47"/>
      <c r="CV36" s="47"/>
    </row>
    <row r="37" spans="1:107" ht="12.75" x14ac:dyDescent="0.2">
      <c r="A37" s="43"/>
      <c r="B37" s="871"/>
      <c r="F37" s="77"/>
      <c r="G37" s="53"/>
      <c r="P37" s="85"/>
      <c r="Q37" s="84"/>
      <c r="R37" s="109"/>
      <c r="S37" s="61"/>
      <c r="T37" s="61"/>
      <c r="U37" s="85"/>
      <c r="V37" s="86"/>
      <c r="W37" s="86"/>
      <c r="X37" s="277" t="s">
        <v>469</v>
      </c>
      <c r="Y37" s="357"/>
      <c r="Z37" s="83"/>
      <c r="AA37" s="272" t="str">
        <f>Data!E18</f>
        <v>UTG</v>
      </c>
      <c r="AB37" s="274">
        <f>COUNTIFS(Kuponger!$CF$8:$CH$934,Tabeller!$AA$29)</f>
        <v>23</v>
      </c>
      <c r="AC37" s="274">
        <f>COUNTIFS(Kuponger!$CB$8:$CD$934,Tabeller!$AA$29)</f>
        <v>0</v>
      </c>
      <c r="AD37" s="315">
        <f t="shared" si="22"/>
        <v>1702</v>
      </c>
      <c r="AE37" s="566"/>
      <c r="AF37" s="416">
        <v>8</v>
      </c>
      <c r="AG37" s="420" t="str">
        <f>_xlfn.XLOOKUP(LARGE($AD$30:$AD$38,8),$AD$30:$AD$38,$AA$30:$AA$38)</f>
        <v>RB</v>
      </c>
      <c r="AH37" s="315">
        <f t="shared" si="23"/>
        <v>1702</v>
      </c>
      <c r="AI37" s="45"/>
      <c r="AJ37" s="289" t="s">
        <v>27</v>
      </c>
      <c r="AK37" s="298" t="e">
        <f t="shared" ca="1" si="25"/>
        <v>#REF!</v>
      </c>
      <c r="AL37" s="298" t="e">
        <f t="shared" ca="1" si="26"/>
        <v>#REF!</v>
      </c>
      <c r="AM37" s="298" t="e">
        <f t="shared" ca="1" si="27"/>
        <v>#REF!</v>
      </c>
      <c r="AN37" s="299" t="e">
        <f t="shared" ca="1" si="28"/>
        <v>#REF!</v>
      </c>
      <c r="CN37" s="47"/>
      <c r="CO37" s="47"/>
      <c r="CP37" s="47"/>
      <c r="CQ37" s="47"/>
      <c r="CR37" s="47"/>
      <c r="CT37" s="47"/>
      <c r="CU37" s="47"/>
      <c r="CV37" s="47"/>
    </row>
    <row r="38" spans="1:107" ht="12.75" x14ac:dyDescent="0.2">
      <c r="A38" s="43"/>
      <c r="B38" s="871"/>
      <c r="P38" s="72"/>
      <c r="Q38" s="46"/>
      <c r="R38" s="73"/>
      <c r="S38" s="52"/>
      <c r="T38" s="52"/>
      <c r="U38" s="44"/>
      <c r="V38" s="46"/>
      <c r="W38" s="46"/>
      <c r="X38" s="73"/>
      <c r="Y38" s="52"/>
      <c r="Z38" s="74"/>
      <c r="AA38" s="275" t="str">
        <f>Data!E17</f>
        <v>TOH</v>
      </c>
      <c r="AB38" s="276">
        <f>COUNTIFS(Kuponger!$BW$8:$BY$934,Tabeller!$AA$29)</f>
        <v>23</v>
      </c>
      <c r="AC38" s="276">
        <f>COUNTIFS(Kuponger!$BS$8:$BU$934,Tabeller!$AA$29)</f>
        <v>0</v>
      </c>
      <c r="AD38" s="316">
        <f t="shared" si="22"/>
        <v>1702</v>
      </c>
      <c r="AE38" s="569"/>
      <c r="AF38" s="417">
        <v>9</v>
      </c>
      <c r="AG38" s="421" t="str">
        <f>_xlfn.XLOOKUP(LARGE($AD$30:$AD$38,9),$AD$30:$AD$38,$AA$30:$AA$38)</f>
        <v>RB</v>
      </c>
      <c r="AH38" s="316">
        <f t="shared" si="23"/>
        <v>1702</v>
      </c>
      <c r="AI38" s="45"/>
      <c r="AJ38" s="292" t="s">
        <v>26</v>
      </c>
      <c r="AK38" s="298" t="e">
        <f t="shared" ca="1" si="25"/>
        <v>#REF!</v>
      </c>
      <c r="AL38" s="298" t="e">
        <f t="shared" ca="1" si="26"/>
        <v>#REF!</v>
      </c>
      <c r="AM38" s="298" t="e">
        <f t="shared" ca="1" si="27"/>
        <v>#REF!</v>
      </c>
      <c r="AN38" s="301" t="e">
        <f t="shared" ca="1" si="28"/>
        <v>#REF!</v>
      </c>
      <c r="CN38" s="47"/>
      <c r="CO38" s="47"/>
      <c r="CP38" s="47"/>
      <c r="CQ38" s="47"/>
      <c r="CR38" s="47"/>
      <c r="CT38" s="47"/>
      <c r="CU38" s="47"/>
      <c r="CV38" s="47"/>
    </row>
    <row r="39" spans="1:107" ht="12.75" x14ac:dyDescent="0.2">
      <c r="A39" s="43"/>
      <c r="B39" s="871"/>
      <c r="C39" s="62"/>
      <c r="P39" s="88"/>
      <c r="Q39" s="37"/>
      <c r="R39" s="38"/>
      <c r="S39" s="35"/>
      <c r="T39" s="35"/>
      <c r="U39" s="39"/>
      <c r="V39" s="37"/>
      <c r="W39" s="37"/>
      <c r="X39" s="38"/>
      <c r="Y39" s="35"/>
      <c r="Z39" s="39"/>
      <c r="AA39" s="89"/>
      <c r="AB39" s="89"/>
      <c r="AC39" s="42"/>
      <c r="AE39" s="310"/>
      <c r="AF39" s="311"/>
      <c r="AG39" s="310"/>
      <c r="AH39" s="311"/>
      <c r="AI39" s="45"/>
      <c r="AJ39" s="61"/>
      <c r="AK39" s="27"/>
      <c r="AL39" s="45"/>
      <c r="AM39" s="54"/>
      <c r="CN39" s="47"/>
      <c r="CO39" s="47"/>
      <c r="CP39" s="47"/>
      <c r="CQ39" s="47"/>
      <c r="CR39" s="47"/>
      <c r="CT39" s="47"/>
      <c r="CU39" s="47"/>
      <c r="CV39" s="47"/>
    </row>
    <row r="40" spans="1:107" ht="12.75" x14ac:dyDescent="0.2">
      <c r="A40" s="43"/>
      <c r="C40" s="49"/>
      <c r="D40" s="895"/>
      <c r="E40" s="895"/>
      <c r="I40" s="87"/>
      <c r="J40" s="63"/>
      <c r="K40" s="63"/>
      <c r="L40" s="63"/>
      <c r="M40" s="49"/>
      <c r="P40" s="56"/>
      <c r="Q40" s="57"/>
      <c r="R40" s="90"/>
      <c r="S40" s="92"/>
      <c r="V40" s="53"/>
      <c r="W40" s="93"/>
      <c r="X40" s="57"/>
      <c r="Y40" s="52"/>
      <c r="Z40" s="58"/>
      <c r="AA40" s="57"/>
      <c r="AB40" s="87"/>
      <c r="AC40" s="87"/>
      <c r="AD40" s="28"/>
      <c r="AH40" s="49"/>
      <c r="AI40" s="813"/>
      <c r="AJ40" s="814"/>
      <c r="AK40" s="813"/>
      <c r="AL40" s="815"/>
      <c r="AM40" s="816" t="s">
        <v>470</v>
      </c>
      <c r="AN40" s="817" t="e">
        <f ca="1">SUM(AN30:AN38)</f>
        <v>#REF!</v>
      </c>
      <c r="AO40" s="27" t="s">
        <v>471</v>
      </c>
      <c r="CU40" s="47"/>
      <c r="CV40" s="47"/>
      <c r="CW40" s="47"/>
      <c r="CX40" s="47"/>
      <c r="CY40" s="47"/>
      <c r="DA40" s="47"/>
      <c r="DB40" s="47"/>
      <c r="DC40" s="47"/>
    </row>
    <row r="41" spans="1:107" ht="12.75" x14ac:dyDescent="0.2">
      <c r="A41" s="43"/>
      <c r="C41" s="96"/>
      <c r="Q41" s="306"/>
      <c r="R41" s="59"/>
      <c r="T41" s="53"/>
      <c r="U41" s="94"/>
      <c r="V41" s="45"/>
      <c r="W41" s="46"/>
      <c r="X41" s="818"/>
      <c r="Y41" s="818"/>
      <c r="Z41" s="93"/>
      <c r="AA41" s="81"/>
      <c r="AB41" s="82"/>
      <c r="AC41" s="819"/>
      <c r="AE41" s="59"/>
      <c r="AF41" s="61"/>
      <c r="AG41" s="61"/>
      <c r="CL41" s="47"/>
      <c r="CM41" s="47"/>
      <c r="CN41" s="47"/>
      <c r="CO41" s="47"/>
      <c r="CP41" s="47"/>
      <c r="CR41" s="47"/>
      <c r="CS41" s="47"/>
      <c r="CT41" s="47"/>
    </row>
    <row r="42" spans="1:107" ht="12.75" x14ac:dyDescent="0.2">
      <c r="A42" s="43"/>
      <c r="J42" s="303"/>
      <c r="K42" s="303"/>
      <c r="L42" s="303"/>
      <c r="P42" s="110"/>
      <c r="Q42" s="57"/>
      <c r="R42" s="110"/>
      <c r="S42" s="111"/>
      <c r="T42" s="53"/>
      <c r="AA42" s="312"/>
      <c r="AB42" s="312"/>
      <c r="AD42" s="819"/>
      <c r="AE42" s="111"/>
      <c r="AF42" s="61"/>
      <c r="AG42" s="61"/>
      <c r="AJ42" s="81"/>
      <c r="AK42" s="310"/>
      <c r="AL42" s="310"/>
      <c r="AM42" s="310"/>
      <c r="AN42" s="310"/>
      <c r="CP42" s="47"/>
      <c r="CQ42" s="47"/>
      <c r="CR42" s="47"/>
      <c r="CS42" s="47"/>
      <c r="CT42" s="47"/>
      <c r="CV42" s="47"/>
      <c r="CW42" s="47"/>
      <c r="CX42" s="47"/>
    </row>
    <row r="43" spans="1:107" ht="12.75" x14ac:dyDescent="0.2">
      <c r="A43" s="43"/>
      <c r="I43" s="304"/>
      <c r="J43" s="63"/>
      <c r="K43" s="63"/>
      <c r="L43" s="63"/>
      <c r="P43" s="307"/>
      <c r="Q43" s="61"/>
      <c r="R43" s="85"/>
      <c r="S43" s="84"/>
      <c r="T43" s="61"/>
      <c r="AA43" s="312"/>
      <c r="AB43" s="312"/>
      <c r="AD43" s="819"/>
      <c r="AE43" s="820"/>
      <c r="AF43" s="61"/>
      <c r="AG43" s="61"/>
      <c r="AJ43" s="307"/>
      <c r="AK43" s="311"/>
      <c r="AL43" s="311"/>
      <c r="AM43" s="311"/>
      <c r="AN43" s="311"/>
      <c r="CP43" s="47"/>
      <c r="CQ43" s="47"/>
      <c r="CR43" s="47"/>
      <c r="CS43" s="47"/>
      <c r="CT43" s="47"/>
      <c r="CV43" s="47"/>
      <c r="CW43" s="47"/>
      <c r="CX43" s="47"/>
    </row>
    <row r="44" spans="1:107" ht="12.75" x14ac:dyDescent="0.2">
      <c r="A44" s="43"/>
      <c r="I44" s="304"/>
      <c r="J44" s="63"/>
      <c r="K44" s="63"/>
      <c r="L44" s="63"/>
      <c r="P44" s="307"/>
      <c r="Q44" s="61"/>
      <c r="R44" s="85"/>
      <c r="S44" s="84"/>
      <c r="T44" s="61"/>
      <c r="AA44" s="312"/>
      <c r="AB44" s="312"/>
      <c r="AD44" s="819"/>
      <c r="AE44" s="820"/>
      <c r="AF44" s="61"/>
      <c r="AG44" s="61"/>
      <c r="AJ44" s="307"/>
      <c r="AK44" s="311"/>
      <c r="AL44" s="311"/>
      <c r="AM44" s="311"/>
      <c r="AN44" s="311"/>
      <c r="CP44" s="47"/>
      <c r="CQ44" s="47"/>
      <c r="CR44" s="47"/>
      <c r="CS44" s="47"/>
      <c r="CT44" s="47"/>
      <c r="CV44" s="47"/>
      <c r="CW44" s="47"/>
      <c r="CX44" s="47"/>
    </row>
    <row r="45" spans="1:107" ht="12.75" x14ac:dyDescent="0.2">
      <c r="A45" s="43"/>
      <c r="C45" s="27" t="s">
        <v>472</v>
      </c>
      <c r="I45" s="304"/>
      <c r="J45" s="63"/>
      <c r="K45" s="63"/>
      <c r="L45" s="63"/>
      <c r="P45" s="307"/>
      <c r="Q45" s="61"/>
      <c r="R45" s="85"/>
      <c r="S45" s="84"/>
      <c r="T45" s="61"/>
      <c r="AA45" s="312"/>
      <c r="AB45" s="312"/>
      <c r="AD45" s="819"/>
      <c r="AE45" s="820"/>
      <c r="AF45" s="61"/>
      <c r="AG45" s="61"/>
      <c r="AJ45" s="821"/>
      <c r="AK45" s="311"/>
      <c r="AL45" s="311"/>
      <c r="AM45" s="311"/>
      <c r="AN45" s="311"/>
      <c r="CP45" s="47"/>
      <c r="CQ45" s="47"/>
      <c r="CR45" s="47"/>
      <c r="CS45" s="47"/>
      <c r="CT45" s="47"/>
      <c r="CV45" s="47"/>
      <c r="CW45" s="47"/>
      <c r="CX45" s="47"/>
    </row>
    <row r="46" spans="1:107" s="62" customFormat="1" ht="26.25" customHeight="1" x14ac:dyDescent="0.2">
      <c r="A46" s="803"/>
      <c r="B46" s="828"/>
      <c r="C46" s="2" t="s">
        <v>473</v>
      </c>
      <c r="D46" s="805" t="s">
        <v>16</v>
      </c>
      <c r="E46" s="805" t="s">
        <v>17</v>
      </c>
      <c r="F46" s="805" t="s">
        <v>18</v>
      </c>
      <c r="G46" s="805" t="s">
        <v>15</v>
      </c>
      <c r="H46" s="809" t="s">
        <v>474</v>
      </c>
      <c r="I46" s="810" t="s">
        <v>475</v>
      </c>
      <c r="J46" s="811" t="s">
        <v>476</v>
      </c>
      <c r="K46" s="808" t="s">
        <v>477</v>
      </c>
      <c r="L46" s="805" t="s">
        <v>478</v>
      </c>
      <c r="M46" s="805" t="s">
        <v>479</v>
      </c>
      <c r="N46" s="805" t="s">
        <v>480</v>
      </c>
      <c r="O46" s="805" t="s">
        <v>481</v>
      </c>
      <c r="P46" s="805" t="s">
        <v>482</v>
      </c>
      <c r="Q46" s="805" t="s">
        <v>483</v>
      </c>
      <c r="R46" s="805" t="s">
        <v>484</v>
      </c>
      <c r="S46" s="867" t="s">
        <v>467</v>
      </c>
      <c r="T46" s="822"/>
      <c r="W46" s="823"/>
      <c r="X46" s="583"/>
      <c r="Y46" s="583"/>
      <c r="AB46" s="58"/>
      <c r="AC46" s="824"/>
      <c r="AD46" s="824"/>
      <c r="AE46" s="824"/>
      <c r="AF46" s="824"/>
      <c r="AJ46" s="804"/>
      <c r="AK46" s="554"/>
      <c r="AL46" s="554"/>
      <c r="AM46" s="554"/>
      <c r="AN46" s="554"/>
      <c r="AO46" s="554"/>
      <c r="AP46" s="554"/>
      <c r="AQ46" s="554"/>
      <c r="AR46" s="805"/>
      <c r="AS46" s="806"/>
      <c r="AT46" s="806"/>
      <c r="AU46" s="806"/>
      <c r="CH46" s="633"/>
      <c r="CI46" s="633"/>
      <c r="CJ46" s="633"/>
      <c r="CK46" s="633"/>
      <c r="CL46" s="633"/>
      <c r="CN46" s="633"/>
      <c r="CO46" s="633"/>
      <c r="CP46" s="633"/>
    </row>
    <row r="47" spans="1:107" ht="12.75" x14ac:dyDescent="0.2">
      <c r="A47" s="43"/>
      <c r="C47" t="s">
        <v>21</v>
      </c>
      <c r="D47" s="27">
        <f t="shared" ref="D47:H55" ca="1" si="29">IF(SUM(INDIRECT("t_"&amp;$C47&amp;"["&amp;D$46&amp;"]"))&gt;0,SUM(INDIRECT("t_"&amp;$C47&amp;"["&amp;D$46&amp;"]")),"")</f>
        <v>2340</v>
      </c>
      <c r="E47" s="27">
        <f t="shared" ca="1" si="29"/>
        <v>1702</v>
      </c>
      <c r="F47" s="27">
        <f t="shared" ca="1" si="29"/>
        <v>2414</v>
      </c>
      <c r="G47" s="27" t="str">
        <f t="shared" ca="1" si="29"/>
        <v/>
      </c>
      <c r="H47" s="27">
        <f t="shared" ca="1" si="29"/>
        <v>6456</v>
      </c>
      <c r="I47" s="27">
        <f t="shared" ref="I47:K55" ca="1" si="30">IF(SUM(INDIRECT("t_"&amp;$C47&amp;"["&amp;I$46&amp;"]"))&lt;&gt;"",SUM(INDIRECT("t_"&amp;$C47&amp;"["&amp;I$46&amp;"]")),"")</f>
        <v>6</v>
      </c>
      <c r="J47" s="27">
        <f t="shared" ca="1" si="30"/>
        <v>1</v>
      </c>
      <c r="K47" s="27">
        <f t="shared" ca="1" si="30"/>
        <v>1</v>
      </c>
      <c r="L47" s="27">
        <f t="shared" ref="L47:L55" ca="1" si="31">IF(SUM(INDIRECT("t_"&amp;$C47&amp;"["&amp;L$46&amp;"]"))&gt;0,SUM(INDIRECT("t_"&amp;$C47&amp;"["&amp;L$46&amp;"]")),"")</f>
        <v>6420</v>
      </c>
      <c r="M47" s="27">
        <f ca="1">IF(Summasummarium[[#This Row],[12_poeng]]&lt;&gt;"",IF(SUM(INDIRECT("t_"&amp;$C47&amp;"["&amp;M$46&amp;"]"))&lt;&gt;"",SUM(INDIRECT("t_"&amp;$C47&amp;"["&amp;M$46&amp;"]"))),"")</f>
        <v>161</v>
      </c>
      <c r="N47" s="27">
        <f t="shared" ref="N47:S55" ca="1" si="32">IF(SUM(INDIRECT("t_"&amp;$C47&amp;"["&amp;N$46&amp;"]"))&gt;0,SUM(INDIRECT("t_"&amp;$C47&amp;"["&amp;N$46&amp;"]")),"")</f>
        <v>58</v>
      </c>
      <c r="O47" s="27" t="str">
        <f t="shared" ca="1" si="32"/>
        <v/>
      </c>
      <c r="P47" s="27">
        <f t="shared" ca="1" si="32"/>
        <v>161</v>
      </c>
      <c r="Q47" s="27" t="str">
        <f t="shared" ca="1" si="32"/>
        <v/>
      </c>
      <c r="R47" s="27">
        <f t="shared" ca="1" si="32"/>
        <v>161</v>
      </c>
      <c r="S47" s="27">
        <f t="shared" ca="1" si="32"/>
        <v>26490</v>
      </c>
      <c r="U47" s="819"/>
      <c r="V47" s="820"/>
      <c r="W47" s="61"/>
      <c r="X47" s="61"/>
      <c r="AA47" s="307"/>
      <c r="AB47" s="311"/>
      <c r="AC47" s="311"/>
      <c r="AD47" s="311"/>
      <c r="AE47" s="311"/>
      <c r="AI47" s="552"/>
      <c r="AJ47" s="553"/>
      <c r="AK47" s="60"/>
      <c r="AL47" s="60"/>
      <c r="AM47" s="60"/>
      <c r="AN47" s="60"/>
      <c r="AO47" s="60"/>
      <c r="AP47" s="60"/>
      <c r="AQ47" s="28"/>
      <c r="AR47" s="30"/>
      <c r="AS47" s="30"/>
      <c r="AT47" s="30"/>
      <c r="AU47" s="27"/>
      <c r="AV47" s="27"/>
      <c r="AW47" s="27"/>
      <c r="AX47" s="27"/>
      <c r="AY47" s="27"/>
      <c r="AZ47" s="27"/>
      <c r="BA47" s="27"/>
      <c r="BB47" s="27"/>
      <c r="BC47" s="27"/>
      <c r="CG47" s="47"/>
      <c r="CH47" s="47"/>
      <c r="CI47" s="47"/>
      <c r="CJ47" s="47"/>
      <c r="CK47" s="47"/>
      <c r="CM47" s="47"/>
      <c r="CN47" s="47"/>
      <c r="CO47" s="47"/>
    </row>
    <row r="48" spans="1:107" ht="12.75" x14ac:dyDescent="0.2">
      <c r="A48" s="43"/>
      <c r="C48" t="s">
        <v>26</v>
      </c>
      <c r="D48" s="27">
        <f t="shared" ca="1" si="29"/>
        <v>2340</v>
      </c>
      <c r="E48" s="27">
        <f t="shared" ca="1" si="29"/>
        <v>1702</v>
      </c>
      <c r="F48" s="27">
        <f t="shared" ca="1" si="29"/>
        <v>2414</v>
      </c>
      <c r="G48" s="27" t="str">
        <f t="shared" ca="1" si="29"/>
        <v/>
      </c>
      <c r="H48" s="27">
        <f t="shared" ca="1" si="29"/>
        <v>6456</v>
      </c>
      <c r="I48" s="27">
        <f t="shared" ca="1" si="30"/>
        <v>6</v>
      </c>
      <c r="J48" s="27">
        <f t="shared" ca="1" si="30"/>
        <v>1</v>
      </c>
      <c r="K48" s="27">
        <f t="shared" ca="1" si="30"/>
        <v>1</v>
      </c>
      <c r="L48" s="27">
        <f t="shared" ca="1" si="31"/>
        <v>6420</v>
      </c>
      <c r="M48" s="27">
        <f ca="1">IF(Summasummarium[[#This Row],[12_poeng]]&lt;&gt;"",IF(SUM(INDIRECT("t_"&amp;$C48&amp;"["&amp;M$46&amp;"]"))&lt;&gt;"",SUM(INDIRECT("t_"&amp;$C48&amp;"["&amp;M$46&amp;"]"))),"")</f>
        <v>161</v>
      </c>
      <c r="N48" s="27">
        <f t="shared" ca="1" si="32"/>
        <v>58</v>
      </c>
      <c r="O48" s="27" t="str">
        <f t="shared" ca="1" si="32"/>
        <v/>
      </c>
      <c r="P48" s="27" t="str">
        <f t="shared" ca="1" si="32"/>
        <v/>
      </c>
      <c r="Q48" s="27" t="str">
        <f t="shared" ca="1" si="32"/>
        <v/>
      </c>
      <c r="R48" s="27">
        <f t="shared" ca="1" si="32"/>
        <v>6639</v>
      </c>
      <c r="S48" s="27">
        <f t="shared" ca="1" si="32"/>
        <v>13095</v>
      </c>
      <c r="U48" s="819"/>
      <c r="V48" s="820"/>
      <c r="W48" s="61"/>
      <c r="X48" s="61"/>
      <c r="AA48" s="307"/>
      <c r="AB48" s="311"/>
      <c r="AC48" s="311"/>
      <c r="AD48" s="311"/>
      <c r="AE48" s="311"/>
      <c r="AI48" s="552"/>
      <c r="AJ48" s="553"/>
      <c r="AK48" s="60"/>
      <c r="AL48" s="60"/>
      <c r="AM48" s="60"/>
      <c r="AN48" s="60"/>
      <c r="AO48" s="60"/>
      <c r="AP48" s="60"/>
      <c r="AQ48" s="28"/>
      <c r="AR48" s="30"/>
      <c r="AS48" s="30"/>
      <c r="AT48" s="30"/>
      <c r="AU48" s="27"/>
      <c r="AV48" s="27"/>
      <c r="AW48" s="27"/>
      <c r="AX48" s="27"/>
      <c r="AY48" s="27"/>
      <c r="AZ48" s="27"/>
      <c r="BA48" s="27"/>
      <c r="BB48" s="27"/>
      <c r="BC48" s="27"/>
      <c r="CG48" s="47"/>
      <c r="CH48" s="47"/>
      <c r="CI48" s="47"/>
      <c r="CJ48" s="47"/>
      <c r="CK48" s="47"/>
      <c r="CM48" s="47"/>
      <c r="CN48" s="47"/>
      <c r="CO48" s="47"/>
    </row>
    <row r="49" spans="1:116" ht="12.75" x14ac:dyDescent="0.2">
      <c r="A49" s="43"/>
      <c r="C49" t="s">
        <v>20</v>
      </c>
      <c r="D49" s="27">
        <f t="shared" ca="1" si="29"/>
        <v>2340</v>
      </c>
      <c r="E49" s="27">
        <f t="shared" ca="1" si="29"/>
        <v>1702</v>
      </c>
      <c r="F49" s="27">
        <f t="shared" ca="1" si="29"/>
        <v>2414</v>
      </c>
      <c r="G49" s="27" t="str">
        <f t="shared" ca="1" si="29"/>
        <v/>
      </c>
      <c r="H49" s="27">
        <f t="shared" ca="1" si="29"/>
        <v>6456</v>
      </c>
      <c r="I49" s="27">
        <f t="shared" ca="1" si="30"/>
        <v>6</v>
      </c>
      <c r="J49" s="27">
        <f t="shared" ca="1" si="30"/>
        <v>1</v>
      </c>
      <c r="K49" s="27">
        <f t="shared" ca="1" si="30"/>
        <v>1</v>
      </c>
      <c r="L49" s="27">
        <f t="shared" ca="1" si="31"/>
        <v>6420</v>
      </c>
      <c r="M49" s="27">
        <f ca="1">IF(Summasummarium[[#This Row],[12_poeng]]&lt;&gt;"",IF(SUM(INDIRECT("t_"&amp;$C49&amp;"["&amp;M$46&amp;"]"))&lt;&gt;"",SUM(INDIRECT("t_"&amp;$C49&amp;"["&amp;M$46&amp;"]"))),"")</f>
        <v>161</v>
      </c>
      <c r="N49" s="27" t="str">
        <f t="shared" ca="1" si="32"/>
        <v/>
      </c>
      <c r="O49" s="27" t="str">
        <f t="shared" ca="1" si="32"/>
        <v/>
      </c>
      <c r="P49" s="27">
        <f t="shared" ca="1" si="32"/>
        <v>161</v>
      </c>
      <c r="Q49" s="27" t="str">
        <f t="shared" ca="1" si="32"/>
        <v/>
      </c>
      <c r="R49" s="27">
        <f t="shared" ca="1" si="32"/>
        <v>6742</v>
      </c>
      <c r="S49" s="27">
        <f t="shared" ca="1" si="32"/>
        <v>13198</v>
      </c>
      <c r="U49" s="307"/>
      <c r="V49" s="820"/>
      <c r="W49" s="61"/>
      <c r="X49" s="61"/>
      <c r="AA49" s="307"/>
      <c r="AB49" s="311"/>
      <c r="AC49" s="311"/>
      <c r="AD49" s="311"/>
      <c r="AE49" s="311"/>
      <c r="AI49" s="552"/>
      <c r="AJ49" s="553"/>
      <c r="AK49" s="60"/>
      <c r="AL49" s="60"/>
      <c r="AM49" s="60"/>
      <c r="AN49" s="60"/>
      <c r="AO49" s="60"/>
      <c r="AP49" s="60"/>
      <c r="AQ49" s="28"/>
      <c r="AR49" s="30"/>
      <c r="AS49" s="30"/>
      <c r="AT49" s="30"/>
      <c r="AU49" s="27"/>
      <c r="AV49" s="27"/>
      <c r="AW49" s="27"/>
      <c r="AX49" s="27"/>
      <c r="AY49" s="27"/>
      <c r="AZ49" s="27"/>
      <c r="BA49" s="27"/>
      <c r="BB49" s="27"/>
      <c r="BC49" s="27"/>
      <c r="CG49" s="47"/>
      <c r="CH49" s="47"/>
      <c r="CI49" s="47"/>
      <c r="CJ49" s="47"/>
      <c r="CK49" s="47"/>
      <c r="CM49" s="47"/>
      <c r="CN49" s="47"/>
      <c r="CO49" s="47"/>
    </row>
    <row r="50" spans="1:116" ht="12.75" x14ac:dyDescent="0.2">
      <c r="A50" s="43"/>
      <c r="C50" t="s">
        <v>19</v>
      </c>
      <c r="D50" s="27">
        <f t="shared" ca="1" si="29"/>
        <v>2340</v>
      </c>
      <c r="E50" s="27">
        <f t="shared" ca="1" si="29"/>
        <v>1702</v>
      </c>
      <c r="F50" s="27">
        <f t="shared" ca="1" si="29"/>
        <v>2414</v>
      </c>
      <c r="G50" s="27" t="str">
        <f t="shared" ca="1" si="29"/>
        <v/>
      </c>
      <c r="H50" s="27">
        <f t="shared" ca="1" si="29"/>
        <v>6456</v>
      </c>
      <c r="I50" s="27">
        <f t="shared" ca="1" si="30"/>
        <v>6</v>
      </c>
      <c r="J50" s="27">
        <f t="shared" ca="1" si="30"/>
        <v>1</v>
      </c>
      <c r="K50" s="27">
        <f t="shared" ca="1" si="30"/>
        <v>1</v>
      </c>
      <c r="L50" s="27">
        <f t="shared" ca="1" si="31"/>
        <v>6420</v>
      </c>
      <c r="M50" s="27">
        <f ca="1">IF(Summasummarium[[#This Row],[12_poeng]]&lt;&gt;"",IF(SUM(INDIRECT("t_"&amp;$C50&amp;"["&amp;M$46&amp;"]"))&lt;&gt;"",SUM(INDIRECT("t_"&amp;$C50&amp;"["&amp;M$46&amp;"]"))),"")</f>
        <v>161</v>
      </c>
      <c r="N50" s="27">
        <f t="shared" ca="1" si="32"/>
        <v>58</v>
      </c>
      <c r="O50" s="27" t="str">
        <f t="shared" ca="1" si="32"/>
        <v/>
      </c>
      <c r="P50" s="27">
        <f t="shared" ca="1" si="32"/>
        <v>161</v>
      </c>
      <c r="Q50" s="27" t="str">
        <f t="shared" ca="1" si="32"/>
        <v/>
      </c>
      <c r="R50" s="27">
        <f t="shared" ca="1" si="32"/>
        <v>161</v>
      </c>
      <c r="S50" s="27">
        <f t="shared" ca="1" si="32"/>
        <v>6617</v>
      </c>
      <c r="V50" s="75"/>
      <c r="X50" s="53"/>
      <c r="AA50" s="307"/>
      <c r="AB50" s="311"/>
      <c r="AC50" s="311"/>
      <c r="AD50" s="311"/>
      <c r="AE50" s="311"/>
      <c r="AI50" s="552"/>
      <c r="AJ50" s="553"/>
      <c r="AK50" s="60"/>
      <c r="AL50" s="60"/>
      <c r="AM50" s="60"/>
      <c r="AN50" s="60"/>
      <c r="AO50" s="60"/>
      <c r="AP50" s="60"/>
      <c r="AQ50" s="28"/>
      <c r="AR50" s="30"/>
      <c r="AS50" s="30"/>
      <c r="AT50" s="30"/>
      <c r="AU50" s="27"/>
      <c r="AV50" s="27"/>
      <c r="AW50" s="27"/>
      <c r="AX50" s="27"/>
      <c r="AY50" s="27"/>
      <c r="AZ50" s="27"/>
      <c r="BA50" s="27"/>
      <c r="BB50" s="27"/>
      <c r="BC50" s="27"/>
      <c r="CH50" s="47"/>
      <c r="CI50" s="47"/>
      <c r="CJ50" s="47"/>
      <c r="CK50" s="47"/>
      <c r="CL50" s="47"/>
      <c r="CN50" s="47"/>
      <c r="CO50" s="47"/>
      <c r="CP50" s="47"/>
    </row>
    <row r="51" spans="1:116" ht="12.75" x14ac:dyDescent="0.2">
      <c r="C51" t="s">
        <v>22</v>
      </c>
      <c r="D51" s="27">
        <f t="shared" ca="1" si="29"/>
        <v>2340</v>
      </c>
      <c r="E51" s="27">
        <f t="shared" ca="1" si="29"/>
        <v>1702</v>
      </c>
      <c r="F51" s="27">
        <f t="shared" ca="1" si="29"/>
        <v>2414</v>
      </c>
      <c r="G51" s="27" t="str">
        <f t="shared" ca="1" si="29"/>
        <v/>
      </c>
      <c r="H51" s="27">
        <f t="shared" ca="1" si="29"/>
        <v>6456</v>
      </c>
      <c r="I51" s="27">
        <f t="shared" ca="1" si="30"/>
        <v>6</v>
      </c>
      <c r="J51" s="27">
        <f t="shared" ca="1" si="30"/>
        <v>1</v>
      </c>
      <c r="K51" s="27">
        <f t="shared" ca="1" si="30"/>
        <v>1</v>
      </c>
      <c r="L51" s="27">
        <f t="shared" ca="1" si="31"/>
        <v>6420</v>
      </c>
      <c r="M51" s="27">
        <f ca="1">IF(Summasummarium[[#This Row],[12_poeng]]&lt;&gt;"",IF(SUM(INDIRECT("t_"&amp;$C51&amp;"["&amp;M$46&amp;"]"))&lt;&gt;"",SUM(INDIRECT("t_"&amp;$C51&amp;"["&amp;M$46&amp;"]"))),"")</f>
        <v>161</v>
      </c>
      <c r="N51" s="27">
        <f t="shared" ca="1" si="32"/>
        <v>58</v>
      </c>
      <c r="O51" s="27" t="str">
        <f t="shared" ca="1" si="32"/>
        <v/>
      </c>
      <c r="P51" s="27" t="str">
        <f t="shared" ca="1" si="32"/>
        <v/>
      </c>
      <c r="Q51" s="27" t="str">
        <f t="shared" ca="1" si="32"/>
        <v/>
      </c>
      <c r="R51" s="27">
        <f t="shared" ca="1" si="32"/>
        <v>6639</v>
      </c>
      <c r="S51" s="27">
        <f t="shared" ca="1" si="32"/>
        <v>13095</v>
      </c>
      <c r="T51" s="89"/>
      <c r="U51" s="89"/>
      <c r="AA51" s="307"/>
      <c r="AB51" s="311"/>
      <c r="AC51" s="311"/>
      <c r="AD51" s="311"/>
      <c r="AE51" s="311"/>
      <c r="AI51" s="552"/>
      <c r="AJ51" s="553"/>
      <c r="AK51" s="60"/>
      <c r="AL51" s="60"/>
      <c r="AM51" s="60"/>
      <c r="AN51" s="60"/>
      <c r="AO51" s="60"/>
      <c r="AP51" s="60"/>
      <c r="AQ51" s="28"/>
      <c r="AR51" s="30"/>
      <c r="AS51" s="30"/>
      <c r="AT51" s="30"/>
      <c r="AU51" s="27"/>
      <c r="AV51" s="27"/>
      <c r="AW51" s="27"/>
      <c r="AX51" s="27"/>
      <c r="AY51" s="27"/>
      <c r="AZ51" s="27"/>
      <c r="BA51" s="27"/>
      <c r="BB51" s="27"/>
      <c r="BC51" s="27"/>
      <c r="CK51" s="47"/>
      <c r="CL51" s="47"/>
      <c r="CM51" s="47"/>
      <c r="CN51" s="47"/>
      <c r="CO51" s="47"/>
      <c r="CQ51" s="47"/>
      <c r="CR51" s="47"/>
      <c r="CS51" s="47"/>
    </row>
    <row r="52" spans="1:116" ht="12.75" x14ac:dyDescent="0.2">
      <c r="C52" t="s">
        <v>27</v>
      </c>
      <c r="D52" s="27">
        <f t="shared" ca="1" si="29"/>
        <v>2340</v>
      </c>
      <c r="E52" s="27">
        <f t="shared" ca="1" si="29"/>
        <v>1702</v>
      </c>
      <c r="F52" s="27">
        <f t="shared" ca="1" si="29"/>
        <v>2414</v>
      </c>
      <c r="G52" s="27" t="str">
        <f t="shared" ca="1" si="29"/>
        <v/>
      </c>
      <c r="H52" s="27">
        <f t="shared" ca="1" si="29"/>
        <v>6456</v>
      </c>
      <c r="I52" s="27">
        <f t="shared" ca="1" si="30"/>
        <v>6</v>
      </c>
      <c r="J52" s="27">
        <f t="shared" ca="1" si="30"/>
        <v>1</v>
      </c>
      <c r="K52" s="27">
        <f t="shared" ca="1" si="30"/>
        <v>1</v>
      </c>
      <c r="L52" s="27">
        <f t="shared" ca="1" si="31"/>
        <v>6420</v>
      </c>
      <c r="M52" s="27">
        <f ca="1">IF(Summasummarium[[#This Row],[12_poeng]]&lt;&gt;"",IF(SUM(INDIRECT("t_"&amp;$C52&amp;"["&amp;M$46&amp;"]"))&lt;&gt;"",SUM(INDIRECT("t_"&amp;$C52&amp;"["&amp;M$46&amp;"]"))),"")</f>
        <v>161</v>
      </c>
      <c r="N52" s="27">
        <f t="shared" ca="1" si="32"/>
        <v>58</v>
      </c>
      <c r="O52" s="27" t="str">
        <f t="shared" ca="1" si="32"/>
        <v/>
      </c>
      <c r="P52" s="27" t="str">
        <f t="shared" ca="1" si="32"/>
        <v/>
      </c>
      <c r="Q52" s="27" t="str">
        <f t="shared" ca="1" si="32"/>
        <v/>
      </c>
      <c r="R52" s="27">
        <f t="shared" ca="1" si="32"/>
        <v>6639</v>
      </c>
      <c r="S52" s="27">
        <f t="shared" ca="1" si="32"/>
        <v>13095</v>
      </c>
      <c r="T52" s="825"/>
      <c r="U52" s="52"/>
      <c r="V52" s="94"/>
      <c r="W52" s="826"/>
      <c r="X52" s="40"/>
      <c r="Y52" s="827"/>
      <c r="Z52" s="827"/>
      <c r="AA52" s="826"/>
      <c r="AB52" s="825"/>
      <c r="AC52" s="52"/>
      <c r="AD52" s="39"/>
      <c r="AI52" s="552"/>
      <c r="AJ52" s="553"/>
      <c r="AK52" s="60"/>
      <c r="AL52" s="60"/>
      <c r="AM52" s="60"/>
      <c r="AN52" s="60"/>
      <c r="AO52" s="60"/>
      <c r="AP52" s="60"/>
      <c r="AQ52" s="28"/>
      <c r="AR52" s="30"/>
      <c r="AS52" s="30"/>
      <c r="AT52" s="30"/>
      <c r="AU52" s="27"/>
      <c r="AV52" s="27"/>
      <c r="AW52" s="27"/>
      <c r="AX52" s="27"/>
      <c r="AY52" s="27"/>
      <c r="AZ52" s="27"/>
      <c r="BA52" s="27"/>
      <c r="BB52" s="27"/>
      <c r="BC52" s="27"/>
      <c r="DD52" s="47"/>
      <c r="DE52" s="47"/>
      <c r="DF52" s="47"/>
      <c r="DG52" s="47"/>
      <c r="DH52" s="47"/>
      <c r="DJ52" s="47"/>
      <c r="DK52" s="47"/>
      <c r="DL52" s="47"/>
    </row>
    <row r="53" spans="1:116" ht="12.75" x14ac:dyDescent="0.2">
      <c r="C53" t="s">
        <v>23</v>
      </c>
      <c r="D53" s="27">
        <f t="shared" ca="1" si="29"/>
        <v>2340</v>
      </c>
      <c r="E53" s="27">
        <f t="shared" ca="1" si="29"/>
        <v>1702</v>
      </c>
      <c r="F53" s="27">
        <f t="shared" ca="1" si="29"/>
        <v>2414</v>
      </c>
      <c r="G53" s="27" t="str">
        <f t="shared" ca="1" si="29"/>
        <v/>
      </c>
      <c r="H53" s="27">
        <f t="shared" ca="1" si="29"/>
        <v>6456</v>
      </c>
      <c r="I53" s="27">
        <f t="shared" ca="1" si="30"/>
        <v>6</v>
      </c>
      <c r="J53" s="27">
        <f t="shared" ca="1" si="30"/>
        <v>1</v>
      </c>
      <c r="K53" s="27">
        <f t="shared" ca="1" si="30"/>
        <v>1</v>
      </c>
      <c r="L53" s="27">
        <f t="shared" ca="1" si="31"/>
        <v>6420</v>
      </c>
      <c r="M53" s="27">
        <f ca="1">IF(Summasummarium[[#This Row],[12_poeng]]&lt;&gt;"",IF(SUM(INDIRECT("t_"&amp;$C53&amp;"["&amp;M$46&amp;"]"))&lt;&gt;"",SUM(INDIRECT("t_"&amp;$C53&amp;"["&amp;M$46&amp;"]"))),"")</f>
        <v>161</v>
      </c>
      <c r="N53" s="27">
        <f t="shared" ca="1" si="32"/>
        <v>58</v>
      </c>
      <c r="O53" s="27" t="str">
        <f t="shared" ca="1" si="32"/>
        <v/>
      </c>
      <c r="P53" s="27" t="str">
        <f t="shared" ca="1" si="32"/>
        <v/>
      </c>
      <c r="Q53" s="27" t="str">
        <f t="shared" ca="1" si="32"/>
        <v/>
      </c>
      <c r="R53" s="27">
        <f t="shared" ca="1" si="32"/>
        <v>6639</v>
      </c>
      <c r="S53" s="27">
        <f t="shared" ca="1" si="32"/>
        <v>13095</v>
      </c>
      <c r="T53" s="826"/>
      <c r="U53" s="40"/>
      <c r="V53" s="827"/>
      <c r="W53" s="827"/>
      <c r="X53" s="826"/>
      <c r="Y53" s="306"/>
      <c r="Z53" s="52"/>
      <c r="AA53" s="94"/>
      <c r="AB53" s="826"/>
      <c r="AC53" s="40"/>
      <c r="AD53" s="40"/>
      <c r="AI53" s="552"/>
      <c r="AJ53" s="553"/>
      <c r="AK53" s="60"/>
      <c r="AL53" s="60"/>
      <c r="AM53" s="60"/>
      <c r="AN53" s="60"/>
      <c r="AO53" s="60"/>
      <c r="AP53" s="60"/>
      <c r="AQ53" s="28"/>
      <c r="AR53" s="30"/>
      <c r="AS53" s="30"/>
      <c r="AT53" s="30"/>
      <c r="AU53" s="27"/>
      <c r="AV53" s="27"/>
      <c r="AW53" s="27"/>
      <c r="AX53" s="27"/>
      <c r="AY53" s="27"/>
      <c r="AZ53" s="27"/>
      <c r="BA53" s="27"/>
      <c r="BB53" s="27"/>
      <c r="BC53" s="27"/>
    </row>
    <row r="54" spans="1:116" ht="12.75" x14ac:dyDescent="0.2">
      <c r="C54" t="s">
        <v>25</v>
      </c>
      <c r="D54" s="27">
        <f t="shared" ca="1" si="29"/>
        <v>2340</v>
      </c>
      <c r="E54" s="27">
        <f t="shared" ca="1" si="29"/>
        <v>1702</v>
      </c>
      <c r="F54" s="27">
        <f t="shared" ca="1" si="29"/>
        <v>2414</v>
      </c>
      <c r="G54" s="27" t="str">
        <f t="shared" ca="1" si="29"/>
        <v/>
      </c>
      <c r="H54" s="27">
        <f t="shared" ca="1" si="29"/>
        <v>6456</v>
      </c>
      <c r="I54" s="27">
        <f t="shared" ca="1" si="30"/>
        <v>6</v>
      </c>
      <c r="J54" s="27">
        <f t="shared" ca="1" si="30"/>
        <v>1</v>
      </c>
      <c r="K54" s="27">
        <f t="shared" ca="1" si="30"/>
        <v>1</v>
      </c>
      <c r="L54" s="27">
        <f t="shared" ca="1" si="31"/>
        <v>6420</v>
      </c>
      <c r="M54" s="27">
        <f ca="1">IF(Summasummarium[[#This Row],[12_poeng]]&lt;&gt;"",IF(SUM(INDIRECT("t_"&amp;$C54&amp;"["&amp;M$46&amp;"]"))&lt;&gt;"",SUM(INDIRECT("t_"&amp;$C54&amp;"["&amp;M$46&amp;"]"))),"")</f>
        <v>161</v>
      </c>
      <c r="N54" s="27">
        <f t="shared" ca="1" si="32"/>
        <v>58</v>
      </c>
      <c r="O54" s="27" t="str">
        <f t="shared" ca="1" si="32"/>
        <v/>
      </c>
      <c r="P54" s="27">
        <f t="shared" ca="1" si="32"/>
        <v>161</v>
      </c>
      <c r="Q54" s="27" t="str">
        <f t="shared" ca="1" si="32"/>
        <v/>
      </c>
      <c r="R54" s="27">
        <f t="shared" ca="1" si="32"/>
        <v>6800</v>
      </c>
      <c r="S54" s="27">
        <f t="shared" ca="1" si="32"/>
        <v>13256</v>
      </c>
      <c r="T54" s="826"/>
      <c r="U54" s="40"/>
      <c r="V54" s="827"/>
      <c r="W54" s="827"/>
      <c r="X54" s="826"/>
      <c r="Y54" s="306"/>
      <c r="Z54" s="52"/>
      <c r="AA54" s="94"/>
      <c r="AB54" s="826"/>
      <c r="AC54" s="40"/>
      <c r="AD54" s="40"/>
      <c r="AI54" s="552"/>
      <c r="AJ54" s="553"/>
      <c r="AK54" s="60"/>
      <c r="AL54" s="60"/>
      <c r="AM54" s="60"/>
      <c r="AN54" s="60"/>
      <c r="AO54" s="60"/>
      <c r="AP54" s="60"/>
      <c r="AQ54" s="28"/>
      <c r="AR54" s="30"/>
      <c r="AS54" s="30"/>
      <c r="AT54" s="30"/>
      <c r="AU54" s="27"/>
      <c r="AV54" s="27"/>
      <c r="AW54" s="27"/>
      <c r="AX54" s="27"/>
      <c r="AY54" s="27"/>
      <c r="AZ54" s="27"/>
      <c r="BA54" s="27"/>
      <c r="BB54" s="27"/>
      <c r="BC54" s="27"/>
    </row>
    <row r="55" spans="1:116" ht="12.75" x14ac:dyDescent="0.2">
      <c r="C55" t="s">
        <v>24</v>
      </c>
      <c r="D55" s="27">
        <f t="shared" ca="1" si="29"/>
        <v>2340</v>
      </c>
      <c r="E55" s="27">
        <f t="shared" ca="1" si="29"/>
        <v>1702</v>
      </c>
      <c r="F55" s="27">
        <f t="shared" ca="1" si="29"/>
        <v>2414</v>
      </c>
      <c r="G55" s="27" t="str">
        <f t="shared" ca="1" si="29"/>
        <v/>
      </c>
      <c r="H55" s="27">
        <f t="shared" ca="1" si="29"/>
        <v>6456</v>
      </c>
      <c r="I55" s="27">
        <f t="shared" ca="1" si="30"/>
        <v>6</v>
      </c>
      <c r="J55" s="27">
        <f t="shared" ca="1" si="30"/>
        <v>1</v>
      </c>
      <c r="K55" s="27">
        <f t="shared" ca="1" si="30"/>
        <v>1</v>
      </c>
      <c r="L55" s="27">
        <f t="shared" ca="1" si="31"/>
        <v>6420</v>
      </c>
      <c r="M55" s="27">
        <f ca="1">IF(Summasummarium[[#This Row],[12_poeng]]&lt;&gt;"",IF(SUM(INDIRECT("t_"&amp;$C55&amp;"["&amp;M$46&amp;"]"))&lt;&gt;"",SUM(INDIRECT("t_"&amp;$C55&amp;"["&amp;M$46&amp;"]"))),"")</f>
        <v>161</v>
      </c>
      <c r="N55" s="27">
        <f t="shared" ca="1" si="32"/>
        <v>58</v>
      </c>
      <c r="O55" s="27" t="str">
        <f t="shared" ca="1" si="32"/>
        <v/>
      </c>
      <c r="P55" s="27" t="str">
        <f t="shared" ca="1" si="32"/>
        <v/>
      </c>
      <c r="Q55" s="27" t="str">
        <f t="shared" ca="1" si="32"/>
        <v/>
      </c>
      <c r="R55" s="27">
        <f t="shared" ca="1" si="32"/>
        <v>6639</v>
      </c>
      <c r="S55" s="27">
        <f t="shared" ca="1" si="32"/>
        <v>13095</v>
      </c>
      <c r="T55" s="826"/>
      <c r="U55" s="40"/>
      <c r="V55" s="827"/>
      <c r="W55" s="827"/>
      <c r="X55" s="826"/>
      <c r="Y55" s="306"/>
      <c r="Z55" s="52"/>
      <c r="AA55" s="94"/>
      <c r="AB55" s="826"/>
      <c r="AC55" s="40"/>
      <c r="AD55" s="40"/>
      <c r="AE55" s="36"/>
      <c r="AI55" s="552"/>
      <c r="AJ55" s="553"/>
      <c r="AK55" s="60"/>
      <c r="AL55" s="60"/>
      <c r="AM55" s="60"/>
      <c r="AN55" s="60"/>
      <c r="AO55" s="60"/>
      <c r="AP55" s="60"/>
      <c r="AQ55" s="28"/>
      <c r="AR55" s="30"/>
      <c r="AS55" s="30"/>
      <c r="AT55" s="30"/>
      <c r="AU55" s="27"/>
      <c r="AV55" s="27"/>
      <c r="AW55" s="27"/>
      <c r="AX55" s="27"/>
      <c r="AY55" s="27"/>
      <c r="AZ55" s="27"/>
      <c r="BA55" s="27"/>
      <c r="BB55" s="27"/>
      <c r="BC55" s="27"/>
    </row>
    <row r="56" spans="1:116" ht="12.75" x14ac:dyDescent="0.2">
      <c r="S56" s="99"/>
      <c r="T56" s="100"/>
      <c r="U56" s="98"/>
      <c r="V56" s="101"/>
      <c r="W56" s="101"/>
      <c r="X56" s="100"/>
      <c r="Y56" s="102"/>
      <c r="Z56" s="97"/>
      <c r="AA56" s="99"/>
      <c r="AB56" s="100"/>
      <c r="AC56" s="98"/>
      <c r="AD56" s="101"/>
      <c r="AE56" s="101"/>
      <c r="AF56" s="100"/>
      <c r="AG56" s="102"/>
      <c r="AH56" s="97"/>
      <c r="AI56" s="99"/>
      <c r="AJ56" s="100"/>
      <c r="AK56" s="98"/>
      <c r="AL56" s="98"/>
      <c r="AM56" s="101"/>
      <c r="AQ56" s="552"/>
      <c r="AR56" s="553"/>
      <c r="AS56" s="60"/>
      <c r="AY56" s="28"/>
      <c r="AZ56" s="30"/>
      <c r="BC56" s="27"/>
    </row>
    <row r="57" spans="1:116" ht="12.75" x14ac:dyDescent="0.2">
      <c r="C57" s="27" t="s">
        <v>485</v>
      </c>
      <c r="S57" s="99"/>
      <c r="T57" s="100"/>
      <c r="U57" s="98"/>
      <c r="V57" s="101"/>
      <c r="W57" s="101"/>
      <c r="X57" s="100"/>
      <c r="Y57" s="102"/>
      <c r="Z57" s="97"/>
      <c r="AA57" s="99"/>
      <c r="AB57" s="100"/>
      <c r="AC57" s="100"/>
      <c r="AD57" s="98"/>
      <c r="AE57" s="98"/>
      <c r="AF57" s="100"/>
      <c r="AG57" s="102"/>
      <c r="AH57" s="97"/>
      <c r="AI57" s="99"/>
      <c r="AJ57" s="100"/>
      <c r="AK57" s="98"/>
      <c r="AL57" s="98"/>
      <c r="AM57" s="101"/>
      <c r="AQ57" s="552"/>
      <c r="AR57" s="553"/>
      <c r="AS57" s="60"/>
      <c r="AY57" s="28"/>
      <c r="AZ57" s="30"/>
      <c r="BC57" s="27"/>
    </row>
    <row r="58" spans="1:116" ht="12.75" x14ac:dyDescent="0.2">
      <c r="C58" s="2" t="s">
        <v>473</v>
      </c>
      <c r="D58" s="805" t="s">
        <v>16</v>
      </c>
      <c r="E58" s="805" t="s">
        <v>17</v>
      </c>
      <c r="F58" s="805" t="s">
        <v>18</v>
      </c>
      <c r="G58" s="805" t="s">
        <v>15</v>
      </c>
      <c r="H58" s="809" t="s">
        <v>474</v>
      </c>
      <c r="I58" s="810" t="s">
        <v>475</v>
      </c>
      <c r="J58" s="811" t="s">
        <v>476</v>
      </c>
      <c r="K58" s="808" t="s">
        <v>477</v>
      </c>
      <c r="L58" s="805" t="s">
        <v>478</v>
      </c>
      <c r="M58" s="805" t="s">
        <v>479</v>
      </c>
      <c r="N58" s="805" t="s">
        <v>480</v>
      </c>
      <c r="O58" s="805" t="s">
        <v>481</v>
      </c>
      <c r="P58" s="805" t="s">
        <v>482</v>
      </c>
      <c r="Q58" s="805" t="s">
        <v>483</v>
      </c>
      <c r="R58" s="805" t="s">
        <v>484</v>
      </c>
      <c r="S58" s="867" t="s">
        <v>467</v>
      </c>
      <c r="T58" s="100"/>
      <c r="U58" s="100"/>
      <c r="V58" s="98"/>
      <c r="W58" s="98"/>
      <c r="X58" s="100"/>
      <c r="Y58" s="102"/>
      <c r="Z58" s="97"/>
      <c r="AA58" s="103"/>
      <c r="AB58" s="100"/>
      <c r="AC58" s="98"/>
      <c r="AD58" s="101"/>
      <c r="AE58" s="101"/>
      <c r="AF58" s="100"/>
      <c r="AG58" s="102"/>
      <c r="AH58" s="97"/>
      <c r="AI58" s="99"/>
      <c r="AJ58" s="100"/>
      <c r="AK58" s="100"/>
      <c r="AL58" s="98"/>
      <c r="AM58" s="101"/>
      <c r="AQ58" s="552"/>
      <c r="AR58" s="553"/>
      <c r="AS58" s="60"/>
      <c r="AY58" s="28"/>
      <c r="AZ58" s="30"/>
      <c r="BC58" s="27"/>
    </row>
    <row r="59" spans="1:116" ht="12.75" x14ac:dyDescent="0.2">
      <c r="C59" t="s">
        <v>26</v>
      </c>
      <c r="D59" s="27" cm="1">
        <f t="array" aca="1" ref="D59" ca="1">_xlfn.XLOOKUP(TRUE,(INDIRECT("t_"&amp;$C59&amp;"["&amp;D$58&amp;"]")&lt;&gt;""),INDIRECT("t_"&amp;$C59&amp;"["&amp;D$58&amp;"]"),"",-1)</f>
        <v>0</v>
      </c>
      <c r="E59" s="27" cm="1">
        <f t="array" aca="1" ref="E59" ca="1">_xlfn.XLOOKUP(TRUE,(INDIRECT("t_"&amp;$C59&amp;"["&amp;E$58&amp;"]")&lt;&gt;""),INDIRECT("t_"&amp;$C59&amp;"["&amp;E$58&amp;"]"),"",-1)</f>
        <v>0</v>
      </c>
      <c r="F59" s="27" cm="1">
        <f t="array" aca="1" ref="F59" ca="1">_xlfn.XLOOKUP(TRUE,(INDIRECT("t_"&amp;$C59&amp;"["&amp;F$58&amp;"]")&lt;&gt;""),INDIRECT("t_"&amp;$C59&amp;"["&amp;F$58&amp;"]"),0,-1)</f>
        <v>0</v>
      </c>
      <c r="G59" s="27" cm="1">
        <f t="array" aca="1" ref="G59" ca="1">_xlfn.XLOOKUP(TRUE,(INDIRECT("t_"&amp;$C59&amp;"["&amp;G$58&amp;"]")&lt;&gt;""),INDIRECT("t_"&amp;$C59&amp;"["&amp;G$58&amp;"]"),"",-1)</f>
        <v>0</v>
      </c>
      <c r="H59" s="27" cm="1">
        <f t="array" aca="1" ref="H59" ca="1">_xlfn.XLOOKUP(TRUE,(INDIRECT("t_"&amp;$C59&amp;"["&amp;H$58&amp;"]")&lt;&gt;""),INDIRECT("t_"&amp;$C59&amp;"["&amp;H$58&amp;"]"),0,-1)</f>
        <v>0</v>
      </c>
      <c r="I59" s="27" cm="1">
        <f t="array" aca="1" ref="I59" ca="1">_xlfn.XLOOKUP(TRUE,(INDIRECT("t_"&amp;$C59&amp;"["&amp;I$58&amp;"]")&lt;&gt;""),INDIRECT("t_"&amp;$C59&amp;"["&amp;I$58&amp;"]"),0,-1)</f>
        <v>1</v>
      </c>
      <c r="J59" s="27" t="str" cm="1">
        <f t="array" aca="1" ref="J59" ca="1">IF(Summasummarium5[[#This Row],[12_Antall]]&lt;&gt;"","",_xlfn.XLOOKUP(TRUE,(INDIRECT("t_"&amp;$C59&amp;"["&amp;J$58&amp;"]")&lt;&gt;""),INDIRECT("t_"&amp;$C59&amp;"["&amp;J$58&amp;"]"),0,-1))</f>
        <v/>
      </c>
      <c r="K59" s="27" t="str" cm="1">
        <f t="array" aca="1" ref="K59" ca="1">IF(OR(Summasummarium5[[#This Row],[12_Antall]]&lt;&gt;"",Summasummarium5[[#This Row],[11_Antall]]&lt;&gt;""),"",IF(_xlfn.XLOOKUP(TRUE,(INDIRECT("t_"&amp;$C59&amp;"["&amp;K$58&amp;"]")&lt;&gt;""),INDIRECT("t_"&amp;$C59&amp;"["&amp;K$58&amp;"]"),0,-1)&lt;&gt;"",1,""))</f>
        <v/>
      </c>
      <c r="L59" s="27" cm="1">
        <f t="array" aca="1" ref="L59" ca="1">_xlfn.XLOOKUP(TRUE,(INDIRECT("t_"&amp;$C59&amp;"["&amp;L$58&amp;"]")&lt;&gt;""),INDIRECT("t_"&amp;$C59&amp;"["&amp;L$58&amp;"]"),"",-1)</f>
        <v>0</v>
      </c>
      <c r="M59" s="27" cm="1">
        <f t="array" aca="1" ref="M59" ca="1">_xlfn.XLOOKUP(TRUE,(INDIRECT("t_"&amp;$C59&amp;"["&amp;M$58&amp;"]")&lt;&gt;""),INDIRECT("t_"&amp;$C59&amp;"["&amp;M$58&amp;"]"),0,-1)</f>
        <v>0</v>
      </c>
      <c r="N59" s="27" cm="1">
        <f t="array" aca="1" ref="N59" ca="1">_xlfn.XLOOKUP(TRUE,(INDIRECT("t_"&amp;$C59&amp;"["&amp;N$58&amp;"]")&lt;&gt;""),INDIRECT("t_"&amp;$C59&amp;"["&amp;N$58&amp;"]"),0,-1)</f>
        <v>0</v>
      </c>
      <c r="O59" s="27" t="str" cm="1">
        <f t="array" aca="1" ref="O59" ca="1">_xlfn.XLOOKUP(TRUE,(INDIRECT("t_"&amp;$C59&amp;"["&amp;O$58&amp;"]")&lt;&gt;""),INDIRECT("t_"&amp;$C59&amp;"["&amp;O$58&amp;"]"),0,-1)</f>
        <v/>
      </c>
      <c r="P59" s="27" t="str" cm="1">
        <f t="array" aca="1" ref="P59" ca="1">_xlfn.XLOOKUP(TRUE,(INDIRECT("t_"&amp;$C59&amp;"["&amp;P$58&amp;"]")&lt;&gt;""),INDIRECT("t_"&amp;$C59&amp;"["&amp;P$58&amp;"]"),0,-1)</f>
        <v/>
      </c>
      <c r="Q59" s="27" t="str" cm="1">
        <f t="array" aca="1" ref="Q59" ca="1">_xlfn.XLOOKUP(TRUE,(INDIRECT("t_"&amp;$C59&amp;"["&amp;Q$58&amp;"]")&lt;&gt;""),INDIRECT("t_"&amp;$C59&amp;"["&amp;Q$58&amp;"]"),0,-1)</f>
        <v/>
      </c>
      <c r="R59" s="27" cm="1">
        <f t="array" aca="1" ref="R59" ca="1">_xlfn.XLOOKUP(TRUE,(INDIRECT("t_"&amp;$C59&amp;"["&amp;R$58&amp;"]")&lt;&gt;""),INDIRECT("t_"&amp;$C59&amp;"["&amp;R$58&amp;"]"),0,-1)</f>
        <v>0</v>
      </c>
      <c r="S59" s="27" cm="1">
        <f t="array" aca="1" ref="S59" ca="1">_xlfn.XLOOKUP(TRUE,(INDIRECT("t_"&amp;$C59&amp;"["&amp;S$58&amp;"]")&lt;&gt;""),INDIRECT("t_"&amp;$C59&amp;"["&amp;S$58&amp;"]"),0,-1)</f>
        <v>0</v>
      </c>
      <c r="T59" s="103"/>
      <c r="U59" s="100"/>
      <c r="V59" s="98"/>
      <c r="W59" s="101"/>
      <c r="X59" s="101"/>
      <c r="Y59" s="100"/>
      <c r="Z59" s="102"/>
      <c r="AA59" s="97"/>
      <c r="AB59" s="44"/>
      <c r="AC59" s="49"/>
      <c r="AD59" s="49"/>
      <c r="AE59" s="46"/>
      <c r="AF59" s="46"/>
      <c r="AG59" s="49"/>
      <c r="AH59" s="102"/>
      <c r="AI59" s="97"/>
      <c r="AJ59" s="103"/>
      <c r="AK59" s="100"/>
      <c r="AL59" s="98"/>
      <c r="AM59" s="98"/>
      <c r="AN59" s="101"/>
    </row>
    <row r="60" spans="1:116" ht="12.75" x14ac:dyDescent="0.2">
      <c r="C60" t="s">
        <v>20</v>
      </c>
      <c r="D60" s="27" cm="1">
        <f t="array" aca="1" ref="D60" ca="1">_xlfn.XLOOKUP(TRUE,(INDIRECT("t_"&amp;$C60&amp;"["&amp;D$58&amp;"]")&lt;&gt;""),INDIRECT("t_"&amp;$C60&amp;"["&amp;D$58&amp;"]"),"",-1)</f>
        <v>0</v>
      </c>
      <c r="E60" s="27" cm="1">
        <f t="array" aca="1" ref="E60" ca="1">_xlfn.XLOOKUP(TRUE,(INDIRECT("t_"&amp;$C60&amp;"["&amp;E$58&amp;"]")&lt;&gt;""),INDIRECT("t_"&amp;$C60&amp;"["&amp;E$58&amp;"]"),"",-1)</f>
        <v>0</v>
      </c>
      <c r="F60" s="27" cm="1">
        <f t="array" aca="1" ref="F60" ca="1">_xlfn.XLOOKUP(TRUE,(INDIRECT("t_"&amp;$C60&amp;"["&amp;F$58&amp;"]")&lt;&gt;""),INDIRECT("t_"&amp;$C60&amp;"["&amp;F$58&amp;"]"),0,-1)</f>
        <v>0</v>
      </c>
      <c r="G60" s="27" cm="1">
        <f t="array" aca="1" ref="G60" ca="1">_xlfn.XLOOKUP(TRUE,(INDIRECT("t_"&amp;$C60&amp;"["&amp;G$58&amp;"]")&lt;&gt;""),INDIRECT("t_"&amp;$C60&amp;"["&amp;G$58&amp;"]"),"",-1)</f>
        <v>0</v>
      </c>
      <c r="H60" s="27" cm="1">
        <f t="array" aca="1" ref="H60" ca="1">_xlfn.XLOOKUP(TRUE,(INDIRECT("t_"&amp;$C60&amp;"["&amp;H$58&amp;"]")&lt;&gt;""),INDIRECT("t_"&amp;$C60&amp;"["&amp;H$58&amp;"]"),0,-1)</f>
        <v>0</v>
      </c>
      <c r="I60" s="27" cm="1">
        <f t="array" aca="1" ref="I60" ca="1">_xlfn.XLOOKUP(TRUE,(INDIRECT("t_"&amp;$C60&amp;"["&amp;I$58&amp;"]")&lt;&gt;""),INDIRECT("t_"&amp;$C60&amp;"["&amp;I$58&amp;"]"),0,-1)</f>
        <v>1</v>
      </c>
      <c r="J60" s="27" t="str" cm="1">
        <f t="array" aca="1" ref="J60" ca="1">IF(Summasummarium5[[#This Row],[12_Antall]]&lt;&gt;"","",_xlfn.XLOOKUP(TRUE,(INDIRECT("t_"&amp;$C60&amp;"["&amp;J$58&amp;"]")&lt;&gt;""),INDIRECT("t_"&amp;$C60&amp;"["&amp;J$58&amp;"]"),0,-1))</f>
        <v/>
      </c>
      <c r="K60" s="27" t="str" cm="1">
        <f t="array" aca="1" ref="K60" ca="1">IF(OR(Summasummarium5[[#This Row],[12_Antall]]&lt;&gt;"",Summasummarium5[[#This Row],[11_Antall]]&lt;&gt;""),"",IF(_xlfn.XLOOKUP(TRUE,(INDIRECT("t_"&amp;$C60&amp;"["&amp;K$58&amp;"]")&lt;&gt;""),INDIRECT("t_"&amp;$C60&amp;"["&amp;K$58&amp;"]"),0,-1)&lt;&gt;"",1,""))</f>
        <v/>
      </c>
      <c r="L60" s="27" cm="1">
        <f t="array" aca="1" ref="L60" ca="1">_xlfn.XLOOKUP(TRUE,(INDIRECT("t_"&amp;$C60&amp;"["&amp;L$58&amp;"]")&lt;&gt;""),INDIRECT("t_"&amp;$C60&amp;"["&amp;L$58&amp;"]"),"",-1)</f>
        <v>0</v>
      </c>
      <c r="M60" s="27" cm="1">
        <f t="array" aca="1" ref="M60" ca="1">_xlfn.XLOOKUP(TRUE,(INDIRECT("t_"&amp;$C60&amp;"["&amp;M$58&amp;"]")&lt;&gt;""),INDIRECT("t_"&amp;$C60&amp;"["&amp;M$58&amp;"]"),0,-1)</f>
        <v>0</v>
      </c>
      <c r="N60" s="27" t="str" cm="1">
        <f t="array" aca="1" ref="N60" ca="1">_xlfn.XLOOKUP(TRUE,(INDIRECT("t_"&amp;$C60&amp;"["&amp;N$58&amp;"]")&lt;&gt;""),INDIRECT("t_"&amp;$C60&amp;"["&amp;N$58&amp;"]"),0,-1)</f>
        <v/>
      </c>
      <c r="O60" s="27" t="str" cm="1">
        <f t="array" aca="1" ref="O60" ca="1">_xlfn.XLOOKUP(TRUE,(INDIRECT("t_"&amp;$C60&amp;"["&amp;O$58&amp;"]")&lt;&gt;""),INDIRECT("t_"&amp;$C60&amp;"["&amp;O$58&amp;"]"),0,-1)</f>
        <v/>
      </c>
      <c r="P60" s="27" cm="1">
        <f t="array" aca="1" ref="P60" ca="1">_xlfn.XLOOKUP(TRUE,(INDIRECT("t_"&amp;$C60&amp;"["&amp;P$58&amp;"]")&lt;&gt;""),INDIRECT("t_"&amp;$C60&amp;"["&amp;P$58&amp;"]"),0,-1)</f>
        <v>161</v>
      </c>
      <c r="Q60" s="27" t="str" cm="1">
        <f t="array" aca="1" ref="Q60" ca="1">_xlfn.XLOOKUP(TRUE,(INDIRECT("t_"&amp;$C60&amp;"["&amp;Q$58&amp;"]")&lt;&gt;""),INDIRECT("t_"&amp;$C60&amp;"["&amp;Q$58&amp;"]"),0,-1)</f>
        <v/>
      </c>
      <c r="R60" s="27" cm="1">
        <f t="array" aca="1" ref="R60" ca="1">_xlfn.XLOOKUP(TRUE,(INDIRECT("t_"&amp;$C60&amp;"["&amp;R$58&amp;"]")&lt;&gt;""),INDIRECT("t_"&amp;$C60&amp;"["&amp;R$58&amp;"]"),0,-1)</f>
        <v>0</v>
      </c>
      <c r="S60" s="27" cm="1">
        <f t="array" aca="1" ref="S60" ca="1">_xlfn.XLOOKUP(TRUE,(INDIRECT("t_"&amp;$C60&amp;"["&amp;S$58&amp;"]")&lt;&gt;""),INDIRECT("t_"&amp;$C60&amp;"["&amp;S$58&amp;"]"),0,-1)</f>
        <v>0</v>
      </c>
      <c r="T60" s="104"/>
      <c r="U60" s="49"/>
      <c r="V60" s="49"/>
      <c r="W60" s="46"/>
      <c r="X60" s="46"/>
      <c r="Y60" s="49"/>
      <c r="Z60" s="73"/>
      <c r="AA60" s="52"/>
      <c r="AB60" s="58"/>
      <c r="AC60" s="59"/>
      <c r="AD60" s="59"/>
      <c r="AE60" s="33"/>
      <c r="AF60" s="33"/>
      <c r="AG60" s="59"/>
      <c r="AH60" s="73"/>
      <c r="AI60" s="52"/>
      <c r="AJ60" s="74"/>
      <c r="AK60" s="49"/>
      <c r="AL60" s="49"/>
      <c r="AM60" s="46"/>
      <c r="AN60" s="101"/>
    </row>
    <row r="61" spans="1:116" ht="12.75" x14ac:dyDescent="0.2">
      <c r="C61" t="s">
        <v>21</v>
      </c>
      <c r="D61" s="27" cm="1">
        <f t="array" aca="1" ref="D61" ca="1">_xlfn.XLOOKUP(TRUE,(INDIRECT("t_"&amp;$C61&amp;"["&amp;D$58&amp;"]")&lt;&gt;""),INDIRECT("t_"&amp;$C61&amp;"["&amp;D$58&amp;"]"),"",-1)</f>
        <v>0</v>
      </c>
      <c r="E61" s="27" cm="1">
        <f t="array" aca="1" ref="E61" ca="1">_xlfn.XLOOKUP(TRUE,(INDIRECT("t_"&amp;$C61&amp;"["&amp;E$58&amp;"]")&lt;&gt;""),INDIRECT("t_"&amp;$C61&amp;"["&amp;E$58&amp;"]"),"",-1)</f>
        <v>0</v>
      </c>
      <c r="F61" s="27" cm="1">
        <f t="array" aca="1" ref="F61" ca="1">_xlfn.XLOOKUP(TRUE,(INDIRECT("t_"&amp;$C61&amp;"["&amp;F$58&amp;"]")&lt;&gt;""),INDIRECT("t_"&amp;$C61&amp;"["&amp;F$58&amp;"]"),0,-1)</f>
        <v>0</v>
      </c>
      <c r="G61" s="27" cm="1">
        <f t="array" aca="1" ref="G61" ca="1">_xlfn.XLOOKUP(TRUE,(INDIRECT("t_"&amp;$C61&amp;"["&amp;G$58&amp;"]")&lt;&gt;""),INDIRECT("t_"&amp;$C61&amp;"["&amp;G$58&amp;"]"),"",-1)</f>
        <v>0</v>
      </c>
      <c r="H61" s="27" cm="1">
        <f t="array" aca="1" ref="H61" ca="1">_xlfn.XLOOKUP(TRUE,(INDIRECT("t_"&amp;$C61&amp;"["&amp;H$58&amp;"]")&lt;&gt;""),INDIRECT("t_"&amp;$C61&amp;"["&amp;H$58&amp;"]"),0,-1)</f>
        <v>0</v>
      </c>
      <c r="I61" s="27" cm="1">
        <f t="array" aca="1" ref="I61" ca="1">_xlfn.XLOOKUP(TRUE,(INDIRECT("t_"&amp;$C61&amp;"["&amp;I$58&amp;"]")&lt;&gt;""),INDIRECT("t_"&amp;$C61&amp;"["&amp;I$58&amp;"]"),0,-1)</f>
        <v>1</v>
      </c>
      <c r="J61" s="27" t="str" cm="1">
        <f t="array" aca="1" ref="J61" ca="1">IF(Summasummarium5[[#This Row],[12_Antall]]&lt;&gt;"","",_xlfn.XLOOKUP(TRUE,(INDIRECT("t_"&amp;$C61&amp;"["&amp;J$58&amp;"]")&lt;&gt;""),INDIRECT("t_"&amp;$C61&amp;"["&amp;J$58&amp;"]"),0,-1))</f>
        <v/>
      </c>
      <c r="K61" s="27" t="str" cm="1">
        <f t="array" aca="1" ref="K61" ca="1">IF(OR(Summasummarium5[[#This Row],[12_Antall]]&lt;&gt;"",Summasummarium5[[#This Row],[11_Antall]]&lt;&gt;""),"",IF(_xlfn.XLOOKUP(TRUE,(INDIRECT("t_"&amp;$C61&amp;"["&amp;K$58&amp;"]")&lt;&gt;""),INDIRECT("t_"&amp;$C61&amp;"["&amp;K$58&amp;"]"),0,-1)&lt;&gt;"",1,""))</f>
        <v/>
      </c>
      <c r="L61" s="27" cm="1">
        <f t="array" aca="1" ref="L61" ca="1">_xlfn.XLOOKUP(TRUE,(INDIRECT("t_"&amp;$C61&amp;"["&amp;L$58&amp;"]")&lt;&gt;""),INDIRECT("t_"&amp;$C61&amp;"["&amp;L$58&amp;"]"),"",-1)</f>
        <v>0</v>
      </c>
      <c r="M61" s="27" cm="1">
        <f t="array" aca="1" ref="M61" ca="1">_xlfn.XLOOKUP(TRUE,(INDIRECT("t_"&amp;$C61&amp;"["&amp;M$58&amp;"]")&lt;&gt;""),INDIRECT("t_"&amp;$C61&amp;"["&amp;M$58&amp;"]"),0,-1)</f>
        <v>0</v>
      </c>
      <c r="N61" s="27" cm="1">
        <f t="array" aca="1" ref="N61" ca="1">_xlfn.XLOOKUP(TRUE,(INDIRECT("t_"&amp;$C61&amp;"["&amp;N$58&amp;"]")&lt;&gt;""),INDIRECT("t_"&amp;$C61&amp;"["&amp;N$58&amp;"]"),0,-1)</f>
        <v>0</v>
      </c>
      <c r="O61" s="27" t="str" cm="1">
        <f t="array" aca="1" ref="O61" ca="1">_xlfn.XLOOKUP(TRUE,(INDIRECT("t_"&amp;$C61&amp;"["&amp;O$58&amp;"]")&lt;&gt;""),INDIRECT("t_"&amp;$C61&amp;"["&amp;O$58&amp;"]"),0,-1)</f>
        <v/>
      </c>
      <c r="P61" s="27" t="b" cm="1">
        <f t="array" aca="1" ref="P61" ca="1">_xlfn.XLOOKUP(TRUE,(INDIRECT("t_"&amp;$C61&amp;"["&amp;P$58&amp;"]")&lt;&gt;""),INDIRECT("t_"&amp;$C61&amp;"["&amp;P$58&amp;"]"),0,-1)</f>
        <v>0</v>
      </c>
      <c r="Q61" s="27" t="str" cm="1">
        <f t="array" aca="1" ref="Q61" ca="1">_xlfn.XLOOKUP(TRUE,(INDIRECT("t_"&amp;$C61&amp;"["&amp;Q$58&amp;"]")&lt;&gt;""),INDIRECT("t_"&amp;$C61&amp;"["&amp;Q$58&amp;"]"),0,-1)</f>
        <v/>
      </c>
      <c r="R61" s="27" cm="1">
        <f t="array" aca="1" ref="R61" ca="1">_xlfn.XLOOKUP(TRUE,(INDIRECT("t_"&amp;$C61&amp;"["&amp;R$58&amp;"]")&lt;&gt;""),INDIRECT("t_"&amp;$C61&amp;"["&amp;R$58&amp;"]"),0,-1)</f>
        <v>0</v>
      </c>
      <c r="S61" s="27" cm="1">
        <f t="array" aca="1" ref="S61" ca="1">_xlfn.XLOOKUP(TRUE,(INDIRECT("t_"&amp;$C61&amp;"["&amp;S$58&amp;"]")&lt;&gt;""),INDIRECT("t_"&amp;$C61&amp;"["&amp;S$58&amp;"]"),0,-1)</f>
        <v>0</v>
      </c>
      <c r="T61" s="32"/>
      <c r="U61" s="59"/>
      <c r="V61" s="59"/>
      <c r="W61" s="33"/>
      <c r="X61" s="33"/>
      <c r="Y61" s="59"/>
      <c r="Z61" s="78"/>
      <c r="AA61" s="35"/>
      <c r="AB61" s="49"/>
      <c r="AC61" s="49"/>
      <c r="AD61" s="49"/>
      <c r="AE61" s="49"/>
      <c r="AF61" s="49"/>
      <c r="AG61" s="49"/>
      <c r="AH61" s="78"/>
      <c r="AI61" s="35"/>
      <c r="AJ61" s="58"/>
      <c r="AK61" s="45"/>
      <c r="AL61" s="45"/>
      <c r="AM61" s="46"/>
      <c r="AN61" s="98"/>
    </row>
    <row r="62" spans="1:116" ht="12.75" x14ac:dyDescent="0.2">
      <c r="C62" t="s">
        <v>22</v>
      </c>
      <c r="D62" s="27" cm="1">
        <f t="array" aca="1" ref="D62" ca="1">_xlfn.XLOOKUP(TRUE,(INDIRECT("t_"&amp;$C62&amp;"["&amp;D$58&amp;"]")&lt;&gt;""),INDIRECT("t_"&amp;$C62&amp;"["&amp;D$58&amp;"]"),"",-1)</f>
        <v>0</v>
      </c>
      <c r="E62" s="27" cm="1">
        <f t="array" aca="1" ref="E62" ca="1">_xlfn.XLOOKUP(TRUE,(INDIRECT("t_"&amp;$C62&amp;"["&amp;E$58&amp;"]")&lt;&gt;""),INDIRECT("t_"&amp;$C62&amp;"["&amp;E$58&amp;"]"),"",-1)</f>
        <v>0</v>
      </c>
      <c r="F62" s="27" cm="1">
        <f t="array" aca="1" ref="F62" ca="1">_xlfn.XLOOKUP(TRUE,(INDIRECT("t_"&amp;$C62&amp;"["&amp;F$58&amp;"]")&lt;&gt;""),INDIRECT("t_"&amp;$C62&amp;"["&amp;F$58&amp;"]"),0,-1)</f>
        <v>0</v>
      </c>
      <c r="G62" s="27" cm="1">
        <f t="array" aca="1" ref="G62" ca="1">_xlfn.XLOOKUP(TRUE,(INDIRECT("t_"&amp;$C62&amp;"["&amp;G$58&amp;"]")&lt;&gt;""),INDIRECT("t_"&amp;$C62&amp;"["&amp;G$58&amp;"]"),"",-1)</f>
        <v>0</v>
      </c>
      <c r="H62" s="27" cm="1">
        <f t="array" aca="1" ref="H62" ca="1">_xlfn.XLOOKUP(TRUE,(INDIRECT("t_"&amp;$C62&amp;"["&amp;H$58&amp;"]")&lt;&gt;""),INDIRECT("t_"&amp;$C62&amp;"["&amp;H$58&amp;"]"),0,-1)</f>
        <v>0</v>
      </c>
      <c r="I62" s="27" cm="1">
        <f t="array" aca="1" ref="I62" ca="1">_xlfn.XLOOKUP(TRUE,(INDIRECT("t_"&amp;$C62&amp;"["&amp;I$58&amp;"]")&lt;&gt;""),INDIRECT("t_"&amp;$C62&amp;"["&amp;I$58&amp;"]"),0,-1)</f>
        <v>1</v>
      </c>
      <c r="J62" s="27" t="str" cm="1">
        <f t="array" aca="1" ref="J62" ca="1">IF(Summasummarium5[[#This Row],[12_Antall]]&lt;&gt;"","",_xlfn.XLOOKUP(TRUE,(INDIRECT("t_"&amp;$C62&amp;"["&amp;J$58&amp;"]")&lt;&gt;""),INDIRECT("t_"&amp;$C62&amp;"["&amp;J$58&amp;"]"),0,-1))</f>
        <v/>
      </c>
      <c r="K62" s="27" t="str" cm="1">
        <f t="array" aca="1" ref="K62" ca="1">IF(OR(Summasummarium5[[#This Row],[12_Antall]]&lt;&gt;"",Summasummarium5[[#This Row],[11_Antall]]&lt;&gt;""),"",IF(_xlfn.XLOOKUP(TRUE,(INDIRECT("t_"&amp;$C62&amp;"["&amp;K$58&amp;"]")&lt;&gt;""),INDIRECT("t_"&amp;$C62&amp;"["&amp;K$58&amp;"]"),0,-1)&lt;&gt;"",1,""))</f>
        <v/>
      </c>
      <c r="L62" s="27" cm="1">
        <f t="array" aca="1" ref="L62" ca="1">_xlfn.XLOOKUP(TRUE,(INDIRECT("t_"&amp;$C62&amp;"["&amp;L$58&amp;"]")&lt;&gt;""),INDIRECT("t_"&amp;$C62&amp;"["&amp;L$58&amp;"]"),"",-1)</f>
        <v>0</v>
      </c>
      <c r="M62" s="27" cm="1">
        <f t="array" aca="1" ref="M62" ca="1">_xlfn.XLOOKUP(TRUE,(INDIRECT("t_"&amp;$C62&amp;"["&amp;M$58&amp;"]")&lt;&gt;""),INDIRECT("t_"&amp;$C62&amp;"["&amp;M$58&amp;"]"),0,-1)</f>
        <v>0</v>
      </c>
      <c r="N62" s="27" cm="1">
        <f t="array" aca="1" ref="N62" ca="1">_xlfn.XLOOKUP(TRUE,(INDIRECT("t_"&amp;$C62&amp;"["&amp;N$58&amp;"]")&lt;&gt;""),INDIRECT("t_"&amp;$C62&amp;"["&amp;N$58&amp;"]"),0,-1)</f>
        <v>0</v>
      </c>
      <c r="O62" s="27" t="str" cm="1">
        <f t="array" aca="1" ref="O62" ca="1">_xlfn.XLOOKUP(TRUE,(INDIRECT("t_"&amp;$C62&amp;"["&amp;O$58&amp;"]")&lt;&gt;""),INDIRECT("t_"&amp;$C62&amp;"["&amp;O$58&amp;"]"),0,-1)</f>
        <v/>
      </c>
      <c r="P62" s="27" t="str" cm="1">
        <f t="array" aca="1" ref="P62" ca="1">_xlfn.XLOOKUP(TRUE,(INDIRECT("t_"&amp;$C62&amp;"["&amp;P$58&amp;"]")&lt;&gt;""),INDIRECT("t_"&amp;$C62&amp;"["&amp;P$58&amp;"]"),0,-1)</f>
        <v/>
      </c>
      <c r="Q62" s="27" t="str" cm="1">
        <f t="array" aca="1" ref="Q62" ca="1">_xlfn.XLOOKUP(TRUE,(INDIRECT("t_"&amp;$C62&amp;"["&amp;Q$58&amp;"]")&lt;&gt;""),INDIRECT("t_"&amp;$C62&amp;"["&amp;Q$58&amp;"]"),0,-1)</f>
        <v/>
      </c>
      <c r="R62" s="27" cm="1">
        <f t="array" aca="1" ref="R62" ca="1">_xlfn.XLOOKUP(TRUE,(INDIRECT("t_"&amp;$C62&amp;"["&amp;R$58&amp;"]")&lt;&gt;""),INDIRECT("t_"&amp;$C62&amp;"["&amp;R$58&amp;"]"),0,-1)</f>
        <v>0</v>
      </c>
      <c r="S62" s="27" cm="1">
        <f t="array" aca="1" ref="S62" ca="1">_xlfn.XLOOKUP(TRUE,(INDIRECT("t_"&amp;$C62&amp;"["&amp;S$58&amp;"]")&lt;&gt;""),INDIRECT("t_"&amp;$C62&amp;"["&amp;S$58&amp;"]"),0,-1)</f>
        <v>0</v>
      </c>
      <c r="T62" s="49"/>
      <c r="U62" s="49"/>
      <c r="V62" s="49"/>
      <c r="W62" s="49"/>
      <c r="X62" s="49"/>
      <c r="Y62" s="49"/>
      <c r="Z62" s="51"/>
      <c r="AA62" s="105"/>
      <c r="AH62" s="51"/>
      <c r="AI62" s="105"/>
      <c r="AJ62" s="49"/>
      <c r="AK62" s="49"/>
      <c r="AL62" s="49"/>
      <c r="AM62" s="49"/>
      <c r="AN62" s="101"/>
    </row>
    <row r="63" spans="1:116" ht="12.75" x14ac:dyDescent="0.2">
      <c r="C63" t="s">
        <v>23</v>
      </c>
      <c r="D63" s="27" cm="1">
        <f t="array" aca="1" ref="D63" ca="1">_xlfn.XLOOKUP(TRUE,(INDIRECT("t_"&amp;$C63&amp;"["&amp;D$58&amp;"]")&lt;&gt;""),INDIRECT("t_"&amp;$C63&amp;"["&amp;D$58&amp;"]"),"",-1)</f>
        <v>0</v>
      </c>
      <c r="E63" s="27" cm="1">
        <f t="array" aca="1" ref="E63" ca="1">_xlfn.XLOOKUP(TRUE,(INDIRECT("t_"&amp;$C63&amp;"["&amp;E$58&amp;"]")&lt;&gt;""),INDIRECT("t_"&amp;$C63&amp;"["&amp;E$58&amp;"]"),"",-1)</f>
        <v>0</v>
      </c>
      <c r="F63" s="27" cm="1">
        <f t="array" aca="1" ref="F63" ca="1">_xlfn.XLOOKUP(TRUE,(INDIRECT("t_"&amp;$C63&amp;"["&amp;F$58&amp;"]")&lt;&gt;""),INDIRECT("t_"&amp;$C63&amp;"["&amp;F$58&amp;"]"),0,-1)</f>
        <v>0</v>
      </c>
      <c r="G63" s="27" cm="1">
        <f t="array" aca="1" ref="G63" ca="1">_xlfn.XLOOKUP(TRUE,(INDIRECT("t_"&amp;$C63&amp;"["&amp;G$58&amp;"]")&lt;&gt;""),INDIRECT("t_"&amp;$C63&amp;"["&amp;G$58&amp;"]"),"",-1)</f>
        <v>0</v>
      </c>
      <c r="H63" s="27" cm="1">
        <f t="array" aca="1" ref="H63" ca="1">_xlfn.XLOOKUP(TRUE,(INDIRECT("t_"&amp;$C63&amp;"["&amp;H$58&amp;"]")&lt;&gt;""),INDIRECT("t_"&amp;$C63&amp;"["&amp;H$58&amp;"]"),0,-1)</f>
        <v>0</v>
      </c>
      <c r="I63" s="27" cm="1">
        <f t="array" aca="1" ref="I63" ca="1">_xlfn.XLOOKUP(TRUE,(INDIRECT("t_"&amp;$C63&amp;"["&amp;I$58&amp;"]")&lt;&gt;""),INDIRECT("t_"&amp;$C63&amp;"["&amp;I$58&amp;"]"),0,-1)</f>
        <v>1</v>
      </c>
      <c r="J63" s="27" t="str" cm="1">
        <f t="array" aca="1" ref="J63" ca="1">IF(Summasummarium5[[#This Row],[12_Antall]]&lt;&gt;"","",_xlfn.XLOOKUP(TRUE,(INDIRECT("t_"&amp;$C63&amp;"["&amp;J$58&amp;"]")&lt;&gt;""),INDIRECT("t_"&amp;$C63&amp;"["&amp;J$58&amp;"]"),0,-1))</f>
        <v/>
      </c>
      <c r="K63" s="27" t="str" cm="1">
        <f t="array" aca="1" ref="K63" ca="1">IF(OR(Summasummarium5[[#This Row],[12_Antall]]&lt;&gt;"",Summasummarium5[[#This Row],[11_Antall]]&lt;&gt;""),"",IF(_xlfn.XLOOKUP(TRUE,(INDIRECT("t_"&amp;$C63&amp;"["&amp;K$58&amp;"]")&lt;&gt;""),INDIRECT("t_"&amp;$C63&amp;"["&amp;K$58&amp;"]"),0,-1)&lt;&gt;"",1,""))</f>
        <v/>
      </c>
      <c r="L63" s="27" cm="1">
        <f t="array" aca="1" ref="L63" ca="1">_xlfn.XLOOKUP(TRUE,(INDIRECT("t_"&amp;$C63&amp;"["&amp;L$58&amp;"]")&lt;&gt;""),INDIRECT("t_"&amp;$C63&amp;"["&amp;L$58&amp;"]"),"",-1)</f>
        <v>0</v>
      </c>
      <c r="M63" s="27" cm="1">
        <f t="array" aca="1" ref="M63" ca="1">_xlfn.XLOOKUP(TRUE,(INDIRECT("t_"&amp;$C63&amp;"["&amp;M$58&amp;"]")&lt;&gt;""),INDIRECT("t_"&amp;$C63&amp;"["&amp;M$58&amp;"]"),0,-1)</f>
        <v>0</v>
      </c>
      <c r="N63" s="27" cm="1">
        <f t="array" aca="1" ref="N63" ca="1">_xlfn.XLOOKUP(TRUE,(INDIRECT("t_"&amp;$C63&amp;"["&amp;N$58&amp;"]")&lt;&gt;""),INDIRECT("t_"&amp;$C63&amp;"["&amp;N$58&amp;"]"),0,-1)</f>
        <v>0</v>
      </c>
      <c r="O63" s="27" t="str" cm="1">
        <f t="array" aca="1" ref="O63" ca="1">_xlfn.XLOOKUP(TRUE,(INDIRECT("t_"&amp;$C63&amp;"["&amp;O$58&amp;"]")&lt;&gt;""),INDIRECT("t_"&amp;$C63&amp;"["&amp;O$58&amp;"]"),0,-1)</f>
        <v/>
      </c>
      <c r="P63" s="27" t="b" cm="1">
        <f t="array" aca="1" ref="P63" ca="1">_xlfn.XLOOKUP(TRUE,(INDIRECT("t_"&amp;$C63&amp;"["&amp;P$58&amp;"]")&lt;&gt;""),INDIRECT("t_"&amp;$C63&amp;"["&amp;P$58&amp;"]"),0,-1)</f>
        <v>0</v>
      </c>
      <c r="Q63" s="27" t="str" cm="1">
        <f t="array" aca="1" ref="Q63" ca="1">_xlfn.XLOOKUP(TRUE,(INDIRECT("t_"&amp;$C63&amp;"["&amp;Q$58&amp;"]")&lt;&gt;""),INDIRECT("t_"&amp;$C63&amp;"["&amp;Q$58&amp;"]"),0,-1)</f>
        <v/>
      </c>
      <c r="R63" s="27" cm="1">
        <f t="array" aca="1" ref="R63" ca="1">_xlfn.XLOOKUP(TRUE,(INDIRECT("t_"&amp;$C63&amp;"["&amp;R$58&amp;"]")&lt;&gt;""),INDIRECT("t_"&amp;$C63&amp;"["&amp;R$58&amp;"]"),0,-1)</f>
        <v>0</v>
      </c>
      <c r="S63" s="27" cm="1">
        <f t="array" aca="1" ref="S63" ca="1">_xlfn.XLOOKUP(TRUE,(INDIRECT("t_"&amp;$C63&amp;"["&amp;S$58&amp;"]")&lt;&gt;""),INDIRECT("t_"&amp;$C63&amp;"["&amp;S$58&amp;"]"),0,-1)</f>
        <v>0</v>
      </c>
      <c r="Z63" s="28"/>
      <c r="AA63" s="29"/>
      <c r="AH63" s="28"/>
      <c r="AI63" s="29"/>
      <c r="AJ63" s="27"/>
      <c r="AK63" s="27"/>
      <c r="AN63" s="46"/>
    </row>
    <row r="64" spans="1:116" ht="12.75" x14ac:dyDescent="0.2">
      <c r="C64" t="s">
        <v>27</v>
      </c>
      <c r="D64" s="27" cm="1">
        <f t="array" aca="1" ref="D64" ca="1">_xlfn.XLOOKUP(TRUE,(INDIRECT("t_"&amp;$C64&amp;"["&amp;D$58&amp;"]")&lt;&gt;""),INDIRECT("t_"&amp;$C64&amp;"["&amp;D$58&amp;"]"),"",-1)</f>
        <v>0</v>
      </c>
      <c r="E64" s="27" cm="1">
        <f t="array" aca="1" ref="E64" ca="1">_xlfn.XLOOKUP(TRUE,(INDIRECT("t_"&amp;$C64&amp;"["&amp;E$58&amp;"]")&lt;&gt;""),INDIRECT("t_"&amp;$C64&amp;"["&amp;E$58&amp;"]"),"",-1)</f>
        <v>0</v>
      </c>
      <c r="F64" s="27" cm="1">
        <f t="array" aca="1" ref="F64" ca="1">_xlfn.XLOOKUP(TRUE,(INDIRECT("t_"&amp;$C64&amp;"["&amp;F$58&amp;"]")&lt;&gt;""),INDIRECT("t_"&amp;$C64&amp;"["&amp;F$58&amp;"]"),0,-1)</f>
        <v>0</v>
      </c>
      <c r="G64" s="27" cm="1">
        <f t="array" aca="1" ref="G64" ca="1">_xlfn.XLOOKUP(TRUE,(INDIRECT("t_"&amp;$C64&amp;"["&amp;G$58&amp;"]")&lt;&gt;""),INDIRECT("t_"&amp;$C64&amp;"["&amp;G$58&amp;"]"),"",-1)</f>
        <v>0</v>
      </c>
      <c r="H64" s="27" cm="1">
        <f t="array" aca="1" ref="H64" ca="1">_xlfn.XLOOKUP(TRUE,(INDIRECT("t_"&amp;$C64&amp;"["&amp;H$58&amp;"]")&lt;&gt;""),INDIRECT("t_"&amp;$C64&amp;"["&amp;H$58&amp;"]"),0,-1)</f>
        <v>0</v>
      </c>
      <c r="I64" s="27" cm="1">
        <f t="array" aca="1" ref="I64" ca="1">_xlfn.XLOOKUP(TRUE,(INDIRECT("t_"&amp;$C64&amp;"["&amp;I$58&amp;"]")&lt;&gt;""),INDIRECT("t_"&amp;$C64&amp;"["&amp;I$58&amp;"]"),0,-1)</f>
        <v>1</v>
      </c>
      <c r="J64" s="27" t="str" cm="1">
        <f t="array" aca="1" ref="J64" ca="1">IF(Summasummarium5[[#This Row],[12_Antall]]&lt;&gt;"","",_xlfn.XLOOKUP(TRUE,(INDIRECT("t_"&amp;$C64&amp;"["&amp;J$58&amp;"]")&lt;&gt;""),INDIRECT("t_"&amp;$C64&amp;"["&amp;J$58&amp;"]"),0,-1))</f>
        <v/>
      </c>
      <c r="K64" s="27" t="str" cm="1">
        <f t="array" aca="1" ref="K64" ca="1">IF(OR(Summasummarium5[[#This Row],[12_Antall]]&lt;&gt;"",Summasummarium5[[#This Row],[11_Antall]]&lt;&gt;""),"",IF(_xlfn.XLOOKUP(TRUE,(INDIRECT("t_"&amp;$C64&amp;"["&amp;K$58&amp;"]")&lt;&gt;""),INDIRECT("t_"&amp;$C64&amp;"["&amp;K$58&amp;"]"),0,-1)&lt;&gt;"",1,""))</f>
        <v/>
      </c>
      <c r="L64" s="27" cm="1">
        <f t="array" aca="1" ref="L64" ca="1">_xlfn.XLOOKUP(TRUE,(INDIRECT("t_"&amp;$C64&amp;"["&amp;L$58&amp;"]")&lt;&gt;""),INDIRECT("t_"&amp;$C64&amp;"["&amp;L$58&amp;"]"),"",-1)</f>
        <v>0</v>
      </c>
      <c r="M64" s="27" cm="1">
        <f t="array" aca="1" ref="M64" ca="1">_xlfn.XLOOKUP(TRUE,(INDIRECT("t_"&amp;$C64&amp;"["&amp;M$58&amp;"]")&lt;&gt;""),INDIRECT("t_"&amp;$C64&amp;"["&amp;M$58&amp;"]"),0,-1)</f>
        <v>0</v>
      </c>
      <c r="N64" s="27" cm="1">
        <f t="array" aca="1" ref="N64" ca="1">_xlfn.XLOOKUP(TRUE,(INDIRECT("t_"&amp;$C64&amp;"["&amp;N$58&amp;"]")&lt;&gt;""),INDIRECT("t_"&amp;$C64&amp;"["&amp;N$58&amp;"]"),0,-1)</f>
        <v>0</v>
      </c>
      <c r="O64" s="27" t="str" cm="1">
        <f t="array" aca="1" ref="O64" ca="1">_xlfn.XLOOKUP(TRUE,(INDIRECT("t_"&amp;$C64&amp;"["&amp;O$58&amp;"]")&lt;&gt;""),INDIRECT("t_"&amp;$C64&amp;"["&amp;O$58&amp;"]"),0,-1)</f>
        <v/>
      </c>
      <c r="P64" s="27" t="str" cm="1">
        <f t="array" aca="1" ref="P64" ca="1">_xlfn.XLOOKUP(TRUE,(INDIRECT("t_"&amp;$C64&amp;"["&amp;P$58&amp;"]")&lt;&gt;""),INDIRECT("t_"&amp;$C64&amp;"["&amp;P$58&amp;"]"),0,-1)</f>
        <v/>
      </c>
      <c r="Q64" s="27" t="str" cm="1">
        <f t="array" aca="1" ref="Q64" ca="1">_xlfn.XLOOKUP(TRUE,(INDIRECT("t_"&amp;$C64&amp;"["&amp;Q$58&amp;"]")&lt;&gt;""),INDIRECT("t_"&amp;$C64&amp;"["&amp;Q$58&amp;"]"),0,-1)</f>
        <v/>
      </c>
      <c r="R64" s="27" cm="1">
        <f t="array" aca="1" ref="R64" ca="1">_xlfn.XLOOKUP(TRUE,(INDIRECT("t_"&amp;$C64&amp;"["&amp;R$58&amp;"]")&lt;&gt;""),INDIRECT("t_"&amp;$C64&amp;"["&amp;R$58&amp;"]"),0,-1)</f>
        <v>0</v>
      </c>
      <c r="S64" s="27" cm="1">
        <f t="array" aca="1" ref="S64" ca="1">_xlfn.XLOOKUP(TRUE,(INDIRECT("t_"&amp;$C64&amp;"["&amp;S$58&amp;"]")&lt;&gt;""),INDIRECT("t_"&amp;$C64&amp;"["&amp;S$58&amp;"]"),0,-1)</f>
        <v>0</v>
      </c>
      <c r="Z64" s="28"/>
      <c r="AA64" s="29"/>
      <c r="AH64" s="28"/>
      <c r="AI64" s="29"/>
      <c r="AJ64" s="27"/>
      <c r="AK64" s="27"/>
      <c r="AN64" s="46"/>
    </row>
    <row r="65" spans="3:102" ht="12.75" x14ac:dyDescent="0.2">
      <c r="C65" t="s">
        <v>19</v>
      </c>
      <c r="D65" s="27" cm="1">
        <f t="array" aca="1" ref="D65" ca="1">_xlfn.XLOOKUP(TRUE,(INDIRECT("t_"&amp;$C65&amp;"["&amp;D$58&amp;"]")&lt;&gt;""),INDIRECT("t_"&amp;$C65&amp;"["&amp;D$58&amp;"]"),"",-1)</f>
        <v>0</v>
      </c>
      <c r="E65" s="27" cm="1">
        <f t="array" aca="1" ref="E65" ca="1">_xlfn.XLOOKUP(TRUE,(INDIRECT("t_"&amp;$C65&amp;"["&amp;E$58&amp;"]")&lt;&gt;""),INDIRECT("t_"&amp;$C65&amp;"["&amp;E$58&amp;"]"),"",-1)</f>
        <v>0</v>
      </c>
      <c r="F65" s="27" cm="1">
        <f t="array" aca="1" ref="F65" ca="1">_xlfn.XLOOKUP(TRUE,(INDIRECT("t_"&amp;$C65&amp;"["&amp;F$58&amp;"]")&lt;&gt;""),INDIRECT("t_"&amp;$C65&amp;"["&amp;F$58&amp;"]"),0,-1)</f>
        <v>0</v>
      </c>
      <c r="G65" s="27" cm="1">
        <f t="array" aca="1" ref="G65" ca="1">_xlfn.XLOOKUP(TRUE,(INDIRECT("t_"&amp;$C65&amp;"["&amp;G$58&amp;"]")&lt;&gt;""),INDIRECT("t_"&amp;$C65&amp;"["&amp;G$58&amp;"]"),"",-1)</f>
        <v>0</v>
      </c>
      <c r="H65" s="27" cm="1">
        <f t="array" aca="1" ref="H65" ca="1">_xlfn.XLOOKUP(TRUE,(INDIRECT("t_"&amp;$C65&amp;"["&amp;H$58&amp;"]")&lt;&gt;""),INDIRECT("t_"&amp;$C65&amp;"["&amp;H$58&amp;"]"),0,-1)</f>
        <v>0</v>
      </c>
      <c r="I65" s="27" cm="1">
        <f t="array" aca="1" ref="I65" ca="1">_xlfn.XLOOKUP(TRUE,(INDIRECT("t_"&amp;$C65&amp;"["&amp;I$58&amp;"]")&lt;&gt;""),INDIRECT("t_"&amp;$C65&amp;"["&amp;I$58&amp;"]"),0,-1)</f>
        <v>1</v>
      </c>
      <c r="J65" s="27" t="str" cm="1">
        <f t="array" aca="1" ref="J65" ca="1">IF(Summasummarium5[[#This Row],[12_Antall]]&lt;&gt;"","",_xlfn.XLOOKUP(TRUE,(INDIRECT("t_"&amp;$C65&amp;"["&amp;J$58&amp;"]")&lt;&gt;""),INDIRECT("t_"&amp;$C65&amp;"["&amp;J$58&amp;"]"),0,-1))</f>
        <v/>
      </c>
      <c r="K65" s="27" t="str" cm="1">
        <f t="array" aca="1" ref="K65" ca="1">IF(OR(Summasummarium5[[#This Row],[12_Antall]]&lt;&gt;"",Summasummarium5[[#This Row],[11_Antall]]&lt;&gt;""),"",IF(_xlfn.XLOOKUP(TRUE,(INDIRECT("t_"&amp;$C65&amp;"["&amp;K$58&amp;"]")&lt;&gt;""),INDIRECT("t_"&amp;$C65&amp;"["&amp;K$58&amp;"]"),0,-1)&lt;&gt;"",1,""))</f>
        <v/>
      </c>
      <c r="L65" s="27" cm="1">
        <f t="array" aca="1" ref="L65" ca="1">_xlfn.XLOOKUP(TRUE,(INDIRECT("t_"&amp;$C65&amp;"["&amp;L$58&amp;"]")&lt;&gt;""),INDIRECT("t_"&amp;$C65&amp;"["&amp;L$58&amp;"]"),"",-1)</f>
        <v>0</v>
      </c>
      <c r="M65" s="27" cm="1">
        <f t="array" aca="1" ref="M65" ca="1">_xlfn.XLOOKUP(TRUE,(INDIRECT("t_"&amp;$C65&amp;"["&amp;M$58&amp;"]")&lt;&gt;""),INDIRECT("t_"&amp;$C65&amp;"["&amp;M$58&amp;"]"),0,-1)</f>
        <v>0</v>
      </c>
      <c r="N65" s="27" cm="1">
        <f t="array" aca="1" ref="N65" ca="1">_xlfn.XLOOKUP(TRUE,(INDIRECT("t_"&amp;$C65&amp;"["&amp;N$58&amp;"]")&lt;&gt;""),INDIRECT("t_"&amp;$C65&amp;"["&amp;N$58&amp;"]"),0,-1)</f>
        <v>0</v>
      </c>
      <c r="O65" s="27" t="str" cm="1">
        <f t="array" aca="1" ref="O65" ca="1">_xlfn.XLOOKUP(TRUE,(INDIRECT("t_"&amp;$C65&amp;"["&amp;O$58&amp;"]")&lt;&gt;""),INDIRECT("t_"&amp;$C65&amp;"["&amp;O$58&amp;"]"),0,-1)</f>
        <v/>
      </c>
      <c r="P65" s="27" cm="1">
        <f t="array" aca="1" ref="P65" ca="1">_xlfn.XLOOKUP(TRUE,(INDIRECT("t_"&amp;$C65&amp;"["&amp;P$58&amp;"]")&lt;&gt;""),INDIRECT("t_"&amp;$C65&amp;"["&amp;P$58&amp;"]"),0,-1)</f>
        <v>161</v>
      </c>
      <c r="Q65" s="27" t="str" cm="1">
        <f t="array" aca="1" ref="Q65" ca="1">_xlfn.XLOOKUP(TRUE,(INDIRECT("t_"&amp;$C65&amp;"["&amp;Q$58&amp;"]")&lt;&gt;""),INDIRECT("t_"&amp;$C65&amp;"["&amp;Q$58&amp;"]"),0,-1)</f>
        <v/>
      </c>
      <c r="R65" s="27" cm="1">
        <f t="array" aca="1" ref="R65" ca="1">_xlfn.XLOOKUP(TRUE,(INDIRECT("t_"&amp;$C65&amp;"["&amp;R$58&amp;"]")&lt;&gt;""),INDIRECT("t_"&amp;$C65&amp;"["&amp;R$58&amp;"]"),0,-1)</f>
        <v>0</v>
      </c>
      <c r="S65" s="27" cm="1">
        <f t="array" aca="1" ref="S65" ca="1">_xlfn.XLOOKUP(TRUE,(INDIRECT("t_"&amp;$C65&amp;"["&amp;S$58&amp;"]")&lt;&gt;""),INDIRECT("t_"&amp;$C65&amp;"["&amp;S$58&amp;"]"),0,-1)</f>
        <v>0</v>
      </c>
      <c r="Z65" s="28"/>
      <c r="AA65" s="29"/>
      <c r="AH65" s="28"/>
      <c r="AI65" s="29"/>
      <c r="AJ65" s="27"/>
      <c r="AK65" s="27"/>
      <c r="AN65" s="49"/>
    </row>
    <row r="66" spans="3:102" ht="12.75" x14ac:dyDescent="0.2">
      <c r="C66" t="s">
        <v>25</v>
      </c>
      <c r="D66" s="27" cm="1">
        <f t="array" aca="1" ref="D66" ca="1">_xlfn.XLOOKUP(TRUE,(INDIRECT("t_"&amp;$C66&amp;"["&amp;D$58&amp;"]")&lt;&gt;""),INDIRECT("t_"&amp;$C66&amp;"["&amp;D$58&amp;"]"),"",-1)</f>
        <v>0</v>
      </c>
      <c r="E66" s="27" cm="1">
        <f t="array" aca="1" ref="E66" ca="1">_xlfn.XLOOKUP(TRUE,(INDIRECT("t_"&amp;$C66&amp;"["&amp;E$58&amp;"]")&lt;&gt;""),INDIRECT("t_"&amp;$C66&amp;"["&amp;E$58&amp;"]"),"",-1)</f>
        <v>0</v>
      </c>
      <c r="F66" s="27" cm="1">
        <f t="array" aca="1" ref="F66" ca="1">_xlfn.XLOOKUP(TRUE,(INDIRECT("t_"&amp;$C66&amp;"["&amp;F$58&amp;"]")&lt;&gt;""),INDIRECT("t_"&amp;$C66&amp;"["&amp;F$58&amp;"]"),0,-1)</f>
        <v>0</v>
      </c>
      <c r="G66" s="27" cm="1">
        <f t="array" aca="1" ref="G66" ca="1">_xlfn.XLOOKUP(TRUE,(INDIRECT("t_"&amp;$C66&amp;"["&amp;G$58&amp;"]")&lt;&gt;""),INDIRECT("t_"&amp;$C66&amp;"["&amp;G$58&amp;"]"),"",-1)</f>
        <v>0</v>
      </c>
      <c r="H66" s="27" cm="1">
        <f t="array" aca="1" ref="H66" ca="1">_xlfn.XLOOKUP(TRUE,(INDIRECT("t_"&amp;$C66&amp;"["&amp;H$58&amp;"]")&lt;&gt;""),INDIRECT("t_"&amp;$C66&amp;"["&amp;H$58&amp;"]"),0,-1)</f>
        <v>0</v>
      </c>
      <c r="I66" s="27" cm="1">
        <f t="array" aca="1" ref="I66" ca="1">_xlfn.XLOOKUP(TRUE,(INDIRECT("t_"&amp;$C66&amp;"["&amp;I$58&amp;"]")&lt;&gt;""),INDIRECT("t_"&amp;$C66&amp;"["&amp;I$58&amp;"]"),0,-1)</f>
        <v>1</v>
      </c>
      <c r="J66" s="27" t="str" cm="1">
        <f t="array" aca="1" ref="J66" ca="1">IF(Summasummarium5[[#This Row],[12_Antall]]&lt;&gt;"","",_xlfn.XLOOKUP(TRUE,(INDIRECT("t_"&amp;$C66&amp;"["&amp;J$58&amp;"]")&lt;&gt;""),INDIRECT("t_"&amp;$C66&amp;"["&amp;J$58&amp;"]"),0,-1))</f>
        <v/>
      </c>
      <c r="K66" s="27" t="str" cm="1">
        <f t="array" aca="1" ref="K66" ca="1">IF(OR(Summasummarium5[[#This Row],[12_Antall]]&lt;&gt;"",Summasummarium5[[#This Row],[11_Antall]]&lt;&gt;""),"",IF(_xlfn.XLOOKUP(TRUE,(INDIRECT("t_"&amp;$C66&amp;"["&amp;K$58&amp;"]")&lt;&gt;""),INDIRECT("t_"&amp;$C66&amp;"["&amp;K$58&amp;"]"),0,-1)&lt;&gt;"",1,""))</f>
        <v/>
      </c>
      <c r="L66" s="27" cm="1">
        <f t="array" aca="1" ref="L66" ca="1">_xlfn.XLOOKUP(TRUE,(INDIRECT("t_"&amp;$C66&amp;"["&amp;L$58&amp;"]")&lt;&gt;""),INDIRECT("t_"&amp;$C66&amp;"["&amp;L$58&amp;"]"),"",-1)</f>
        <v>0</v>
      </c>
      <c r="M66" s="27" cm="1">
        <f t="array" aca="1" ref="M66" ca="1">_xlfn.XLOOKUP(TRUE,(INDIRECT("t_"&amp;$C66&amp;"["&amp;M$58&amp;"]")&lt;&gt;""),INDIRECT("t_"&amp;$C66&amp;"["&amp;M$58&amp;"]"),0,-1)</f>
        <v>0</v>
      </c>
      <c r="N66" s="27" cm="1">
        <f t="array" aca="1" ref="N66" ca="1">_xlfn.XLOOKUP(TRUE,(INDIRECT("t_"&amp;$C66&amp;"["&amp;N$58&amp;"]")&lt;&gt;""),INDIRECT("t_"&amp;$C66&amp;"["&amp;N$58&amp;"]"),0,-1)</f>
        <v>0</v>
      </c>
      <c r="O66" s="27" t="str" cm="1">
        <f t="array" aca="1" ref="O66" ca="1">_xlfn.XLOOKUP(TRUE,(INDIRECT("t_"&amp;$C66&amp;"["&amp;O$58&amp;"]")&lt;&gt;""),INDIRECT("t_"&amp;$C66&amp;"["&amp;O$58&amp;"]"),0,-1)</f>
        <v/>
      </c>
      <c r="P66" s="27" cm="1">
        <f t="array" aca="1" ref="P66" ca="1">_xlfn.XLOOKUP(TRUE,(INDIRECT("t_"&amp;$C66&amp;"["&amp;P$58&amp;"]")&lt;&gt;""),INDIRECT("t_"&amp;$C66&amp;"["&amp;P$58&amp;"]"),0,-1)</f>
        <v>161</v>
      </c>
      <c r="Q66" s="27" t="str" cm="1">
        <f t="array" aca="1" ref="Q66" ca="1">_xlfn.XLOOKUP(TRUE,(INDIRECT("t_"&amp;$C66&amp;"["&amp;Q$58&amp;"]")&lt;&gt;""),INDIRECT("t_"&amp;$C66&amp;"["&amp;Q$58&amp;"]"),0,-1)</f>
        <v/>
      </c>
      <c r="R66" s="27" cm="1">
        <f t="array" aca="1" ref="R66" ca="1">_xlfn.XLOOKUP(TRUE,(INDIRECT("t_"&amp;$C66&amp;"["&amp;R$58&amp;"]")&lt;&gt;""),INDIRECT("t_"&amp;$C66&amp;"["&amp;R$58&amp;"]"),0,-1)</f>
        <v>0</v>
      </c>
      <c r="S66" s="27" cm="1">
        <f t="array" aca="1" ref="S66" ca="1">_xlfn.XLOOKUP(TRUE,(INDIRECT("t_"&amp;$C66&amp;"["&amp;S$58&amp;"]")&lt;&gt;""),INDIRECT("t_"&amp;$C66&amp;"["&amp;S$58&amp;"]"),0,-1)</f>
        <v>0</v>
      </c>
      <c r="Z66" s="28"/>
      <c r="AA66" s="29"/>
      <c r="AH66" s="28"/>
      <c r="AI66" s="29"/>
      <c r="AJ66" s="27"/>
      <c r="AK66" s="27"/>
    </row>
    <row r="67" spans="3:102" ht="12.75" x14ac:dyDescent="0.2">
      <c r="C67" t="s">
        <v>24</v>
      </c>
      <c r="D67" s="27" cm="1">
        <f t="array" aca="1" ref="D67" ca="1">_xlfn.XLOOKUP(TRUE,(INDIRECT("t_"&amp;$C67&amp;"["&amp;D$58&amp;"]")&lt;&gt;""),INDIRECT("t_"&amp;$C67&amp;"["&amp;D$58&amp;"]"),"",-1)</f>
        <v>0</v>
      </c>
      <c r="E67" s="27" cm="1">
        <f t="array" aca="1" ref="E67" ca="1">_xlfn.XLOOKUP(TRUE,(INDIRECT("t_"&amp;$C67&amp;"["&amp;E$58&amp;"]")&lt;&gt;""),INDIRECT("t_"&amp;$C67&amp;"["&amp;E$58&amp;"]"),"",-1)</f>
        <v>0</v>
      </c>
      <c r="F67" s="27" cm="1">
        <f t="array" aca="1" ref="F67" ca="1">_xlfn.XLOOKUP(TRUE,(INDIRECT("t_"&amp;$C67&amp;"["&amp;F$58&amp;"]")&lt;&gt;""),INDIRECT("t_"&amp;$C67&amp;"["&amp;F$58&amp;"]"),0,-1)</f>
        <v>0</v>
      </c>
      <c r="G67" s="27" cm="1">
        <f t="array" aca="1" ref="G67" ca="1">_xlfn.XLOOKUP(TRUE,(INDIRECT("t_"&amp;$C67&amp;"["&amp;G$58&amp;"]")&lt;&gt;""),INDIRECT("t_"&amp;$C67&amp;"["&amp;G$58&amp;"]"),"",-1)</f>
        <v>0</v>
      </c>
      <c r="H67" s="27" cm="1">
        <f t="array" aca="1" ref="H67" ca="1">_xlfn.XLOOKUP(TRUE,(INDIRECT("t_"&amp;$C67&amp;"["&amp;H$58&amp;"]")&lt;&gt;""),INDIRECT("t_"&amp;$C67&amp;"["&amp;H$58&amp;"]"),0,-1)</f>
        <v>0</v>
      </c>
      <c r="I67" s="27" cm="1">
        <f t="array" aca="1" ref="I67" ca="1">_xlfn.XLOOKUP(TRUE,(INDIRECT("t_"&amp;$C67&amp;"["&amp;I$58&amp;"]")&lt;&gt;""),INDIRECT("t_"&amp;$C67&amp;"["&amp;I$58&amp;"]"),0,-1)</f>
        <v>1</v>
      </c>
      <c r="J67" s="27" t="str" cm="1">
        <f t="array" aca="1" ref="J67" ca="1">IF(Summasummarium5[[#This Row],[12_Antall]]&lt;&gt;"","",_xlfn.XLOOKUP(TRUE,(INDIRECT("t_"&amp;$C67&amp;"["&amp;J$58&amp;"]")&lt;&gt;""),INDIRECT("t_"&amp;$C67&amp;"["&amp;J$58&amp;"]"),0,-1))</f>
        <v/>
      </c>
      <c r="K67" s="27" t="str" cm="1">
        <f t="array" aca="1" ref="K67" ca="1">IF(OR(Summasummarium5[[#This Row],[12_Antall]]&lt;&gt;"",Summasummarium5[[#This Row],[11_Antall]]&lt;&gt;""),"",IF(_xlfn.XLOOKUP(TRUE,(INDIRECT("t_"&amp;$C67&amp;"["&amp;K$58&amp;"]")&lt;&gt;""),INDIRECT("t_"&amp;$C67&amp;"["&amp;K$58&amp;"]"),0,-1)&lt;&gt;"",1,""))</f>
        <v/>
      </c>
      <c r="L67" s="27" cm="1">
        <f t="array" aca="1" ref="L67" ca="1">_xlfn.XLOOKUP(TRUE,(INDIRECT("t_"&amp;$C67&amp;"["&amp;L$58&amp;"]")&lt;&gt;""),INDIRECT("t_"&amp;$C67&amp;"["&amp;L$58&amp;"]"),"",-1)</f>
        <v>0</v>
      </c>
      <c r="M67" s="27" cm="1">
        <f t="array" aca="1" ref="M67" ca="1">_xlfn.XLOOKUP(TRUE,(INDIRECT("t_"&amp;$C67&amp;"["&amp;M$58&amp;"]")&lt;&gt;""),INDIRECT("t_"&amp;$C67&amp;"["&amp;M$58&amp;"]"),0,-1)</f>
        <v>0</v>
      </c>
      <c r="N67" s="27" cm="1">
        <f t="array" aca="1" ref="N67" ca="1">_xlfn.XLOOKUP(TRUE,(INDIRECT("t_"&amp;$C67&amp;"["&amp;N$58&amp;"]")&lt;&gt;""),INDIRECT("t_"&amp;$C67&amp;"["&amp;N$58&amp;"]"),0,-1)</f>
        <v>0</v>
      </c>
      <c r="O67" s="27" t="str" cm="1">
        <f t="array" aca="1" ref="O67" ca="1">_xlfn.XLOOKUP(TRUE,(INDIRECT("t_"&amp;$C67&amp;"["&amp;O$58&amp;"]")&lt;&gt;""),INDIRECT("t_"&amp;$C67&amp;"["&amp;O$58&amp;"]"),0,-1)</f>
        <v/>
      </c>
      <c r="P67" s="27" t="b" cm="1">
        <f t="array" aca="1" ref="P67" ca="1">_xlfn.XLOOKUP(TRUE,(INDIRECT("t_"&amp;$C67&amp;"["&amp;P$58&amp;"]")&lt;&gt;""),INDIRECT("t_"&amp;$C67&amp;"["&amp;P$58&amp;"]"),0,-1)</f>
        <v>0</v>
      </c>
      <c r="Q67" s="27" t="str" cm="1">
        <f t="array" aca="1" ref="Q67" ca="1">_xlfn.XLOOKUP(TRUE,(INDIRECT("t_"&amp;$C67&amp;"["&amp;Q$58&amp;"]")&lt;&gt;""),INDIRECT("t_"&amp;$C67&amp;"["&amp;Q$58&amp;"]"),0,-1)</f>
        <v/>
      </c>
      <c r="R67" s="27" cm="1">
        <f t="array" aca="1" ref="R67" ca="1">_xlfn.XLOOKUP(TRUE,(INDIRECT("t_"&amp;$C67&amp;"["&amp;R$58&amp;"]")&lt;&gt;""),INDIRECT("t_"&amp;$C67&amp;"["&amp;R$58&amp;"]"),0,-1)</f>
        <v>0</v>
      </c>
      <c r="S67" s="27" cm="1">
        <f t="array" aca="1" ref="S67" ca="1">_xlfn.XLOOKUP(TRUE,(INDIRECT("t_"&amp;$C67&amp;"["&amp;S$58&amp;"]")&lt;&gt;""),INDIRECT("t_"&amp;$C67&amp;"["&amp;S$58&amp;"]"),0,-1)</f>
        <v>0</v>
      </c>
      <c r="Z67" s="28"/>
      <c r="AA67" s="29"/>
      <c r="AH67" s="28"/>
      <c r="AI67" s="29"/>
      <c r="AJ67" s="27"/>
      <c r="AK67" s="27"/>
    </row>
    <row r="68" spans="3:102" ht="12.75" x14ac:dyDescent="0.2">
      <c r="Z68" s="28"/>
      <c r="AA68" s="29"/>
      <c r="AH68" s="28"/>
      <c r="AI68" s="29"/>
      <c r="AJ68" s="27"/>
      <c r="AK68" s="27"/>
    </row>
    <row r="69" spans="3:102" ht="12.75" x14ac:dyDescent="0.2">
      <c r="Z69" s="28"/>
      <c r="AA69" s="29"/>
      <c r="AH69" s="28"/>
      <c r="AI69" s="29"/>
      <c r="AJ69" s="27"/>
      <c r="AK69" s="27"/>
    </row>
    <row r="70" spans="3:102" ht="12.75" x14ac:dyDescent="0.2">
      <c r="Z70" s="28"/>
      <c r="AA70" s="29"/>
      <c r="AH70" s="28"/>
      <c r="AI70" s="29"/>
      <c r="AJ70" s="27"/>
      <c r="AK70" s="27"/>
      <c r="CL70" s="106"/>
      <c r="CM70" s="106"/>
      <c r="CN70" s="106"/>
      <c r="CO70" s="106"/>
      <c r="CP70" s="106"/>
      <c r="CQ70" s="106"/>
      <c r="CR70" s="106"/>
      <c r="CS70" s="106"/>
      <c r="CT70" s="106"/>
      <c r="CU70" s="106"/>
      <c r="CV70" s="106"/>
      <c r="CW70" s="106"/>
      <c r="CX70" s="106"/>
    </row>
    <row r="71" spans="3:102" ht="12.75" x14ac:dyDescent="0.2">
      <c r="Z71" s="28"/>
      <c r="AA71" s="29"/>
      <c r="AH71" s="28"/>
      <c r="AI71" s="29"/>
      <c r="AJ71" s="27"/>
      <c r="AK71" s="27"/>
      <c r="CL71" s="107"/>
      <c r="CM71" s="107"/>
      <c r="CN71" s="107"/>
      <c r="CO71" s="107"/>
      <c r="CP71" s="107"/>
      <c r="CQ71" s="107"/>
      <c r="CR71" s="107"/>
      <c r="CS71" s="107"/>
      <c r="CT71" s="107"/>
      <c r="CU71" s="107"/>
      <c r="CV71" s="107"/>
      <c r="CW71" s="107"/>
      <c r="CX71" s="107"/>
    </row>
    <row r="72" spans="3:102" ht="12.75" x14ac:dyDescent="0.2">
      <c r="E72" s="870"/>
      <c r="Z72" s="28"/>
      <c r="AA72" s="29"/>
      <c r="AH72" s="28"/>
      <c r="AI72" s="29"/>
      <c r="AJ72" s="27"/>
      <c r="AK72" s="27"/>
      <c r="CL72" s="107"/>
      <c r="CM72" s="107"/>
      <c r="CN72" s="107"/>
      <c r="CO72" s="107"/>
      <c r="CP72" s="107"/>
      <c r="CQ72" s="107"/>
      <c r="CR72" s="107"/>
      <c r="CS72" s="107"/>
      <c r="CT72" s="107"/>
      <c r="CU72" s="107"/>
      <c r="CV72" s="107"/>
      <c r="CW72" s="107"/>
      <c r="CX72" s="107"/>
    </row>
    <row r="73" spans="3:102" ht="12.75" x14ac:dyDescent="0.2">
      <c r="D73" s="870"/>
      <c r="Z73" s="28"/>
      <c r="AA73" s="29"/>
      <c r="AH73" s="28"/>
      <c r="AI73" s="29"/>
      <c r="AJ73" s="27"/>
      <c r="AK73" s="27"/>
      <c r="CL73" s="107"/>
      <c r="CM73" s="107"/>
      <c r="CN73" s="107"/>
      <c r="CO73" s="107"/>
      <c r="CP73" s="107"/>
      <c r="CQ73" s="107"/>
      <c r="CR73" s="107"/>
      <c r="CS73" s="107"/>
      <c r="CT73" s="107"/>
      <c r="CU73" s="107"/>
      <c r="CV73" s="107"/>
      <c r="CW73" s="107"/>
      <c r="CX73" s="107"/>
    </row>
    <row r="74" spans="3:102" ht="12.75" x14ac:dyDescent="0.2">
      <c r="Z74" s="28"/>
      <c r="AA74" s="29"/>
      <c r="AH74" s="28"/>
      <c r="AI74" s="29"/>
      <c r="AJ74" s="27"/>
      <c r="AK74" s="27"/>
      <c r="CL74" s="107"/>
      <c r="CM74" s="107"/>
      <c r="CN74" s="107"/>
      <c r="CO74" s="107"/>
      <c r="CP74" s="107"/>
      <c r="CQ74" s="107"/>
      <c r="CR74" s="107"/>
      <c r="CS74" s="107"/>
      <c r="CT74" s="107"/>
      <c r="CU74" s="107"/>
      <c r="CV74" s="107"/>
      <c r="CW74" s="107"/>
      <c r="CX74" s="107"/>
    </row>
    <row r="75" spans="3:102" ht="12.75" x14ac:dyDescent="0.2">
      <c r="Z75" s="28"/>
      <c r="AA75" s="29"/>
      <c r="AH75" s="28"/>
      <c r="AI75" s="29"/>
      <c r="AJ75" s="27"/>
      <c r="AK75" s="27"/>
    </row>
    <row r="76" spans="3:102" ht="12.75" x14ac:dyDescent="0.2">
      <c r="T76" s="75"/>
      <c r="Z76" s="28"/>
      <c r="AA76" s="29"/>
      <c r="AH76" s="28"/>
      <c r="AI76" s="29"/>
      <c r="AJ76" s="27"/>
      <c r="AK76" s="27"/>
      <c r="CM76" s="49"/>
    </row>
    <row r="77" spans="3:102" ht="12.75" x14ac:dyDescent="0.2">
      <c r="AD77" s="28"/>
      <c r="AE77" s="29"/>
      <c r="AJ77" s="27"/>
      <c r="AK77" s="27"/>
      <c r="AL77" s="28"/>
      <c r="AM77" s="29"/>
      <c r="CP77" s="49"/>
      <c r="CQ77" s="58"/>
      <c r="CR77" s="59"/>
      <c r="CS77" s="56"/>
      <c r="CT77" s="56"/>
    </row>
    <row r="78" spans="3:102" ht="12.75" x14ac:dyDescent="0.2">
      <c r="AD78" s="28"/>
      <c r="AE78" s="29"/>
      <c r="AJ78" s="27"/>
      <c r="AK78" s="27"/>
      <c r="AL78" s="28"/>
      <c r="AM78" s="29"/>
      <c r="CP78" s="49"/>
      <c r="CQ78" s="53"/>
      <c r="CR78" s="45"/>
      <c r="CS78" s="46"/>
      <c r="CT78" s="63"/>
      <c r="CU78" s="55"/>
    </row>
    <row r="79" spans="3:102" ht="12.75" x14ac:dyDescent="0.2">
      <c r="AD79" s="28"/>
      <c r="AE79" s="29"/>
      <c r="AJ79" s="27"/>
      <c r="AK79" s="27"/>
      <c r="AL79" s="28"/>
      <c r="AM79" s="29"/>
      <c r="CP79" s="49"/>
      <c r="CQ79" s="53"/>
      <c r="CR79" s="45"/>
      <c r="CS79" s="46"/>
      <c r="CT79" s="63"/>
      <c r="CU79" s="55"/>
    </row>
    <row r="80" spans="3:102" ht="12.75" x14ac:dyDescent="0.2">
      <c r="AD80" s="28"/>
      <c r="AE80" s="29"/>
      <c r="AJ80" s="27"/>
      <c r="AK80" s="27"/>
      <c r="AL80" s="28"/>
      <c r="AM80" s="29"/>
      <c r="CP80" s="49"/>
      <c r="CQ80" s="69"/>
      <c r="CR80" s="45"/>
      <c r="CS80" s="46"/>
      <c r="CT80" s="63"/>
      <c r="CU80" s="55"/>
    </row>
    <row r="81" spans="30:105" ht="12.75" x14ac:dyDescent="0.2">
      <c r="AD81" s="28"/>
      <c r="AE81" s="29"/>
      <c r="AJ81" s="27"/>
      <c r="AK81" s="27"/>
      <c r="AL81" s="28"/>
      <c r="AM81" s="29"/>
      <c r="CP81" s="49"/>
      <c r="CQ81" s="53"/>
      <c r="CR81" s="45"/>
      <c r="CS81" s="46"/>
      <c r="CT81" s="63"/>
      <c r="CU81" s="55"/>
    </row>
    <row r="82" spans="30:105" ht="12.75" x14ac:dyDescent="0.2">
      <c r="CV82" s="49"/>
      <c r="CW82" s="53"/>
      <c r="CX82" s="45"/>
      <c r="CY82" s="45"/>
      <c r="CZ82" s="46"/>
      <c r="DA82" s="55"/>
    </row>
    <row r="83" spans="30:105" ht="12.75" x14ac:dyDescent="0.2">
      <c r="CV83" s="49"/>
      <c r="CW83" s="53"/>
      <c r="CX83" s="45"/>
      <c r="CY83" s="46"/>
      <c r="CZ83" s="63"/>
      <c r="DA83" s="55"/>
    </row>
    <row r="84" spans="30:105" ht="12.75" x14ac:dyDescent="0.2">
      <c r="CV84" s="49"/>
      <c r="CW84" s="53"/>
      <c r="CX84" s="45"/>
      <c r="CY84" s="46"/>
      <c r="CZ84" s="63"/>
      <c r="DA84" s="55"/>
    </row>
    <row r="85" spans="30:105" ht="12.75" x14ac:dyDescent="0.2"/>
    <row r="86" spans="30:105" ht="12.75" x14ac:dyDescent="0.2"/>
    <row r="87" spans="30:105" ht="12" customHeight="1" x14ac:dyDescent="0.2"/>
    <row r="88" spans="30:105" ht="12.75" x14ac:dyDescent="0.2"/>
    <row r="89" spans="30:105" ht="12.75" x14ac:dyDescent="0.2"/>
    <row r="90" spans="30:105" ht="12.75" x14ac:dyDescent="0.2"/>
    <row r="91" spans="30:105" ht="12.75" x14ac:dyDescent="0.2"/>
    <row r="92" spans="30:105" ht="12.75" x14ac:dyDescent="0.2"/>
    <row r="93" spans="30:105" ht="12.75" x14ac:dyDescent="0.2"/>
    <row r="94" spans="30:105" ht="12.75" x14ac:dyDescent="0.2"/>
    <row r="95" spans="30:105" ht="12.75" x14ac:dyDescent="0.2"/>
    <row r="96" spans="30:105"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sheetData>
  <sortState xmlns:xlrd2="http://schemas.microsoft.com/office/spreadsheetml/2017/richdata2" ref="C47:N55">
    <sortCondition descending="1" ref="N47:N55"/>
    <sortCondition ref="C47:C55"/>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F30:F36 Y46 AG41:AG45 X47:X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O28">
    <cfRule type="top10" dxfId="7" priority="4763" rank="1"/>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L28:CL36 CY26 CV27">
    <cfRule type="top10" dxfId="6" priority="4764" rank="1"/>
  </conditionalFormatting>
  <conditionalFormatting sqref="CM28:CM36 CZ26 CW27">
    <cfRule type="top10" dxfId="5" priority="4767" rank="1"/>
  </conditionalFormatting>
  <conditionalFormatting sqref="CN6:CN12">
    <cfRule type="top10" dxfId="4" priority="55" rank="1"/>
  </conditionalFormatting>
  <conditionalFormatting sqref="CN28:CN36 DA26 CX27">
    <cfRule type="top10" dxfId="3" priority="4770" rank="1"/>
  </conditionalFormatting>
  <conditionalFormatting sqref="CZ82:CZ84 CT78:CT81">
    <cfRule type="top10" dxfId="2" priority="58" rank="1"/>
  </conditionalFormatting>
  <conditionalFormatting sqref="DJ7:DJ12 DS13">
    <cfRule type="top10" dxfId="1" priority="57" rank="1"/>
  </conditionalFormatting>
  <conditionalFormatting sqref="DK7:DM12 DT13:DV13">
    <cfRule type="top10" dxfId="0" priority="56"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Y46 AG41:AG45 X47:X49</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8691A6AC-FC2F-4FF8-8AFC-05DC532644E4}">
          <x14:formula1>
            <xm:f>Data!$AG$1:$AG$3</xm:f>
          </x14:formula1>
          <xm:sqref>AA29</xm:sqref>
        </x14:dataValidation>
        <x14:dataValidation type="list" allowBlank="1" showInputMessage="1" showErrorMessage="1" xr:uid="{D511D430-5510-4128-9C31-0515DD3E5EEC}">
          <x14:formula1>
            <xm:f>Data!$AL$1:$AL$40</xm:f>
          </x14:formula1>
          <xm:sqref>B58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A4:U173"/>
  <sheetViews>
    <sheetView showGridLines="0" topLeftCell="B1" workbookViewId="0">
      <pane ySplit="9" topLeftCell="A10" activePane="bottomLeft" state="frozen"/>
      <selection activeCell="H16" sqref="H16"/>
      <selection pane="bottomLeft" activeCell="B17" sqref="A17:XFD17"/>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10.28515625" customWidth="1"/>
    <col min="12" max="12" width="2.5703125" customWidth="1"/>
    <col min="13" max="14" width="13.140625" bestFit="1" customWidth="1"/>
    <col min="15" max="15" width="8.140625" bestFit="1" customWidth="1"/>
    <col min="16" max="16" width="11.42578125" bestFit="1" customWidth="1"/>
    <col min="17" max="17" width="13.140625" bestFit="1" customWidth="1"/>
    <col min="18" max="18" width="11.42578125" bestFit="1" customWidth="1"/>
    <col min="19" max="19" width="30.7109375" bestFit="1" customWidth="1"/>
    <col min="20" max="20" width="11.7109375" bestFit="1" customWidth="1"/>
    <col min="21" max="21" width="3.7109375" bestFit="1" customWidth="1"/>
  </cols>
  <sheetData>
    <row r="4" spans="1:21" ht="15" x14ac:dyDescent="0.25">
      <c r="B4" s="123"/>
      <c r="C4" s="469" t="s">
        <v>486</v>
      </c>
      <c r="D4" s="470"/>
      <c r="E4" s="470"/>
      <c r="F4" s="470"/>
      <c r="G4" s="123"/>
      <c r="H4" s="123"/>
      <c r="I4" s="123"/>
      <c r="J4" s="123"/>
      <c r="K4" s="123"/>
      <c r="L4" s="123"/>
      <c r="M4" s="123"/>
      <c r="N4" s="124"/>
      <c r="O4" s="124"/>
      <c r="P4" s="124"/>
      <c r="Q4" s="124"/>
      <c r="R4" s="123"/>
      <c r="S4" s="124"/>
      <c r="T4" s="124"/>
      <c r="U4" s="123"/>
    </row>
    <row r="5" spans="1:21" ht="15.75" thickBot="1" x14ac:dyDescent="0.3">
      <c r="B5" s="123"/>
      <c r="C5" s="471" t="s">
        <v>487</v>
      </c>
      <c r="D5" s="124"/>
      <c r="E5" s="124"/>
      <c r="F5" s="124"/>
      <c r="G5" s="123"/>
      <c r="H5" s="123"/>
      <c r="I5" s="123"/>
      <c r="J5" s="123"/>
      <c r="K5" s="123"/>
      <c r="L5" s="123"/>
      <c r="M5" s="123"/>
      <c r="N5" s="124"/>
      <c r="O5" s="124"/>
      <c r="P5" s="124"/>
      <c r="Q5" s="124"/>
      <c r="R5" s="123"/>
      <c r="S5" s="124"/>
      <c r="T5" s="124"/>
      <c r="U5" s="123"/>
    </row>
    <row r="6" spans="1:21" ht="15" x14ac:dyDescent="0.25">
      <c r="B6" s="472"/>
      <c r="C6" s="473"/>
      <c r="D6" s="474"/>
      <c r="E6" s="474"/>
      <c r="F6" s="474"/>
      <c r="G6" s="475"/>
      <c r="H6" s="475"/>
      <c r="I6" s="475"/>
      <c r="J6" s="475"/>
      <c r="K6" s="475"/>
      <c r="L6" s="475"/>
      <c r="M6" s="476"/>
      <c r="N6" s="474"/>
      <c r="O6" s="474"/>
      <c r="P6" s="474"/>
      <c r="Q6" s="474"/>
      <c r="R6" s="475"/>
      <c r="S6" s="474"/>
      <c r="T6" s="477"/>
      <c r="U6" s="478"/>
    </row>
    <row r="7" spans="1:21" ht="15" x14ac:dyDescent="0.25">
      <c r="B7" s="479"/>
      <c r="C7" s="480"/>
      <c r="D7" s="481" t="s">
        <v>488</v>
      </c>
      <c r="E7" s="482"/>
      <c r="F7" s="483"/>
      <c r="G7" s="484"/>
      <c r="H7" s="482" t="s">
        <v>489</v>
      </c>
      <c r="I7" s="482"/>
      <c r="J7" s="482"/>
      <c r="K7" s="860"/>
      <c r="L7" s="484"/>
      <c r="M7" s="485" t="s">
        <v>490</v>
      </c>
      <c r="N7" s="486" t="s">
        <v>491</v>
      </c>
      <c r="O7" s="487" t="s">
        <v>492</v>
      </c>
      <c r="P7" s="488"/>
      <c r="Q7" s="489"/>
      <c r="R7" s="490" t="s">
        <v>493</v>
      </c>
      <c r="S7" s="491"/>
      <c r="T7" s="486" t="s">
        <v>494</v>
      </c>
      <c r="U7" s="492"/>
    </row>
    <row r="8" spans="1:21" ht="15" hidden="1" x14ac:dyDescent="0.25">
      <c r="B8" s="493"/>
      <c r="C8" s="494"/>
      <c r="D8" s="495"/>
      <c r="E8" s="496"/>
      <c r="F8" s="497"/>
      <c r="G8" s="484"/>
      <c r="H8" s="498"/>
      <c r="I8" s="498"/>
      <c r="J8" s="498"/>
      <c r="K8" s="496"/>
      <c r="L8" s="499"/>
      <c r="M8" s="500"/>
      <c r="N8" s="501"/>
      <c r="O8" s="502"/>
      <c r="P8" s="503"/>
      <c r="Q8" s="504"/>
      <c r="R8" s="364" t="s">
        <v>495</v>
      </c>
      <c r="S8" s="365" t="s">
        <v>35</v>
      </c>
      <c r="T8" s="505"/>
      <c r="U8" s="506"/>
    </row>
    <row r="9" spans="1:21" ht="15" thickBot="1" x14ac:dyDescent="0.25">
      <c r="B9" s="596" t="s">
        <v>496</v>
      </c>
      <c r="C9" s="507" t="s">
        <v>497</v>
      </c>
      <c r="D9" s="508">
        <v>12</v>
      </c>
      <c r="E9" s="509">
        <v>11</v>
      </c>
      <c r="F9" s="510">
        <v>10</v>
      </c>
      <c r="G9" s="511"/>
      <c r="H9" s="512">
        <v>12</v>
      </c>
      <c r="I9" s="513">
        <v>11</v>
      </c>
      <c r="J9" s="514">
        <v>10</v>
      </c>
      <c r="K9" s="858" t="s">
        <v>498</v>
      </c>
      <c r="L9" s="511"/>
      <c r="M9" s="515"/>
      <c r="N9" s="516"/>
      <c r="O9" s="508">
        <v>12</v>
      </c>
      <c r="P9" s="509">
        <v>11</v>
      </c>
      <c r="Q9" s="510">
        <v>10</v>
      </c>
      <c r="R9" s="515"/>
      <c r="S9" s="516"/>
      <c r="T9" s="769">
        <v>337.46</v>
      </c>
      <c r="U9" s="517" t="s">
        <v>499</v>
      </c>
    </row>
    <row r="10" spans="1:21" ht="15" x14ac:dyDescent="0.25">
      <c r="B10" s="518"/>
      <c r="C10" s="519"/>
      <c r="D10" s="586"/>
      <c r="E10" s="587"/>
      <c r="F10" s="588"/>
      <c r="G10" s="602"/>
      <c r="H10" s="603"/>
      <c r="I10" s="604"/>
      <c r="J10" s="605"/>
      <c r="K10" s="682"/>
      <c r="L10" s="602"/>
      <c r="M10" s="592"/>
      <c r="N10" s="592"/>
      <c r="O10" s="606" t="str">
        <f>IF(H10&gt;0,D10*H10,"")</f>
        <v/>
      </c>
      <c r="P10" s="610" t="str">
        <f t="shared" ref="P10:P12" si="0">IF(I10&gt;0,E10*I10,"")</f>
        <v/>
      </c>
      <c r="Q10" s="611" t="str">
        <f t="shared" ref="Q10:Q12" si="1">IF(J10&gt;0,F10*J10,"")</f>
        <v/>
      </c>
      <c r="R10" s="612"/>
      <c r="S10" s="767"/>
      <c r="T10" s="770"/>
      <c r="U10" s="768"/>
    </row>
    <row r="11" spans="1:21" ht="15" x14ac:dyDescent="0.25">
      <c r="A11" s="868">
        <f t="shared" ref="A11:A51" si="2">C11</f>
        <v>46249</v>
      </c>
      <c r="B11" s="518">
        <f>WEEKNUM(A11)</f>
        <v>33</v>
      </c>
      <c r="C11" s="519">
        <v>46249</v>
      </c>
      <c r="D11" s="586">
        <v>16865</v>
      </c>
      <c r="E11" s="587">
        <v>1105</v>
      </c>
      <c r="F11" s="588">
        <v>120</v>
      </c>
      <c r="G11" s="602"/>
      <c r="H11" s="872"/>
      <c r="I11" s="873"/>
      <c r="J11" s="874"/>
      <c r="K11" s="682" t="s">
        <v>23</v>
      </c>
      <c r="L11" s="602"/>
      <c r="M11" s="626">
        <v>2870</v>
      </c>
      <c r="N11" s="592">
        <v>400</v>
      </c>
      <c r="O11" s="606" t="str">
        <f>IF(H11&gt;0,D11*H11,"")</f>
        <v/>
      </c>
      <c r="P11" s="610" t="str">
        <f t="shared" si="0"/>
        <v/>
      </c>
      <c r="Q11" s="611" t="str">
        <f t="shared" si="1"/>
        <v/>
      </c>
      <c r="R11" s="627">
        <v>148.80000000000001</v>
      </c>
      <c r="S11" s="607">
        <f>SUM(O11:Q11)</f>
        <v>0</v>
      </c>
      <c r="T11" s="608">
        <f>T9+(M11+S11)-(N11+R11)</f>
        <v>2658.66</v>
      </c>
      <c r="U11" s="125"/>
    </row>
    <row r="12" spans="1:21" ht="15" x14ac:dyDescent="0.25">
      <c r="A12" s="868">
        <f t="shared" si="2"/>
        <v>46256</v>
      </c>
      <c r="B12" s="518">
        <f t="shared" ref="B12:B75" si="3">WEEKNUM(A12)</f>
        <v>34</v>
      </c>
      <c r="C12" s="519">
        <v>46256</v>
      </c>
      <c r="D12" s="591">
        <v>29525</v>
      </c>
      <c r="E12" s="589">
        <v>325</v>
      </c>
      <c r="F12" s="590">
        <v>35</v>
      </c>
      <c r="G12" s="602"/>
      <c r="H12" s="400"/>
      <c r="I12" s="401">
        <v>2</v>
      </c>
      <c r="J12" s="402">
        <v>4</v>
      </c>
      <c r="K12" s="682" t="s">
        <v>19</v>
      </c>
      <c r="L12" s="602"/>
      <c r="M12" s="593"/>
      <c r="N12" s="593">
        <v>400</v>
      </c>
      <c r="O12" s="609" t="str">
        <f t="shared" ref="O12:O75" si="4">IF(H12&gt;0,D12*H12,"")</f>
        <v/>
      </c>
      <c r="P12" s="610">
        <f t="shared" si="0"/>
        <v>650</v>
      </c>
      <c r="Q12" s="611">
        <f t="shared" si="1"/>
        <v>140</v>
      </c>
      <c r="R12" s="612"/>
      <c r="S12" s="613">
        <f>SUM(O12:Q12)</f>
        <v>790</v>
      </c>
      <c r="T12" s="614">
        <f>IF(N12&lt;&gt;"",(T11+M12+S12)-(N12+R12),"")</f>
        <v>3048.66</v>
      </c>
      <c r="U12" s="125"/>
    </row>
    <row r="13" spans="1:21" ht="15" x14ac:dyDescent="0.25">
      <c r="A13" s="868">
        <f t="shared" si="2"/>
        <v>46263</v>
      </c>
      <c r="B13" s="518">
        <f t="shared" si="3"/>
        <v>35</v>
      </c>
      <c r="C13" s="519">
        <v>46263</v>
      </c>
      <c r="D13" s="683">
        <v>201310</v>
      </c>
      <c r="E13" s="684">
        <v>2505</v>
      </c>
      <c r="F13" s="685">
        <v>195</v>
      </c>
      <c r="G13" s="602"/>
      <c r="H13" s="680"/>
      <c r="I13" s="681"/>
      <c r="J13" s="682"/>
      <c r="K13" s="682"/>
      <c r="L13" s="602"/>
      <c r="M13" s="593"/>
      <c r="N13" s="593">
        <v>0</v>
      </c>
      <c r="O13" s="609" t="str">
        <f t="shared" si="4"/>
        <v/>
      </c>
      <c r="P13" s="610" t="str">
        <f t="shared" ref="P13:P75" si="5">IF(I13&gt;0,E13*I13,"")</f>
        <v/>
      </c>
      <c r="Q13" s="611" t="str">
        <f t="shared" ref="Q13:Q75" si="6">IF(J13&gt;0,F13*J13,"")</f>
        <v/>
      </c>
      <c r="R13" s="612"/>
      <c r="S13" s="613">
        <f t="shared" ref="S13:S76" si="7">SUM(O13:Q13)</f>
        <v>0</v>
      </c>
      <c r="T13" s="614">
        <f t="shared" ref="T13:T76" si="8">IF(N13&lt;&gt;"",(T12+M13+S13)-(N13+R13),"")</f>
        <v>3048.66</v>
      </c>
      <c r="U13" s="125"/>
    </row>
    <row r="14" spans="1:21" ht="15" x14ac:dyDescent="0.25">
      <c r="A14" s="868">
        <f t="shared" si="2"/>
        <v>46270</v>
      </c>
      <c r="B14" s="518">
        <f t="shared" si="3"/>
        <v>36</v>
      </c>
      <c r="C14" s="519">
        <v>46270</v>
      </c>
      <c r="D14" s="683" t="s">
        <v>500</v>
      </c>
      <c r="E14" s="684">
        <v>7140</v>
      </c>
      <c r="F14" s="685">
        <v>660</v>
      </c>
      <c r="G14" s="602"/>
      <c r="H14" s="680"/>
      <c r="I14" s="681"/>
      <c r="J14" s="682"/>
      <c r="K14" s="682"/>
      <c r="L14" s="602"/>
      <c r="M14" s="593"/>
      <c r="N14" s="593">
        <v>0</v>
      </c>
      <c r="O14" s="609" t="str">
        <f t="shared" si="4"/>
        <v/>
      </c>
      <c r="P14" s="610" t="str">
        <f t="shared" si="5"/>
        <v/>
      </c>
      <c r="Q14" s="611" t="str">
        <f t="shared" si="6"/>
        <v/>
      </c>
      <c r="R14" s="612"/>
      <c r="S14" s="613">
        <f t="shared" si="7"/>
        <v>0</v>
      </c>
      <c r="T14" s="614">
        <f t="shared" si="8"/>
        <v>3048.66</v>
      </c>
      <c r="U14" s="125"/>
    </row>
    <row r="15" spans="1:21" ht="15" x14ac:dyDescent="0.25">
      <c r="A15" s="868">
        <f t="shared" si="2"/>
        <v>46277</v>
      </c>
      <c r="B15" s="518">
        <f t="shared" si="3"/>
        <v>37</v>
      </c>
      <c r="C15" s="519">
        <v>46277</v>
      </c>
      <c r="D15" s="683">
        <v>93855</v>
      </c>
      <c r="E15" s="684">
        <v>2280</v>
      </c>
      <c r="F15" s="685">
        <v>230</v>
      </c>
      <c r="G15" s="602"/>
      <c r="H15" s="680"/>
      <c r="I15" s="681"/>
      <c r="J15" s="682"/>
      <c r="K15" s="682"/>
      <c r="L15" s="602"/>
      <c r="M15" s="593"/>
      <c r="N15" s="593">
        <v>0</v>
      </c>
      <c r="O15" s="609" t="str">
        <f t="shared" si="4"/>
        <v/>
      </c>
      <c r="P15" s="610" t="str">
        <f t="shared" si="5"/>
        <v/>
      </c>
      <c r="Q15" s="611" t="str">
        <f t="shared" si="6"/>
        <v/>
      </c>
      <c r="R15" s="612"/>
      <c r="S15" s="613">
        <f t="shared" si="7"/>
        <v>0</v>
      </c>
      <c r="T15" s="614">
        <f t="shared" si="8"/>
        <v>3048.66</v>
      </c>
      <c r="U15" s="125"/>
    </row>
    <row r="16" spans="1:21" ht="15" x14ac:dyDescent="0.25">
      <c r="A16" s="868">
        <f t="shared" si="2"/>
        <v>46284</v>
      </c>
      <c r="B16" s="518">
        <f t="shared" si="3"/>
        <v>38</v>
      </c>
      <c r="C16" s="519">
        <v>46284</v>
      </c>
      <c r="D16" s="591">
        <v>45565</v>
      </c>
      <c r="E16" s="589">
        <v>1615</v>
      </c>
      <c r="F16" s="590">
        <v>140</v>
      </c>
      <c r="G16" s="602"/>
      <c r="H16" s="680"/>
      <c r="I16" s="681"/>
      <c r="J16" s="682">
        <v>3</v>
      </c>
      <c r="K16" s="682" t="s">
        <v>24</v>
      </c>
      <c r="L16" s="602"/>
      <c r="M16" s="626"/>
      <c r="N16" s="593">
        <v>400</v>
      </c>
      <c r="O16" s="609" t="str">
        <f t="shared" si="4"/>
        <v/>
      </c>
      <c r="P16" s="610" t="str">
        <f t="shared" si="5"/>
        <v/>
      </c>
      <c r="Q16" s="611">
        <f t="shared" si="6"/>
        <v>420</v>
      </c>
      <c r="R16" s="612"/>
      <c r="S16" s="613">
        <f t="shared" si="7"/>
        <v>420</v>
      </c>
      <c r="T16" s="614">
        <f t="shared" si="8"/>
        <v>3068.66</v>
      </c>
      <c r="U16" s="125"/>
    </row>
    <row r="17" spans="1:21" ht="15" x14ac:dyDescent="0.25">
      <c r="A17" s="868">
        <f t="shared" si="2"/>
        <v>46291</v>
      </c>
      <c r="B17" s="518">
        <f t="shared" si="3"/>
        <v>39</v>
      </c>
      <c r="C17" s="519">
        <v>46291</v>
      </c>
      <c r="D17" s="591">
        <v>2739560</v>
      </c>
      <c r="E17" s="589">
        <v>17995</v>
      </c>
      <c r="F17" s="590">
        <v>1390</v>
      </c>
      <c r="G17" s="602"/>
      <c r="H17" s="680"/>
      <c r="I17" s="681"/>
      <c r="J17" s="682"/>
      <c r="K17" s="682" t="s">
        <v>21</v>
      </c>
      <c r="L17" s="602"/>
      <c r="M17" s="593"/>
      <c r="N17" s="593">
        <v>400</v>
      </c>
      <c r="O17" s="609" t="str">
        <f t="shared" si="4"/>
        <v/>
      </c>
      <c r="P17" s="610" t="str">
        <f t="shared" si="5"/>
        <v/>
      </c>
      <c r="Q17" s="611" t="str">
        <f t="shared" si="6"/>
        <v/>
      </c>
      <c r="R17" s="612"/>
      <c r="S17" s="613">
        <f t="shared" si="7"/>
        <v>0</v>
      </c>
      <c r="T17" s="614">
        <f t="shared" si="8"/>
        <v>2668.66</v>
      </c>
      <c r="U17" s="125"/>
    </row>
    <row r="18" spans="1:21" ht="15" x14ac:dyDescent="0.25">
      <c r="A18" s="868">
        <f t="shared" si="2"/>
        <v>46298</v>
      </c>
      <c r="B18" s="518">
        <f t="shared" si="3"/>
        <v>40</v>
      </c>
      <c r="C18" s="519">
        <v>46298</v>
      </c>
      <c r="D18" s="591">
        <v>1235</v>
      </c>
      <c r="E18" s="589">
        <v>70</v>
      </c>
      <c r="F18" s="590">
        <v>10</v>
      </c>
      <c r="G18" s="602"/>
      <c r="H18" s="680"/>
      <c r="I18" s="681">
        <v>1</v>
      </c>
      <c r="J18" s="682">
        <v>14</v>
      </c>
      <c r="K18" s="682" t="s">
        <v>20</v>
      </c>
      <c r="L18" s="602"/>
      <c r="M18" s="593"/>
      <c r="N18" s="593">
        <v>400</v>
      </c>
      <c r="O18" s="609" t="str">
        <f t="shared" si="4"/>
        <v/>
      </c>
      <c r="P18" s="610">
        <f t="shared" si="5"/>
        <v>70</v>
      </c>
      <c r="Q18" s="611">
        <f t="shared" si="6"/>
        <v>140</v>
      </c>
      <c r="R18" s="627"/>
      <c r="S18" s="613">
        <f t="shared" si="7"/>
        <v>210</v>
      </c>
      <c r="T18" s="614">
        <f t="shared" si="8"/>
        <v>2478.66</v>
      </c>
      <c r="U18" s="125"/>
    </row>
    <row r="19" spans="1:21" ht="15" x14ac:dyDescent="0.25">
      <c r="A19" s="868">
        <f t="shared" si="2"/>
        <v>46305</v>
      </c>
      <c r="B19" s="518">
        <f t="shared" si="3"/>
        <v>41</v>
      </c>
      <c r="C19" s="519">
        <v>46305</v>
      </c>
      <c r="D19" s="591">
        <v>3015</v>
      </c>
      <c r="E19" s="589">
        <v>145</v>
      </c>
      <c r="F19" s="590">
        <v>15</v>
      </c>
      <c r="G19" s="602"/>
      <c r="H19" s="680"/>
      <c r="I19" s="681"/>
      <c r="J19" s="682">
        <v>2</v>
      </c>
      <c r="K19" s="682" t="s">
        <v>22</v>
      </c>
      <c r="L19" s="602"/>
      <c r="M19" s="593"/>
      <c r="N19" s="593">
        <v>400</v>
      </c>
      <c r="O19" s="609" t="str">
        <f t="shared" si="4"/>
        <v/>
      </c>
      <c r="P19" s="610" t="str">
        <f t="shared" si="5"/>
        <v/>
      </c>
      <c r="Q19" s="611">
        <f t="shared" si="6"/>
        <v>30</v>
      </c>
      <c r="R19" s="627"/>
      <c r="S19" s="613">
        <f t="shared" si="7"/>
        <v>30</v>
      </c>
      <c r="T19" s="614">
        <f t="shared" si="8"/>
        <v>2108.66</v>
      </c>
      <c r="U19" s="125"/>
    </row>
    <row r="20" spans="1:21" ht="15" x14ac:dyDescent="0.25">
      <c r="A20" s="868">
        <f t="shared" si="2"/>
        <v>46312</v>
      </c>
      <c r="B20" s="518">
        <f t="shared" si="3"/>
        <v>42</v>
      </c>
      <c r="C20" s="519">
        <v>46312</v>
      </c>
      <c r="D20" s="591">
        <v>1710</v>
      </c>
      <c r="E20" s="589">
        <v>100</v>
      </c>
      <c r="F20" s="590">
        <v>15</v>
      </c>
      <c r="G20" s="602"/>
      <c r="H20" s="680"/>
      <c r="I20" s="681">
        <v>3</v>
      </c>
      <c r="J20" s="682">
        <v>3</v>
      </c>
      <c r="K20" s="682" t="s">
        <v>873</v>
      </c>
      <c r="L20" s="602"/>
      <c r="M20" s="626"/>
      <c r="N20" s="593">
        <v>400</v>
      </c>
      <c r="O20" s="609" t="str">
        <f t="shared" si="4"/>
        <v/>
      </c>
      <c r="P20" s="610">
        <f t="shared" si="5"/>
        <v>300</v>
      </c>
      <c r="Q20" s="611">
        <f t="shared" si="6"/>
        <v>45</v>
      </c>
      <c r="R20" s="612"/>
      <c r="S20" s="613">
        <f t="shared" si="7"/>
        <v>345</v>
      </c>
      <c r="T20" s="614">
        <f>IF(N20&lt;&gt;"",(T19+M20+S20)-(N20+R20),"")</f>
        <v>2053.66</v>
      </c>
      <c r="U20" s="125"/>
    </row>
    <row r="21" spans="1:21" ht="15" x14ac:dyDescent="0.25">
      <c r="A21" s="868">
        <f t="shared" si="2"/>
        <v>46319</v>
      </c>
      <c r="B21" s="518">
        <f t="shared" si="3"/>
        <v>43</v>
      </c>
      <c r="C21" s="519">
        <v>46319</v>
      </c>
      <c r="D21" s="683">
        <v>227605</v>
      </c>
      <c r="E21" s="684">
        <v>1870</v>
      </c>
      <c r="F21" s="685">
        <v>160</v>
      </c>
      <c r="G21" s="602"/>
      <c r="H21" s="680"/>
      <c r="I21" s="681"/>
      <c r="J21" s="682">
        <v>1</v>
      </c>
      <c r="K21" s="682" t="s">
        <v>23</v>
      </c>
      <c r="L21" s="602"/>
      <c r="M21" s="593"/>
      <c r="N21" s="593">
        <v>400</v>
      </c>
      <c r="O21" s="609" t="str">
        <f t="shared" si="4"/>
        <v/>
      </c>
      <c r="P21" s="610" t="str">
        <f t="shared" si="5"/>
        <v/>
      </c>
      <c r="Q21" s="611">
        <f t="shared" si="6"/>
        <v>160</v>
      </c>
      <c r="R21" s="627">
        <v>111</v>
      </c>
      <c r="S21" s="613">
        <f t="shared" si="7"/>
        <v>160</v>
      </c>
      <c r="T21" s="614">
        <f t="shared" si="8"/>
        <v>1702.6599999999999</v>
      </c>
      <c r="U21" s="125"/>
    </row>
    <row r="22" spans="1:21" ht="15" x14ac:dyDescent="0.25">
      <c r="A22" s="868">
        <f t="shared" si="2"/>
        <v>46326</v>
      </c>
      <c r="B22" s="518">
        <f t="shared" si="3"/>
        <v>44</v>
      </c>
      <c r="C22" s="519">
        <v>46326</v>
      </c>
      <c r="D22" s="591">
        <v>2540</v>
      </c>
      <c r="E22" s="589">
        <v>90</v>
      </c>
      <c r="F22" s="590">
        <v>0</v>
      </c>
      <c r="G22" s="602"/>
      <c r="H22" s="680"/>
      <c r="I22" s="681">
        <v>1</v>
      </c>
      <c r="J22" s="682"/>
      <c r="K22" s="682" t="s">
        <v>25</v>
      </c>
      <c r="L22" s="602"/>
      <c r="M22" s="593"/>
      <c r="N22" s="593">
        <v>400</v>
      </c>
      <c r="O22" s="609" t="str">
        <f t="shared" si="4"/>
        <v/>
      </c>
      <c r="P22" s="610">
        <f t="shared" si="5"/>
        <v>90</v>
      </c>
      <c r="Q22" s="611" t="str">
        <f t="shared" si="6"/>
        <v/>
      </c>
      <c r="R22" s="627">
        <v>36.9</v>
      </c>
      <c r="S22" s="613">
        <f t="shared" si="7"/>
        <v>90</v>
      </c>
      <c r="T22" s="614">
        <f t="shared" si="8"/>
        <v>1355.7599999999998</v>
      </c>
      <c r="U22" s="125"/>
    </row>
    <row r="23" spans="1:21" ht="15" x14ac:dyDescent="0.25">
      <c r="A23" s="868">
        <f t="shared" si="2"/>
        <v>46333</v>
      </c>
      <c r="B23" s="518">
        <f t="shared" si="3"/>
        <v>45</v>
      </c>
      <c r="C23" s="519">
        <v>46333</v>
      </c>
      <c r="D23" s="683">
        <v>8180</v>
      </c>
      <c r="E23" s="684">
        <v>375</v>
      </c>
      <c r="F23" s="685">
        <v>45</v>
      </c>
      <c r="G23" s="602"/>
      <c r="H23" s="680"/>
      <c r="I23" s="681"/>
      <c r="J23" s="682"/>
      <c r="K23" s="682" t="s">
        <v>20</v>
      </c>
      <c r="L23" s="602"/>
      <c r="M23" s="593"/>
      <c r="N23" s="593">
        <v>400</v>
      </c>
      <c r="O23" s="609" t="str">
        <f t="shared" ref="O23:Q24" si="9">IF(H23&gt;0,D23*H23,"")</f>
        <v/>
      </c>
      <c r="P23" s="610" t="str">
        <f t="shared" si="9"/>
        <v/>
      </c>
      <c r="Q23" s="611" t="str">
        <f t="shared" si="9"/>
        <v/>
      </c>
      <c r="R23" s="615"/>
      <c r="S23" s="613">
        <f t="shared" si="7"/>
        <v>0</v>
      </c>
      <c r="T23" s="614">
        <f t="shared" si="8"/>
        <v>955.75999999999976</v>
      </c>
      <c r="U23" s="125"/>
    </row>
    <row r="24" spans="1:21" ht="15" x14ac:dyDescent="0.25">
      <c r="A24" s="868">
        <f t="shared" si="2"/>
        <v>46340</v>
      </c>
      <c r="B24" s="518">
        <f t="shared" si="3"/>
        <v>46</v>
      </c>
      <c r="C24" s="519">
        <v>46340</v>
      </c>
      <c r="D24" s="591">
        <v>12250</v>
      </c>
      <c r="E24" s="589">
        <v>500</v>
      </c>
      <c r="F24" s="590">
        <v>45</v>
      </c>
      <c r="G24" s="602"/>
      <c r="H24" s="680"/>
      <c r="I24" s="681">
        <v>1</v>
      </c>
      <c r="J24" s="682">
        <v>2</v>
      </c>
      <c r="K24" s="682" t="s">
        <v>21</v>
      </c>
      <c r="L24" s="602"/>
      <c r="M24" s="626">
        <v>3500</v>
      </c>
      <c r="N24" s="593">
        <v>400</v>
      </c>
      <c r="O24" s="609" t="str">
        <f t="shared" si="9"/>
        <v/>
      </c>
      <c r="P24" s="610">
        <f t="shared" si="9"/>
        <v>500</v>
      </c>
      <c r="Q24" s="611">
        <f t="shared" si="9"/>
        <v>90</v>
      </c>
      <c r="R24" s="612"/>
      <c r="S24" s="613">
        <f>SUM(O24:Q24)</f>
        <v>590</v>
      </c>
      <c r="T24" s="614">
        <f t="shared" si="8"/>
        <v>4645.76</v>
      </c>
      <c r="U24" s="125"/>
    </row>
    <row r="25" spans="1:21" ht="15" x14ac:dyDescent="0.25">
      <c r="A25" s="868">
        <f t="shared" si="2"/>
        <v>46347</v>
      </c>
      <c r="B25" s="518">
        <f t="shared" si="3"/>
        <v>47</v>
      </c>
      <c r="C25" s="519">
        <v>46347</v>
      </c>
      <c r="D25" s="683">
        <v>133305</v>
      </c>
      <c r="E25" s="684">
        <v>5010</v>
      </c>
      <c r="F25" s="685">
        <v>570</v>
      </c>
      <c r="G25" s="602"/>
      <c r="H25" s="680"/>
      <c r="I25" s="681"/>
      <c r="J25" s="682"/>
      <c r="K25" s="682" t="s">
        <v>22</v>
      </c>
      <c r="L25" s="602"/>
      <c r="M25" s="593"/>
      <c r="N25" s="593">
        <v>400</v>
      </c>
      <c r="O25" s="609" t="str">
        <f t="shared" si="4"/>
        <v/>
      </c>
      <c r="P25" s="610" t="str">
        <f t="shared" si="5"/>
        <v/>
      </c>
      <c r="Q25" s="611" t="str">
        <f t="shared" si="6"/>
        <v/>
      </c>
      <c r="R25" s="612"/>
      <c r="S25" s="613">
        <f t="shared" si="7"/>
        <v>0</v>
      </c>
      <c r="T25" s="614">
        <f t="shared" si="8"/>
        <v>4245.76</v>
      </c>
      <c r="U25" s="125"/>
    </row>
    <row r="26" spans="1:21" ht="15" x14ac:dyDescent="0.25">
      <c r="A26" s="868">
        <f t="shared" si="2"/>
        <v>46354</v>
      </c>
      <c r="B26" s="518">
        <f t="shared" si="3"/>
        <v>48</v>
      </c>
      <c r="C26" s="519">
        <v>46354</v>
      </c>
      <c r="D26" s="683">
        <v>15960</v>
      </c>
      <c r="E26" s="684">
        <v>150</v>
      </c>
      <c r="F26" s="685">
        <v>20</v>
      </c>
      <c r="G26" s="602"/>
      <c r="H26" s="680"/>
      <c r="I26" s="681"/>
      <c r="J26" s="682">
        <v>5</v>
      </c>
      <c r="K26" s="682" t="s">
        <v>873</v>
      </c>
      <c r="L26" s="602"/>
      <c r="M26" s="593"/>
      <c r="N26" s="593">
        <v>400</v>
      </c>
      <c r="O26" s="609" t="str">
        <f t="shared" si="4"/>
        <v/>
      </c>
      <c r="P26" s="610" t="str">
        <f t="shared" si="5"/>
        <v/>
      </c>
      <c r="Q26" s="611">
        <f t="shared" si="6"/>
        <v>100</v>
      </c>
      <c r="R26" s="612"/>
      <c r="S26" s="613">
        <f t="shared" si="7"/>
        <v>100</v>
      </c>
      <c r="T26" s="614">
        <f t="shared" si="8"/>
        <v>3945.76</v>
      </c>
      <c r="U26" s="125"/>
    </row>
    <row r="27" spans="1:21" ht="15" x14ac:dyDescent="0.25">
      <c r="A27" s="868">
        <f t="shared" si="2"/>
        <v>46361</v>
      </c>
      <c r="B27" s="518">
        <f t="shared" si="3"/>
        <v>49</v>
      </c>
      <c r="C27" s="519">
        <v>46361</v>
      </c>
      <c r="D27" s="683">
        <v>3820</v>
      </c>
      <c r="E27" s="684">
        <v>195</v>
      </c>
      <c r="F27" s="685">
        <v>25</v>
      </c>
      <c r="G27" s="602"/>
      <c r="H27" s="680"/>
      <c r="I27" s="681"/>
      <c r="J27" s="682"/>
      <c r="K27" s="682" t="s">
        <v>24</v>
      </c>
      <c r="L27" s="602"/>
      <c r="M27" s="593"/>
      <c r="N27" s="593">
        <v>400</v>
      </c>
      <c r="O27" s="609" t="str">
        <f t="shared" si="4"/>
        <v/>
      </c>
      <c r="P27" s="610" t="str">
        <f t="shared" si="5"/>
        <v/>
      </c>
      <c r="Q27" s="611" t="str">
        <f t="shared" si="6"/>
        <v/>
      </c>
      <c r="R27" s="627"/>
      <c r="S27" s="613">
        <f t="shared" si="7"/>
        <v>0</v>
      </c>
      <c r="T27" s="614">
        <f t="shared" si="8"/>
        <v>3545.76</v>
      </c>
      <c r="U27" s="125"/>
    </row>
    <row r="28" spans="1:21" ht="15" x14ac:dyDescent="0.25">
      <c r="A28" s="868">
        <f t="shared" si="2"/>
        <v>46368</v>
      </c>
      <c r="B28" s="518">
        <f t="shared" si="3"/>
        <v>50</v>
      </c>
      <c r="C28" s="519">
        <v>46368</v>
      </c>
      <c r="D28" s="591">
        <v>2330</v>
      </c>
      <c r="E28" s="589">
        <v>115</v>
      </c>
      <c r="F28" s="590">
        <v>15</v>
      </c>
      <c r="G28" s="602"/>
      <c r="H28" s="680"/>
      <c r="I28" s="681"/>
      <c r="J28" s="682">
        <v>1</v>
      </c>
      <c r="K28" s="682" t="s">
        <v>23</v>
      </c>
      <c r="L28" s="602"/>
      <c r="M28" s="593"/>
      <c r="N28" s="593">
        <v>400</v>
      </c>
      <c r="O28" s="609" t="str">
        <f t="shared" si="4"/>
        <v/>
      </c>
      <c r="P28" s="610" t="str">
        <f t="shared" si="5"/>
        <v/>
      </c>
      <c r="Q28" s="611">
        <f t="shared" si="6"/>
        <v>15</v>
      </c>
      <c r="R28" s="612"/>
      <c r="S28" s="613">
        <f t="shared" si="7"/>
        <v>15</v>
      </c>
      <c r="T28" s="614">
        <f t="shared" si="8"/>
        <v>3160.76</v>
      </c>
      <c r="U28" s="125"/>
    </row>
    <row r="29" spans="1:21" ht="15" x14ac:dyDescent="0.25">
      <c r="A29" s="868">
        <f t="shared" si="2"/>
        <v>46375</v>
      </c>
      <c r="B29" s="518">
        <f t="shared" si="3"/>
        <v>51</v>
      </c>
      <c r="C29" s="519">
        <v>46375</v>
      </c>
      <c r="D29" s="683">
        <v>3460</v>
      </c>
      <c r="E29" s="684">
        <v>160</v>
      </c>
      <c r="F29" s="685">
        <v>20</v>
      </c>
      <c r="G29" s="602"/>
      <c r="H29" s="680"/>
      <c r="I29" s="681"/>
      <c r="J29" s="682"/>
      <c r="K29" s="682"/>
      <c r="L29" s="602"/>
      <c r="M29" s="593"/>
      <c r="N29" s="593">
        <v>0</v>
      </c>
      <c r="O29" s="609" t="str">
        <f t="shared" si="4"/>
        <v/>
      </c>
      <c r="P29" s="610" t="str">
        <f t="shared" si="5"/>
        <v/>
      </c>
      <c r="Q29" s="611" t="str">
        <f t="shared" si="6"/>
        <v/>
      </c>
      <c r="R29" s="612"/>
      <c r="S29" s="613">
        <f t="shared" si="7"/>
        <v>0</v>
      </c>
      <c r="T29" s="614">
        <f t="shared" si="8"/>
        <v>3160.76</v>
      </c>
      <c r="U29" s="125"/>
    </row>
    <row r="30" spans="1:21" ht="15" x14ac:dyDescent="0.25">
      <c r="A30" s="868">
        <f t="shared" si="2"/>
        <v>46382</v>
      </c>
      <c r="B30" s="518">
        <f t="shared" si="3"/>
        <v>52</v>
      </c>
      <c r="C30" s="519">
        <v>46382</v>
      </c>
      <c r="D30" s="683">
        <v>6245</v>
      </c>
      <c r="E30" s="684">
        <v>285</v>
      </c>
      <c r="F30" s="685">
        <v>35</v>
      </c>
      <c r="G30" s="602"/>
      <c r="H30" s="680"/>
      <c r="I30" s="681"/>
      <c r="J30" s="682"/>
      <c r="K30" s="682"/>
      <c r="L30" s="602"/>
      <c r="M30" s="593"/>
      <c r="N30" s="593">
        <v>0</v>
      </c>
      <c r="O30" s="609" t="str">
        <f t="shared" si="4"/>
        <v/>
      </c>
      <c r="P30" s="610" t="str">
        <f t="shared" si="5"/>
        <v/>
      </c>
      <c r="Q30" s="611" t="str">
        <f t="shared" si="6"/>
        <v/>
      </c>
      <c r="R30" s="612"/>
      <c r="S30" s="613">
        <f t="shared" si="7"/>
        <v>0</v>
      </c>
      <c r="T30" s="614">
        <f t="shared" si="8"/>
        <v>3160.76</v>
      </c>
      <c r="U30" s="125"/>
    </row>
    <row r="31" spans="1:21" ht="15" x14ac:dyDescent="0.25">
      <c r="A31" s="868">
        <f t="shared" si="2"/>
        <v>46389</v>
      </c>
      <c r="B31" s="518">
        <f t="shared" si="3"/>
        <v>1</v>
      </c>
      <c r="C31" s="519">
        <v>46389</v>
      </c>
      <c r="D31" s="683">
        <v>42515</v>
      </c>
      <c r="E31" s="684">
        <v>2585</v>
      </c>
      <c r="F31" s="685">
        <v>225</v>
      </c>
      <c r="G31" s="602"/>
      <c r="H31" s="680"/>
      <c r="I31" s="681"/>
      <c r="J31" s="682"/>
      <c r="K31" s="682"/>
      <c r="L31" s="602"/>
      <c r="M31" s="593"/>
      <c r="N31" s="593">
        <v>0</v>
      </c>
      <c r="O31" s="609" t="str">
        <f t="shared" si="4"/>
        <v/>
      </c>
      <c r="P31" s="610" t="str">
        <f t="shared" si="5"/>
        <v/>
      </c>
      <c r="Q31" s="611" t="str">
        <f t="shared" si="6"/>
        <v/>
      </c>
      <c r="R31" s="627"/>
      <c r="S31" s="613">
        <f t="shared" si="7"/>
        <v>0</v>
      </c>
      <c r="T31" s="614">
        <f t="shared" si="8"/>
        <v>3160.76</v>
      </c>
      <c r="U31" s="125"/>
    </row>
    <row r="32" spans="1:21" ht="15" x14ac:dyDescent="0.25">
      <c r="A32" s="868">
        <f t="shared" si="2"/>
        <v>46396</v>
      </c>
      <c r="B32" s="518">
        <f t="shared" si="3"/>
        <v>2</v>
      </c>
      <c r="C32" s="519">
        <v>46396</v>
      </c>
      <c r="D32" s="727">
        <v>1435</v>
      </c>
      <c r="E32" s="728">
        <v>80</v>
      </c>
      <c r="F32" s="729">
        <v>10</v>
      </c>
      <c r="G32" s="602"/>
      <c r="H32" s="680"/>
      <c r="I32" s="681"/>
      <c r="J32" s="682">
        <v>1</v>
      </c>
      <c r="K32" s="682" t="s">
        <v>20</v>
      </c>
      <c r="L32" s="602"/>
      <c r="M32" s="594"/>
      <c r="N32" s="593">
        <v>400</v>
      </c>
      <c r="O32" s="609" t="str">
        <f t="shared" si="4"/>
        <v/>
      </c>
      <c r="P32" s="610" t="str">
        <f t="shared" si="5"/>
        <v/>
      </c>
      <c r="Q32" s="611">
        <f t="shared" si="6"/>
        <v>10</v>
      </c>
      <c r="R32" s="612"/>
      <c r="S32" s="613">
        <f t="shared" si="7"/>
        <v>10</v>
      </c>
      <c r="T32" s="614">
        <f t="shared" si="8"/>
        <v>2770.76</v>
      </c>
      <c r="U32" s="125"/>
    </row>
    <row r="33" spans="1:21" ht="15" x14ac:dyDescent="0.25">
      <c r="A33" s="868">
        <f t="shared" si="2"/>
        <v>46403</v>
      </c>
      <c r="B33" s="518">
        <f t="shared" si="3"/>
        <v>3</v>
      </c>
      <c r="C33" s="519">
        <v>46403</v>
      </c>
      <c r="D33" s="591" t="s">
        <v>500</v>
      </c>
      <c r="E33" s="589">
        <v>25890</v>
      </c>
      <c r="F33" s="590">
        <v>3150</v>
      </c>
      <c r="G33" s="602"/>
      <c r="H33" s="680"/>
      <c r="I33" s="681"/>
      <c r="J33" s="682"/>
      <c r="K33" s="682" t="s">
        <v>21</v>
      </c>
      <c r="L33" s="602"/>
      <c r="M33" s="626"/>
      <c r="N33" s="593">
        <v>400</v>
      </c>
      <c r="O33" s="609" t="str">
        <f t="shared" si="4"/>
        <v/>
      </c>
      <c r="P33" s="610" t="str">
        <f t="shared" si="5"/>
        <v/>
      </c>
      <c r="Q33" s="611" t="str">
        <f t="shared" si="6"/>
        <v/>
      </c>
      <c r="R33" s="627"/>
      <c r="S33" s="613">
        <f t="shared" si="7"/>
        <v>0</v>
      </c>
      <c r="T33" s="614">
        <f t="shared" si="8"/>
        <v>2370.7600000000002</v>
      </c>
      <c r="U33" s="125"/>
    </row>
    <row r="34" spans="1:21" ht="15" x14ac:dyDescent="0.25">
      <c r="A34" s="868">
        <f t="shared" si="2"/>
        <v>46410</v>
      </c>
      <c r="B34" s="518">
        <f t="shared" si="3"/>
        <v>4</v>
      </c>
      <c r="C34" s="519">
        <v>46410</v>
      </c>
      <c r="D34" s="591">
        <v>1268305</v>
      </c>
      <c r="E34" s="589">
        <v>5375</v>
      </c>
      <c r="F34" s="590">
        <v>410</v>
      </c>
      <c r="G34" s="602"/>
      <c r="H34" s="680"/>
      <c r="I34" s="681"/>
      <c r="J34" s="682"/>
      <c r="K34" s="682" t="s">
        <v>22</v>
      </c>
      <c r="L34" s="602"/>
      <c r="M34" s="626"/>
      <c r="N34" s="593">
        <v>400</v>
      </c>
      <c r="O34" s="609" t="str">
        <f t="shared" si="4"/>
        <v/>
      </c>
      <c r="P34" s="610" t="str">
        <f t="shared" si="5"/>
        <v/>
      </c>
      <c r="Q34" s="611" t="str">
        <f t="shared" si="6"/>
        <v/>
      </c>
      <c r="R34" s="612"/>
      <c r="S34" s="613">
        <f t="shared" si="7"/>
        <v>0</v>
      </c>
      <c r="T34" s="614">
        <f t="shared" si="8"/>
        <v>1970.7600000000002</v>
      </c>
      <c r="U34" s="125"/>
    </row>
    <row r="35" spans="1:21" ht="15" x14ac:dyDescent="0.25">
      <c r="A35" s="868">
        <f t="shared" si="2"/>
        <v>46417</v>
      </c>
      <c r="B35" s="518">
        <f t="shared" si="3"/>
        <v>5</v>
      </c>
      <c r="C35" s="519">
        <v>46417</v>
      </c>
      <c r="D35" s="683">
        <v>42605</v>
      </c>
      <c r="E35" s="684">
        <v>1610</v>
      </c>
      <c r="F35" s="685">
        <v>135</v>
      </c>
      <c r="G35" s="602"/>
      <c r="H35" s="680"/>
      <c r="I35" s="681"/>
      <c r="J35" s="682"/>
      <c r="K35" s="682" t="s">
        <v>25</v>
      </c>
      <c r="L35" s="602"/>
      <c r="M35" s="593"/>
      <c r="N35" s="593">
        <v>400</v>
      </c>
      <c r="O35" s="609" t="str">
        <f t="shared" si="4"/>
        <v/>
      </c>
      <c r="P35" s="610" t="str">
        <f t="shared" si="5"/>
        <v/>
      </c>
      <c r="Q35" s="611" t="str">
        <f t="shared" si="6"/>
        <v/>
      </c>
      <c r="R35" s="612"/>
      <c r="S35" s="613">
        <f t="shared" si="7"/>
        <v>0</v>
      </c>
      <c r="T35" s="614">
        <f t="shared" si="8"/>
        <v>1570.7600000000002</v>
      </c>
      <c r="U35" s="125"/>
    </row>
    <row r="36" spans="1:21" ht="15" x14ac:dyDescent="0.25">
      <c r="A36" s="868">
        <f t="shared" si="2"/>
        <v>46424</v>
      </c>
      <c r="B36" s="518">
        <f t="shared" si="3"/>
        <v>6</v>
      </c>
      <c r="C36" s="519">
        <v>46424</v>
      </c>
      <c r="D36" s="683">
        <v>52230</v>
      </c>
      <c r="E36" s="684">
        <v>2995</v>
      </c>
      <c r="F36" s="685">
        <v>315</v>
      </c>
      <c r="G36" s="602"/>
      <c r="H36" s="680"/>
      <c r="I36" s="681"/>
      <c r="J36" s="682">
        <v>2</v>
      </c>
      <c r="K36" s="682" t="s">
        <v>21</v>
      </c>
      <c r="L36" s="602"/>
      <c r="M36" s="593"/>
      <c r="N36" s="593">
        <v>400</v>
      </c>
      <c r="O36" s="609" t="str">
        <f t="shared" si="4"/>
        <v/>
      </c>
      <c r="P36" s="610" t="str">
        <f t="shared" si="5"/>
        <v/>
      </c>
      <c r="Q36" s="611">
        <f t="shared" si="6"/>
        <v>630</v>
      </c>
      <c r="R36" s="627"/>
      <c r="S36" s="613">
        <f t="shared" si="7"/>
        <v>630</v>
      </c>
      <c r="T36" s="614">
        <f t="shared" si="8"/>
        <v>1800.7600000000002</v>
      </c>
      <c r="U36" s="125"/>
    </row>
    <row r="37" spans="1:21" ht="15" x14ac:dyDescent="0.25">
      <c r="A37" s="868">
        <f t="shared" si="2"/>
        <v>46431</v>
      </c>
      <c r="B37" s="518">
        <f t="shared" si="3"/>
        <v>7</v>
      </c>
      <c r="C37" s="519">
        <v>46431</v>
      </c>
      <c r="D37" s="683">
        <v>28130</v>
      </c>
      <c r="E37" s="684">
        <v>1505</v>
      </c>
      <c r="F37" s="685">
        <v>145</v>
      </c>
      <c r="G37" s="602"/>
      <c r="H37" s="680"/>
      <c r="I37" s="681"/>
      <c r="J37" s="682">
        <v>1</v>
      </c>
      <c r="K37" s="682" t="s">
        <v>873</v>
      </c>
      <c r="L37" s="602"/>
      <c r="M37" s="593"/>
      <c r="N37" s="593">
        <v>400</v>
      </c>
      <c r="O37" s="609" t="str">
        <f t="shared" si="4"/>
        <v/>
      </c>
      <c r="P37" s="610" t="str">
        <f t="shared" si="5"/>
        <v/>
      </c>
      <c r="Q37" s="611">
        <f t="shared" si="6"/>
        <v>145</v>
      </c>
      <c r="R37" s="612"/>
      <c r="S37" s="613">
        <f t="shared" si="7"/>
        <v>145</v>
      </c>
      <c r="T37" s="614">
        <f t="shared" si="8"/>
        <v>1545.7600000000002</v>
      </c>
      <c r="U37" s="125"/>
    </row>
    <row r="38" spans="1:21" ht="15" x14ac:dyDescent="0.25">
      <c r="A38" s="868">
        <f t="shared" si="2"/>
        <v>46438</v>
      </c>
      <c r="B38" s="518">
        <f t="shared" si="3"/>
        <v>8</v>
      </c>
      <c r="C38" s="519">
        <v>46438</v>
      </c>
      <c r="D38" s="683">
        <v>5247100</v>
      </c>
      <c r="E38" s="684">
        <v>36090</v>
      </c>
      <c r="F38" s="685">
        <v>2760</v>
      </c>
      <c r="G38" s="602"/>
      <c r="H38" s="680"/>
      <c r="I38" s="681"/>
      <c r="J38" s="682"/>
      <c r="K38" s="682" t="s">
        <v>23</v>
      </c>
      <c r="L38" s="602"/>
      <c r="M38" s="593"/>
      <c r="N38" s="593">
        <v>400</v>
      </c>
      <c r="O38" s="609" t="str">
        <f t="shared" si="4"/>
        <v/>
      </c>
      <c r="P38" s="610" t="str">
        <f t="shared" si="5"/>
        <v/>
      </c>
      <c r="Q38" s="611" t="str">
        <f t="shared" si="6"/>
        <v/>
      </c>
      <c r="R38" s="627">
        <v>36.9</v>
      </c>
      <c r="S38" s="613">
        <f t="shared" si="7"/>
        <v>0</v>
      </c>
      <c r="T38" s="614">
        <f t="shared" si="8"/>
        <v>1108.8600000000001</v>
      </c>
      <c r="U38" s="125"/>
    </row>
    <row r="39" spans="1:21" ht="15" x14ac:dyDescent="0.25">
      <c r="A39" s="868">
        <f t="shared" si="2"/>
        <v>46445</v>
      </c>
      <c r="B39" s="518">
        <f t="shared" si="3"/>
        <v>9</v>
      </c>
      <c r="C39" s="519">
        <v>46445</v>
      </c>
      <c r="D39" s="683">
        <v>1260</v>
      </c>
      <c r="E39" s="684">
        <v>85</v>
      </c>
      <c r="F39" s="685">
        <v>0</v>
      </c>
      <c r="G39" s="602"/>
      <c r="H39" s="680"/>
      <c r="I39" s="681"/>
      <c r="J39" s="682">
        <v>2</v>
      </c>
      <c r="K39" s="682" t="s">
        <v>20</v>
      </c>
      <c r="L39" s="602"/>
      <c r="M39" s="626">
        <v>3500</v>
      </c>
      <c r="N39" s="593">
        <v>400</v>
      </c>
      <c r="O39" s="609" t="str">
        <f t="shared" si="4"/>
        <v/>
      </c>
      <c r="P39" s="610" t="str">
        <f t="shared" si="5"/>
        <v/>
      </c>
      <c r="Q39" s="611">
        <f t="shared" si="6"/>
        <v>0</v>
      </c>
      <c r="R39" s="615"/>
      <c r="S39" s="613">
        <f t="shared" si="7"/>
        <v>0</v>
      </c>
      <c r="T39" s="614">
        <f t="shared" si="8"/>
        <v>4208.8600000000006</v>
      </c>
      <c r="U39" s="125"/>
    </row>
    <row r="40" spans="1:21" ht="15" x14ac:dyDescent="0.25">
      <c r="A40" s="868">
        <f t="shared" si="2"/>
        <v>46452</v>
      </c>
      <c r="B40" s="518">
        <f t="shared" si="3"/>
        <v>10</v>
      </c>
      <c r="C40" s="519">
        <v>46452</v>
      </c>
      <c r="D40" s="683">
        <v>56415</v>
      </c>
      <c r="E40" s="684">
        <v>1835</v>
      </c>
      <c r="F40" s="685">
        <v>170</v>
      </c>
      <c r="G40" s="602"/>
      <c r="H40" s="680"/>
      <c r="I40" s="681"/>
      <c r="J40" s="682"/>
      <c r="K40" s="682" t="s">
        <v>24</v>
      </c>
      <c r="L40" s="602"/>
      <c r="M40" s="593"/>
      <c r="N40" s="593">
        <v>400</v>
      </c>
      <c r="O40" s="609" t="str">
        <f t="shared" si="4"/>
        <v/>
      </c>
      <c r="P40" s="610" t="str">
        <f t="shared" si="5"/>
        <v/>
      </c>
      <c r="Q40" s="611" t="str">
        <f t="shared" si="6"/>
        <v/>
      </c>
      <c r="R40" s="615"/>
      <c r="S40" s="613">
        <f t="shared" si="7"/>
        <v>0</v>
      </c>
      <c r="T40" s="614">
        <f t="shared" si="8"/>
        <v>3808.8600000000006</v>
      </c>
      <c r="U40" s="125"/>
    </row>
    <row r="41" spans="1:21" ht="15" x14ac:dyDescent="0.25">
      <c r="A41" s="868">
        <f t="shared" si="2"/>
        <v>46459</v>
      </c>
      <c r="B41" s="518">
        <f t="shared" si="3"/>
        <v>11</v>
      </c>
      <c r="C41" s="519">
        <v>46459</v>
      </c>
      <c r="D41" s="591">
        <v>3120455</v>
      </c>
      <c r="E41" s="589">
        <v>12140</v>
      </c>
      <c r="F41" s="590">
        <v>1105</v>
      </c>
      <c r="G41" s="602"/>
      <c r="H41" s="680"/>
      <c r="I41" s="681"/>
      <c r="J41" s="682"/>
      <c r="K41" s="682" t="s">
        <v>21</v>
      </c>
      <c r="L41" s="602"/>
      <c r="M41" s="593"/>
      <c r="N41" s="593">
        <v>400</v>
      </c>
      <c r="O41" s="609" t="str">
        <f t="shared" si="4"/>
        <v/>
      </c>
      <c r="P41" s="610" t="str">
        <f t="shared" si="5"/>
        <v/>
      </c>
      <c r="Q41" s="611" t="str">
        <f t="shared" si="6"/>
        <v/>
      </c>
      <c r="R41" s="612"/>
      <c r="S41" s="613">
        <f t="shared" si="7"/>
        <v>0</v>
      </c>
      <c r="T41" s="614">
        <f t="shared" si="8"/>
        <v>3408.8600000000006</v>
      </c>
      <c r="U41" s="125"/>
    </row>
    <row r="42" spans="1:21" ht="15" x14ac:dyDescent="0.25">
      <c r="A42" s="868">
        <f t="shared" si="2"/>
        <v>46466</v>
      </c>
      <c r="B42" s="518">
        <f t="shared" si="3"/>
        <v>12</v>
      </c>
      <c r="C42" s="519">
        <v>46466</v>
      </c>
      <c r="D42" s="591">
        <v>17140</v>
      </c>
      <c r="E42" s="589">
        <v>775</v>
      </c>
      <c r="F42" s="590">
        <v>85</v>
      </c>
      <c r="G42" s="602"/>
      <c r="H42" s="680"/>
      <c r="I42" s="681"/>
      <c r="J42" s="682"/>
      <c r="K42" s="682" t="s">
        <v>873</v>
      </c>
      <c r="L42" s="602"/>
      <c r="M42" s="595"/>
      <c r="N42" s="593">
        <v>400</v>
      </c>
      <c r="O42" s="609" t="str">
        <f t="shared" si="4"/>
        <v/>
      </c>
      <c r="P42" s="610" t="str">
        <f t="shared" si="5"/>
        <v/>
      </c>
      <c r="Q42" s="611" t="str">
        <f t="shared" si="6"/>
        <v/>
      </c>
      <c r="R42" s="627"/>
      <c r="S42" s="613">
        <f t="shared" si="7"/>
        <v>0</v>
      </c>
      <c r="T42" s="614">
        <f>IF(N42&lt;&gt;"",(T41+M42+S42)-(N42+R42),"")</f>
        <v>3008.8600000000006</v>
      </c>
      <c r="U42" s="125"/>
    </row>
    <row r="43" spans="1:21" ht="15" x14ac:dyDescent="0.25">
      <c r="A43" s="868">
        <f t="shared" si="2"/>
        <v>46473</v>
      </c>
      <c r="B43" s="518">
        <f t="shared" si="3"/>
        <v>13</v>
      </c>
      <c r="C43" s="519">
        <v>46473</v>
      </c>
      <c r="D43" s="591">
        <v>69815</v>
      </c>
      <c r="E43" s="589">
        <v>2070</v>
      </c>
      <c r="F43" s="590">
        <v>195</v>
      </c>
      <c r="G43" s="602"/>
      <c r="H43" s="680"/>
      <c r="I43" s="681"/>
      <c r="J43" s="682">
        <v>1</v>
      </c>
      <c r="K43" s="682" t="s">
        <v>22</v>
      </c>
      <c r="L43" s="602"/>
      <c r="M43" s="593"/>
      <c r="N43" s="593">
        <v>400</v>
      </c>
      <c r="O43" s="609" t="str">
        <f t="shared" si="4"/>
        <v/>
      </c>
      <c r="P43" s="610" t="str">
        <f t="shared" si="5"/>
        <v/>
      </c>
      <c r="Q43" s="611">
        <f t="shared" si="6"/>
        <v>195</v>
      </c>
      <c r="R43" s="615"/>
      <c r="S43" s="613">
        <f t="shared" si="7"/>
        <v>195</v>
      </c>
      <c r="T43" s="614">
        <f>IF(N43&lt;&gt;"",(T42+M43+S43)-(N43+R43),"")</f>
        <v>2803.8600000000006</v>
      </c>
      <c r="U43" s="125"/>
    </row>
    <row r="44" spans="1:21" ht="15" x14ac:dyDescent="0.25">
      <c r="A44" s="868">
        <f t="shared" si="2"/>
        <v>46480</v>
      </c>
      <c r="B44" s="518">
        <f t="shared" si="3"/>
        <v>14</v>
      </c>
      <c r="C44" s="519">
        <v>46480</v>
      </c>
      <c r="D44" s="591">
        <v>255330</v>
      </c>
      <c r="E44" s="589">
        <v>5490</v>
      </c>
      <c r="F44" s="590">
        <v>425</v>
      </c>
      <c r="G44" s="602"/>
      <c r="H44" s="680"/>
      <c r="I44" s="681"/>
      <c r="J44" s="682"/>
      <c r="K44" s="682"/>
      <c r="L44" s="602"/>
      <c r="M44" s="593"/>
      <c r="N44" s="593">
        <v>0</v>
      </c>
      <c r="O44" s="609" t="str">
        <f t="shared" si="4"/>
        <v/>
      </c>
      <c r="P44" s="610" t="str">
        <f t="shared" si="5"/>
        <v/>
      </c>
      <c r="Q44" s="611" t="str">
        <f t="shared" si="6"/>
        <v/>
      </c>
      <c r="R44" s="612"/>
      <c r="S44" s="613">
        <f t="shared" si="7"/>
        <v>0</v>
      </c>
      <c r="T44" s="614">
        <f t="shared" si="8"/>
        <v>2803.8600000000006</v>
      </c>
      <c r="U44" s="125"/>
    </row>
    <row r="45" spans="1:21" ht="15" x14ac:dyDescent="0.25">
      <c r="A45" s="868">
        <f t="shared" si="2"/>
        <v>46487</v>
      </c>
      <c r="B45" s="518">
        <f t="shared" si="3"/>
        <v>15</v>
      </c>
      <c r="C45" s="519">
        <v>46487</v>
      </c>
      <c r="D45" s="591">
        <v>43890</v>
      </c>
      <c r="E45" s="589">
        <v>1510</v>
      </c>
      <c r="F45" s="590">
        <v>130</v>
      </c>
      <c r="G45" s="602"/>
      <c r="H45" s="680"/>
      <c r="I45" s="681"/>
      <c r="J45" s="682"/>
      <c r="K45" s="682" t="s">
        <v>21</v>
      </c>
      <c r="L45" s="602"/>
      <c r="M45" s="593"/>
      <c r="N45" s="593">
        <v>400</v>
      </c>
      <c r="O45" s="609" t="str">
        <f t="shared" si="4"/>
        <v/>
      </c>
      <c r="P45" s="610" t="str">
        <f t="shared" si="5"/>
        <v/>
      </c>
      <c r="Q45" s="611" t="str">
        <f t="shared" si="6"/>
        <v/>
      </c>
      <c r="R45" s="612"/>
      <c r="S45" s="613">
        <f t="shared" si="7"/>
        <v>0</v>
      </c>
      <c r="T45" s="614">
        <f>IF(N45&lt;&gt;"",(T44+M45+S45)-(N45+R46),"")</f>
        <v>2403.8600000000006</v>
      </c>
      <c r="U45" s="125"/>
    </row>
    <row r="46" spans="1:21" ht="15" x14ac:dyDescent="0.25">
      <c r="A46" s="868">
        <f t="shared" si="2"/>
        <v>46494</v>
      </c>
      <c r="B46" s="518">
        <f t="shared" si="3"/>
        <v>16</v>
      </c>
      <c r="C46" s="519">
        <v>46494</v>
      </c>
      <c r="D46" s="591">
        <v>64655</v>
      </c>
      <c r="E46" s="589">
        <v>780</v>
      </c>
      <c r="F46" s="590">
        <v>90</v>
      </c>
      <c r="G46" s="602"/>
      <c r="H46" s="680"/>
      <c r="I46" s="681"/>
      <c r="J46" s="682"/>
      <c r="K46" s="682" t="s">
        <v>23</v>
      </c>
      <c r="L46" s="602"/>
      <c r="M46" s="593"/>
      <c r="N46" s="593">
        <v>400</v>
      </c>
      <c r="O46" s="609" t="str">
        <f t="shared" si="4"/>
        <v/>
      </c>
      <c r="P46" s="610" t="str">
        <f t="shared" si="5"/>
        <v/>
      </c>
      <c r="Q46" s="611" t="str">
        <f t="shared" si="6"/>
        <v/>
      </c>
      <c r="R46" s="615"/>
      <c r="S46" s="613">
        <f t="shared" si="7"/>
        <v>0</v>
      </c>
      <c r="T46" s="614">
        <f>IF(N46&lt;&gt;"",(T45+M46+S46)-(N46+R47),"")</f>
        <v>2003.8600000000006</v>
      </c>
      <c r="U46" s="125"/>
    </row>
    <row r="47" spans="1:21" ht="15" x14ac:dyDescent="0.25">
      <c r="A47" s="868">
        <f t="shared" si="2"/>
        <v>46501</v>
      </c>
      <c r="B47" s="518">
        <f t="shared" si="3"/>
        <v>17</v>
      </c>
      <c r="C47" s="519">
        <v>46501</v>
      </c>
      <c r="D47" s="591">
        <v>8040</v>
      </c>
      <c r="E47" s="589">
        <v>320</v>
      </c>
      <c r="F47" s="590">
        <v>35</v>
      </c>
      <c r="G47" s="602"/>
      <c r="H47" s="680"/>
      <c r="I47" s="681"/>
      <c r="J47" s="682"/>
      <c r="K47" s="682" t="s">
        <v>21</v>
      </c>
      <c r="L47" s="602"/>
      <c r="M47" s="593"/>
      <c r="N47" s="593"/>
      <c r="O47" s="609" t="str">
        <f t="shared" si="4"/>
        <v/>
      </c>
      <c r="P47" s="610" t="str">
        <f t="shared" si="5"/>
        <v/>
      </c>
      <c r="Q47" s="611" t="str">
        <f t="shared" si="6"/>
        <v/>
      </c>
      <c r="R47" s="612"/>
      <c r="S47" s="613">
        <f t="shared" si="7"/>
        <v>0</v>
      </c>
      <c r="T47" s="614" t="str">
        <f>IF(N47&lt;&gt;"",(T46+M47+S47)-(N47+R48),"")</f>
        <v/>
      </c>
      <c r="U47" s="125"/>
    </row>
    <row r="48" spans="1:21" ht="15" x14ac:dyDescent="0.25">
      <c r="A48" s="868">
        <f t="shared" si="2"/>
        <v>46508</v>
      </c>
      <c r="B48" s="518">
        <f t="shared" si="3"/>
        <v>18</v>
      </c>
      <c r="C48" s="519">
        <v>46508</v>
      </c>
      <c r="D48" s="591">
        <v>5045</v>
      </c>
      <c r="E48" s="589">
        <v>245</v>
      </c>
      <c r="F48" s="590">
        <v>30</v>
      </c>
      <c r="G48" s="602"/>
      <c r="H48" s="680"/>
      <c r="I48" s="681"/>
      <c r="J48" s="682"/>
      <c r="K48" s="682" t="s">
        <v>20</v>
      </c>
      <c r="L48" s="602"/>
      <c r="M48" s="593"/>
      <c r="N48" s="593"/>
      <c r="O48" s="609" t="str">
        <f t="shared" si="4"/>
        <v/>
      </c>
      <c r="P48" s="610" t="str">
        <f t="shared" si="5"/>
        <v/>
      </c>
      <c r="Q48" s="611" t="str">
        <f t="shared" si="6"/>
        <v/>
      </c>
      <c r="R48" s="612"/>
      <c r="S48" s="613">
        <f t="shared" si="7"/>
        <v>0</v>
      </c>
      <c r="T48" s="614" t="str">
        <f t="shared" ref="T48:T53" si="10">IF(N48&lt;&gt;"",(T47+M48+S48)-(N48+R49),"")</f>
        <v/>
      </c>
      <c r="U48" s="125"/>
    </row>
    <row r="49" spans="1:21" ht="15" x14ac:dyDescent="0.25">
      <c r="A49" s="868">
        <f t="shared" si="2"/>
        <v>46515</v>
      </c>
      <c r="B49" s="518">
        <f t="shared" si="3"/>
        <v>19</v>
      </c>
      <c r="C49" s="519">
        <v>46515</v>
      </c>
      <c r="D49" s="591">
        <v>9595</v>
      </c>
      <c r="E49" s="589">
        <v>280</v>
      </c>
      <c r="F49" s="590">
        <v>25</v>
      </c>
      <c r="G49" s="602"/>
      <c r="H49" s="680"/>
      <c r="I49" s="681"/>
      <c r="J49" s="682"/>
      <c r="K49" s="682" t="s">
        <v>22</v>
      </c>
      <c r="L49" s="602"/>
      <c r="M49" s="593"/>
      <c r="N49" s="593"/>
      <c r="O49" s="609" t="str">
        <f t="shared" si="4"/>
        <v/>
      </c>
      <c r="P49" s="610" t="str">
        <f t="shared" si="5"/>
        <v/>
      </c>
      <c r="Q49" s="611" t="str">
        <f t="shared" si="6"/>
        <v/>
      </c>
      <c r="R49" s="612"/>
      <c r="S49" s="613">
        <f t="shared" si="7"/>
        <v>0</v>
      </c>
      <c r="T49" s="614" t="str">
        <f t="shared" si="10"/>
        <v/>
      </c>
      <c r="U49" s="125"/>
    </row>
    <row r="50" spans="1:21" ht="15" x14ac:dyDescent="0.25">
      <c r="A50" s="868">
        <f t="shared" si="2"/>
        <v>46522</v>
      </c>
      <c r="B50" s="518">
        <f t="shared" si="3"/>
        <v>20</v>
      </c>
      <c r="C50" s="519">
        <v>46522</v>
      </c>
      <c r="D50" s="591"/>
      <c r="E50" s="589"/>
      <c r="F50" s="590"/>
      <c r="G50" s="602"/>
      <c r="H50" s="680"/>
      <c r="I50" s="681"/>
      <c r="J50" s="682"/>
      <c r="K50" s="682"/>
      <c r="L50" s="602"/>
      <c r="M50" s="593"/>
      <c r="N50" s="593"/>
      <c r="O50" s="609" t="str">
        <f t="shared" si="4"/>
        <v/>
      </c>
      <c r="P50" s="610" t="str">
        <f t="shared" si="5"/>
        <v/>
      </c>
      <c r="Q50" s="611" t="str">
        <f t="shared" si="6"/>
        <v/>
      </c>
      <c r="R50" s="612"/>
      <c r="S50" s="613">
        <f t="shared" si="7"/>
        <v>0</v>
      </c>
      <c r="T50" s="614" t="str">
        <f t="shared" si="10"/>
        <v/>
      </c>
      <c r="U50" s="125"/>
    </row>
    <row r="51" spans="1:21" ht="15.75" thickBot="1" x14ac:dyDescent="0.3">
      <c r="A51" s="868">
        <f t="shared" si="2"/>
        <v>46529</v>
      </c>
      <c r="B51" s="518">
        <f t="shared" si="3"/>
        <v>21</v>
      </c>
      <c r="C51" s="519">
        <v>46529</v>
      </c>
      <c r="D51" s="591"/>
      <c r="E51" s="589"/>
      <c r="F51" s="590"/>
      <c r="G51" s="602"/>
      <c r="H51" s="680"/>
      <c r="I51" s="681"/>
      <c r="J51" s="682"/>
      <c r="K51" s="682"/>
      <c r="L51" s="602"/>
      <c r="M51" s="593"/>
      <c r="N51" s="593"/>
      <c r="O51" s="609" t="str">
        <f t="shared" si="4"/>
        <v/>
      </c>
      <c r="P51" s="610" t="str">
        <f t="shared" si="5"/>
        <v/>
      </c>
      <c r="Q51" s="611" t="str">
        <f t="shared" si="6"/>
        <v/>
      </c>
      <c r="R51" s="612"/>
      <c r="S51" s="613">
        <f t="shared" si="7"/>
        <v>0</v>
      </c>
      <c r="T51" s="614" t="str">
        <f t="shared" si="10"/>
        <v/>
      </c>
      <c r="U51" s="125"/>
    </row>
    <row r="52" spans="1:21" ht="15.75" hidden="1" thickBot="1" x14ac:dyDescent="0.3">
      <c r="B52" s="518">
        <f t="shared" si="3"/>
        <v>0</v>
      </c>
      <c r="C52" s="519" t="str">
        <f>IF(Data!AL42="","",Data!AL42)</f>
        <v/>
      </c>
      <c r="D52" s="591"/>
      <c r="E52" s="589"/>
      <c r="F52" s="590"/>
      <c r="G52" s="520"/>
      <c r="H52" s="400"/>
      <c r="I52" s="401"/>
      <c r="J52" s="402"/>
      <c r="K52" s="861"/>
      <c r="L52" s="520"/>
      <c r="M52" s="397"/>
      <c r="N52" s="398"/>
      <c r="O52" s="406" t="str">
        <f t="shared" si="4"/>
        <v/>
      </c>
      <c r="P52" s="407" t="str">
        <f t="shared" si="5"/>
        <v/>
      </c>
      <c r="Q52" s="408" t="str">
        <f t="shared" si="6"/>
        <v/>
      </c>
      <c r="R52" s="399"/>
      <c r="S52" s="405">
        <f t="shared" si="7"/>
        <v>0</v>
      </c>
      <c r="T52" s="403" t="str">
        <f t="shared" si="10"/>
        <v/>
      </c>
      <c r="U52" s="125"/>
    </row>
    <row r="53" spans="1:21" ht="15.75" hidden="1" thickBot="1" x14ac:dyDescent="0.3">
      <c r="B53" s="518">
        <f t="shared" si="3"/>
        <v>0</v>
      </c>
      <c r="C53" s="519" t="str">
        <f>IF(Data!AL43="","",Data!AL43)</f>
        <v/>
      </c>
      <c r="D53" s="591"/>
      <c r="E53" s="589"/>
      <c r="F53" s="590"/>
      <c r="G53" s="520"/>
      <c r="H53" s="400"/>
      <c r="I53" s="401"/>
      <c r="J53" s="402"/>
      <c r="K53" s="861"/>
      <c r="L53" s="520"/>
      <c r="M53" s="397"/>
      <c r="N53" s="398"/>
      <c r="O53" s="406" t="str">
        <f t="shared" si="4"/>
        <v/>
      </c>
      <c r="P53" s="407" t="str">
        <f t="shared" si="5"/>
        <v/>
      </c>
      <c r="Q53" s="408" t="str">
        <f t="shared" si="6"/>
        <v/>
      </c>
      <c r="R53" s="399"/>
      <c r="S53" s="405">
        <f t="shared" si="7"/>
        <v>0</v>
      </c>
      <c r="T53" s="403" t="str">
        <f t="shared" si="10"/>
        <v/>
      </c>
      <c r="U53" s="125"/>
    </row>
    <row r="54" spans="1:21" ht="15.75" hidden="1" thickBot="1" x14ac:dyDescent="0.3">
      <c r="B54" s="518">
        <f t="shared" si="3"/>
        <v>0</v>
      </c>
      <c r="C54" s="519" t="str">
        <f>IF(Data!AL44="","",Data!AL44)</f>
        <v/>
      </c>
      <c r="D54" s="591"/>
      <c r="E54" s="589"/>
      <c r="F54" s="590"/>
      <c r="G54" s="520"/>
      <c r="H54" s="400"/>
      <c r="I54" s="401"/>
      <c r="J54" s="402"/>
      <c r="K54" s="861"/>
      <c r="L54" s="520"/>
      <c r="M54" s="397"/>
      <c r="N54" s="398"/>
      <c r="O54" s="406" t="str">
        <f t="shared" si="4"/>
        <v/>
      </c>
      <c r="P54" s="407" t="str">
        <f t="shared" si="5"/>
        <v/>
      </c>
      <c r="Q54" s="408" t="str">
        <f t="shared" si="6"/>
        <v/>
      </c>
      <c r="R54" s="399"/>
      <c r="S54" s="405">
        <f t="shared" si="7"/>
        <v>0</v>
      </c>
      <c r="T54" s="403" t="str">
        <f t="shared" si="8"/>
        <v/>
      </c>
      <c r="U54" s="125"/>
    </row>
    <row r="55" spans="1:21" ht="15.75" hidden="1" thickBot="1" x14ac:dyDescent="0.3">
      <c r="B55" s="518">
        <f t="shared" si="3"/>
        <v>0</v>
      </c>
      <c r="C55" s="519" t="str">
        <f>IF(Data!AL45="","",Data!AL45)</f>
        <v/>
      </c>
      <c r="D55" s="591"/>
      <c r="E55" s="589"/>
      <c r="F55" s="590"/>
      <c r="G55" s="520"/>
      <c r="H55" s="400"/>
      <c r="I55" s="401"/>
      <c r="J55" s="402"/>
      <c r="K55" s="861"/>
      <c r="L55" s="520"/>
      <c r="M55" s="397"/>
      <c r="N55" s="398"/>
      <c r="O55" s="406" t="str">
        <f t="shared" si="4"/>
        <v/>
      </c>
      <c r="P55" s="407" t="str">
        <f t="shared" si="5"/>
        <v/>
      </c>
      <c r="Q55" s="408" t="str">
        <f t="shared" si="6"/>
        <v/>
      </c>
      <c r="R55" s="399"/>
      <c r="S55" s="405">
        <f t="shared" si="7"/>
        <v>0</v>
      </c>
      <c r="T55" s="403" t="str">
        <f t="shared" si="8"/>
        <v/>
      </c>
      <c r="U55" s="125"/>
    </row>
    <row r="56" spans="1:21" ht="15.75" hidden="1" thickBot="1" x14ac:dyDescent="0.3">
      <c r="B56" s="518">
        <f t="shared" si="3"/>
        <v>0</v>
      </c>
      <c r="C56" s="519" t="str">
        <f>IF(Data!AL46="","",Data!AL46)</f>
        <v/>
      </c>
      <c r="D56" s="591"/>
      <c r="E56" s="589"/>
      <c r="F56" s="590"/>
      <c r="G56" s="520"/>
      <c r="H56" s="400"/>
      <c r="I56" s="401"/>
      <c r="J56" s="402"/>
      <c r="K56" s="861"/>
      <c r="L56" s="520"/>
      <c r="M56" s="397"/>
      <c r="N56" s="398"/>
      <c r="O56" s="406" t="str">
        <f t="shared" si="4"/>
        <v/>
      </c>
      <c r="P56" s="407" t="str">
        <f t="shared" si="5"/>
        <v/>
      </c>
      <c r="Q56" s="408" t="str">
        <f t="shared" si="6"/>
        <v/>
      </c>
      <c r="R56" s="399"/>
      <c r="S56" s="405">
        <f t="shared" si="7"/>
        <v>0</v>
      </c>
      <c r="T56" s="403" t="str">
        <f t="shared" si="8"/>
        <v/>
      </c>
      <c r="U56" s="125"/>
    </row>
    <row r="57" spans="1:21" ht="15.75" hidden="1" thickBot="1" x14ac:dyDescent="0.3">
      <c r="B57" s="518">
        <f t="shared" si="3"/>
        <v>0</v>
      </c>
      <c r="C57" s="519" t="str">
        <f>IF(Data!AL47="","",Data!AL47)</f>
        <v/>
      </c>
      <c r="D57" s="591"/>
      <c r="E57" s="589"/>
      <c r="F57" s="590"/>
      <c r="G57" s="520"/>
      <c r="H57" s="400"/>
      <c r="I57" s="401"/>
      <c r="J57" s="402"/>
      <c r="K57" s="861"/>
      <c r="L57" s="520"/>
      <c r="M57" s="397"/>
      <c r="N57" s="398"/>
      <c r="O57" s="406" t="str">
        <f t="shared" si="4"/>
        <v/>
      </c>
      <c r="P57" s="407" t="str">
        <f t="shared" si="5"/>
        <v/>
      </c>
      <c r="Q57" s="408" t="str">
        <f t="shared" si="6"/>
        <v/>
      </c>
      <c r="R57" s="399"/>
      <c r="S57" s="405">
        <f t="shared" si="7"/>
        <v>0</v>
      </c>
      <c r="T57" s="403" t="str">
        <f t="shared" si="8"/>
        <v/>
      </c>
      <c r="U57" s="125"/>
    </row>
    <row r="58" spans="1:21" ht="15.75" hidden="1" thickBot="1" x14ac:dyDescent="0.3">
      <c r="B58" s="518">
        <f t="shared" si="3"/>
        <v>0</v>
      </c>
      <c r="C58" s="519" t="str">
        <f>IF(Data!AL48="","",Data!AL48)</f>
        <v/>
      </c>
      <c r="D58" s="591"/>
      <c r="E58" s="589"/>
      <c r="F58" s="590"/>
      <c r="G58" s="520"/>
      <c r="H58" s="400"/>
      <c r="I58" s="401"/>
      <c r="J58" s="402"/>
      <c r="K58" s="861"/>
      <c r="L58" s="520"/>
      <c r="M58" s="397"/>
      <c r="N58" s="398"/>
      <c r="O58" s="406" t="str">
        <f t="shared" si="4"/>
        <v/>
      </c>
      <c r="P58" s="407" t="str">
        <f t="shared" si="5"/>
        <v/>
      </c>
      <c r="Q58" s="408" t="str">
        <f t="shared" si="6"/>
        <v/>
      </c>
      <c r="R58" s="399"/>
      <c r="S58" s="405">
        <f t="shared" si="7"/>
        <v>0</v>
      </c>
      <c r="T58" s="403" t="str">
        <f t="shared" si="8"/>
        <v/>
      </c>
      <c r="U58" s="125"/>
    </row>
    <row r="59" spans="1:21" ht="15.75" hidden="1" thickBot="1" x14ac:dyDescent="0.3">
      <c r="B59" s="518">
        <f t="shared" si="3"/>
        <v>0</v>
      </c>
      <c r="C59" s="519" t="str">
        <f>IF(Data!AL49="","",Data!AL49)</f>
        <v/>
      </c>
      <c r="D59" s="591"/>
      <c r="E59" s="589"/>
      <c r="F59" s="590"/>
      <c r="G59" s="520"/>
      <c r="H59" s="400"/>
      <c r="I59" s="401"/>
      <c r="J59" s="402"/>
      <c r="K59" s="861"/>
      <c r="L59" s="520"/>
      <c r="M59" s="397"/>
      <c r="N59" s="398"/>
      <c r="O59" s="406" t="str">
        <f t="shared" si="4"/>
        <v/>
      </c>
      <c r="P59" s="407" t="str">
        <f t="shared" si="5"/>
        <v/>
      </c>
      <c r="Q59" s="408" t="str">
        <f t="shared" si="6"/>
        <v/>
      </c>
      <c r="R59" s="399"/>
      <c r="S59" s="405">
        <f t="shared" si="7"/>
        <v>0</v>
      </c>
      <c r="T59" s="403" t="str">
        <f t="shared" si="8"/>
        <v/>
      </c>
      <c r="U59" s="125"/>
    </row>
    <row r="60" spans="1:21" ht="15.75" hidden="1" thickBot="1" x14ac:dyDescent="0.3">
      <c r="B60" s="518">
        <f t="shared" si="3"/>
        <v>0</v>
      </c>
      <c r="C60" s="519" t="str">
        <f>IF(Data!AL50="","",Data!AL50)</f>
        <v/>
      </c>
      <c r="D60" s="591"/>
      <c r="E60" s="589"/>
      <c r="F60" s="590"/>
      <c r="G60" s="520"/>
      <c r="H60" s="400"/>
      <c r="I60" s="401"/>
      <c r="J60" s="402"/>
      <c r="K60" s="861"/>
      <c r="L60" s="520"/>
      <c r="M60" s="397"/>
      <c r="N60" s="398"/>
      <c r="O60" s="406" t="str">
        <f t="shared" si="4"/>
        <v/>
      </c>
      <c r="P60" s="407" t="str">
        <f t="shared" si="5"/>
        <v/>
      </c>
      <c r="Q60" s="408" t="str">
        <f t="shared" si="6"/>
        <v/>
      </c>
      <c r="R60" s="399"/>
      <c r="S60" s="405">
        <f t="shared" si="7"/>
        <v>0</v>
      </c>
      <c r="T60" s="403" t="str">
        <f t="shared" si="8"/>
        <v/>
      </c>
      <c r="U60" s="125"/>
    </row>
    <row r="61" spans="1:21" ht="15.75" hidden="1" thickBot="1" x14ac:dyDescent="0.3">
      <c r="B61" s="518">
        <f t="shared" si="3"/>
        <v>0</v>
      </c>
      <c r="C61" s="519" t="str">
        <f>IF(Data!AL51="","",Data!AL51)</f>
        <v/>
      </c>
      <c r="D61" s="591"/>
      <c r="E61" s="589"/>
      <c r="F61" s="590"/>
      <c r="G61" s="520"/>
      <c r="H61" s="400"/>
      <c r="I61" s="401"/>
      <c r="J61" s="402"/>
      <c r="K61" s="861"/>
      <c r="L61" s="520"/>
      <c r="M61" s="397"/>
      <c r="N61" s="398"/>
      <c r="O61" s="406" t="str">
        <f t="shared" si="4"/>
        <v/>
      </c>
      <c r="P61" s="407" t="str">
        <f t="shared" si="5"/>
        <v/>
      </c>
      <c r="Q61" s="408" t="str">
        <f t="shared" si="6"/>
        <v/>
      </c>
      <c r="R61" s="399"/>
      <c r="S61" s="405">
        <f t="shared" si="7"/>
        <v>0</v>
      </c>
      <c r="T61" s="403" t="str">
        <f t="shared" si="8"/>
        <v/>
      </c>
      <c r="U61" s="125"/>
    </row>
    <row r="62" spans="1:21" ht="15.75" hidden="1" thickBot="1" x14ac:dyDescent="0.3">
      <c r="B62" s="518">
        <f t="shared" si="3"/>
        <v>0</v>
      </c>
      <c r="C62" s="519" t="str">
        <f>IF(Data!AL52="","",Data!AL52)</f>
        <v/>
      </c>
      <c r="D62" s="591"/>
      <c r="E62" s="589"/>
      <c r="F62" s="590"/>
      <c r="G62" s="520"/>
      <c r="H62" s="400"/>
      <c r="I62" s="401"/>
      <c r="J62" s="402"/>
      <c r="K62" s="861"/>
      <c r="L62" s="520"/>
      <c r="M62" s="397"/>
      <c r="N62" s="398"/>
      <c r="O62" s="406" t="str">
        <f t="shared" si="4"/>
        <v/>
      </c>
      <c r="P62" s="407" t="str">
        <f t="shared" si="5"/>
        <v/>
      </c>
      <c r="Q62" s="408" t="str">
        <f t="shared" si="6"/>
        <v/>
      </c>
      <c r="R62" s="399"/>
      <c r="S62" s="405">
        <f t="shared" si="7"/>
        <v>0</v>
      </c>
      <c r="T62" s="403" t="str">
        <f t="shared" si="8"/>
        <v/>
      </c>
      <c r="U62" s="125"/>
    </row>
    <row r="63" spans="1:21" ht="15.75" hidden="1" thickBot="1" x14ac:dyDescent="0.3">
      <c r="B63" s="518">
        <f t="shared" si="3"/>
        <v>0</v>
      </c>
      <c r="C63" s="519" t="str">
        <f>IF(Data!AL53="","",Data!AL53)</f>
        <v/>
      </c>
      <c r="D63" s="591"/>
      <c r="E63" s="589"/>
      <c r="F63" s="590"/>
      <c r="G63" s="520"/>
      <c r="H63" s="400"/>
      <c r="I63" s="401"/>
      <c r="J63" s="402"/>
      <c r="K63" s="861"/>
      <c r="L63" s="520"/>
      <c r="M63" s="397"/>
      <c r="N63" s="398"/>
      <c r="O63" s="406" t="str">
        <f t="shared" si="4"/>
        <v/>
      </c>
      <c r="P63" s="407" t="str">
        <f t="shared" si="5"/>
        <v/>
      </c>
      <c r="Q63" s="408" t="str">
        <f t="shared" si="6"/>
        <v/>
      </c>
      <c r="R63" s="399"/>
      <c r="S63" s="405">
        <f t="shared" si="7"/>
        <v>0</v>
      </c>
      <c r="T63" s="403" t="str">
        <f t="shared" si="8"/>
        <v/>
      </c>
      <c r="U63" s="125"/>
    </row>
    <row r="64" spans="1:21" ht="15.75" hidden="1" thickBot="1" x14ac:dyDescent="0.3">
      <c r="B64" s="518">
        <f t="shared" si="3"/>
        <v>0</v>
      </c>
      <c r="C64" s="519" t="str">
        <f>IF(Data!AL54="","",Data!AL54)</f>
        <v/>
      </c>
      <c r="D64" s="591"/>
      <c r="E64" s="589"/>
      <c r="F64" s="590"/>
      <c r="G64" s="520"/>
      <c r="H64" s="400"/>
      <c r="I64" s="401"/>
      <c r="J64" s="402"/>
      <c r="K64" s="861"/>
      <c r="L64" s="520"/>
      <c r="M64" s="397"/>
      <c r="N64" s="398"/>
      <c r="O64" s="406" t="str">
        <f t="shared" si="4"/>
        <v/>
      </c>
      <c r="P64" s="407" t="str">
        <f t="shared" si="5"/>
        <v/>
      </c>
      <c r="Q64" s="408" t="str">
        <f t="shared" si="6"/>
        <v/>
      </c>
      <c r="R64" s="399"/>
      <c r="S64" s="405">
        <f t="shared" si="7"/>
        <v>0</v>
      </c>
      <c r="T64" s="403" t="str">
        <f t="shared" si="8"/>
        <v/>
      </c>
      <c r="U64" s="125"/>
    </row>
    <row r="65" spans="2:21" ht="15.75" hidden="1" thickBot="1" x14ac:dyDescent="0.3">
      <c r="B65" s="518">
        <f t="shared" si="3"/>
        <v>0</v>
      </c>
      <c r="C65" s="519" t="str">
        <f>IF(Data!AL55="","",Data!AL55)</f>
        <v/>
      </c>
      <c r="D65" s="591"/>
      <c r="E65" s="589"/>
      <c r="F65" s="590"/>
      <c r="G65" s="520"/>
      <c r="H65" s="400"/>
      <c r="I65" s="401"/>
      <c r="J65" s="402"/>
      <c r="K65" s="861"/>
      <c r="L65" s="520"/>
      <c r="M65" s="397"/>
      <c r="N65" s="398"/>
      <c r="O65" s="406" t="str">
        <f t="shared" si="4"/>
        <v/>
      </c>
      <c r="P65" s="407" t="str">
        <f t="shared" si="5"/>
        <v/>
      </c>
      <c r="Q65" s="408" t="str">
        <f t="shared" si="6"/>
        <v/>
      </c>
      <c r="R65" s="399"/>
      <c r="S65" s="405">
        <f t="shared" si="7"/>
        <v>0</v>
      </c>
      <c r="T65" s="403" t="str">
        <f t="shared" si="8"/>
        <v/>
      </c>
      <c r="U65" s="125"/>
    </row>
    <row r="66" spans="2:21" ht="15.75" hidden="1" thickBot="1" x14ac:dyDescent="0.3">
      <c r="B66" s="518">
        <f t="shared" si="3"/>
        <v>0</v>
      </c>
      <c r="C66" s="519" t="str">
        <f>IF(Data!AL56="","",Data!AL56)</f>
        <v/>
      </c>
      <c r="D66" s="591"/>
      <c r="E66" s="589"/>
      <c r="F66" s="590"/>
      <c r="G66" s="520"/>
      <c r="H66" s="400"/>
      <c r="I66" s="401"/>
      <c r="J66" s="402"/>
      <c r="K66" s="861"/>
      <c r="L66" s="520"/>
      <c r="M66" s="397"/>
      <c r="N66" s="398"/>
      <c r="O66" s="406" t="str">
        <f t="shared" si="4"/>
        <v/>
      </c>
      <c r="P66" s="407" t="str">
        <f t="shared" si="5"/>
        <v/>
      </c>
      <c r="Q66" s="408" t="str">
        <f t="shared" si="6"/>
        <v/>
      </c>
      <c r="R66" s="399"/>
      <c r="S66" s="405">
        <f t="shared" si="7"/>
        <v>0</v>
      </c>
      <c r="T66" s="403" t="str">
        <f t="shared" si="8"/>
        <v/>
      </c>
      <c r="U66" s="125"/>
    </row>
    <row r="67" spans="2:21" ht="15.75" hidden="1" thickBot="1" x14ac:dyDescent="0.3">
      <c r="B67" s="518">
        <f t="shared" si="3"/>
        <v>0</v>
      </c>
      <c r="C67" s="519" t="str">
        <f>IF(Data!AL57="","",Data!AL57)</f>
        <v/>
      </c>
      <c r="D67" s="591"/>
      <c r="E67" s="589"/>
      <c r="F67" s="590"/>
      <c r="G67" s="520"/>
      <c r="H67" s="400"/>
      <c r="I67" s="401"/>
      <c r="J67" s="402"/>
      <c r="K67" s="861"/>
      <c r="L67" s="520"/>
      <c r="M67" s="397"/>
      <c r="N67" s="398"/>
      <c r="O67" s="406" t="str">
        <f t="shared" si="4"/>
        <v/>
      </c>
      <c r="P67" s="407" t="str">
        <f t="shared" si="5"/>
        <v/>
      </c>
      <c r="Q67" s="408" t="str">
        <f t="shared" si="6"/>
        <v/>
      </c>
      <c r="R67" s="399"/>
      <c r="S67" s="405">
        <f t="shared" si="7"/>
        <v>0</v>
      </c>
      <c r="T67" s="403" t="str">
        <f t="shared" si="8"/>
        <v/>
      </c>
      <c r="U67" s="125"/>
    </row>
    <row r="68" spans="2:21" ht="15.75" hidden="1" thickBot="1" x14ac:dyDescent="0.3">
      <c r="B68" s="518">
        <f t="shared" si="3"/>
        <v>0</v>
      </c>
      <c r="C68" s="519" t="str">
        <f>IF(Data!AL58="","",Data!AL58)</f>
        <v/>
      </c>
      <c r="D68" s="591"/>
      <c r="E68" s="589"/>
      <c r="F68" s="590"/>
      <c r="G68" s="520"/>
      <c r="H68" s="400"/>
      <c r="I68" s="401"/>
      <c r="J68" s="402"/>
      <c r="K68" s="861"/>
      <c r="L68" s="520"/>
      <c r="M68" s="397"/>
      <c r="N68" s="398"/>
      <c r="O68" s="406" t="str">
        <f t="shared" si="4"/>
        <v/>
      </c>
      <c r="P68" s="407" t="str">
        <f t="shared" si="5"/>
        <v/>
      </c>
      <c r="Q68" s="408" t="str">
        <f t="shared" si="6"/>
        <v/>
      </c>
      <c r="R68" s="399"/>
      <c r="S68" s="405">
        <f t="shared" si="7"/>
        <v>0</v>
      </c>
      <c r="T68" s="403" t="str">
        <f t="shared" si="8"/>
        <v/>
      </c>
      <c r="U68" s="125"/>
    </row>
    <row r="69" spans="2:21" ht="15.75" hidden="1" thickBot="1" x14ac:dyDescent="0.3">
      <c r="B69" s="518">
        <f t="shared" si="3"/>
        <v>0</v>
      </c>
      <c r="C69" s="519" t="str">
        <f>IF(Data!AL59="","",Data!AL59)</f>
        <v/>
      </c>
      <c r="D69" s="591"/>
      <c r="E69" s="589"/>
      <c r="F69" s="590"/>
      <c r="G69" s="520"/>
      <c r="H69" s="400"/>
      <c r="I69" s="401"/>
      <c r="J69" s="402"/>
      <c r="K69" s="861"/>
      <c r="L69" s="520"/>
      <c r="M69" s="397"/>
      <c r="N69" s="398"/>
      <c r="O69" s="406" t="str">
        <f t="shared" si="4"/>
        <v/>
      </c>
      <c r="P69" s="407" t="str">
        <f t="shared" si="5"/>
        <v/>
      </c>
      <c r="Q69" s="408" t="str">
        <f t="shared" si="6"/>
        <v/>
      </c>
      <c r="R69" s="399"/>
      <c r="S69" s="405">
        <f t="shared" si="7"/>
        <v>0</v>
      </c>
      <c r="T69" s="403" t="str">
        <f t="shared" si="8"/>
        <v/>
      </c>
      <c r="U69" s="125"/>
    </row>
    <row r="70" spans="2:21" ht="15.75" hidden="1" thickBot="1" x14ac:dyDescent="0.3">
      <c r="B70" s="518">
        <f t="shared" si="3"/>
        <v>0</v>
      </c>
      <c r="C70" s="519" t="str">
        <f>IF(Data!AL60="","",Data!AL60)</f>
        <v/>
      </c>
      <c r="D70" s="591"/>
      <c r="E70" s="589"/>
      <c r="F70" s="590"/>
      <c r="G70" s="520"/>
      <c r="H70" s="400"/>
      <c r="I70" s="401"/>
      <c r="J70" s="402"/>
      <c r="K70" s="861"/>
      <c r="L70" s="520"/>
      <c r="M70" s="397"/>
      <c r="N70" s="398"/>
      <c r="O70" s="406" t="str">
        <f t="shared" si="4"/>
        <v/>
      </c>
      <c r="P70" s="407" t="str">
        <f t="shared" si="5"/>
        <v/>
      </c>
      <c r="Q70" s="408" t="str">
        <f t="shared" si="6"/>
        <v/>
      </c>
      <c r="R70" s="399"/>
      <c r="S70" s="405">
        <f t="shared" si="7"/>
        <v>0</v>
      </c>
      <c r="T70" s="403" t="str">
        <f t="shared" si="8"/>
        <v/>
      </c>
      <c r="U70" s="125"/>
    </row>
    <row r="71" spans="2:21" ht="15.75" hidden="1" thickBot="1" x14ac:dyDescent="0.3">
      <c r="B71" s="518">
        <f t="shared" si="3"/>
        <v>0</v>
      </c>
      <c r="C71" s="519" t="str">
        <f>IF(Data!AL61="","",Data!AL61)</f>
        <v/>
      </c>
      <c r="D71" s="591"/>
      <c r="E71" s="589"/>
      <c r="F71" s="590"/>
      <c r="G71" s="520"/>
      <c r="H71" s="400"/>
      <c r="I71" s="401"/>
      <c r="J71" s="402"/>
      <c r="K71" s="861"/>
      <c r="L71" s="520"/>
      <c r="M71" s="397"/>
      <c r="N71" s="398"/>
      <c r="O71" s="406" t="str">
        <f t="shared" si="4"/>
        <v/>
      </c>
      <c r="P71" s="407" t="str">
        <f t="shared" si="5"/>
        <v/>
      </c>
      <c r="Q71" s="408" t="str">
        <f t="shared" si="6"/>
        <v/>
      </c>
      <c r="R71" s="399"/>
      <c r="S71" s="405">
        <f t="shared" si="7"/>
        <v>0</v>
      </c>
      <c r="T71" s="403" t="str">
        <f t="shared" si="8"/>
        <v/>
      </c>
      <c r="U71" s="125"/>
    </row>
    <row r="72" spans="2:21" ht="15.75" hidden="1" thickBot="1" x14ac:dyDescent="0.3">
      <c r="B72" s="518">
        <f t="shared" si="3"/>
        <v>0</v>
      </c>
      <c r="C72" s="519" t="str">
        <f>IF(Data!AL62="","",Data!AL62)</f>
        <v/>
      </c>
      <c r="D72" s="591"/>
      <c r="E72" s="589"/>
      <c r="F72" s="590"/>
      <c r="G72" s="520"/>
      <c r="H72" s="400"/>
      <c r="I72" s="401"/>
      <c r="J72" s="402"/>
      <c r="K72" s="861"/>
      <c r="L72" s="520"/>
      <c r="M72" s="397"/>
      <c r="N72" s="398"/>
      <c r="O72" s="406" t="str">
        <f t="shared" si="4"/>
        <v/>
      </c>
      <c r="P72" s="407" t="str">
        <f t="shared" si="5"/>
        <v/>
      </c>
      <c r="Q72" s="408" t="str">
        <f t="shared" si="6"/>
        <v/>
      </c>
      <c r="R72" s="399"/>
      <c r="S72" s="405">
        <f t="shared" si="7"/>
        <v>0</v>
      </c>
      <c r="T72" s="403" t="str">
        <f t="shared" si="8"/>
        <v/>
      </c>
      <c r="U72" s="125"/>
    </row>
    <row r="73" spans="2:21" ht="15.75" hidden="1" thickBot="1" x14ac:dyDescent="0.3">
      <c r="B73" s="518">
        <f t="shared" si="3"/>
        <v>0</v>
      </c>
      <c r="C73" s="519" t="str">
        <f>IF(Data!AL63="","",Data!AL63)</f>
        <v/>
      </c>
      <c r="D73" s="591"/>
      <c r="E73" s="589"/>
      <c r="F73" s="590"/>
      <c r="G73" s="520"/>
      <c r="H73" s="400"/>
      <c r="I73" s="401"/>
      <c r="J73" s="402"/>
      <c r="K73" s="861"/>
      <c r="L73" s="520"/>
      <c r="M73" s="397"/>
      <c r="N73" s="398"/>
      <c r="O73" s="406" t="str">
        <f t="shared" si="4"/>
        <v/>
      </c>
      <c r="P73" s="407" t="str">
        <f t="shared" si="5"/>
        <v/>
      </c>
      <c r="Q73" s="408" t="str">
        <f t="shared" si="6"/>
        <v/>
      </c>
      <c r="R73" s="399"/>
      <c r="S73" s="405">
        <f t="shared" si="7"/>
        <v>0</v>
      </c>
      <c r="T73" s="403" t="str">
        <f t="shared" si="8"/>
        <v/>
      </c>
      <c r="U73" s="125"/>
    </row>
    <row r="74" spans="2:21" ht="15.75" hidden="1" thickBot="1" x14ac:dyDescent="0.3">
      <c r="B74" s="518">
        <f t="shared" si="3"/>
        <v>0</v>
      </c>
      <c r="C74" s="519" t="str">
        <f>IF(Data!AL64="","",Data!AL64)</f>
        <v/>
      </c>
      <c r="D74" s="591"/>
      <c r="E74" s="589"/>
      <c r="F74" s="590"/>
      <c r="G74" s="520"/>
      <c r="H74" s="400"/>
      <c r="I74" s="401"/>
      <c r="J74" s="402"/>
      <c r="K74" s="861"/>
      <c r="L74" s="520"/>
      <c r="M74" s="397"/>
      <c r="N74" s="398"/>
      <c r="O74" s="406" t="str">
        <f t="shared" si="4"/>
        <v/>
      </c>
      <c r="P74" s="407" t="str">
        <f t="shared" si="5"/>
        <v/>
      </c>
      <c r="Q74" s="408" t="str">
        <f t="shared" si="6"/>
        <v/>
      </c>
      <c r="R74" s="399"/>
      <c r="S74" s="405">
        <f t="shared" si="7"/>
        <v>0</v>
      </c>
      <c r="T74" s="403" t="str">
        <f t="shared" si="8"/>
        <v/>
      </c>
      <c r="U74" s="125"/>
    </row>
    <row r="75" spans="2:21" ht="15.75" hidden="1" thickBot="1" x14ac:dyDescent="0.3">
      <c r="B75" s="518">
        <f t="shared" si="3"/>
        <v>0</v>
      </c>
      <c r="C75" s="519" t="str">
        <f>IF(Data!AL65="","",Data!AL65)</f>
        <v/>
      </c>
      <c r="D75" s="591"/>
      <c r="E75" s="589"/>
      <c r="F75" s="590"/>
      <c r="G75" s="520"/>
      <c r="H75" s="400"/>
      <c r="I75" s="401"/>
      <c r="J75" s="402"/>
      <c r="K75" s="861"/>
      <c r="L75" s="520"/>
      <c r="M75" s="397"/>
      <c r="N75" s="398"/>
      <c r="O75" s="406" t="str">
        <f t="shared" si="4"/>
        <v/>
      </c>
      <c r="P75" s="407" t="str">
        <f t="shared" si="5"/>
        <v/>
      </c>
      <c r="Q75" s="408" t="str">
        <f t="shared" si="6"/>
        <v/>
      </c>
      <c r="R75" s="399"/>
      <c r="S75" s="405">
        <f t="shared" si="7"/>
        <v>0</v>
      </c>
      <c r="T75" s="403" t="str">
        <f t="shared" si="8"/>
        <v/>
      </c>
      <c r="U75" s="125"/>
    </row>
    <row r="76" spans="2:21" ht="15.75" hidden="1" thickBot="1" x14ac:dyDescent="0.3">
      <c r="B76" s="518">
        <f t="shared" ref="B76:B139" si="11">WEEKNUM(A76)</f>
        <v>0</v>
      </c>
      <c r="C76" s="519" t="str">
        <f>IF(Data!AL66="","",Data!AL66)</f>
        <v/>
      </c>
      <c r="D76" s="591"/>
      <c r="E76" s="589"/>
      <c r="F76" s="590"/>
      <c r="G76" s="520"/>
      <c r="H76" s="400"/>
      <c r="I76" s="401"/>
      <c r="J76" s="402"/>
      <c r="K76" s="861"/>
      <c r="L76" s="520"/>
      <c r="M76" s="397"/>
      <c r="N76" s="398"/>
      <c r="O76" s="406" t="str">
        <f t="shared" ref="O76:O139" si="12">IF(H76&gt;0,D76*H76,"")</f>
        <v/>
      </c>
      <c r="P76" s="407" t="str">
        <f t="shared" ref="P76:P139" si="13">IF(I76&gt;0,E76*I76,"")</f>
        <v/>
      </c>
      <c r="Q76" s="408" t="str">
        <f t="shared" ref="Q76:Q139" si="14">IF(J76&gt;0,F76*J76,"")</f>
        <v/>
      </c>
      <c r="R76" s="399"/>
      <c r="S76" s="405">
        <f t="shared" si="7"/>
        <v>0</v>
      </c>
      <c r="T76" s="403" t="str">
        <f t="shared" si="8"/>
        <v/>
      </c>
      <c r="U76" s="125"/>
    </row>
    <row r="77" spans="2:21" ht="15.75" hidden="1" thickBot="1" x14ac:dyDescent="0.3">
      <c r="B77" s="518">
        <f t="shared" si="11"/>
        <v>0</v>
      </c>
      <c r="C77" s="519" t="str">
        <f>IF(Data!AL67="","",Data!AL67)</f>
        <v/>
      </c>
      <c r="D77" s="591"/>
      <c r="E77" s="589"/>
      <c r="F77" s="590"/>
      <c r="G77" s="520"/>
      <c r="H77" s="400"/>
      <c r="I77" s="401"/>
      <c r="J77" s="402"/>
      <c r="K77" s="861"/>
      <c r="L77" s="520"/>
      <c r="M77" s="397"/>
      <c r="N77" s="398"/>
      <c r="O77" s="406" t="str">
        <f t="shared" si="12"/>
        <v/>
      </c>
      <c r="P77" s="407" t="str">
        <f t="shared" si="13"/>
        <v/>
      </c>
      <c r="Q77" s="408" t="str">
        <f t="shared" si="14"/>
        <v/>
      </c>
      <c r="R77" s="399"/>
      <c r="S77" s="405">
        <f t="shared" ref="S77:S140" si="15">SUM(O77:Q77)</f>
        <v>0</v>
      </c>
      <c r="T77" s="403" t="str">
        <f t="shared" ref="T77:T140" si="16">IF(N77&lt;&gt;"",(T76+M77+S77)-(N77+R77),"")</f>
        <v/>
      </c>
      <c r="U77" s="125"/>
    </row>
    <row r="78" spans="2:21" ht="15.75" hidden="1" thickBot="1" x14ac:dyDescent="0.3">
      <c r="B78" s="518">
        <f t="shared" si="11"/>
        <v>0</v>
      </c>
      <c r="C78" s="519" t="str">
        <f>IF(Data!AL68="","",Data!AL68)</f>
        <v/>
      </c>
      <c r="D78" s="591"/>
      <c r="E78" s="589"/>
      <c r="F78" s="590"/>
      <c r="G78" s="520"/>
      <c r="H78" s="400"/>
      <c r="I78" s="401"/>
      <c r="J78" s="402"/>
      <c r="K78" s="861"/>
      <c r="L78" s="520"/>
      <c r="M78" s="397"/>
      <c r="N78" s="398"/>
      <c r="O78" s="406" t="str">
        <f t="shared" si="12"/>
        <v/>
      </c>
      <c r="P78" s="407" t="str">
        <f t="shared" si="13"/>
        <v/>
      </c>
      <c r="Q78" s="408" t="str">
        <f t="shared" si="14"/>
        <v/>
      </c>
      <c r="R78" s="399"/>
      <c r="S78" s="405">
        <f t="shared" si="15"/>
        <v>0</v>
      </c>
      <c r="T78" s="403" t="str">
        <f t="shared" si="16"/>
        <v/>
      </c>
      <c r="U78" s="125"/>
    </row>
    <row r="79" spans="2:21" ht="15.75" hidden="1" thickBot="1" x14ac:dyDescent="0.3">
      <c r="B79" s="518">
        <f t="shared" si="11"/>
        <v>0</v>
      </c>
      <c r="C79" s="519" t="str">
        <f>IF(Data!AL69="","",Data!AL69)</f>
        <v/>
      </c>
      <c r="D79" s="591"/>
      <c r="E79" s="589"/>
      <c r="F79" s="590"/>
      <c r="G79" s="520"/>
      <c r="H79" s="400"/>
      <c r="I79" s="401"/>
      <c r="J79" s="402"/>
      <c r="K79" s="861"/>
      <c r="L79" s="520"/>
      <c r="M79" s="397"/>
      <c r="N79" s="398"/>
      <c r="O79" s="406" t="str">
        <f t="shared" si="12"/>
        <v/>
      </c>
      <c r="P79" s="407" t="str">
        <f t="shared" si="13"/>
        <v/>
      </c>
      <c r="Q79" s="408" t="str">
        <f t="shared" si="14"/>
        <v/>
      </c>
      <c r="R79" s="399"/>
      <c r="S79" s="405">
        <f t="shared" si="15"/>
        <v>0</v>
      </c>
      <c r="T79" s="403" t="str">
        <f t="shared" si="16"/>
        <v/>
      </c>
      <c r="U79" s="125"/>
    </row>
    <row r="80" spans="2:21" ht="15.75" hidden="1" thickBot="1" x14ac:dyDescent="0.3">
      <c r="B80" s="518">
        <f t="shared" si="11"/>
        <v>0</v>
      </c>
      <c r="C80" s="519" t="str">
        <f>IF(Data!AL70="","",Data!AL70)</f>
        <v/>
      </c>
      <c r="D80" s="591"/>
      <c r="E80" s="589"/>
      <c r="F80" s="590"/>
      <c r="G80" s="520"/>
      <c r="H80" s="400"/>
      <c r="I80" s="401"/>
      <c r="J80" s="402"/>
      <c r="K80" s="861"/>
      <c r="L80" s="520"/>
      <c r="M80" s="397"/>
      <c r="N80" s="398"/>
      <c r="O80" s="406" t="str">
        <f t="shared" si="12"/>
        <v/>
      </c>
      <c r="P80" s="407" t="str">
        <f t="shared" si="13"/>
        <v/>
      </c>
      <c r="Q80" s="408" t="str">
        <f t="shared" si="14"/>
        <v/>
      </c>
      <c r="R80" s="399"/>
      <c r="S80" s="405">
        <f t="shared" si="15"/>
        <v>0</v>
      </c>
      <c r="T80" s="403" t="str">
        <f t="shared" si="16"/>
        <v/>
      </c>
      <c r="U80" s="125"/>
    </row>
    <row r="81" spans="2:21" ht="15.75" hidden="1" thickBot="1" x14ac:dyDescent="0.3">
      <c r="B81" s="518">
        <f t="shared" si="11"/>
        <v>0</v>
      </c>
      <c r="C81" s="519" t="str">
        <f>IF(Data!AL71="","",Data!AL71)</f>
        <v/>
      </c>
      <c r="D81" s="591"/>
      <c r="E81" s="589"/>
      <c r="F81" s="590"/>
      <c r="G81" s="520"/>
      <c r="H81" s="400"/>
      <c r="I81" s="401"/>
      <c r="J81" s="402"/>
      <c r="K81" s="861"/>
      <c r="L81" s="520"/>
      <c r="M81" s="397"/>
      <c r="N81" s="398"/>
      <c r="O81" s="406" t="str">
        <f t="shared" si="12"/>
        <v/>
      </c>
      <c r="P81" s="407" t="str">
        <f t="shared" si="13"/>
        <v/>
      </c>
      <c r="Q81" s="408" t="str">
        <f t="shared" si="14"/>
        <v/>
      </c>
      <c r="R81" s="399"/>
      <c r="S81" s="405">
        <f t="shared" si="15"/>
        <v>0</v>
      </c>
      <c r="T81" s="403" t="str">
        <f t="shared" si="16"/>
        <v/>
      </c>
      <c r="U81" s="125"/>
    </row>
    <row r="82" spans="2:21" ht="15.75" hidden="1" thickBot="1" x14ac:dyDescent="0.3">
      <c r="B82" s="518">
        <f t="shared" si="11"/>
        <v>0</v>
      </c>
      <c r="C82" s="519" t="str">
        <f>IF(Data!AL72="","",Data!AL72)</f>
        <v/>
      </c>
      <c r="D82" s="591"/>
      <c r="E82" s="589"/>
      <c r="F82" s="590"/>
      <c r="G82" s="520"/>
      <c r="H82" s="400"/>
      <c r="I82" s="401"/>
      <c r="J82" s="402"/>
      <c r="K82" s="861"/>
      <c r="L82" s="520"/>
      <c r="M82" s="397"/>
      <c r="N82" s="398"/>
      <c r="O82" s="406" t="str">
        <f t="shared" si="12"/>
        <v/>
      </c>
      <c r="P82" s="407" t="str">
        <f t="shared" si="13"/>
        <v/>
      </c>
      <c r="Q82" s="408" t="str">
        <f t="shared" si="14"/>
        <v/>
      </c>
      <c r="R82" s="399"/>
      <c r="S82" s="405">
        <f t="shared" si="15"/>
        <v>0</v>
      </c>
      <c r="T82" s="403" t="str">
        <f t="shared" si="16"/>
        <v/>
      </c>
      <c r="U82" s="125"/>
    </row>
    <row r="83" spans="2:21" ht="15.75" hidden="1" thickBot="1" x14ac:dyDescent="0.3">
      <c r="B83" s="518">
        <f t="shared" si="11"/>
        <v>0</v>
      </c>
      <c r="C83" s="519" t="str">
        <f>IF(Data!AL73="","",Data!AL73)</f>
        <v/>
      </c>
      <c r="D83" s="591"/>
      <c r="E83" s="589"/>
      <c r="F83" s="590"/>
      <c r="G83" s="520"/>
      <c r="H83" s="400"/>
      <c r="I83" s="401"/>
      <c r="J83" s="402"/>
      <c r="K83" s="861"/>
      <c r="L83" s="520"/>
      <c r="M83" s="397"/>
      <c r="N83" s="398"/>
      <c r="O83" s="406" t="str">
        <f t="shared" si="12"/>
        <v/>
      </c>
      <c r="P83" s="407" t="str">
        <f t="shared" si="13"/>
        <v/>
      </c>
      <c r="Q83" s="408" t="str">
        <f t="shared" si="14"/>
        <v/>
      </c>
      <c r="R83" s="399"/>
      <c r="S83" s="405">
        <f t="shared" si="15"/>
        <v>0</v>
      </c>
      <c r="T83" s="403" t="str">
        <f t="shared" si="16"/>
        <v/>
      </c>
      <c r="U83" s="125"/>
    </row>
    <row r="84" spans="2:21" ht="15.75" hidden="1" thickBot="1" x14ac:dyDescent="0.3">
      <c r="B84" s="518">
        <f t="shared" si="11"/>
        <v>0</v>
      </c>
      <c r="C84" s="519" t="str">
        <f>IF(Data!AL74="","",Data!AL74)</f>
        <v/>
      </c>
      <c r="D84" s="591"/>
      <c r="E84" s="589"/>
      <c r="F84" s="590"/>
      <c r="G84" s="520"/>
      <c r="H84" s="400"/>
      <c r="I84" s="401"/>
      <c r="J84" s="402"/>
      <c r="K84" s="861"/>
      <c r="L84" s="520"/>
      <c r="M84" s="397"/>
      <c r="N84" s="398"/>
      <c r="O84" s="406" t="str">
        <f t="shared" si="12"/>
        <v/>
      </c>
      <c r="P84" s="407" t="str">
        <f t="shared" si="13"/>
        <v/>
      </c>
      <c r="Q84" s="408" t="str">
        <f t="shared" si="14"/>
        <v/>
      </c>
      <c r="R84" s="399"/>
      <c r="S84" s="405">
        <f t="shared" si="15"/>
        <v>0</v>
      </c>
      <c r="T84" s="403" t="str">
        <f t="shared" si="16"/>
        <v/>
      </c>
      <c r="U84" s="125"/>
    </row>
    <row r="85" spans="2:21" ht="15.75" hidden="1" thickBot="1" x14ac:dyDescent="0.3">
      <c r="B85" s="518">
        <f t="shared" si="11"/>
        <v>0</v>
      </c>
      <c r="C85" s="519" t="str">
        <f>IF(Data!AL75="","",Data!AL75)</f>
        <v/>
      </c>
      <c r="D85" s="591"/>
      <c r="E85" s="589"/>
      <c r="F85" s="590"/>
      <c r="G85" s="520"/>
      <c r="H85" s="400"/>
      <c r="I85" s="401"/>
      <c r="J85" s="402"/>
      <c r="K85" s="861"/>
      <c r="L85" s="520"/>
      <c r="M85" s="397"/>
      <c r="N85" s="398"/>
      <c r="O85" s="406" t="str">
        <f t="shared" si="12"/>
        <v/>
      </c>
      <c r="P85" s="407" t="str">
        <f t="shared" si="13"/>
        <v/>
      </c>
      <c r="Q85" s="408" t="str">
        <f t="shared" si="14"/>
        <v/>
      </c>
      <c r="R85" s="399"/>
      <c r="S85" s="405">
        <f t="shared" si="15"/>
        <v>0</v>
      </c>
      <c r="T85" s="403" t="str">
        <f t="shared" si="16"/>
        <v/>
      </c>
      <c r="U85" s="125"/>
    </row>
    <row r="86" spans="2:21" ht="15.75" hidden="1" thickBot="1" x14ac:dyDescent="0.3">
      <c r="B86" s="518">
        <f t="shared" si="11"/>
        <v>0</v>
      </c>
      <c r="C86" s="519" t="str">
        <f>IF(Data!AL76="","",Data!AL76)</f>
        <v/>
      </c>
      <c r="D86" s="591"/>
      <c r="E86" s="589"/>
      <c r="F86" s="590"/>
      <c r="G86" s="520"/>
      <c r="H86" s="400"/>
      <c r="I86" s="401"/>
      <c r="J86" s="402"/>
      <c r="K86" s="861"/>
      <c r="L86" s="520"/>
      <c r="M86" s="397"/>
      <c r="N86" s="398"/>
      <c r="O86" s="406" t="str">
        <f t="shared" si="12"/>
        <v/>
      </c>
      <c r="P86" s="407" t="str">
        <f t="shared" si="13"/>
        <v/>
      </c>
      <c r="Q86" s="408" t="str">
        <f t="shared" si="14"/>
        <v/>
      </c>
      <c r="R86" s="399"/>
      <c r="S86" s="405">
        <f t="shared" si="15"/>
        <v>0</v>
      </c>
      <c r="T86" s="403" t="str">
        <f t="shared" si="16"/>
        <v/>
      </c>
      <c r="U86" s="125"/>
    </row>
    <row r="87" spans="2:21" ht="15.75" hidden="1" thickBot="1" x14ac:dyDescent="0.3">
      <c r="B87" s="518">
        <f t="shared" si="11"/>
        <v>0</v>
      </c>
      <c r="C87" s="519" t="str">
        <f>IF(Data!AL77="","",Data!AL77)</f>
        <v/>
      </c>
      <c r="D87" s="591"/>
      <c r="E87" s="589"/>
      <c r="F87" s="590"/>
      <c r="G87" s="520"/>
      <c r="H87" s="400"/>
      <c r="I87" s="401"/>
      <c r="J87" s="402"/>
      <c r="K87" s="861"/>
      <c r="L87" s="520"/>
      <c r="M87" s="397"/>
      <c r="N87" s="398"/>
      <c r="O87" s="406" t="str">
        <f t="shared" si="12"/>
        <v/>
      </c>
      <c r="P87" s="407" t="str">
        <f t="shared" si="13"/>
        <v/>
      </c>
      <c r="Q87" s="408" t="str">
        <f t="shared" si="14"/>
        <v/>
      </c>
      <c r="R87" s="399"/>
      <c r="S87" s="405">
        <f t="shared" si="15"/>
        <v>0</v>
      </c>
      <c r="T87" s="403" t="str">
        <f t="shared" si="16"/>
        <v/>
      </c>
      <c r="U87" s="125"/>
    </row>
    <row r="88" spans="2:21" ht="15.75" hidden="1" thickBot="1" x14ac:dyDescent="0.3">
      <c r="B88" s="518">
        <f t="shared" si="11"/>
        <v>0</v>
      </c>
      <c r="C88" s="519" t="str">
        <f>IF(Data!AL78="","",Data!AL78)</f>
        <v/>
      </c>
      <c r="D88" s="591"/>
      <c r="E88" s="589"/>
      <c r="F88" s="590"/>
      <c r="G88" s="520"/>
      <c r="H88" s="400"/>
      <c r="I88" s="401"/>
      <c r="J88" s="402"/>
      <c r="K88" s="861"/>
      <c r="L88" s="520"/>
      <c r="M88" s="397"/>
      <c r="N88" s="398"/>
      <c r="O88" s="406" t="str">
        <f t="shared" si="12"/>
        <v/>
      </c>
      <c r="P88" s="407" t="str">
        <f t="shared" si="13"/>
        <v/>
      </c>
      <c r="Q88" s="408" t="str">
        <f t="shared" si="14"/>
        <v/>
      </c>
      <c r="R88" s="399"/>
      <c r="S88" s="405">
        <f t="shared" si="15"/>
        <v>0</v>
      </c>
      <c r="T88" s="403" t="str">
        <f t="shared" si="16"/>
        <v/>
      </c>
      <c r="U88" s="125"/>
    </row>
    <row r="89" spans="2:21" ht="15.75" hidden="1" thickBot="1" x14ac:dyDescent="0.3">
      <c r="B89" s="518">
        <f t="shared" si="11"/>
        <v>0</v>
      </c>
      <c r="C89" s="519" t="str">
        <f>IF(Data!AL79="","",Data!AL79)</f>
        <v/>
      </c>
      <c r="D89" s="591"/>
      <c r="E89" s="589"/>
      <c r="F89" s="590"/>
      <c r="G89" s="520"/>
      <c r="H89" s="400"/>
      <c r="I89" s="401"/>
      <c r="J89" s="402"/>
      <c r="K89" s="861"/>
      <c r="L89" s="520"/>
      <c r="M89" s="397"/>
      <c r="N89" s="398"/>
      <c r="O89" s="406" t="str">
        <f t="shared" si="12"/>
        <v/>
      </c>
      <c r="P89" s="407" t="str">
        <f t="shared" si="13"/>
        <v/>
      </c>
      <c r="Q89" s="408" t="str">
        <f t="shared" si="14"/>
        <v/>
      </c>
      <c r="R89" s="399"/>
      <c r="S89" s="405">
        <f t="shared" si="15"/>
        <v>0</v>
      </c>
      <c r="T89" s="403" t="str">
        <f t="shared" si="16"/>
        <v/>
      </c>
      <c r="U89" s="125"/>
    </row>
    <row r="90" spans="2:21" ht="15.75" hidden="1" thickBot="1" x14ac:dyDescent="0.3">
      <c r="B90" s="518">
        <f t="shared" si="11"/>
        <v>0</v>
      </c>
      <c r="C90" s="519" t="str">
        <f>IF(Data!AL80="","",Data!AL80)</f>
        <v/>
      </c>
      <c r="D90" s="591"/>
      <c r="E90" s="589"/>
      <c r="F90" s="590"/>
      <c r="G90" s="520"/>
      <c r="H90" s="400"/>
      <c r="I90" s="401"/>
      <c r="J90" s="402"/>
      <c r="K90" s="861"/>
      <c r="L90" s="520"/>
      <c r="M90" s="397"/>
      <c r="N90" s="398"/>
      <c r="O90" s="406" t="str">
        <f t="shared" si="12"/>
        <v/>
      </c>
      <c r="P90" s="407" t="str">
        <f t="shared" si="13"/>
        <v/>
      </c>
      <c r="Q90" s="408" t="str">
        <f t="shared" si="14"/>
        <v/>
      </c>
      <c r="R90" s="399"/>
      <c r="S90" s="405">
        <f t="shared" si="15"/>
        <v>0</v>
      </c>
      <c r="T90" s="403" t="str">
        <f t="shared" si="16"/>
        <v/>
      </c>
      <c r="U90" s="125"/>
    </row>
    <row r="91" spans="2:21" ht="15.75" hidden="1" thickBot="1" x14ac:dyDescent="0.3">
      <c r="B91" s="518">
        <f t="shared" si="11"/>
        <v>0</v>
      </c>
      <c r="C91" s="519" t="str">
        <f>IF(Data!AL81="","",Data!AL81)</f>
        <v/>
      </c>
      <c r="D91" s="591"/>
      <c r="E91" s="589"/>
      <c r="F91" s="590"/>
      <c r="G91" s="520"/>
      <c r="H91" s="400"/>
      <c r="I91" s="401"/>
      <c r="J91" s="402"/>
      <c r="K91" s="861"/>
      <c r="L91" s="520"/>
      <c r="M91" s="397"/>
      <c r="N91" s="398"/>
      <c r="O91" s="406" t="str">
        <f t="shared" si="12"/>
        <v/>
      </c>
      <c r="P91" s="407" t="str">
        <f t="shared" si="13"/>
        <v/>
      </c>
      <c r="Q91" s="408" t="str">
        <f t="shared" si="14"/>
        <v/>
      </c>
      <c r="R91" s="399"/>
      <c r="S91" s="405">
        <f t="shared" si="15"/>
        <v>0</v>
      </c>
      <c r="T91" s="403" t="str">
        <f t="shared" si="16"/>
        <v/>
      </c>
      <c r="U91" s="125"/>
    </row>
    <row r="92" spans="2:21" ht="15.75" hidden="1" thickBot="1" x14ac:dyDescent="0.3">
      <c r="B92" s="518">
        <f t="shared" si="11"/>
        <v>0</v>
      </c>
      <c r="C92" s="519" t="str">
        <f>IF(Data!AL82="","",Data!AL82)</f>
        <v/>
      </c>
      <c r="D92" s="591"/>
      <c r="E92" s="589"/>
      <c r="F92" s="590"/>
      <c r="G92" s="520"/>
      <c r="H92" s="400"/>
      <c r="I92" s="401"/>
      <c r="J92" s="402"/>
      <c r="K92" s="861"/>
      <c r="L92" s="520"/>
      <c r="M92" s="397"/>
      <c r="N92" s="398"/>
      <c r="O92" s="406" t="str">
        <f t="shared" si="12"/>
        <v/>
      </c>
      <c r="P92" s="407" t="str">
        <f t="shared" si="13"/>
        <v/>
      </c>
      <c r="Q92" s="408" t="str">
        <f t="shared" si="14"/>
        <v/>
      </c>
      <c r="R92" s="399"/>
      <c r="S92" s="405">
        <f t="shared" si="15"/>
        <v>0</v>
      </c>
      <c r="T92" s="403" t="str">
        <f t="shared" si="16"/>
        <v/>
      </c>
      <c r="U92" s="125"/>
    </row>
    <row r="93" spans="2:21" ht="15.75" hidden="1" thickBot="1" x14ac:dyDescent="0.3">
      <c r="B93" s="518">
        <f t="shared" si="11"/>
        <v>0</v>
      </c>
      <c r="C93" s="519" t="str">
        <f>IF(Data!AL83="","",Data!AL83)</f>
        <v/>
      </c>
      <c r="D93" s="591"/>
      <c r="E93" s="589"/>
      <c r="F93" s="590"/>
      <c r="G93" s="520"/>
      <c r="H93" s="400"/>
      <c r="I93" s="401"/>
      <c r="J93" s="402"/>
      <c r="K93" s="861"/>
      <c r="L93" s="520"/>
      <c r="M93" s="397"/>
      <c r="N93" s="398"/>
      <c r="O93" s="406" t="str">
        <f t="shared" si="12"/>
        <v/>
      </c>
      <c r="P93" s="407" t="str">
        <f t="shared" si="13"/>
        <v/>
      </c>
      <c r="Q93" s="408" t="str">
        <f t="shared" si="14"/>
        <v/>
      </c>
      <c r="R93" s="399"/>
      <c r="S93" s="405">
        <f t="shared" si="15"/>
        <v>0</v>
      </c>
      <c r="T93" s="403" t="str">
        <f t="shared" si="16"/>
        <v/>
      </c>
      <c r="U93" s="125"/>
    </row>
    <row r="94" spans="2:21" ht="15.75" hidden="1" thickBot="1" x14ac:dyDescent="0.3">
      <c r="B94" s="518">
        <f t="shared" si="11"/>
        <v>0</v>
      </c>
      <c r="C94" s="519" t="str">
        <f>IF(Data!AL84="","",Data!AL84)</f>
        <v/>
      </c>
      <c r="D94" s="591"/>
      <c r="E94" s="589"/>
      <c r="F94" s="590"/>
      <c r="G94" s="520"/>
      <c r="H94" s="400"/>
      <c r="I94" s="401"/>
      <c r="J94" s="402"/>
      <c r="K94" s="861"/>
      <c r="L94" s="520"/>
      <c r="M94" s="397"/>
      <c r="N94" s="398"/>
      <c r="O94" s="406" t="str">
        <f t="shared" si="12"/>
        <v/>
      </c>
      <c r="P94" s="407" t="str">
        <f t="shared" si="13"/>
        <v/>
      </c>
      <c r="Q94" s="408" t="str">
        <f t="shared" si="14"/>
        <v/>
      </c>
      <c r="R94" s="399"/>
      <c r="S94" s="405">
        <f t="shared" si="15"/>
        <v>0</v>
      </c>
      <c r="T94" s="403" t="str">
        <f t="shared" si="16"/>
        <v/>
      </c>
      <c r="U94" s="125"/>
    </row>
    <row r="95" spans="2:21" ht="15.75" hidden="1" thickBot="1" x14ac:dyDescent="0.3">
      <c r="B95" s="518">
        <f t="shared" si="11"/>
        <v>0</v>
      </c>
      <c r="C95" s="519" t="str">
        <f>IF(Data!AL85="","",Data!AL85)</f>
        <v/>
      </c>
      <c r="D95" s="591"/>
      <c r="E95" s="589"/>
      <c r="F95" s="590"/>
      <c r="G95" s="520"/>
      <c r="H95" s="400"/>
      <c r="I95" s="401"/>
      <c r="J95" s="402"/>
      <c r="K95" s="861"/>
      <c r="L95" s="520"/>
      <c r="M95" s="397"/>
      <c r="N95" s="398"/>
      <c r="O95" s="406" t="str">
        <f t="shared" si="12"/>
        <v/>
      </c>
      <c r="P95" s="407" t="str">
        <f t="shared" si="13"/>
        <v/>
      </c>
      <c r="Q95" s="408" t="str">
        <f t="shared" si="14"/>
        <v/>
      </c>
      <c r="R95" s="399"/>
      <c r="S95" s="405">
        <f t="shared" si="15"/>
        <v>0</v>
      </c>
      <c r="T95" s="403" t="str">
        <f t="shared" si="16"/>
        <v/>
      </c>
      <c r="U95" s="125"/>
    </row>
    <row r="96" spans="2:21" ht="15.75" hidden="1" thickBot="1" x14ac:dyDescent="0.3">
      <c r="B96" s="518">
        <f t="shared" si="11"/>
        <v>0</v>
      </c>
      <c r="C96" s="519" t="str">
        <f>IF(Data!AL86="","",Data!AL86)</f>
        <v/>
      </c>
      <c r="D96" s="591"/>
      <c r="E96" s="589"/>
      <c r="F96" s="590"/>
      <c r="G96" s="520"/>
      <c r="H96" s="400"/>
      <c r="I96" s="401"/>
      <c r="J96" s="402"/>
      <c r="K96" s="861"/>
      <c r="L96" s="520"/>
      <c r="M96" s="397"/>
      <c r="N96" s="398"/>
      <c r="O96" s="406" t="str">
        <f t="shared" si="12"/>
        <v/>
      </c>
      <c r="P96" s="407" t="str">
        <f t="shared" si="13"/>
        <v/>
      </c>
      <c r="Q96" s="408" t="str">
        <f t="shared" si="14"/>
        <v/>
      </c>
      <c r="R96" s="399"/>
      <c r="S96" s="405">
        <f t="shared" si="15"/>
        <v>0</v>
      </c>
      <c r="T96" s="403" t="str">
        <f t="shared" si="16"/>
        <v/>
      </c>
      <c r="U96" s="125"/>
    </row>
    <row r="97" spans="2:21" ht="15.75" hidden="1" thickBot="1" x14ac:dyDescent="0.3">
      <c r="B97" s="518">
        <f t="shared" si="11"/>
        <v>0</v>
      </c>
      <c r="C97" s="519" t="str">
        <f>IF(Data!AL87="","",Data!AL87)</f>
        <v/>
      </c>
      <c r="D97" s="591"/>
      <c r="E97" s="589"/>
      <c r="F97" s="590"/>
      <c r="G97" s="520"/>
      <c r="H97" s="400"/>
      <c r="I97" s="401"/>
      <c r="J97" s="402"/>
      <c r="K97" s="861"/>
      <c r="L97" s="520"/>
      <c r="M97" s="397"/>
      <c r="N97" s="398"/>
      <c r="O97" s="406" t="str">
        <f t="shared" si="12"/>
        <v/>
      </c>
      <c r="P97" s="407" t="str">
        <f t="shared" si="13"/>
        <v/>
      </c>
      <c r="Q97" s="408" t="str">
        <f t="shared" si="14"/>
        <v/>
      </c>
      <c r="R97" s="399"/>
      <c r="S97" s="405">
        <f t="shared" si="15"/>
        <v>0</v>
      </c>
      <c r="T97" s="403" t="str">
        <f t="shared" si="16"/>
        <v/>
      </c>
      <c r="U97" s="125"/>
    </row>
    <row r="98" spans="2:21" ht="15.75" hidden="1" thickBot="1" x14ac:dyDescent="0.3">
      <c r="B98" s="518">
        <f t="shared" si="11"/>
        <v>0</v>
      </c>
      <c r="C98" s="519" t="str">
        <f>IF(Data!AL88="","",Data!AL88)</f>
        <v/>
      </c>
      <c r="D98" s="591"/>
      <c r="E98" s="589"/>
      <c r="F98" s="590"/>
      <c r="G98" s="520"/>
      <c r="H98" s="400"/>
      <c r="I98" s="401"/>
      <c r="J98" s="402"/>
      <c r="K98" s="861"/>
      <c r="L98" s="520"/>
      <c r="M98" s="397"/>
      <c r="N98" s="398"/>
      <c r="O98" s="406" t="str">
        <f t="shared" si="12"/>
        <v/>
      </c>
      <c r="P98" s="407" t="str">
        <f t="shared" si="13"/>
        <v/>
      </c>
      <c r="Q98" s="408" t="str">
        <f t="shared" si="14"/>
        <v/>
      </c>
      <c r="R98" s="399"/>
      <c r="S98" s="405">
        <f t="shared" si="15"/>
        <v>0</v>
      </c>
      <c r="T98" s="403" t="str">
        <f t="shared" si="16"/>
        <v/>
      </c>
      <c r="U98" s="125"/>
    </row>
    <row r="99" spans="2:21" ht="15.75" hidden="1" thickBot="1" x14ac:dyDescent="0.3">
      <c r="B99" s="518">
        <f t="shared" si="11"/>
        <v>0</v>
      </c>
      <c r="C99" s="519" t="str">
        <f>IF(Data!AL89="","",Data!AL89)</f>
        <v/>
      </c>
      <c r="D99" s="591"/>
      <c r="E99" s="589"/>
      <c r="F99" s="590"/>
      <c r="G99" s="520"/>
      <c r="H99" s="400"/>
      <c r="I99" s="401"/>
      <c r="J99" s="402"/>
      <c r="K99" s="861"/>
      <c r="L99" s="520"/>
      <c r="M99" s="397"/>
      <c r="N99" s="398"/>
      <c r="O99" s="406" t="str">
        <f t="shared" si="12"/>
        <v/>
      </c>
      <c r="P99" s="407" t="str">
        <f t="shared" si="13"/>
        <v/>
      </c>
      <c r="Q99" s="408" t="str">
        <f t="shared" si="14"/>
        <v/>
      </c>
      <c r="R99" s="399"/>
      <c r="S99" s="405">
        <f t="shared" si="15"/>
        <v>0</v>
      </c>
      <c r="T99" s="403" t="str">
        <f t="shared" si="16"/>
        <v/>
      </c>
      <c r="U99" s="125"/>
    </row>
    <row r="100" spans="2:21" ht="15.75" hidden="1" thickBot="1" x14ac:dyDescent="0.3">
      <c r="B100" s="518">
        <f t="shared" si="11"/>
        <v>0</v>
      </c>
      <c r="C100" s="519" t="str">
        <f>IF(Data!AL90="","",Data!AL90)</f>
        <v/>
      </c>
      <c r="D100" s="591"/>
      <c r="E100" s="589"/>
      <c r="F100" s="590"/>
      <c r="G100" s="520"/>
      <c r="H100" s="400"/>
      <c r="I100" s="401"/>
      <c r="J100" s="402"/>
      <c r="K100" s="861"/>
      <c r="L100" s="520"/>
      <c r="M100" s="397"/>
      <c r="N100" s="398"/>
      <c r="O100" s="406" t="str">
        <f t="shared" si="12"/>
        <v/>
      </c>
      <c r="P100" s="407" t="str">
        <f t="shared" si="13"/>
        <v/>
      </c>
      <c r="Q100" s="408" t="str">
        <f t="shared" si="14"/>
        <v/>
      </c>
      <c r="R100" s="399"/>
      <c r="S100" s="405">
        <f t="shared" si="15"/>
        <v>0</v>
      </c>
      <c r="T100" s="403" t="str">
        <f t="shared" si="16"/>
        <v/>
      </c>
      <c r="U100" s="125"/>
    </row>
    <row r="101" spans="2:21" ht="15.75" hidden="1" thickBot="1" x14ac:dyDescent="0.3">
      <c r="B101" s="518">
        <f t="shared" si="11"/>
        <v>0</v>
      </c>
      <c r="C101" s="519" t="str">
        <f>IF(Data!AL91="","",Data!AL91)</f>
        <v/>
      </c>
      <c r="D101" s="591"/>
      <c r="E101" s="589"/>
      <c r="F101" s="590"/>
      <c r="G101" s="520"/>
      <c r="H101" s="400"/>
      <c r="I101" s="401"/>
      <c r="J101" s="402"/>
      <c r="K101" s="861"/>
      <c r="L101" s="520"/>
      <c r="M101" s="397"/>
      <c r="N101" s="398"/>
      <c r="O101" s="406" t="str">
        <f t="shared" si="12"/>
        <v/>
      </c>
      <c r="P101" s="407" t="str">
        <f t="shared" si="13"/>
        <v/>
      </c>
      <c r="Q101" s="408" t="str">
        <f t="shared" si="14"/>
        <v/>
      </c>
      <c r="R101" s="399"/>
      <c r="S101" s="405">
        <f t="shared" si="15"/>
        <v>0</v>
      </c>
      <c r="T101" s="403" t="str">
        <f t="shared" si="16"/>
        <v/>
      </c>
      <c r="U101" s="125"/>
    </row>
    <row r="102" spans="2:21" ht="15.75" hidden="1" thickBot="1" x14ac:dyDescent="0.3">
      <c r="B102" s="518">
        <f t="shared" si="11"/>
        <v>0</v>
      </c>
      <c r="C102" s="519" t="str">
        <f>IF(Data!AL92="","",Data!AL92)</f>
        <v/>
      </c>
      <c r="D102" s="591"/>
      <c r="E102" s="589"/>
      <c r="F102" s="590"/>
      <c r="G102" s="520"/>
      <c r="H102" s="400"/>
      <c r="I102" s="401"/>
      <c r="J102" s="402"/>
      <c r="K102" s="861"/>
      <c r="L102" s="520"/>
      <c r="M102" s="397"/>
      <c r="N102" s="398"/>
      <c r="O102" s="406" t="str">
        <f t="shared" si="12"/>
        <v/>
      </c>
      <c r="P102" s="407" t="str">
        <f t="shared" si="13"/>
        <v/>
      </c>
      <c r="Q102" s="408" t="str">
        <f t="shared" si="14"/>
        <v/>
      </c>
      <c r="R102" s="399"/>
      <c r="S102" s="405">
        <f t="shared" si="15"/>
        <v>0</v>
      </c>
      <c r="T102" s="403" t="str">
        <f t="shared" si="16"/>
        <v/>
      </c>
      <c r="U102" s="125"/>
    </row>
    <row r="103" spans="2:21" ht="15.75" hidden="1" thickBot="1" x14ac:dyDescent="0.3">
      <c r="B103" s="518">
        <f t="shared" si="11"/>
        <v>0</v>
      </c>
      <c r="C103" s="519" t="str">
        <f>IF(Data!AL93="","",Data!AL93)</f>
        <v/>
      </c>
      <c r="D103" s="591"/>
      <c r="E103" s="589"/>
      <c r="F103" s="590"/>
      <c r="G103" s="520"/>
      <c r="H103" s="400"/>
      <c r="I103" s="401"/>
      <c r="J103" s="402"/>
      <c r="K103" s="861"/>
      <c r="L103" s="520"/>
      <c r="M103" s="397"/>
      <c r="N103" s="398"/>
      <c r="O103" s="406" t="str">
        <f t="shared" si="12"/>
        <v/>
      </c>
      <c r="P103" s="407" t="str">
        <f t="shared" si="13"/>
        <v/>
      </c>
      <c r="Q103" s="408" t="str">
        <f t="shared" si="14"/>
        <v/>
      </c>
      <c r="R103" s="399"/>
      <c r="S103" s="405">
        <f t="shared" si="15"/>
        <v>0</v>
      </c>
      <c r="T103" s="403" t="str">
        <f t="shared" si="16"/>
        <v/>
      </c>
      <c r="U103" s="125"/>
    </row>
    <row r="104" spans="2:21" ht="15.75" hidden="1" thickBot="1" x14ac:dyDescent="0.3">
      <c r="B104" s="518">
        <f t="shared" si="11"/>
        <v>0</v>
      </c>
      <c r="C104" s="519" t="str">
        <f>IF(Data!AL94="","",Data!AL94)</f>
        <v/>
      </c>
      <c r="D104" s="591"/>
      <c r="E104" s="589"/>
      <c r="F104" s="590"/>
      <c r="G104" s="520"/>
      <c r="H104" s="400"/>
      <c r="I104" s="401"/>
      <c r="J104" s="402"/>
      <c r="K104" s="861"/>
      <c r="L104" s="520"/>
      <c r="M104" s="397"/>
      <c r="N104" s="398"/>
      <c r="O104" s="406" t="str">
        <f t="shared" si="12"/>
        <v/>
      </c>
      <c r="P104" s="407" t="str">
        <f t="shared" si="13"/>
        <v/>
      </c>
      <c r="Q104" s="408" t="str">
        <f t="shared" si="14"/>
        <v/>
      </c>
      <c r="R104" s="399"/>
      <c r="S104" s="405">
        <f t="shared" si="15"/>
        <v>0</v>
      </c>
      <c r="T104" s="403" t="str">
        <f t="shared" si="16"/>
        <v/>
      </c>
      <c r="U104" s="125"/>
    </row>
    <row r="105" spans="2:21" ht="15.75" hidden="1" thickBot="1" x14ac:dyDescent="0.3">
      <c r="B105" s="518">
        <f t="shared" si="11"/>
        <v>0</v>
      </c>
      <c r="C105" s="519" t="str">
        <f>IF(Data!AL95="","",Data!AL95)</f>
        <v/>
      </c>
      <c r="D105" s="591"/>
      <c r="E105" s="589"/>
      <c r="F105" s="590"/>
      <c r="G105" s="520"/>
      <c r="H105" s="400"/>
      <c r="I105" s="401"/>
      <c r="J105" s="402"/>
      <c r="K105" s="861"/>
      <c r="L105" s="520"/>
      <c r="M105" s="397"/>
      <c r="N105" s="398"/>
      <c r="O105" s="406" t="str">
        <f t="shared" si="12"/>
        <v/>
      </c>
      <c r="P105" s="407" t="str">
        <f t="shared" si="13"/>
        <v/>
      </c>
      <c r="Q105" s="408" t="str">
        <f t="shared" si="14"/>
        <v/>
      </c>
      <c r="R105" s="399"/>
      <c r="S105" s="405">
        <f t="shared" si="15"/>
        <v>0</v>
      </c>
      <c r="T105" s="403" t="str">
        <f t="shared" si="16"/>
        <v/>
      </c>
      <c r="U105" s="125"/>
    </row>
    <row r="106" spans="2:21" ht="15.75" hidden="1" thickBot="1" x14ac:dyDescent="0.3">
      <c r="B106" s="518">
        <f t="shared" si="11"/>
        <v>0</v>
      </c>
      <c r="C106" s="519" t="str">
        <f>IF(Data!AL96="","",Data!AL96)</f>
        <v/>
      </c>
      <c r="D106" s="591"/>
      <c r="E106" s="589"/>
      <c r="F106" s="590"/>
      <c r="G106" s="520"/>
      <c r="H106" s="400"/>
      <c r="I106" s="401"/>
      <c r="J106" s="402"/>
      <c r="K106" s="861"/>
      <c r="L106" s="520"/>
      <c r="M106" s="397"/>
      <c r="N106" s="398"/>
      <c r="O106" s="406" t="str">
        <f t="shared" si="12"/>
        <v/>
      </c>
      <c r="P106" s="407" t="str">
        <f t="shared" si="13"/>
        <v/>
      </c>
      <c r="Q106" s="408" t="str">
        <f t="shared" si="14"/>
        <v/>
      </c>
      <c r="R106" s="399"/>
      <c r="S106" s="405">
        <f t="shared" si="15"/>
        <v>0</v>
      </c>
      <c r="T106" s="403" t="str">
        <f t="shared" si="16"/>
        <v/>
      </c>
      <c r="U106" s="125"/>
    </row>
    <row r="107" spans="2:21" ht="15.75" hidden="1" thickBot="1" x14ac:dyDescent="0.3">
      <c r="B107" s="518">
        <f t="shared" si="11"/>
        <v>0</v>
      </c>
      <c r="C107" s="519" t="str">
        <f>IF(Data!AL97="","",Data!AL97)</f>
        <v/>
      </c>
      <c r="D107" s="591"/>
      <c r="E107" s="589"/>
      <c r="F107" s="590"/>
      <c r="G107" s="520"/>
      <c r="H107" s="400"/>
      <c r="I107" s="401"/>
      <c r="J107" s="402"/>
      <c r="K107" s="861"/>
      <c r="L107" s="520"/>
      <c r="M107" s="397"/>
      <c r="N107" s="398"/>
      <c r="O107" s="406" t="str">
        <f t="shared" si="12"/>
        <v/>
      </c>
      <c r="P107" s="407" t="str">
        <f t="shared" si="13"/>
        <v/>
      </c>
      <c r="Q107" s="408" t="str">
        <f t="shared" si="14"/>
        <v/>
      </c>
      <c r="R107" s="399"/>
      <c r="S107" s="405">
        <f t="shared" si="15"/>
        <v>0</v>
      </c>
      <c r="T107" s="403" t="str">
        <f t="shared" si="16"/>
        <v/>
      </c>
      <c r="U107" s="125"/>
    </row>
    <row r="108" spans="2:21" ht="15.75" hidden="1" thickBot="1" x14ac:dyDescent="0.3">
      <c r="B108" s="518">
        <f t="shared" si="11"/>
        <v>0</v>
      </c>
      <c r="C108" s="519" t="str">
        <f>IF(Data!AL98="","",Data!AL98)</f>
        <v/>
      </c>
      <c r="D108" s="591"/>
      <c r="E108" s="589"/>
      <c r="F108" s="590"/>
      <c r="G108" s="520"/>
      <c r="H108" s="400"/>
      <c r="I108" s="401"/>
      <c r="J108" s="402"/>
      <c r="K108" s="861"/>
      <c r="L108" s="520"/>
      <c r="M108" s="397"/>
      <c r="N108" s="398"/>
      <c r="O108" s="406" t="str">
        <f t="shared" si="12"/>
        <v/>
      </c>
      <c r="P108" s="407" t="str">
        <f t="shared" si="13"/>
        <v/>
      </c>
      <c r="Q108" s="408" t="str">
        <f t="shared" si="14"/>
        <v/>
      </c>
      <c r="R108" s="399"/>
      <c r="S108" s="405">
        <f t="shared" si="15"/>
        <v>0</v>
      </c>
      <c r="T108" s="403" t="str">
        <f t="shared" si="16"/>
        <v/>
      </c>
      <c r="U108" s="125"/>
    </row>
    <row r="109" spans="2:21" ht="15.75" hidden="1" thickBot="1" x14ac:dyDescent="0.3">
      <c r="B109" s="518">
        <f t="shared" si="11"/>
        <v>0</v>
      </c>
      <c r="C109" s="519" t="str">
        <f>IF(Data!AL99="","",Data!AL99)</f>
        <v/>
      </c>
      <c r="D109" s="591"/>
      <c r="E109" s="589"/>
      <c r="F109" s="590"/>
      <c r="G109" s="520"/>
      <c r="H109" s="400"/>
      <c r="I109" s="401"/>
      <c r="J109" s="402"/>
      <c r="K109" s="861"/>
      <c r="L109" s="520"/>
      <c r="M109" s="397"/>
      <c r="N109" s="398"/>
      <c r="O109" s="406" t="str">
        <f t="shared" si="12"/>
        <v/>
      </c>
      <c r="P109" s="407" t="str">
        <f t="shared" si="13"/>
        <v/>
      </c>
      <c r="Q109" s="408" t="str">
        <f t="shared" si="14"/>
        <v/>
      </c>
      <c r="R109" s="399"/>
      <c r="S109" s="405">
        <f t="shared" si="15"/>
        <v>0</v>
      </c>
      <c r="T109" s="403" t="str">
        <f t="shared" si="16"/>
        <v/>
      </c>
      <c r="U109" s="125"/>
    </row>
    <row r="110" spans="2:21" ht="15.75" hidden="1" thickBot="1" x14ac:dyDescent="0.3">
      <c r="B110" s="518">
        <f t="shared" si="11"/>
        <v>0</v>
      </c>
      <c r="C110" s="519" t="str">
        <f>IF(Data!AL100="","",Data!AL100)</f>
        <v/>
      </c>
      <c r="D110" s="591"/>
      <c r="E110" s="589"/>
      <c r="F110" s="590"/>
      <c r="G110" s="520"/>
      <c r="H110" s="400"/>
      <c r="I110" s="401"/>
      <c r="J110" s="402"/>
      <c r="K110" s="861"/>
      <c r="L110" s="520"/>
      <c r="M110" s="397"/>
      <c r="N110" s="398"/>
      <c r="O110" s="406" t="str">
        <f t="shared" si="12"/>
        <v/>
      </c>
      <c r="P110" s="407" t="str">
        <f t="shared" si="13"/>
        <v/>
      </c>
      <c r="Q110" s="408" t="str">
        <f t="shared" si="14"/>
        <v/>
      </c>
      <c r="R110" s="399"/>
      <c r="S110" s="405">
        <f t="shared" si="15"/>
        <v>0</v>
      </c>
      <c r="T110" s="403" t="str">
        <f t="shared" si="16"/>
        <v/>
      </c>
      <c r="U110" s="125"/>
    </row>
    <row r="111" spans="2:21" ht="15.75" hidden="1" thickBot="1" x14ac:dyDescent="0.3">
      <c r="B111" s="518">
        <f t="shared" si="11"/>
        <v>0</v>
      </c>
      <c r="C111" s="519" t="str">
        <f>IF(Data!AL101="","",Data!AL101)</f>
        <v/>
      </c>
      <c r="D111" s="591"/>
      <c r="E111" s="589"/>
      <c r="F111" s="590"/>
      <c r="G111" s="520"/>
      <c r="H111" s="400"/>
      <c r="I111" s="401"/>
      <c r="J111" s="402"/>
      <c r="K111" s="861"/>
      <c r="L111" s="520"/>
      <c r="M111" s="397"/>
      <c r="N111" s="398"/>
      <c r="O111" s="406" t="str">
        <f t="shared" si="12"/>
        <v/>
      </c>
      <c r="P111" s="407" t="str">
        <f t="shared" si="13"/>
        <v/>
      </c>
      <c r="Q111" s="408" t="str">
        <f t="shared" si="14"/>
        <v/>
      </c>
      <c r="R111" s="399"/>
      <c r="S111" s="405">
        <f t="shared" si="15"/>
        <v>0</v>
      </c>
      <c r="T111" s="403" t="str">
        <f t="shared" si="16"/>
        <v/>
      </c>
      <c r="U111" s="125"/>
    </row>
    <row r="112" spans="2:21" ht="15.75" hidden="1" thickBot="1" x14ac:dyDescent="0.3">
      <c r="B112" s="518">
        <f t="shared" si="11"/>
        <v>0</v>
      </c>
      <c r="C112" s="519" t="str">
        <f>IF(Data!AL102="","",Data!AL102)</f>
        <v/>
      </c>
      <c r="D112" s="591"/>
      <c r="E112" s="589"/>
      <c r="F112" s="590"/>
      <c r="G112" s="520"/>
      <c r="H112" s="400"/>
      <c r="I112" s="401"/>
      <c r="J112" s="402"/>
      <c r="K112" s="861"/>
      <c r="L112" s="520"/>
      <c r="M112" s="397"/>
      <c r="N112" s="398"/>
      <c r="O112" s="406" t="str">
        <f t="shared" si="12"/>
        <v/>
      </c>
      <c r="P112" s="407" t="str">
        <f t="shared" si="13"/>
        <v/>
      </c>
      <c r="Q112" s="408" t="str">
        <f t="shared" si="14"/>
        <v/>
      </c>
      <c r="R112" s="399"/>
      <c r="S112" s="405">
        <f t="shared" si="15"/>
        <v>0</v>
      </c>
      <c r="T112" s="403" t="str">
        <f t="shared" si="16"/>
        <v/>
      </c>
      <c r="U112" s="125"/>
    </row>
    <row r="113" spans="2:21" ht="15.75" hidden="1" thickBot="1" x14ac:dyDescent="0.3">
      <c r="B113" s="518">
        <f t="shared" si="11"/>
        <v>0</v>
      </c>
      <c r="C113" s="519" t="str">
        <f>IF(Data!AL103="","",Data!AL103)</f>
        <v/>
      </c>
      <c r="D113" s="591"/>
      <c r="E113" s="589"/>
      <c r="F113" s="590"/>
      <c r="G113" s="520"/>
      <c r="H113" s="400"/>
      <c r="I113" s="401"/>
      <c r="J113" s="402"/>
      <c r="K113" s="861"/>
      <c r="L113" s="520"/>
      <c r="M113" s="397"/>
      <c r="N113" s="398"/>
      <c r="O113" s="406" t="str">
        <f t="shared" si="12"/>
        <v/>
      </c>
      <c r="P113" s="407" t="str">
        <f t="shared" si="13"/>
        <v/>
      </c>
      <c r="Q113" s="408" t="str">
        <f t="shared" si="14"/>
        <v/>
      </c>
      <c r="R113" s="399"/>
      <c r="S113" s="405">
        <f t="shared" si="15"/>
        <v>0</v>
      </c>
      <c r="T113" s="403" t="str">
        <f t="shared" si="16"/>
        <v/>
      </c>
      <c r="U113" s="125"/>
    </row>
    <row r="114" spans="2:21" ht="15.75" hidden="1" thickBot="1" x14ac:dyDescent="0.3">
      <c r="B114" s="518">
        <f t="shared" si="11"/>
        <v>0</v>
      </c>
      <c r="C114" s="519" t="str">
        <f>IF(Data!AL104="","",Data!AL104)</f>
        <v/>
      </c>
      <c r="D114" s="591"/>
      <c r="E114" s="589"/>
      <c r="F114" s="590"/>
      <c r="G114" s="520"/>
      <c r="H114" s="400"/>
      <c r="I114" s="401"/>
      <c r="J114" s="402"/>
      <c r="K114" s="861"/>
      <c r="L114" s="520"/>
      <c r="M114" s="397"/>
      <c r="N114" s="398"/>
      <c r="O114" s="406" t="str">
        <f t="shared" si="12"/>
        <v/>
      </c>
      <c r="P114" s="407" t="str">
        <f t="shared" si="13"/>
        <v/>
      </c>
      <c r="Q114" s="408" t="str">
        <f t="shared" si="14"/>
        <v/>
      </c>
      <c r="R114" s="399"/>
      <c r="S114" s="405">
        <f t="shared" si="15"/>
        <v>0</v>
      </c>
      <c r="T114" s="403" t="str">
        <f t="shared" si="16"/>
        <v/>
      </c>
      <c r="U114" s="125"/>
    </row>
    <row r="115" spans="2:21" ht="15.75" hidden="1" thickBot="1" x14ac:dyDescent="0.3">
      <c r="B115" s="518">
        <f t="shared" si="11"/>
        <v>0</v>
      </c>
      <c r="C115" s="519" t="str">
        <f>IF(Data!AL105="","",Data!AL105)</f>
        <v/>
      </c>
      <c r="D115" s="591"/>
      <c r="E115" s="589"/>
      <c r="F115" s="590"/>
      <c r="G115" s="520"/>
      <c r="H115" s="400"/>
      <c r="I115" s="401"/>
      <c r="J115" s="402"/>
      <c r="K115" s="861"/>
      <c r="L115" s="520"/>
      <c r="M115" s="397"/>
      <c r="N115" s="398"/>
      <c r="O115" s="406" t="str">
        <f t="shared" si="12"/>
        <v/>
      </c>
      <c r="P115" s="407" t="str">
        <f t="shared" si="13"/>
        <v/>
      </c>
      <c r="Q115" s="408" t="str">
        <f t="shared" si="14"/>
        <v/>
      </c>
      <c r="R115" s="399"/>
      <c r="S115" s="405">
        <f t="shared" si="15"/>
        <v>0</v>
      </c>
      <c r="T115" s="403" t="str">
        <f t="shared" si="16"/>
        <v/>
      </c>
      <c r="U115" s="125"/>
    </row>
    <row r="116" spans="2:21" ht="15.75" hidden="1" thickBot="1" x14ac:dyDescent="0.3">
      <c r="B116" s="518">
        <f t="shared" si="11"/>
        <v>0</v>
      </c>
      <c r="C116" s="519" t="str">
        <f>IF(Data!AL106="","",Data!AL106)</f>
        <v/>
      </c>
      <c r="D116" s="591"/>
      <c r="E116" s="589"/>
      <c r="F116" s="590"/>
      <c r="G116" s="520"/>
      <c r="H116" s="400"/>
      <c r="I116" s="401"/>
      <c r="J116" s="402"/>
      <c r="K116" s="861"/>
      <c r="L116" s="520"/>
      <c r="M116" s="397"/>
      <c r="N116" s="398"/>
      <c r="O116" s="406" t="str">
        <f t="shared" si="12"/>
        <v/>
      </c>
      <c r="P116" s="407" t="str">
        <f t="shared" si="13"/>
        <v/>
      </c>
      <c r="Q116" s="408" t="str">
        <f t="shared" si="14"/>
        <v/>
      </c>
      <c r="R116" s="399"/>
      <c r="S116" s="405">
        <f t="shared" si="15"/>
        <v>0</v>
      </c>
      <c r="T116" s="403" t="str">
        <f t="shared" si="16"/>
        <v/>
      </c>
      <c r="U116" s="125"/>
    </row>
    <row r="117" spans="2:21" ht="15.75" hidden="1" thickBot="1" x14ac:dyDescent="0.3">
      <c r="B117" s="518">
        <f t="shared" si="11"/>
        <v>0</v>
      </c>
      <c r="C117" s="519" t="str">
        <f>IF(Data!AL107="","",Data!AL107)</f>
        <v/>
      </c>
      <c r="D117" s="591"/>
      <c r="E117" s="589"/>
      <c r="F117" s="590"/>
      <c r="G117" s="520"/>
      <c r="H117" s="400"/>
      <c r="I117" s="401"/>
      <c r="J117" s="402"/>
      <c r="K117" s="861"/>
      <c r="L117" s="520"/>
      <c r="M117" s="397"/>
      <c r="N117" s="398"/>
      <c r="O117" s="406" t="str">
        <f t="shared" si="12"/>
        <v/>
      </c>
      <c r="P117" s="407" t="str">
        <f t="shared" si="13"/>
        <v/>
      </c>
      <c r="Q117" s="408" t="str">
        <f t="shared" si="14"/>
        <v/>
      </c>
      <c r="R117" s="399"/>
      <c r="S117" s="405">
        <f t="shared" si="15"/>
        <v>0</v>
      </c>
      <c r="T117" s="403" t="str">
        <f t="shared" si="16"/>
        <v/>
      </c>
      <c r="U117" s="125"/>
    </row>
    <row r="118" spans="2:21" ht="15.75" hidden="1" thickBot="1" x14ac:dyDescent="0.3">
      <c r="B118" s="518">
        <f t="shared" si="11"/>
        <v>0</v>
      </c>
      <c r="C118" s="519" t="str">
        <f>IF(Data!AL108="","",Data!AL108)</f>
        <v/>
      </c>
      <c r="D118" s="591"/>
      <c r="E118" s="589"/>
      <c r="F118" s="590"/>
      <c r="G118" s="520"/>
      <c r="H118" s="400"/>
      <c r="I118" s="401"/>
      <c r="J118" s="402"/>
      <c r="K118" s="861"/>
      <c r="L118" s="520"/>
      <c r="M118" s="397"/>
      <c r="N118" s="398"/>
      <c r="O118" s="406" t="str">
        <f t="shared" si="12"/>
        <v/>
      </c>
      <c r="P118" s="407" t="str">
        <f t="shared" si="13"/>
        <v/>
      </c>
      <c r="Q118" s="408" t="str">
        <f t="shared" si="14"/>
        <v/>
      </c>
      <c r="R118" s="399"/>
      <c r="S118" s="405">
        <f t="shared" si="15"/>
        <v>0</v>
      </c>
      <c r="T118" s="403" t="str">
        <f t="shared" si="16"/>
        <v/>
      </c>
      <c r="U118" s="125"/>
    </row>
    <row r="119" spans="2:21" ht="15.75" hidden="1" thickBot="1" x14ac:dyDescent="0.3">
      <c r="B119" s="518">
        <f t="shared" si="11"/>
        <v>0</v>
      </c>
      <c r="C119" s="519" t="str">
        <f>IF(Data!AL109="","",Data!AL109)</f>
        <v/>
      </c>
      <c r="D119" s="591"/>
      <c r="E119" s="589"/>
      <c r="F119" s="590"/>
      <c r="G119" s="520"/>
      <c r="H119" s="400"/>
      <c r="I119" s="401"/>
      <c r="J119" s="402"/>
      <c r="K119" s="861"/>
      <c r="L119" s="520"/>
      <c r="M119" s="397"/>
      <c r="N119" s="398"/>
      <c r="O119" s="406" t="str">
        <f t="shared" si="12"/>
        <v/>
      </c>
      <c r="P119" s="407" t="str">
        <f t="shared" si="13"/>
        <v/>
      </c>
      <c r="Q119" s="408" t="str">
        <f t="shared" si="14"/>
        <v/>
      </c>
      <c r="R119" s="399"/>
      <c r="S119" s="405">
        <f t="shared" si="15"/>
        <v>0</v>
      </c>
      <c r="T119" s="403" t="str">
        <f t="shared" si="16"/>
        <v/>
      </c>
      <c r="U119" s="125"/>
    </row>
    <row r="120" spans="2:21" ht="15.75" hidden="1" thickBot="1" x14ac:dyDescent="0.3">
      <c r="B120" s="518">
        <f t="shared" si="11"/>
        <v>0</v>
      </c>
      <c r="C120" s="519" t="str">
        <f>IF(Data!AL110="","",Data!AL110)</f>
        <v/>
      </c>
      <c r="D120" s="591"/>
      <c r="E120" s="589"/>
      <c r="F120" s="590"/>
      <c r="G120" s="520"/>
      <c r="H120" s="400"/>
      <c r="I120" s="401"/>
      <c r="J120" s="402"/>
      <c r="K120" s="861"/>
      <c r="L120" s="520"/>
      <c r="M120" s="397"/>
      <c r="N120" s="398"/>
      <c r="O120" s="406" t="str">
        <f t="shared" si="12"/>
        <v/>
      </c>
      <c r="P120" s="407" t="str">
        <f t="shared" si="13"/>
        <v/>
      </c>
      <c r="Q120" s="408" t="str">
        <f t="shared" si="14"/>
        <v/>
      </c>
      <c r="R120" s="399"/>
      <c r="S120" s="405">
        <f t="shared" si="15"/>
        <v>0</v>
      </c>
      <c r="T120" s="403" t="str">
        <f t="shared" si="16"/>
        <v/>
      </c>
      <c r="U120" s="125"/>
    </row>
    <row r="121" spans="2:21" ht="15.75" hidden="1" thickBot="1" x14ac:dyDescent="0.3">
      <c r="B121" s="518">
        <f t="shared" si="11"/>
        <v>0</v>
      </c>
      <c r="C121" s="519" t="str">
        <f>IF(Data!AL111="","",Data!AL111)</f>
        <v/>
      </c>
      <c r="D121" s="591"/>
      <c r="E121" s="589"/>
      <c r="F121" s="590"/>
      <c r="G121" s="520"/>
      <c r="H121" s="400"/>
      <c r="I121" s="401"/>
      <c r="J121" s="402"/>
      <c r="K121" s="861"/>
      <c r="L121" s="520"/>
      <c r="M121" s="397"/>
      <c r="N121" s="398"/>
      <c r="O121" s="406" t="str">
        <f t="shared" si="12"/>
        <v/>
      </c>
      <c r="P121" s="407" t="str">
        <f t="shared" si="13"/>
        <v/>
      </c>
      <c r="Q121" s="408" t="str">
        <f t="shared" si="14"/>
        <v/>
      </c>
      <c r="R121" s="399"/>
      <c r="S121" s="405">
        <f t="shared" si="15"/>
        <v>0</v>
      </c>
      <c r="T121" s="403" t="str">
        <f t="shared" si="16"/>
        <v/>
      </c>
      <c r="U121" s="125"/>
    </row>
    <row r="122" spans="2:21" ht="15.75" hidden="1" thickBot="1" x14ac:dyDescent="0.3">
      <c r="B122" s="518">
        <f t="shared" si="11"/>
        <v>0</v>
      </c>
      <c r="C122" s="519" t="str">
        <f>IF(Data!AL112="","",Data!AL112)</f>
        <v/>
      </c>
      <c r="D122" s="591"/>
      <c r="E122" s="589"/>
      <c r="F122" s="590"/>
      <c r="G122" s="520"/>
      <c r="H122" s="400"/>
      <c r="I122" s="401"/>
      <c r="J122" s="402"/>
      <c r="K122" s="861"/>
      <c r="L122" s="520"/>
      <c r="M122" s="397"/>
      <c r="N122" s="398"/>
      <c r="O122" s="406" t="str">
        <f t="shared" si="12"/>
        <v/>
      </c>
      <c r="P122" s="407" t="str">
        <f t="shared" si="13"/>
        <v/>
      </c>
      <c r="Q122" s="408" t="str">
        <f t="shared" si="14"/>
        <v/>
      </c>
      <c r="R122" s="399"/>
      <c r="S122" s="405">
        <f t="shared" si="15"/>
        <v>0</v>
      </c>
      <c r="T122" s="403" t="str">
        <f t="shared" si="16"/>
        <v/>
      </c>
      <c r="U122" s="125"/>
    </row>
    <row r="123" spans="2:21" ht="15.75" hidden="1" thickBot="1" x14ac:dyDescent="0.3">
      <c r="B123" s="518">
        <f t="shared" si="11"/>
        <v>0</v>
      </c>
      <c r="C123" s="519" t="str">
        <f>IF(Data!AL113="","",Data!AL113)</f>
        <v/>
      </c>
      <c r="D123" s="591"/>
      <c r="E123" s="589"/>
      <c r="F123" s="590"/>
      <c r="G123" s="520"/>
      <c r="H123" s="400"/>
      <c r="I123" s="401"/>
      <c r="J123" s="402"/>
      <c r="K123" s="861"/>
      <c r="L123" s="520"/>
      <c r="M123" s="397"/>
      <c r="N123" s="398"/>
      <c r="O123" s="406" t="str">
        <f t="shared" si="12"/>
        <v/>
      </c>
      <c r="P123" s="407" t="str">
        <f t="shared" si="13"/>
        <v/>
      </c>
      <c r="Q123" s="408" t="str">
        <f t="shared" si="14"/>
        <v/>
      </c>
      <c r="R123" s="399"/>
      <c r="S123" s="405">
        <f t="shared" si="15"/>
        <v>0</v>
      </c>
      <c r="T123" s="403" t="str">
        <f t="shared" si="16"/>
        <v/>
      </c>
      <c r="U123" s="125"/>
    </row>
    <row r="124" spans="2:21" ht="15.75" hidden="1" thickBot="1" x14ac:dyDescent="0.3">
      <c r="B124" s="518">
        <f t="shared" si="11"/>
        <v>0</v>
      </c>
      <c r="C124" s="519" t="str">
        <f>IF(Data!AL114="","",Data!AL114)</f>
        <v/>
      </c>
      <c r="D124" s="591"/>
      <c r="E124" s="589"/>
      <c r="F124" s="590"/>
      <c r="G124" s="520"/>
      <c r="H124" s="400"/>
      <c r="I124" s="401"/>
      <c r="J124" s="402"/>
      <c r="K124" s="861"/>
      <c r="L124" s="520"/>
      <c r="M124" s="397"/>
      <c r="N124" s="398"/>
      <c r="O124" s="406" t="str">
        <f t="shared" si="12"/>
        <v/>
      </c>
      <c r="P124" s="407" t="str">
        <f t="shared" si="13"/>
        <v/>
      </c>
      <c r="Q124" s="408" t="str">
        <f t="shared" si="14"/>
        <v/>
      </c>
      <c r="R124" s="399"/>
      <c r="S124" s="405">
        <f t="shared" si="15"/>
        <v>0</v>
      </c>
      <c r="T124" s="403" t="str">
        <f t="shared" si="16"/>
        <v/>
      </c>
      <c r="U124" s="125"/>
    </row>
    <row r="125" spans="2:21" ht="15.75" hidden="1" thickBot="1" x14ac:dyDescent="0.3">
      <c r="B125" s="518">
        <f t="shared" si="11"/>
        <v>0</v>
      </c>
      <c r="C125" s="519" t="str">
        <f>IF(Data!AL115="","",Data!AL115)</f>
        <v/>
      </c>
      <c r="D125" s="591"/>
      <c r="E125" s="589"/>
      <c r="F125" s="590"/>
      <c r="G125" s="520"/>
      <c r="H125" s="400"/>
      <c r="I125" s="401"/>
      <c r="J125" s="402"/>
      <c r="K125" s="861"/>
      <c r="L125" s="520"/>
      <c r="M125" s="397"/>
      <c r="N125" s="398"/>
      <c r="O125" s="406" t="str">
        <f t="shared" si="12"/>
        <v/>
      </c>
      <c r="P125" s="407" t="str">
        <f t="shared" si="13"/>
        <v/>
      </c>
      <c r="Q125" s="408" t="str">
        <f t="shared" si="14"/>
        <v/>
      </c>
      <c r="R125" s="399"/>
      <c r="S125" s="405">
        <f t="shared" si="15"/>
        <v>0</v>
      </c>
      <c r="T125" s="403" t="str">
        <f t="shared" si="16"/>
        <v/>
      </c>
      <c r="U125" s="125"/>
    </row>
    <row r="126" spans="2:21" ht="15.75" hidden="1" thickBot="1" x14ac:dyDescent="0.3">
      <c r="B126" s="518">
        <f t="shared" si="11"/>
        <v>0</v>
      </c>
      <c r="C126" s="519" t="str">
        <f>IF(Data!AL116="","",Data!AL116)</f>
        <v/>
      </c>
      <c r="D126" s="591"/>
      <c r="E126" s="589"/>
      <c r="F126" s="590"/>
      <c r="G126" s="520"/>
      <c r="H126" s="400"/>
      <c r="I126" s="401"/>
      <c r="J126" s="402"/>
      <c r="K126" s="861"/>
      <c r="L126" s="520"/>
      <c r="M126" s="397"/>
      <c r="N126" s="398"/>
      <c r="O126" s="406" t="str">
        <f t="shared" si="12"/>
        <v/>
      </c>
      <c r="P126" s="407" t="str">
        <f t="shared" si="13"/>
        <v/>
      </c>
      <c r="Q126" s="408" t="str">
        <f t="shared" si="14"/>
        <v/>
      </c>
      <c r="R126" s="399"/>
      <c r="S126" s="405">
        <f t="shared" si="15"/>
        <v>0</v>
      </c>
      <c r="T126" s="403" t="str">
        <f t="shared" si="16"/>
        <v/>
      </c>
      <c r="U126" s="125"/>
    </row>
    <row r="127" spans="2:21" ht="15.75" hidden="1" thickBot="1" x14ac:dyDescent="0.3">
      <c r="B127" s="518">
        <f t="shared" si="11"/>
        <v>0</v>
      </c>
      <c r="C127" s="519" t="str">
        <f>IF(Data!AL117="","",Data!AL117)</f>
        <v/>
      </c>
      <c r="D127" s="591"/>
      <c r="E127" s="589"/>
      <c r="F127" s="590"/>
      <c r="G127" s="520"/>
      <c r="H127" s="400"/>
      <c r="I127" s="401"/>
      <c r="J127" s="402"/>
      <c r="K127" s="861"/>
      <c r="L127" s="520"/>
      <c r="M127" s="397"/>
      <c r="N127" s="398"/>
      <c r="O127" s="406" t="str">
        <f t="shared" si="12"/>
        <v/>
      </c>
      <c r="P127" s="407" t="str">
        <f t="shared" si="13"/>
        <v/>
      </c>
      <c r="Q127" s="408" t="str">
        <f t="shared" si="14"/>
        <v/>
      </c>
      <c r="R127" s="399"/>
      <c r="S127" s="405">
        <f t="shared" si="15"/>
        <v>0</v>
      </c>
      <c r="T127" s="403" t="str">
        <f t="shared" si="16"/>
        <v/>
      </c>
      <c r="U127" s="125"/>
    </row>
    <row r="128" spans="2:21" ht="15.75" hidden="1" thickBot="1" x14ac:dyDescent="0.3">
      <c r="B128" s="518">
        <f t="shared" si="11"/>
        <v>0</v>
      </c>
      <c r="C128" s="519" t="str">
        <f>IF(Data!AL118="","",Data!AL118)</f>
        <v/>
      </c>
      <c r="D128" s="591"/>
      <c r="E128" s="589"/>
      <c r="F128" s="590"/>
      <c r="G128" s="520"/>
      <c r="H128" s="400"/>
      <c r="I128" s="401"/>
      <c r="J128" s="402"/>
      <c r="K128" s="861"/>
      <c r="L128" s="520"/>
      <c r="M128" s="397"/>
      <c r="N128" s="398"/>
      <c r="O128" s="406" t="str">
        <f t="shared" si="12"/>
        <v/>
      </c>
      <c r="P128" s="407" t="str">
        <f t="shared" si="13"/>
        <v/>
      </c>
      <c r="Q128" s="408" t="str">
        <f t="shared" si="14"/>
        <v/>
      </c>
      <c r="R128" s="399"/>
      <c r="S128" s="405">
        <f t="shared" si="15"/>
        <v>0</v>
      </c>
      <c r="T128" s="403" t="str">
        <f t="shared" si="16"/>
        <v/>
      </c>
      <c r="U128" s="125"/>
    </row>
    <row r="129" spans="2:21" ht="15.75" hidden="1" thickBot="1" x14ac:dyDescent="0.3">
      <c r="B129" s="518">
        <f t="shared" si="11"/>
        <v>0</v>
      </c>
      <c r="C129" s="519" t="str">
        <f>IF(Data!AL119="","",Data!AL119)</f>
        <v/>
      </c>
      <c r="D129" s="591"/>
      <c r="E129" s="589"/>
      <c r="F129" s="590"/>
      <c r="G129" s="520"/>
      <c r="H129" s="400"/>
      <c r="I129" s="401"/>
      <c r="J129" s="402"/>
      <c r="K129" s="861"/>
      <c r="L129" s="520"/>
      <c r="M129" s="397"/>
      <c r="N129" s="398"/>
      <c r="O129" s="406" t="str">
        <f t="shared" si="12"/>
        <v/>
      </c>
      <c r="P129" s="407" t="str">
        <f t="shared" si="13"/>
        <v/>
      </c>
      <c r="Q129" s="408" t="str">
        <f t="shared" si="14"/>
        <v/>
      </c>
      <c r="R129" s="399"/>
      <c r="S129" s="405">
        <f t="shared" si="15"/>
        <v>0</v>
      </c>
      <c r="T129" s="403" t="str">
        <f t="shared" si="16"/>
        <v/>
      </c>
      <c r="U129" s="125"/>
    </row>
    <row r="130" spans="2:21" ht="15.75" hidden="1" thickBot="1" x14ac:dyDescent="0.3">
      <c r="B130" s="518">
        <f t="shared" si="11"/>
        <v>0</v>
      </c>
      <c r="C130" s="519" t="str">
        <f>IF(Data!AL120="","",Data!AL120)</f>
        <v/>
      </c>
      <c r="D130" s="591"/>
      <c r="E130" s="589"/>
      <c r="F130" s="590"/>
      <c r="G130" s="520"/>
      <c r="H130" s="400"/>
      <c r="I130" s="401"/>
      <c r="J130" s="402"/>
      <c r="K130" s="861"/>
      <c r="L130" s="520"/>
      <c r="M130" s="397"/>
      <c r="N130" s="398"/>
      <c r="O130" s="406" t="str">
        <f t="shared" si="12"/>
        <v/>
      </c>
      <c r="P130" s="407" t="str">
        <f t="shared" si="13"/>
        <v/>
      </c>
      <c r="Q130" s="408" t="str">
        <f t="shared" si="14"/>
        <v/>
      </c>
      <c r="R130" s="399"/>
      <c r="S130" s="405">
        <f t="shared" si="15"/>
        <v>0</v>
      </c>
      <c r="T130" s="403" t="str">
        <f t="shared" si="16"/>
        <v/>
      </c>
      <c r="U130" s="125"/>
    </row>
    <row r="131" spans="2:21" ht="15.75" hidden="1" thickBot="1" x14ac:dyDescent="0.3">
      <c r="B131" s="518">
        <f t="shared" si="11"/>
        <v>0</v>
      </c>
      <c r="C131" s="519" t="str">
        <f>IF(Data!AL121="","",Data!AL121)</f>
        <v/>
      </c>
      <c r="D131" s="591"/>
      <c r="E131" s="589"/>
      <c r="F131" s="590"/>
      <c r="G131" s="520"/>
      <c r="H131" s="400"/>
      <c r="I131" s="401"/>
      <c r="J131" s="402"/>
      <c r="K131" s="861"/>
      <c r="L131" s="520"/>
      <c r="M131" s="397"/>
      <c r="N131" s="398"/>
      <c r="O131" s="406" t="str">
        <f t="shared" si="12"/>
        <v/>
      </c>
      <c r="P131" s="407" t="str">
        <f t="shared" si="13"/>
        <v/>
      </c>
      <c r="Q131" s="408" t="str">
        <f t="shared" si="14"/>
        <v/>
      </c>
      <c r="R131" s="399"/>
      <c r="S131" s="405">
        <f t="shared" si="15"/>
        <v>0</v>
      </c>
      <c r="T131" s="403" t="str">
        <f t="shared" si="16"/>
        <v/>
      </c>
      <c r="U131" s="125"/>
    </row>
    <row r="132" spans="2:21" ht="15.75" hidden="1" thickBot="1" x14ac:dyDescent="0.3">
      <c r="B132" s="518">
        <f t="shared" si="11"/>
        <v>0</v>
      </c>
      <c r="C132" s="519" t="str">
        <f>IF(Data!AL122="","",Data!AL122)</f>
        <v/>
      </c>
      <c r="D132" s="591"/>
      <c r="E132" s="589"/>
      <c r="F132" s="590"/>
      <c r="G132" s="520"/>
      <c r="H132" s="400"/>
      <c r="I132" s="401"/>
      <c r="J132" s="402"/>
      <c r="K132" s="861"/>
      <c r="L132" s="520"/>
      <c r="M132" s="397"/>
      <c r="N132" s="398"/>
      <c r="O132" s="406" t="str">
        <f t="shared" si="12"/>
        <v/>
      </c>
      <c r="P132" s="407" t="str">
        <f t="shared" si="13"/>
        <v/>
      </c>
      <c r="Q132" s="408" t="str">
        <f t="shared" si="14"/>
        <v/>
      </c>
      <c r="R132" s="399"/>
      <c r="S132" s="405">
        <f t="shared" si="15"/>
        <v>0</v>
      </c>
      <c r="T132" s="403" t="str">
        <f t="shared" si="16"/>
        <v/>
      </c>
      <c r="U132" s="125"/>
    </row>
    <row r="133" spans="2:21" ht="15.75" hidden="1" thickBot="1" x14ac:dyDescent="0.3">
      <c r="B133" s="518">
        <f t="shared" si="11"/>
        <v>0</v>
      </c>
      <c r="C133" s="519" t="str">
        <f>IF(Data!AL123="","",Data!AL123)</f>
        <v/>
      </c>
      <c r="D133" s="591"/>
      <c r="E133" s="589"/>
      <c r="F133" s="590"/>
      <c r="G133" s="520"/>
      <c r="H133" s="400"/>
      <c r="I133" s="401"/>
      <c r="J133" s="402"/>
      <c r="K133" s="861"/>
      <c r="L133" s="520"/>
      <c r="M133" s="397"/>
      <c r="N133" s="398"/>
      <c r="O133" s="406" t="str">
        <f t="shared" si="12"/>
        <v/>
      </c>
      <c r="P133" s="407" t="str">
        <f t="shared" si="13"/>
        <v/>
      </c>
      <c r="Q133" s="408" t="str">
        <f t="shared" si="14"/>
        <v/>
      </c>
      <c r="R133" s="399"/>
      <c r="S133" s="405">
        <f t="shared" si="15"/>
        <v>0</v>
      </c>
      <c r="T133" s="403" t="str">
        <f t="shared" si="16"/>
        <v/>
      </c>
      <c r="U133" s="125"/>
    </row>
    <row r="134" spans="2:21" ht="15.75" hidden="1" thickBot="1" x14ac:dyDescent="0.3">
      <c r="B134" s="518">
        <f t="shared" si="11"/>
        <v>0</v>
      </c>
      <c r="C134" s="519" t="str">
        <f>IF(Data!AL124="","",Data!AL124)</f>
        <v/>
      </c>
      <c r="D134" s="591"/>
      <c r="E134" s="589"/>
      <c r="F134" s="590"/>
      <c r="G134" s="520"/>
      <c r="H134" s="400"/>
      <c r="I134" s="401"/>
      <c r="J134" s="402"/>
      <c r="K134" s="861"/>
      <c r="L134" s="520"/>
      <c r="M134" s="397"/>
      <c r="N134" s="398"/>
      <c r="O134" s="406" t="str">
        <f t="shared" si="12"/>
        <v/>
      </c>
      <c r="P134" s="407" t="str">
        <f t="shared" si="13"/>
        <v/>
      </c>
      <c r="Q134" s="408" t="str">
        <f t="shared" si="14"/>
        <v/>
      </c>
      <c r="R134" s="399"/>
      <c r="S134" s="405">
        <f t="shared" si="15"/>
        <v>0</v>
      </c>
      <c r="T134" s="403" t="str">
        <f t="shared" si="16"/>
        <v/>
      </c>
      <c r="U134" s="125"/>
    </row>
    <row r="135" spans="2:21" ht="15.75" hidden="1" thickBot="1" x14ac:dyDescent="0.3">
      <c r="B135" s="518">
        <f t="shared" si="11"/>
        <v>0</v>
      </c>
      <c r="C135" s="519" t="str">
        <f>IF(Data!AL125="","",Data!AL125)</f>
        <v/>
      </c>
      <c r="D135" s="591"/>
      <c r="E135" s="589"/>
      <c r="F135" s="590"/>
      <c r="G135" s="520"/>
      <c r="H135" s="400"/>
      <c r="I135" s="401"/>
      <c r="J135" s="402"/>
      <c r="K135" s="861"/>
      <c r="L135" s="520"/>
      <c r="M135" s="397"/>
      <c r="N135" s="398"/>
      <c r="O135" s="406" t="str">
        <f t="shared" si="12"/>
        <v/>
      </c>
      <c r="P135" s="407" t="str">
        <f t="shared" si="13"/>
        <v/>
      </c>
      <c r="Q135" s="408" t="str">
        <f t="shared" si="14"/>
        <v/>
      </c>
      <c r="R135" s="399"/>
      <c r="S135" s="405">
        <f t="shared" si="15"/>
        <v>0</v>
      </c>
      <c r="T135" s="403" t="str">
        <f t="shared" si="16"/>
        <v/>
      </c>
      <c r="U135" s="125"/>
    </row>
    <row r="136" spans="2:21" ht="15.75" hidden="1" thickBot="1" x14ac:dyDescent="0.3">
      <c r="B136" s="518">
        <f t="shared" si="11"/>
        <v>0</v>
      </c>
      <c r="C136" s="519" t="str">
        <f>IF(Data!AL126="","",Data!AL126)</f>
        <v/>
      </c>
      <c r="D136" s="591"/>
      <c r="E136" s="589"/>
      <c r="F136" s="590"/>
      <c r="G136" s="520"/>
      <c r="H136" s="400"/>
      <c r="I136" s="401"/>
      <c r="J136" s="402"/>
      <c r="K136" s="861"/>
      <c r="L136" s="520"/>
      <c r="M136" s="397"/>
      <c r="N136" s="398"/>
      <c r="O136" s="406" t="str">
        <f t="shared" si="12"/>
        <v/>
      </c>
      <c r="P136" s="407" t="str">
        <f t="shared" si="13"/>
        <v/>
      </c>
      <c r="Q136" s="408" t="str">
        <f t="shared" si="14"/>
        <v/>
      </c>
      <c r="R136" s="399"/>
      <c r="S136" s="405">
        <f t="shared" si="15"/>
        <v>0</v>
      </c>
      <c r="T136" s="403" t="str">
        <f t="shared" si="16"/>
        <v/>
      </c>
      <c r="U136" s="125"/>
    </row>
    <row r="137" spans="2:21" ht="15.75" hidden="1" thickBot="1" x14ac:dyDescent="0.3">
      <c r="B137" s="518">
        <f t="shared" si="11"/>
        <v>0</v>
      </c>
      <c r="C137" s="519" t="str">
        <f>IF(Data!AL127="","",Data!AL127)</f>
        <v/>
      </c>
      <c r="D137" s="591"/>
      <c r="E137" s="589"/>
      <c r="F137" s="590"/>
      <c r="G137" s="520"/>
      <c r="H137" s="400"/>
      <c r="I137" s="401"/>
      <c r="J137" s="402"/>
      <c r="K137" s="861"/>
      <c r="L137" s="520"/>
      <c r="M137" s="397"/>
      <c r="N137" s="398"/>
      <c r="O137" s="406" t="str">
        <f t="shared" si="12"/>
        <v/>
      </c>
      <c r="P137" s="407" t="str">
        <f t="shared" si="13"/>
        <v/>
      </c>
      <c r="Q137" s="408" t="str">
        <f t="shared" si="14"/>
        <v/>
      </c>
      <c r="R137" s="399"/>
      <c r="S137" s="405">
        <f t="shared" si="15"/>
        <v>0</v>
      </c>
      <c r="T137" s="403" t="str">
        <f t="shared" si="16"/>
        <v/>
      </c>
      <c r="U137" s="125"/>
    </row>
    <row r="138" spans="2:21" ht="15.75" hidden="1" thickBot="1" x14ac:dyDescent="0.3">
      <c r="B138" s="518">
        <f t="shared" si="11"/>
        <v>0</v>
      </c>
      <c r="C138" s="519" t="str">
        <f>IF(Data!AL128="","",Data!AL128)</f>
        <v/>
      </c>
      <c r="D138" s="591"/>
      <c r="E138" s="589"/>
      <c r="F138" s="590"/>
      <c r="G138" s="520"/>
      <c r="H138" s="400"/>
      <c r="I138" s="401"/>
      <c r="J138" s="402"/>
      <c r="K138" s="861"/>
      <c r="L138" s="520"/>
      <c r="M138" s="397"/>
      <c r="N138" s="398"/>
      <c r="O138" s="406" t="str">
        <f t="shared" si="12"/>
        <v/>
      </c>
      <c r="P138" s="407" t="str">
        <f t="shared" si="13"/>
        <v/>
      </c>
      <c r="Q138" s="408" t="str">
        <f t="shared" si="14"/>
        <v/>
      </c>
      <c r="R138" s="399"/>
      <c r="S138" s="405">
        <f t="shared" si="15"/>
        <v>0</v>
      </c>
      <c r="T138" s="403" t="str">
        <f t="shared" si="16"/>
        <v/>
      </c>
      <c r="U138" s="125"/>
    </row>
    <row r="139" spans="2:21" ht="15.75" hidden="1" thickBot="1" x14ac:dyDescent="0.3">
      <c r="B139" s="518">
        <f t="shared" si="11"/>
        <v>0</v>
      </c>
      <c r="C139" s="519" t="str">
        <f>IF(Data!AL129="","",Data!AL129)</f>
        <v/>
      </c>
      <c r="D139" s="591"/>
      <c r="E139" s="589"/>
      <c r="F139" s="590"/>
      <c r="G139" s="520"/>
      <c r="H139" s="400"/>
      <c r="I139" s="401"/>
      <c r="J139" s="402"/>
      <c r="K139" s="861"/>
      <c r="L139" s="520"/>
      <c r="M139" s="397"/>
      <c r="N139" s="398"/>
      <c r="O139" s="406" t="str">
        <f t="shared" si="12"/>
        <v/>
      </c>
      <c r="P139" s="407" t="str">
        <f t="shared" si="13"/>
        <v/>
      </c>
      <c r="Q139" s="408" t="str">
        <f t="shared" si="14"/>
        <v/>
      </c>
      <c r="R139" s="399"/>
      <c r="S139" s="405">
        <f t="shared" si="15"/>
        <v>0</v>
      </c>
      <c r="T139" s="403" t="str">
        <f t="shared" si="16"/>
        <v/>
      </c>
      <c r="U139" s="125"/>
    </row>
    <row r="140" spans="2:21" ht="15.75" hidden="1" thickBot="1" x14ac:dyDescent="0.3">
      <c r="B140" s="518">
        <f t="shared" ref="B140:B166" si="17">WEEKNUM(A140)</f>
        <v>0</v>
      </c>
      <c r="C140" s="519" t="str">
        <f>IF(Data!AL130="","",Data!AL130)</f>
        <v/>
      </c>
      <c r="D140" s="591"/>
      <c r="E140" s="589"/>
      <c r="F140" s="590"/>
      <c r="G140" s="520"/>
      <c r="H140" s="400"/>
      <c r="I140" s="401"/>
      <c r="J140" s="402"/>
      <c r="K140" s="861"/>
      <c r="L140" s="520"/>
      <c r="M140" s="397"/>
      <c r="N140" s="398"/>
      <c r="O140" s="406" t="str">
        <f t="shared" ref="O140:O166" si="18">IF(H140&gt;0,D140*H140,"")</f>
        <v/>
      </c>
      <c r="P140" s="407" t="str">
        <f t="shared" ref="P140:P166" si="19">IF(I140&gt;0,E140*I140,"")</f>
        <v/>
      </c>
      <c r="Q140" s="408" t="str">
        <f t="shared" ref="Q140:Q166" si="20">IF(J140&gt;0,F140*J140,"")</f>
        <v/>
      </c>
      <c r="R140" s="399"/>
      <c r="S140" s="405">
        <f t="shared" si="15"/>
        <v>0</v>
      </c>
      <c r="T140" s="403" t="str">
        <f t="shared" si="16"/>
        <v/>
      </c>
      <c r="U140" s="125"/>
    </row>
    <row r="141" spans="2:21" ht="15.75" hidden="1" thickBot="1" x14ac:dyDescent="0.3">
      <c r="B141" s="518">
        <f t="shared" si="17"/>
        <v>0</v>
      </c>
      <c r="C141" s="519" t="str">
        <f>IF(Data!AL131="","",Data!AL131)</f>
        <v/>
      </c>
      <c r="D141" s="591"/>
      <c r="E141" s="589"/>
      <c r="F141" s="590"/>
      <c r="G141" s="520"/>
      <c r="H141" s="400"/>
      <c r="I141" s="401"/>
      <c r="J141" s="402"/>
      <c r="K141" s="861"/>
      <c r="L141" s="520"/>
      <c r="M141" s="397"/>
      <c r="N141" s="398"/>
      <c r="O141" s="406" t="str">
        <f t="shared" si="18"/>
        <v/>
      </c>
      <c r="P141" s="407" t="str">
        <f t="shared" si="19"/>
        <v/>
      </c>
      <c r="Q141" s="408" t="str">
        <f t="shared" si="20"/>
        <v/>
      </c>
      <c r="R141" s="399"/>
      <c r="S141" s="405">
        <f t="shared" ref="S141:S166" si="21">SUM(O141:Q141)</f>
        <v>0</v>
      </c>
      <c r="T141" s="403" t="str">
        <f t="shared" ref="T141:T166" si="22">IF(N141&lt;&gt;"",(T140+M141+S141)-(N141+R141),"")</f>
        <v/>
      </c>
      <c r="U141" s="125"/>
    </row>
    <row r="142" spans="2:21" ht="15.75" hidden="1" thickBot="1" x14ac:dyDescent="0.3">
      <c r="B142" s="518">
        <f t="shared" si="17"/>
        <v>0</v>
      </c>
      <c r="C142" s="519" t="str">
        <f>IF(Data!AL132="","",Data!AL132)</f>
        <v/>
      </c>
      <c r="D142" s="591"/>
      <c r="E142" s="589"/>
      <c r="F142" s="590"/>
      <c r="G142" s="520"/>
      <c r="H142" s="400"/>
      <c r="I142" s="401"/>
      <c r="J142" s="402"/>
      <c r="K142" s="861"/>
      <c r="L142" s="520"/>
      <c r="M142" s="397"/>
      <c r="N142" s="398"/>
      <c r="O142" s="406" t="str">
        <f t="shared" si="18"/>
        <v/>
      </c>
      <c r="P142" s="407" t="str">
        <f t="shared" si="19"/>
        <v/>
      </c>
      <c r="Q142" s="408" t="str">
        <f t="shared" si="20"/>
        <v/>
      </c>
      <c r="R142" s="399"/>
      <c r="S142" s="405">
        <f t="shared" si="21"/>
        <v>0</v>
      </c>
      <c r="T142" s="403" t="str">
        <f t="shared" si="22"/>
        <v/>
      </c>
      <c r="U142" s="125"/>
    </row>
    <row r="143" spans="2:21" ht="15.75" hidden="1" thickBot="1" x14ac:dyDescent="0.3">
      <c r="B143" s="518">
        <f t="shared" si="17"/>
        <v>0</v>
      </c>
      <c r="C143" s="519" t="str">
        <f>IF(Data!AL133="","",Data!AL133)</f>
        <v/>
      </c>
      <c r="D143" s="591"/>
      <c r="E143" s="589"/>
      <c r="F143" s="590"/>
      <c r="G143" s="520"/>
      <c r="H143" s="400"/>
      <c r="I143" s="401"/>
      <c r="J143" s="402"/>
      <c r="K143" s="861"/>
      <c r="L143" s="520"/>
      <c r="M143" s="397"/>
      <c r="N143" s="398"/>
      <c r="O143" s="406" t="str">
        <f t="shared" si="18"/>
        <v/>
      </c>
      <c r="P143" s="407" t="str">
        <f t="shared" si="19"/>
        <v/>
      </c>
      <c r="Q143" s="408" t="str">
        <f t="shared" si="20"/>
        <v/>
      </c>
      <c r="R143" s="399"/>
      <c r="S143" s="405">
        <f t="shared" si="21"/>
        <v>0</v>
      </c>
      <c r="T143" s="403" t="str">
        <f t="shared" si="22"/>
        <v/>
      </c>
      <c r="U143" s="125"/>
    </row>
    <row r="144" spans="2:21" ht="15.75" hidden="1" thickBot="1" x14ac:dyDescent="0.3">
      <c r="B144" s="518">
        <f t="shared" si="17"/>
        <v>0</v>
      </c>
      <c r="C144" s="519" t="str">
        <f>IF(Data!AL134="","",Data!AL134)</f>
        <v/>
      </c>
      <c r="D144" s="591"/>
      <c r="E144" s="589"/>
      <c r="F144" s="590"/>
      <c r="G144" s="520"/>
      <c r="H144" s="400"/>
      <c r="I144" s="401"/>
      <c r="J144" s="402"/>
      <c r="K144" s="861"/>
      <c r="L144" s="520"/>
      <c r="M144" s="397"/>
      <c r="N144" s="398"/>
      <c r="O144" s="406" t="str">
        <f t="shared" si="18"/>
        <v/>
      </c>
      <c r="P144" s="407" t="str">
        <f t="shared" si="19"/>
        <v/>
      </c>
      <c r="Q144" s="408" t="str">
        <f t="shared" si="20"/>
        <v/>
      </c>
      <c r="R144" s="399"/>
      <c r="S144" s="405">
        <f t="shared" si="21"/>
        <v>0</v>
      </c>
      <c r="T144" s="403" t="str">
        <f t="shared" si="22"/>
        <v/>
      </c>
      <c r="U144" s="125"/>
    </row>
    <row r="145" spans="2:21" ht="15.75" hidden="1" thickBot="1" x14ac:dyDescent="0.3">
      <c r="B145" s="518">
        <f t="shared" si="17"/>
        <v>0</v>
      </c>
      <c r="C145" s="519" t="str">
        <f>IF(Data!AL135="","",Data!AL135)</f>
        <v/>
      </c>
      <c r="D145" s="591"/>
      <c r="E145" s="589"/>
      <c r="F145" s="590"/>
      <c r="G145" s="520"/>
      <c r="H145" s="400"/>
      <c r="I145" s="401"/>
      <c r="J145" s="402"/>
      <c r="K145" s="861"/>
      <c r="L145" s="520"/>
      <c r="M145" s="397"/>
      <c r="N145" s="398"/>
      <c r="O145" s="406" t="str">
        <f t="shared" si="18"/>
        <v/>
      </c>
      <c r="P145" s="407" t="str">
        <f t="shared" si="19"/>
        <v/>
      </c>
      <c r="Q145" s="408" t="str">
        <f t="shared" si="20"/>
        <v/>
      </c>
      <c r="R145" s="399"/>
      <c r="S145" s="405">
        <f t="shared" si="21"/>
        <v>0</v>
      </c>
      <c r="T145" s="403" t="str">
        <f t="shared" si="22"/>
        <v/>
      </c>
      <c r="U145" s="125"/>
    </row>
    <row r="146" spans="2:21" ht="15.75" hidden="1" thickBot="1" x14ac:dyDescent="0.3">
      <c r="B146" s="518">
        <f t="shared" si="17"/>
        <v>0</v>
      </c>
      <c r="C146" s="519" t="str">
        <f>IF(Data!AL136="","",Data!AL136)</f>
        <v/>
      </c>
      <c r="D146" s="591"/>
      <c r="E146" s="589"/>
      <c r="F146" s="590"/>
      <c r="G146" s="520"/>
      <c r="H146" s="400"/>
      <c r="I146" s="401"/>
      <c r="J146" s="402"/>
      <c r="K146" s="861"/>
      <c r="L146" s="520"/>
      <c r="M146" s="397"/>
      <c r="N146" s="398"/>
      <c r="O146" s="406" t="str">
        <f t="shared" si="18"/>
        <v/>
      </c>
      <c r="P146" s="407" t="str">
        <f t="shared" si="19"/>
        <v/>
      </c>
      <c r="Q146" s="408" t="str">
        <f t="shared" si="20"/>
        <v/>
      </c>
      <c r="R146" s="399"/>
      <c r="S146" s="405">
        <f t="shared" si="21"/>
        <v>0</v>
      </c>
      <c r="T146" s="403" t="str">
        <f t="shared" si="22"/>
        <v/>
      </c>
      <c r="U146" s="125"/>
    </row>
    <row r="147" spans="2:21" ht="15.75" hidden="1" thickBot="1" x14ac:dyDescent="0.3">
      <c r="B147" s="518">
        <f t="shared" si="17"/>
        <v>0</v>
      </c>
      <c r="C147" s="519" t="str">
        <f>IF(Data!AL137="","",Data!AL137)</f>
        <v/>
      </c>
      <c r="D147" s="591"/>
      <c r="E147" s="589"/>
      <c r="F147" s="590"/>
      <c r="G147" s="520"/>
      <c r="H147" s="400"/>
      <c r="I147" s="401"/>
      <c r="J147" s="402"/>
      <c r="K147" s="861"/>
      <c r="L147" s="520"/>
      <c r="M147" s="397"/>
      <c r="N147" s="398"/>
      <c r="O147" s="406" t="str">
        <f t="shared" si="18"/>
        <v/>
      </c>
      <c r="P147" s="407" t="str">
        <f t="shared" si="19"/>
        <v/>
      </c>
      <c r="Q147" s="408" t="str">
        <f t="shared" si="20"/>
        <v/>
      </c>
      <c r="R147" s="399"/>
      <c r="S147" s="405">
        <f t="shared" si="21"/>
        <v>0</v>
      </c>
      <c r="T147" s="403" t="str">
        <f t="shared" si="22"/>
        <v/>
      </c>
      <c r="U147" s="125"/>
    </row>
    <row r="148" spans="2:21" ht="15.75" hidden="1" thickBot="1" x14ac:dyDescent="0.3">
      <c r="B148" s="518">
        <f t="shared" si="17"/>
        <v>0</v>
      </c>
      <c r="C148" s="519" t="str">
        <f>IF(Data!AL138="","",Data!AL138)</f>
        <v/>
      </c>
      <c r="D148" s="591"/>
      <c r="E148" s="589"/>
      <c r="F148" s="590"/>
      <c r="G148" s="520"/>
      <c r="H148" s="400"/>
      <c r="I148" s="401"/>
      <c r="J148" s="402"/>
      <c r="K148" s="861"/>
      <c r="L148" s="520"/>
      <c r="M148" s="397"/>
      <c r="N148" s="398"/>
      <c r="O148" s="406" t="str">
        <f t="shared" si="18"/>
        <v/>
      </c>
      <c r="P148" s="407" t="str">
        <f t="shared" si="19"/>
        <v/>
      </c>
      <c r="Q148" s="408" t="str">
        <f t="shared" si="20"/>
        <v/>
      </c>
      <c r="R148" s="399"/>
      <c r="S148" s="405">
        <f t="shared" si="21"/>
        <v>0</v>
      </c>
      <c r="T148" s="403" t="str">
        <f t="shared" si="22"/>
        <v/>
      </c>
      <c r="U148" s="125"/>
    </row>
    <row r="149" spans="2:21" ht="15.75" hidden="1" thickBot="1" x14ac:dyDescent="0.3">
      <c r="B149" s="518">
        <f t="shared" si="17"/>
        <v>0</v>
      </c>
      <c r="C149" s="519" t="str">
        <f>IF(Data!AL139="","",Data!AL139)</f>
        <v/>
      </c>
      <c r="D149" s="591"/>
      <c r="E149" s="589"/>
      <c r="F149" s="590"/>
      <c r="G149" s="520"/>
      <c r="H149" s="400"/>
      <c r="I149" s="401"/>
      <c r="J149" s="402"/>
      <c r="K149" s="861"/>
      <c r="L149" s="520"/>
      <c r="M149" s="397"/>
      <c r="N149" s="398"/>
      <c r="O149" s="406" t="str">
        <f t="shared" si="18"/>
        <v/>
      </c>
      <c r="P149" s="407" t="str">
        <f t="shared" si="19"/>
        <v/>
      </c>
      <c r="Q149" s="408" t="str">
        <f t="shared" si="20"/>
        <v/>
      </c>
      <c r="R149" s="399"/>
      <c r="S149" s="405">
        <f t="shared" si="21"/>
        <v>0</v>
      </c>
      <c r="T149" s="403" t="str">
        <f t="shared" si="22"/>
        <v/>
      </c>
      <c r="U149" s="125"/>
    </row>
    <row r="150" spans="2:21" ht="15.75" hidden="1" thickBot="1" x14ac:dyDescent="0.3">
      <c r="B150" s="518">
        <f t="shared" si="17"/>
        <v>0</v>
      </c>
      <c r="C150" s="519" t="str">
        <f>IF(Data!AL140="","",Data!AL140)</f>
        <v/>
      </c>
      <c r="D150" s="591"/>
      <c r="E150" s="589"/>
      <c r="F150" s="590"/>
      <c r="G150" s="520"/>
      <c r="H150" s="400"/>
      <c r="I150" s="401"/>
      <c r="J150" s="402"/>
      <c r="K150" s="861"/>
      <c r="L150" s="520"/>
      <c r="M150" s="397"/>
      <c r="N150" s="398"/>
      <c r="O150" s="406" t="str">
        <f t="shared" si="18"/>
        <v/>
      </c>
      <c r="P150" s="407" t="str">
        <f t="shared" si="19"/>
        <v/>
      </c>
      <c r="Q150" s="408" t="str">
        <f t="shared" si="20"/>
        <v/>
      </c>
      <c r="R150" s="399"/>
      <c r="S150" s="405">
        <f t="shared" si="21"/>
        <v>0</v>
      </c>
      <c r="T150" s="403" t="str">
        <f t="shared" si="22"/>
        <v/>
      </c>
      <c r="U150" s="125"/>
    </row>
    <row r="151" spans="2:21" ht="15.75" hidden="1" thickBot="1" x14ac:dyDescent="0.3">
      <c r="B151" s="518">
        <f t="shared" si="17"/>
        <v>0</v>
      </c>
      <c r="C151" s="519" t="str">
        <f>IF(Data!AL141="","",Data!AL141)</f>
        <v/>
      </c>
      <c r="D151" s="591"/>
      <c r="E151" s="589"/>
      <c r="F151" s="590"/>
      <c r="G151" s="520"/>
      <c r="H151" s="400"/>
      <c r="I151" s="401"/>
      <c r="J151" s="402"/>
      <c r="K151" s="861"/>
      <c r="L151" s="520"/>
      <c r="M151" s="397"/>
      <c r="N151" s="398"/>
      <c r="O151" s="406" t="str">
        <f t="shared" si="18"/>
        <v/>
      </c>
      <c r="P151" s="407" t="str">
        <f t="shared" si="19"/>
        <v/>
      </c>
      <c r="Q151" s="408" t="str">
        <f t="shared" si="20"/>
        <v/>
      </c>
      <c r="R151" s="399"/>
      <c r="S151" s="405">
        <f t="shared" si="21"/>
        <v>0</v>
      </c>
      <c r="T151" s="403" t="str">
        <f t="shared" si="22"/>
        <v/>
      </c>
      <c r="U151" s="125"/>
    </row>
    <row r="152" spans="2:21" ht="15.75" hidden="1" thickBot="1" x14ac:dyDescent="0.3">
      <c r="B152" s="518">
        <f t="shared" si="17"/>
        <v>0</v>
      </c>
      <c r="C152" s="519" t="str">
        <f>IF(Data!AL142="","",Data!AL142)</f>
        <v/>
      </c>
      <c r="D152" s="591"/>
      <c r="E152" s="589"/>
      <c r="F152" s="590"/>
      <c r="G152" s="520"/>
      <c r="H152" s="400"/>
      <c r="I152" s="401"/>
      <c r="J152" s="402"/>
      <c r="K152" s="861"/>
      <c r="L152" s="520"/>
      <c r="M152" s="397"/>
      <c r="N152" s="398"/>
      <c r="O152" s="406" t="str">
        <f t="shared" si="18"/>
        <v/>
      </c>
      <c r="P152" s="407" t="str">
        <f t="shared" si="19"/>
        <v/>
      </c>
      <c r="Q152" s="408" t="str">
        <f t="shared" si="20"/>
        <v/>
      </c>
      <c r="R152" s="399"/>
      <c r="S152" s="405">
        <f t="shared" si="21"/>
        <v>0</v>
      </c>
      <c r="T152" s="403" t="str">
        <f t="shared" si="22"/>
        <v/>
      </c>
      <c r="U152" s="125"/>
    </row>
    <row r="153" spans="2:21" ht="15.75" hidden="1" thickBot="1" x14ac:dyDescent="0.3">
      <c r="B153" s="518">
        <f t="shared" si="17"/>
        <v>0</v>
      </c>
      <c r="C153" s="519" t="str">
        <f>IF(Data!AL143="","",Data!AL143)</f>
        <v/>
      </c>
      <c r="D153" s="591"/>
      <c r="E153" s="589"/>
      <c r="F153" s="590"/>
      <c r="G153" s="520"/>
      <c r="H153" s="400"/>
      <c r="I153" s="401"/>
      <c r="J153" s="402"/>
      <c r="K153" s="861"/>
      <c r="L153" s="520"/>
      <c r="M153" s="397"/>
      <c r="N153" s="398"/>
      <c r="O153" s="406" t="str">
        <f t="shared" si="18"/>
        <v/>
      </c>
      <c r="P153" s="407" t="str">
        <f t="shared" si="19"/>
        <v/>
      </c>
      <c r="Q153" s="408" t="str">
        <f t="shared" si="20"/>
        <v/>
      </c>
      <c r="R153" s="399"/>
      <c r="S153" s="405">
        <f t="shared" si="21"/>
        <v>0</v>
      </c>
      <c r="T153" s="403" t="str">
        <f t="shared" si="22"/>
        <v/>
      </c>
      <c r="U153" s="125"/>
    </row>
    <row r="154" spans="2:21" ht="15.75" hidden="1" thickBot="1" x14ac:dyDescent="0.3">
      <c r="B154" s="518">
        <f t="shared" si="17"/>
        <v>0</v>
      </c>
      <c r="C154" s="519" t="str">
        <f>IF(Data!AL144="","",Data!AL144)</f>
        <v/>
      </c>
      <c r="D154" s="591"/>
      <c r="E154" s="589"/>
      <c r="F154" s="590"/>
      <c r="G154" s="520"/>
      <c r="H154" s="400"/>
      <c r="I154" s="401"/>
      <c r="J154" s="402"/>
      <c r="K154" s="861"/>
      <c r="L154" s="520"/>
      <c r="M154" s="397"/>
      <c r="N154" s="398"/>
      <c r="O154" s="406" t="str">
        <f t="shared" si="18"/>
        <v/>
      </c>
      <c r="P154" s="407" t="str">
        <f t="shared" si="19"/>
        <v/>
      </c>
      <c r="Q154" s="408" t="str">
        <f t="shared" si="20"/>
        <v/>
      </c>
      <c r="R154" s="399"/>
      <c r="S154" s="405">
        <f t="shared" si="21"/>
        <v>0</v>
      </c>
      <c r="T154" s="403" t="str">
        <f t="shared" si="22"/>
        <v/>
      </c>
      <c r="U154" s="125"/>
    </row>
    <row r="155" spans="2:21" ht="15.75" hidden="1" thickBot="1" x14ac:dyDescent="0.3">
      <c r="B155" s="518">
        <f t="shared" si="17"/>
        <v>0</v>
      </c>
      <c r="C155" s="519" t="str">
        <f>IF(Data!AL145="","",Data!AL145)</f>
        <v/>
      </c>
      <c r="D155" s="591"/>
      <c r="E155" s="589"/>
      <c r="F155" s="590"/>
      <c r="G155" s="520"/>
      <c r="H155" s="400"/>
      <c r="I155" s="401"/>
      <c r="J155" s="402"/>
      <c r="K155" s="861"/>
      <c r="L155" s="520"/>
      <c r="M155" s="397"/>
      <c r="N155" s="398"/>
      <c r="O155" s="406" t="str">
        <f t="shared" si="18"/>
        <v/>
      </c>
      <c r="P155" s="407" t="str">
        <f t="shared" si="19"/>
        <v/>
      </c>
      <c r="Q155" s="408" t="str">
        <f t="shared" si="20"/>
        <v/>
      </c>
      <c r="R155" s="399"/>
      <c r="S155" s="405">
        <f t="shared" si="21"/>
        <v>0</v>
      </c>
      <c r="T155" s="403" t="str">
        <f t="shared" si="22"/>
        <v/>
      </c>
      <c r="U155" s="125"/>
    </row>
    <row r="156" spans="2:21" ht="15.75" hidden="1" thickBot="1" x14ac:dyDescent="0.3">
      <c r="B156" s="518">
        <f t="shared" si="17"/>
        <v>0</v>
      </c>
      <c r="C156" s="519" t="str">
        <f>IF(Data!AL146="","",Data!AL146)</f>
        <v/>
      </c>
      <c r="D156" s="591"/>
      <c r="E156" s="589"/>
      <c r="F156" s="590"/>
      <c r="G156" s="520"/>
      <c r="H156" s="400"/>
      <c r="I156" s="401"/>
      <c r="J156" s="402"/>
      <c r="K156" s="861"/>
      <c r="L156" s="520"/>
      <c r="M156" s="397"/>
      <c r="N156" s="398"/>
      <c r="O156" s="406" t="str">
        <f t="shared" si="18"/>
        <v/>
      </c>
      <c r="P156" s="407" t="str">
        <f t="shared" si="19"/>
        <v/>
      </c>
      <c r="Q156" s="408" t="str">
        <f t="shared" si="20"/>
        <v/>
      </c>
      <c r="R156" s="399"/>
      <c r="S156" s="405">
        <f t="shared" si="21"/>
        <v>0</v>
      </c>
      <c r="T156" s="403" t="str">
        <f t="shared" si="22"/>
        <v/>
      </c>
      <c r="U156" s="125"/>
    </row>
    <row r="157" spans="2:21" ht="15.75" hidden="1" thickBot="1" x14ac:dyDescent="0.3">
      <c r="B157" s="518">
        <f t="shared" si="17"/>
        <v>0</v>
      </c>
      <c r="C157" s="519" t="str">
        <f>IF(Data!AL147="","",Data!AL147)</f>
        <v/>
      </c>
      <c r="D157" s="591"/>
      <c r="E157" s="589"/>
      <c r="F157" s="590"/>
      <c r="G157" s="520"/>
      <c r="H157" s="400"/>
      <c r="I157" s="401"/>
      <c r="J157" s="402"/>
      <c r="K157" s="861"/>
      <c r="L157" s="520"/>
      <c r="M157" s="397"/>
      <c r="N157" s="398"/>
      <c r="O157" s="406" t="str">
        <f t="shared" si="18"/>
        <v/>
      </c>
      <c r="P157" s="407" t="str">
        <f t="shared" si="19"/>
        <v/>
      </c>
      <c r="Q157" s="408" t="str">
        <f t="shared" si="20"/>
        <v/>
      </c>
      <c r="R157" s="399"/>
      <c r="S157" s="405">
        <f t="shared" si="21"/>
        <v>0</v>
      </c>
      <c r="T157" s="403" t="str">
        <f t="shared" si="22"/>
        <v/>
      </c>
      <c r="U157" s="125"/>
    </row>
    <row r="158" spans="2:21" ht="15.75" hidden="1" thickBot="1" x14ac:dyDescent="0.3">
      <c r="B158" s="518">
        <f t="shared" si="17"/>
        <v>0</v>
      </c>
      <c r="C158" s="519" t="str">
        <f>IF(Data!AL148="","",Data!AL148)</f>
        <v/>
      </c>
      <c r="D158" s="591"/>
      <c r="E158" s="589"/>
      <c r="F158" s="590"/>
      <c r="G158" s="520"/>
      <c r="H158" s="400"/>
      <c r="I158" s="401"/>
      <c r="J158" s="402"/>
      <c r="K158" s="861"/>
      <c r="L158" s="520"/>
      <c r="M158" s="397"/>
      <c r="N158" s="398"/>
      <c r="O158" s="406" t="str">
        <f t="shared" si="18"/>
        <v/>
      </c>
      <c r="P158" s="407" t="str">
        <f t="shared" si="19"/>
        <v/>
      </c>
      <c r="Q158" s="408" t="str">
        <f t="shared" si="20"/>
        <v/>
      </c>
      <c r="R158" s="399"/>
      <c r="S158" s="405">
        <f t="shared" si="21"/>
        <v>0</v>
      </c>
      <c r="T158" s="403" t="str">
        <f t="shared" si="22"/>
        <v/>
      </c>
      <c r="U158" s="125"/>
    </row>
    <row r="159" spans="2:21" ht="15.75" hidden="1" thickBot="1" x14ac:dyDescent="0.3">
      <c r="B159" s="518">
        <f t="shared" si="17"/>
        <v>0</v>
      </c>
      <c r="C159" s="519" t="str">
        <f>IF(Data!AL149="","",Data!AL149)</f>
        <v/>
      </c>
      <c r="D159" s="591"/>
      <c r="E159" s="589"/>
      <c r="F159" s="590"/>
      <c r="G159" s="520"/>
      <c r="H159" s="400"/>
      <c r="I159" s="401"/>
      <c r="J159" s="402"/>
      <c r="K159" s="861"/>
      <c r="L159" s="520"/>
      <c r="M159" s="397"/>
      <c r="N159" s="398"/>
      <c r="O159" s="406" t="str">
        <f t="shared" si="18"/>
        <v/>
      </c>
      <c r="P159" s="407" t="str">
        <f t="shared" si="19"/>
        <v/>
      </c>
      <c r="Q159" s="408" t="str">
        <f t="shared" si="20"/>
        <v/>
      </c>
      <c r="R159" s="399"/>
      <c r="S159" s="405">
        <f t="shared" si="21"/>
        <v>0</v>
      </c>
      <c r="T159" s="403" t="str">
        <f t="shared" si="22"/>
        <v/>
      </c>
      <c r="U159" s="125"/>
    </row>
    <row r="160" spans="2:21" ht="15.75" hidden="1" thickBot="1" x14ac:dyDescent="0.3">
      <c r="B160" s="518">
        <f t="shared" si="17"/>
        <v>0</v>
      </c>
      <c r="C160" s="519" t="str">
        <f>IF(Data!AL150="","",Data!AL150)</f>
        <v/>
      </c>
      <c r="D160" s="591"/>
      <c r="E160" s="589"/>
      <c r="F160" s="590"/>
      <c r="G160" s="520"/>
      <c r="H160" s="400"/>
      <c r="I160" s="401"/>
      <c r="J160" s="402"/>
      <c r="K160" s="861"/>
      <c r="L160" s="520"/>
      <c r="M160" s="397"/>
      <c r="N160" s="398"/>
      <c r="O160" s="406" t="str">
        <f t="shared" si="18"/>
        <v/>
      </c>
      <c r="P160" s="407" t="str">
        <f t="shared" si="19"/>
        <v/>
      </c>
      <c r="Q160" s="408" t="str">
        <f t="shared" si="20"/>
        <v/>
      </c>
      <c r="R160" s="399"/>
      <c r="S160" s="405">
        <f t="shared" si="21"/>
        <v>0</v>
      </c>
      <c r="T160" s="403" t="str">
        <f t="shared" si="22"/>
        <v/>
      </c>
      <c r="U160" s="125"/>
    </row>
    <row r="161" spans="2:21" ht="15.75" hidden="1" thickBot="1" x14ac:dyDescent="0.3">
      <c r="B161" s="518">
        <f t="shared" si="17"/>
        <v>0</v>
      </c>
      <c r="C161" s="519" t="str">
        <f>IF(Data!AL151="","",Data!AL151)</f>
        <v/>
      </c>
      <c r="D161" s="591"/>
      <c r="E161" s="589"/>
      <c r="F161" s="590"/>
      <c r="G161" s="520"/>
      <c r="H161" s="400"/>
      <c r="I161" s="401"/>
      <c r="J161" s="402"/>
      <c r="K161" s="861"/>
      <c r="L161" s="520"/>
      <c r="M161" s="397"/>
      <c r="N161" s="398"/>
      <c r="O161" s="406" t="str">
        <f t="shared" si="18"/>
        <v/>
      </c>
      <c r="P161" s="407" t="str">
        <f t="shared" si="19"/>
        <v/>
      </c>
      <c r="Q161" s="408" t="str">
        <f t="shared" si="20"/>
        <v/>
      </c>
      <c r="R161" s="399"/>
      <c r="S161" s="405">
        <f t="shared" si="21"/>
        <v>0</v>
      </c>
      <c r="T161" s="403" t="str">
        <f t="shared" si="22"/>
        <v/>
      </c>
      <c r="U161" s="125"/>
    </row>
    <row r="162" spans="2:21" ht="15.75" hidden="1" thickBot="1" x14ac:dyDescent="0.3">
      <c r="B162" s="518">
        <f t="shared" si="17"/>
        <v>0</v>
      </c>
      <c r="C162" s="519" t="str">
        <f>IF(Data!AL152="","",Data!AL152)</f>
        <v/>
      </c>
      <c r="D162" s="591"/>
      <c r="E162" s="589"/>
      <c r="F162" s="590"/>
      <c r="G162" s="520"/>
      <c r="H162" s="400"/>
      <c r="I162" s="401"/>
      <c r="J162" s="402"/>
      <c r="K162" s="861"/>
      <c r="L162" s="520"/>
      <c r="M162" s="397"/>
      <c r="N162" s="398"/>
      <c r="O162" s="406" t="str">
        <f t="shared" si="18"/>
        <v/>
      </c>
      <c r="P162" s="407" t="str">
        <f t="shared" si="19"/>
        <v/>
      </c>
      <c r="Q162" s="408" t="str">
        <f t="shared" si="20"/>
        <v/>
      </c>
      <c r="R162" s="399"/>
      <c r="S162" s="405">
        <f t="shared" si="21"/>
        <v>0</v>
      </c>
      <c r="T162" s="403" t="str">
        <f t="shared" si="22"/>
        <v/>
      </c>
      <c r="U162" s="125"/>
    </row>
    <row r="163" spans="2:21" ht="15.75" hidden="1" thickBot="1" x14ac:dyDescent="0.3">
      <c r="B163" s="518">
        <f t="shared" si="17"/>
        <v>0</v>
      </c>
      <c r="C163" s="519" t="str">
        <f>IF(Data!AL153="","",Data!AL153)</f>
        <v/>
      </c>
      <c r="D163" s="591"/>
      <c r="E163" s="589"/>
      <c r="F163" s="590"/>
      <c r="G163" s="520"/>
      <c r="H163" s="400"/>
      <c r="I163" s="401"/>
      <c r="J163" s="402"/>
      <c r="K163" s="861"/>
      <c r="L163" s="520"/>
      <c r="M163" s="397"/>
      <c r="N163" s="398"/>
      <c r="O163" s="406" t="str">
        <f t="shared" si="18"/>
        <v/>
      </c>
      <c r="P163" s="407" t="str">
        <f t="shared" si="19"/>
        <v/>
      </c>
      <c r="Q163" s="408" t="str">
        <f t="shared" si="20"/>
        <v/>
      </c>
      <c r="R163" s="399"/>
      <c r="S163" s="405">
        <f t="shared" si="21"/>
        <v>0</v>
      </c>
      <c r="T163" s="403" t="str">
        <f t="shared" si="22"/>
        <v/>
      </c>
      <c r="U163" s="125"/>
    </row>
    <row r="164" spans="2:21" ht="15.75" hidden="1" thickBot="1" x14ac:dyDescent="0.3">
      <c r="B164" s="518">
        <f t="shared" si="17"/>
        <v>0</v>
      </c>
      <c r="C164" s="519" t="str">
        <f>IF(Data!AL154="","",Data!AL154)</f>
        <v/>
      </c>
      <c r="D164" s="591"/>
      <c r="E164" s="589"/>
      <c r="F164" s="590"/>
      <c r="G164" s="520"/>
      <c r="H164" s="400"/>
      <c r="I164" s="401"/>
      <c r="J164" s="402"/>
      <c r="K164" s="861"/>
      <c r="L164" s="520"/>
      <c r="M164" s="397"/>
      <c r="N164" s="398"/>
      <c r="O164" s="406" t="str">
        <f t="shared" si="18"/>
        <v/>
      </c>
      <c r="P164" s="407" t="str">
        <f t="shared" si="19"/>
        <v/>
      </c>
      <c r="Q164" s="408" t="str">
        <f t="shared" si="20"/>
        <v/>
      </c>
      <c r="R164" s="399"/>
      <c r="S164" s="405">
        <f t="shared" si="21"/>
        <v>0</v>
      </c>
      <c r="T164" s="403" t="str">
        <f t="shared" si="22"/>
        <v/>
      </c>
      <c r="U164" s="125"/>
    </row>
    <row r="165" spans="2:21" ht="15.75" hidden="1" thickBot="1" x14ac:dyDescent="0.3">
      <c r="B165" s="518">
        <f t="shared" si="17"/>
        <v>0</v>
      </c>
      <c r="C165" s="519" t="str">
        <f>IF(Data!AL155="","",Data!AL155)</f>
        <v/>
      </c>
      <c r="D165" s="591"/>
      <c r="E165" s="589"/>
      <c r="F165" s="590"/>
      <c r="G165" s="520"/>
      <c r="H165" s="400"/>
      <c r="I165" s="401"/>
      <c r="J165" s="402"/>
      <c r="K165" s="861"/>
      <c r="L165" s="520"/>
      <c r="M165" s="397"/>
      <c r="N165" s="398"/>
      <c r="O165" s="406" t="str">
        <f t="shared" si="18"/>
        <v/>
      </c>
      <c r="P165" s="407" t="str">
        <f t="shared" si="19"/>
        <v/>
      </c>
      <c r="Q165" s="408" t="str">
        <f t="shared" si="20"/>
        <v/>
      </c>
      <c r="R165" s="399"/>
      <c r="S165" s="405">
        <f t="shared" si="21"/>
        <v>0</v>
      </c>
      <c r="T165" s="403" t="str">
        <f t="shared" si="22"/>
        <v/>
      </c>
      <c r="U165" s="125"/>
    </row>
    <row r="166" spans="2:21" ht="15.75" hidden="1" thickBot="1" x14ac:dyDescent="0.3">
      <c r="B166" s="518">
        <f t="shared" si="17"/>
        <v>0</v>
      </c>
      <c r="C166" s="519" t="str">
        <f>IF(Data!AL156="","",Data!AL156)</f>
        <v/>
      </c>
      <c r="D166" s="597"/>
      <c r="E166" s="598"/>
      <c r="F166" s="599"/>
      <c r="G166" s="520"/>
      <c r="H166" s="521"/>
      <c r="I166" s="522"/>
      <c r="J166" s="523"/>
      <c r="K166" s="861"/>
      <c r="L166" s="520"/>
      <c r="M166" s="524"/>
      <c r="N166" s="525"/>
      <c r="O166" s="526" t="str">
        <f t="shared" si="18"/>
        <v/>
      </c>
      <c r="P166" s="527" t="str">
        <f t="shared" si="19"/>
        <v/>
      </c>
      <c r="Q166" s="528" t="str">
        <f t="shared" si="20"/>
        <v/>
      </c>
      <c r="R166" s="529"/>
      <c r="S166" s="530">
        <f t="shared" si="21"/>
        <v>0</v>
      </c>
      <c r="T166" s="531" t="str">
        <f t="shared" si="22"/>
        <v/>
      </c>
      <c r="U166" s="125"/>
    </row>
    <row r="167" spans="2:21" ht="15.75" thickBot="1" x14ac:dyDescent="0.3">
      <c r="B167" s="532"/>
      <c r="C167" s="533"/>
      <c r="D167" s="600"/>
      <c r="E167" s="601"/>
      <c r="F167" s="601"/>
      <c r="G167" s="534"/>
      <c r="H167" s="535"/>
      <c r="I167" s="535"/>
      <c r="J167" s="535"/>
      <c r="K167" s="859"/>
      <c r="L167" s="534"/>
      <c r="M167" s="536" t="s">
        <v>501</v>
      </c>
      <c r="N167" s="537" t="s">
        <v>502</v>
      </c>
      <c r="O167" s="538">
        <v>12</v>
      </c>
      <c r="P167" s="538">
        <v>11</v>
      </c>
      <c r="Q167" s="538">
        <v>10</v>
      </c>
      <c r="R167" s="539"/>
      <c r="S167" s="540"/>
      <c r="T167" s="541" t="s">
        <v>503</v>
      </c>
      <c r="U167" s="506"/>
    </row>
    <row r="168" spans="2:21" ht="15.75" thickBot="1" x14ac:dyDescent="0.3">
      <c r="B168" s="123"/>
      <c r="C168" s="126"/>
      <c r="D168" s="616">
        <f>SUM(D11:D166)</f>
        <v>13882295</v>
      </c>
      <c r="E168" s="617">
        <f t="shared" ref="E168:S168" si="23">SUM(E11:E166)</f>
        <v>143690</v>
      </c>
      <c r="F168" s="618">
        <f t="shared" si="23"/>
        <v>13185</v>
      </c>
      <c r="G168" s="619"/>
      <c r="H168" s="620">
        <f t="shared" si="23"/>
        <v>0</v>
      </c>
      <c r="I168" s="621">
        <f t="shared" si="23"/>
        <v>8</v>
      </c>
      <c r="J168" s="622">
        <f t="shared" si="23"/>
        <v>42</v>
      </c>
      <c r="K168" s="862"/>
      <c r="L168" s="619"/>
      <c r="M168" s="623">
        <f t="shared" si="23"/>
        <v>9870</v>
      </c>
      <c r="N168" s="623">
        <f t="shared" si="23"/>
        <v>11600</v>
      </c>
      <c r="O168" s="616">
        <f t="shared" si="23"/>
        <v>0</v>
      </c>
      <c r="P168" s="617">
        <f t="shared" si="23"/>
        <v>1610</v>
      </c>
      <c r="Q168" s="618">
        <f t="shared" si="23"/>
        <v>2120</v>
      </c>
      <c r="R168" s="623">
        <f t="shared" si="23"/>
        <v>333.59999999999997</v>
      </c>
      <c r="S168" s="624">
        <f t="shared" si="23"/>
        <v>3730</v>
      </c>
      <c r="T168" s="625">
        <f>T9+S168+M168-N168-R168</f>
        <v>2003.8599999999992</v>
      </c>
      <c r="U168" s="366" t="s">
        <v>504</v>
      </c>
    </row>
    <row r="169" spans="2:21" ht="15.75" thickBot="1" x14ac:dyDescent="0.3">
      <c r="B169" s="123"/>
      <c r="C169" s="126"/>
      <c r="D169" s="124"/>
      <c r="E169" s="124"/>
      <c r="F169" s="124"/>
      <c r="G169" s="123"/>
      <c r="H169" s="123"/>
      <c r="I169" s="123"/>
      <c r="J169" s="123"/>
      <c r="K169" s="123"/>
      <c r="L169" s="123"/>
      <c r="M169" s="123"/>
      <c r="N169" s="124"/>
      <c r="O169" s="124"/>
      <c r="P169" s="124"/>
      <c r="Q169" s="124"/>
      <c r="R169" s="127"/>
      <c r="S169" s="127"/>
      <c r="T169" s="127"/>
      <c r="U169" s="125"/>
    </row>
    <row r="170" spans="2:21" ht="15.75" thickBot="1" x14ac:dyDescent="0.3">
      <c r="B170" s="123"/>
      <c r="C170" s="126"/>
      <c r="D170" s="124"/>
      <c r="E170" s="124"/>
      <c r="F170" s="124"/>
      <c r="G170" s="123"/>
      <c r="H170" s="123"/>
      <c r="I170" s="123"/>
      <c r="J170" s="123"/>
      <c r="K170" s="123"/>
      <c r="L170" s="123"/>
      <c r="M170" s="123"/>
      <c r="N170" s="124"/>
      <c r="O170" s="124"/>
      <c r="P170" s="124"/>
      <c r="Q170" s="124"/>
      <c r="R170" s="128"/>
      <c r="S170" s="129" t="s">
        <v>505</v>
      </c>
      <c r="T170" s="130">
        <f>T168/7</f>
        <v>286.26571428571418</v>
      </c>
      <c r="U170" s="131"/>
    </row>
    <row r="171" spans="2:21" ht="15" x14ac:dyDescent="0.25">
      <c r="B171" s="123"/>
      <c r="C171" s="126"/>
      <c r="D171" s="124"/>
      <c r="E171" s="124"/>
      <c r="F171" s="124"/>
      <c r="G171" s="123"/>
      <c r="H171" s="123"/>
      <c r="I171" s="123"/>
      <c r="J171" s="123"/>
      <c r="K171" s="123"/>
      <c r="L171" s="123"/>
      <c r="M171" s="123"/>
      <c r="N171" s="124"/>
      <c r="O171" s="124"/>
      <c r="P171" s="124"/>
      <c r="Q171" s="124"/>
      <c r="R171" s="123"/>
      <c r="S171" s="124"/>
      <c r="T171" s="124"/>
      <c r="U171" s="123"/>
    </row>
    <row r="172" spans="2:21" ht="15" x14ac:dyDescent="0.25">
      <c r="B172" s="123"/>
      <c r="C172" s="126"/>
      <c r="D172" s="124"/>
      <c r="E172" s="124"/>
      <c r="F172" s="132"/>
      <c r="G172" s="133" t="s">
        <v>506</v>
      </c>
      <c r="H172" s="897" t="s">
        <v>507</v>
      </c>
      <c r="I172" s="897"/>
      <c r="J172" s="897"/>
      <c r="K172" s="897"/>
      <c r="L172" s="897"/>
      <c r="M172" s="897"/>
      <c r="N172" s="124"/>
      <c r="O172" s="124"/>
      <c r="P172" s="124"/>
      <c r="Q172" s="124"/>
      <c r="R172" s="898" t="str">
        <f>IF(T168&gt;400,"Nok penger på konto for en runde til!","Klikk på knappen under for å sende ut nye krav")</f>
        <v>Nok penger på konto for en runde til!</v>
      </c>
      <c r="S172" s="898"/>
      <c r="T172" s="262"/>
      <c r="U172" s="123"/>
    </row>
    <row r="173" spans="2:21" ht="15" x14ac:dyDescent="0.25">
      <c r="B173" s="123"/>
      <c r="C173" s="126"/>
      <c r="D173" s="124"/>
      <c r="E173" s="124"/>
      <c r="F173" s="124"/>
      <c r="G173" s="123"/>
      <c r="H173" s="123"/>
      <c r="I173" s="123"/>
      <c r="J173" s="123"/>
      <c r="K173" s="123"/>
      <c r="L173" s="123"/>
      <c r="M173" s="123"/>
      <c r="N173" s="124"/>
      <c r="O173" s="124"/>
      <c r="P173" s="124"/>
      <c r="Q173" s="124"/>
      <c r="R173" s="123"/>
      <c r="S173" s="124"/>
      <c r="T173" s="124"/>
      <c r="U173" s="123"/>
    </row>
  </sheetData>
  <sheetProtection selectLockedCells="1"/>
  <mergeCells count="2">
    <mergeCell ref="H172:M172"/>
    <mergeCell ref="R172:S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16</xdr:col>
                    <xdr:colOff>609600</xdr:colOff>
                    <xdr:row>173</xdr:row>
                    <xdr:rowOff>28575</xdr:rowOff>
                  </from>
                  <to>
                    <xdr:col>21</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Regnskap!$V$29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28"/>
      <c r="D2" s="629">
        <v>80</v>
      </c>
      <c r="E2" s="629"/>
      <c r="F2" s="630"/>
      <c r="G2" s="631"/>
      <c r="H2" s="629"/>
      <c r="I2" s="630"/>
      <c r="J2" s="631"/>
      <c r="K2" s="629"/>
      <c r="L2" s="630"/>
      <c r="M2" s="628"/>
      <c r="N2" s="629">
        <v>70</v>
      </c>
      <c r="O2" s="629"/>
      <c r="P2" s="630"/>
      <c r="Q2" s="631"/>
      <c r="R2" s="629"/>
      <c r="S2" s="630"/>
      <c r="T2" s="631"/>
      <c r="U2" s="629"/>
      <c r="V2" s="630"/>
      <c r="W2" s="628"/>
      <c r="X2" s="629">
        <v>60</v>
      </c>
      <c r="Y2" s="629"/>
      <c r="Z2" s="630"/>
      <c r="AA2" s="631"/>
      <c r="AB2" s="629"/>
      <c r="AC2" s="630"/>
      <c r="AD2" s="631"/>
      <c r="AE2" s="629"/>
      <c r="AF2" s="630"/>
      <c r="AG2" s="628"/>
      <c r="AH2" s="629">
        <v>50</v>
      </c>
      <c r="AI2" s="629"/>
      <c r="AJ2" s="630"/>
      <c r="AK2" s="631"/>
      <c r="AL2" s="629"/>
      <c r="AM2" s="630"/>
      <c r="AN2" s="631"/>
      <c r="AO2" s="629"/>
      <c r="AP2" s="630"/>
      <c r="AQ2" s="628"/>
      <c r="AR2" s="629">
        <v>40</v>
      </c>
      <c r="AS2" s="629"/>
      <c r="AT2" s="630"/>
      <c r="AU2" s="631"/>
      <c r="AV2" s="629"/>
      <c r="AW2" s="630"/>
      <c r="AX2" s="631"/>
      <c r="AY2" s="629"/>
      <c r="AZ2" s="630"/>
      <c r="BA2" s="628"/>
      <c r="BB2" s="629">
        <v>30</v>
      </c>
      <c r="BC2" s="629"/>
      <c r="BD2" s="630"/>
      <c r="BE2" s="631"/>
      <c r="BF2" s="629"/>
      <c r="BG2" s="630"/>
      <c r="BH2" s="631"/>
      <c r="BI2" s="629"/>
      <c r="BJ2" s="630"/>
      <c r="BK2" s="628"/>
      <c r="BL2" s="629">
        <v>20</v>
      </c>
      <c r="BM2" s="629"/>
      <c r="BN2" s="630"/>
      <c r="BO2" s="631"/>
      <c r="BP2" s="629"/>
      <c r="BQ2" s="630"/>
      <c r="BR2" s="631"/>
      <c r="BS2" s="629"/>
      <c r="BT2" s="630"/>
      <c r="BU2" s="628"/>
      <c r="BV2" s="629">
        <v>10</v>
      </c>
      <c r="BW2" s="629"/>
      <c r="BX2" s="630"/>
      <c r="BY2" s="631"/>
      <c r="BZ2" s="629"/>
      <c r="CA2" s="630"/>
      <c r="CB2" s="631"/>
      <c r="CC2" s="629"/>
      <c r="CD2" s="630"/>
    </row>
    <row r="3" spans="2:82" x14ac:dyDescent="0.2">
      <c r="C3" s="632"/>
      <c r="D3" s="633" t="s">
        <v>440</v>
      </c>
      <c r="E3" s="633"/>
      <c r="F3" s="634"/>
      <c r="G3" s="635"/>
      <c r="H3" s="633"/>
      <c r="I3" s="634"/>
      <c r="J3" s="635"/>
      <c r="K3" s="633"/>
      <c r="L3" s="634"/>
      <c r="M3" s="632"/>
      <c r="N3" s="633" t="s">
        <v>440</v>
      </c>
      <c r="O3" s="633"/>
      <c r="P3" s="634"/>
      <c r="Q3" s="635"/>
      <c r="R3" s="633"/>
      <c r="S3" s="634"/>
      <c r="T3" s="635"/>
      <c r="U3" s="633"/>
      <c r="V3" s="634"/>
      <c r="W3" s="632"/>
      <c r="X3" s="633" t="s">
        <v>440</v>
      </c>
      <c r="Y3" s="633"/>
      <c r="Z3" s="634"/>
      <c r="AA3" s="635"/>
      <c r="AB3" s="633"/>
      <c r="AC3" s="634"/>
      <c r="AD3" s="635"/>
      <c r="AE3" s="633"/>
      <c r="AF3" s="634"/>
      <c r="AG3" s="632"/>
      <c r="AH3" s="633" t="s">
        <v>440</v>
      </c>
      <c r="AI3" s="633"/>
      <c r="AJ3" s="634"/>
      <c r="AK3" s="635"/>
      <c r="AL3" s="633"/>
      <c r="AM3" s="634"/>
      <c r="AN3" s="635"/>
      <c r="AO3" s="633"/>
      <c r="AP3" s="634"/>
      <c r="AQ3" s="632"/>
      <c r="AR3" s="633" t="s">
        <v>440</v>
      </c>
      <c r="AS3" s="633"/>
      <c r="AT3" s="634"/>
      <c r="AU3" s="635"/>
      <c r="AV3" s="633"/>
      <c r="AW3" s="634"/>
      <c r="AX3" s="635"/>
      <c r="AY3" s="633"/>
      <c r="AZ3" s="634"/>
      <c r="BA3" s="632"/>
      <c r="BB3" s="633" t="s">
        <v>440</v>
      </c>
      <c r="BC3" s="633"/>
      <c r="BD3" s="634"/>
      <c r="BE3" s="635"/>
      <c r="BF3" s="633"/>
      <c r="BG3" s="634"/>
      <c r="BH3" s="635"/>
      <c r="BI3" s="633"/>
      <c r="BJ3" s="634"/>
      <c r="BK3" s="632"/>
      <c r="BL3" s="633" t="s">
        <v>440</v>
      </c>
      <c r="BM3" s="633"/>
      <c r="BN3" s="634"/>
      <c r="BO3" s="635"/>
      <c r="BP3" s="633"/>
      <c r="BQ3" s="634"/>
      <c r="BR3" s="635"/>
      <c r="BS3" s="633"/>
      <c r="BT3" s="634"/>
      <c r="BU3" s="632"/>
      <c r="BV3" s="633" t="s">
        <v>440</v>
      </c>
      <c r="BW3" s="633"/>
      <c r="BX3" s="634"/>
      <c r="BY3" s="635"/>
      <c r="BZ3" s="633"/>
      <c r="CA3" s="634"/>
      <c r="CB3" s="635"/>
      <c r="CC3" s="633"/>
      <c r="CD3" s="634"/>
    </row>
    <row r="4" spans="2:82" x14ac:dyDescent="0.2">
      <c r="C4" s="636"/>
      <c r="D4" s="637" t="s">
        <v>47</v>
      </c>
      <c r="E4" s="637" t="s">
        <v>508</v>
      </c>
      <c r="F4" s="638" t="s">
        <v>459</v>
      </c>
      <c r="G4" s="639" t="s">
        <v>48</v>
      </c>
      <c r="H4" s="637" t="s">
        <v>508</v>
      </c>
      <c r="I4" s="638" t="s">
        <v>459</v>
      </c>
      <c r="J4" s="639" t="s">
        <v>49</v>
      </c>
      <c r="K4" s="637" t="s">
        <v>508</v>
      </c>
      <c r="L4" s="638" t="s">
        <v>459</v>
      </c>
      <c r="M4" s="636"/>
      <c r="N4" s="637" t="s">
        <v>47</v>
      </c>
      <c r="O4" s="637" t="s">
        <v>508</v>
      </c>
      <c r="P4" s="638" t="s">
        <v>459</v>
      </c>
      <c r="Q4" s="639" t="s">
        <v>48</v>
      </c>
      <c r="R4" s="637" t="s">
        <v>508</v>
      </c>
      <c r="S4" s="638" t="s">
        <v>459</v>
      </c>
      <c r="T4" s="639" t="s">
        <v>49</v>
      </c>
      <c r="U4" s="637" t="s">
        <v>508</v>
      </c>
      <c r="V4" s="638" t="s">
        <v>459</v>
      </c>
      <c r="W4" s="636"/>
      <c r="X4" s="637" t="s">
        <v>47</v>
      </c>
      <c r="Y4" s="637" t="s">
        <v>508</v>
      </c>
      <c r="Z4" s="638" t="s">
        <v>459</v>
      </c>
      <c r="AA4" s="639" t="s">
        <v>48</v>
      </c>
      <c r="AB4" s="637" t="s">
        <v>508</v>
      </c>
      <c r="AC4" s="638" t="s">
        <v>459</v>
      </c>
      <c r="AD4" s="639" t="s">
        <v>49</v>
      </c>
      <c r="AE4" s="637" t="s">
        <v>508</v>
      </c>
      <c r="AF4" s="638" t="s">
        <v>459</v>
      </c>
      <c r="AG4" s="636"/>
      <c r="AH4" s="637" t="s">
        <v>47</v>
      </c>
      <c r="AI4" s="637" t="s">
        <v>508</v>
      </c>
      <c r="AJ4" s="638" t="s">
        <v>459</v>
      </c>
      <c r="AK4" s="639" t="s">
        <v>48</v>
      </c>
      <c r="AL4" s="637" t="s">
        <v>508</v>
      </c>
      <c r="AM4" s="638" t="s">
        <v>459</v>
      </c>
      <c r="AN4" s="639" t="s">
        <v>49</v>
      </c>
      <c r="AO4" s="637" t="s">
        <v>508</v>
      </c>
      <c r="AP4" s="638" t="s">
        <v>459</v>
      </c>
      <c r="AQ4" s="636"/>
      <c r="AR4" s="637" t="s">
        <v>47</v>
      </c>
      <c r="AS4" s="637" t="s">
        <v>508</v>
      </c>
      <c r="AT4" s="638" t="s">
        <v>459</v>
      </c>
      <c r="AU4" s="639" t="s">
        <v>48</v>
      </c>
      <c r="AV4" s="637" t="s">
        <v>508</v>
      </c>
      <c r="AW4" s="638" t="s">
        <v>459</v>
      </c>
      <c r="AX4" s="639" t="s">
        <v>49</v>
      </c>
      <c r="AY4" s="637" t="s">
        <v>508</v>
      </c>
      <c r="AZ4" s="638" t="s">
        <v>459</v>
      </c>
      <c r="BA4" s="636"/>
      <c r="BB4" s="637" t="s">
        <v>47</v>
      </c>
      <c r="BC4" s="637" t="s">
        <v>508</v>
      </c>
      <c r="BD4" s="638" t="s">
        <v>459</v>
      </c>
      <c r="BE4" s="639" t="s">
        <v>48</v>
      </c>
      <c r="BF4" s="637" t="s">
        <v>508</v>
      </c>
      <c r="BG4" s="638" t="s">
        <v>459</v>
      </c>
      <c r="BH4" s="639" t="s">
        <v>49</v>
      </c>
      <c r="BI4" s="637" t="s">
        <v>508</v>
      </c>
      <c r="BJ4" s="638" t="s">
        <v>459</v>
      </c>
      <c r="BK4" s="636"/>
      <c r="BL4" s="637" t="s">
        <v>47</v>
      </c>
      <c r="BM4" s="637" t="s">
        <v>508</v>
      </c>
      <c r="BN4" s="638" t="s">
        <v>459</v>
      </c>
      <c r="BO4" s="639" t="s">
        <v>48</v>
      </c>
      <c r="BP4" s="637" t="s">
        <v>508</v>
      </c>
      <c r="BQ4" s="638" t="s">
        <v>459</v>
      </c>
      <c r="BR4" s="639" t="s">
        <v>49</v>
      </c>
      <c r="BS4" s="637" t="s">
        <v>508</v>
      </c>
      <c r="BT4" s="638" t="s">
        <v>459</v>
      </c>
      <c r="BU4" s="636"/>
      <c r="BV4" s="637" t="s">
        <v>47</v>
      </c>
      <c r="BW4" s="637" t="s">
        <v>508</v>
      </c>
      <c r="BX4" s="638" t="s">
        <v>459</v>
      </c>
      <c r="BY4" s="639" t="s">
        <v>48</v>
      </c>
      <c r="BZ4" s="637" t="s">
        <v>508</v>
      </c>
      <c r="CA4" s="638" t="s">
        <v>459</v>
      </c>
      <c r="CB4" s="639" t="s">
        <v>49</v>
      </c>
      <c r="CC4" s="637" t="s">
        <v>508</v>
      </c>
      <c r="CD4" s="638" t="s">
        <v>459</v>
      </c>
    </row>
    <row r="5" spans="2:82" x14ac:dyDescent="0.2">
      <c r="C5" s="640" t="s">
        <v>20</v>
      </c>
      <c r="D5" s="47">
        <f>IFERROR(COUNTIF(Kuponger!$AD:$AD,D$2),0)</f>
        <v>0</v>
      </c>
      <c r="E5" s="47">
        <f>IFERROR(COUNTIF(Kuponger!$Z:$Z,Analyse!D$2),0)</f>
        <v>12</v>
      </c>
      <c r="F5" s="641">
        <f t="shared" ref="F5:F13" si="0">IFERROR(D5/E5,0)</f>
        <v>0</v>
      </c>
      <c r="G5" s="642">
        <f>IFERROR(COUNTIF(Kuponger!$V:$V,D$2),0)</f>
        <v>0</v>
      </c>
      <c r="H5" s="47">
        <f>IFERROR(COUNTIF(Kuponger!$R:$R,Analyse!D$2),0)</f>
        <v>12</v>
      </c>
      <c r="I5" s="641">
        <f>IFERROR(G5/H5,0)</f>
        <v>0</v>
      </c>
      <c r="J5" s="642">
        <f>IFERROR(COUNTIF(Kuponger!$W:$W,D$2),0)</f>
        <v>0</v>
      </c>
      <c r="K5" s="47">
        <f>IFERROR(COUNTIF(Kuponger!$S:$S,Analyse!D$2),0)</f>
        <v>0</v>
      </c>
      <c r="L5" s="641">
        <f>IFERROR(J5/K5,0)</f>
        <v>0</v>
      </c>
      <c r="M5" s="640" t="s">
        <v>20</v>
      </c>
      <c r="N5" s="47">
        <f>IFERROR(COUNTIF(Kuponger!$AD:$AD,N$2),0)</f>
        <v>0</v>
      </c>
      <c r="O5" s="47">
        <f>IFERROR(COUNTIF(Kuponger!$Z:$Z,Analyse!N$2),0)</f>
        <v>12</v>
      </c>
      <c r="P5" s="641">
        <f t="shared" ref="P5:P13" si="1">IFERROR(N5/O5,0)</f>
        <v>0</v>
      </c>
      <c r="Q5" s="642">
        <f>IFERROR(COUNTIF(Kuponger!$V:$V,N$2),0)</f>
        <v>0</v>
      </c>
      <c r="R5" s="47">
        <f>IFERROR(COUNTIF(Kuponger!$R:$R,Analyse!N$2),0)</f>
        <v>0</v>
      </c>
      <c r="S5" s="641">
        <f>IFERROR(Q5/R5,0)</f>
        <v>0</v>
      </c>
      <c r="T5" s="642">
        <f>IFERROR(COUNTIF(Kuponger!$W:$W,N$2),0)</f>
        <v>0</v>
      </c>
      <c r="U5" s="47">
        <f>IFERROR(COUNTIF(Kuponger!$S:$S,Analyse!N$2),0)</f>
        <v>10</v>
      </c>
      <c r="V5" s="641">
        <f>IFERROR(T5/U5,0)</f>
        <v>0</v>
      </c>
      <c r="W5" s="640" t="s">
        <v>19</v>
      </c>
      <c r="X5" s="47">
        <f>IFERROR(COUNTIF(Kuponger!$U:$U,X$2),0)</f>
        <v>0</v>
      </c>
      <c r="Y5" s="47">
        <f>IFERROR(COUNTIF(Kuponger!$Q:$Q,Analyse!X$2),0)</f>
        <v>12</v>
      </c>
      <c r="Z5" s="641">
        <f t="shared" ref="Z5:Z13" si="2">IFERROR(X5/Y5,0)</f>
        <v>0</v>
      </c>
      <c r="AA5" s="642">
        <f>IFERROR(COUNTIF(Kuponger!$V:$V,X$2),0)</f>
        <v>0</v>
      </c>
      <c r="AB5" s="47">
        <f>IFERROR(COUNTIF(Kuponger!$R:$R,Analyse!X$2),0)</f>
        <v>0</v>
      </c>
      <c r="AC5" s="641">
        <f>IFERROR(AA5/AB5,0)</f>
        <v>0</v>
      </c>
      <c r="AD5" s="642">
        <f>IFERROR(COUNTIF(Kuponger!$W:$W,X$2),0)</f>
        <v>0</v>
      </c>
      <c r="AE5" s="47">
        <f>IFERROR(COUNTIF(Kuponger!$S:$S,Analyse!X$2),0)</f>
        <v>12</v>
      </c>
      <c r="AF5" s="641">
        <f>IFERROR(AD5/AE5,0)</f>
        <v>0</v>
      </c>
      <c r="AG5" s="640" t="s">
        <v>24</v>
      </c>
      <c r="AH5" s="47">
        <f>IFERROR(COUNTIF(Kuponger!$BN:$BN,AH$2),0)</f>
        <v>0</v>
      </c>
      <c r="AI5" s="47">
        <f>IFERROR(COUNTIF(Kuponger!$BJ:$BJ,Analyse!AH$2),0)</f>
        <v>12</v>
      </c>
      <c r="AJ5" s="641">
        <f t="shared" ref="AJ5:AJ13" si="3">IFERROR(AH5/AI5,0)</f>
        <v>0</v>
      </c>
      <c r="AK5" s="642">
        <f>IFERROR(COUNTIF(Kuponger!$V:$V,AH$2),0)</f>
        <v>0</v>
      </c>
      <c r="AL5" s="47">
        <f>IFERROR(COUNTIF(Kuponger!$R:$R,Analyse!AH$2),0)</f>
        <v>13</v>
      </c>
      <c r="AM5" s="641">
        <f>IFERROR(AK5/AL5,0)</f>
        <v>0</v>
      </c>
      <c r="AN5" s="642">
        <f>IFERROR(COUNTIF(Kuponger!$W:$W,AH$2),0)</f>
        <v>0</v>
      </c>
      <c r="AO5" s="47">
        <f>IFERROR(COUNTIF(Kuponger!$S:$S,Analyse!AH$2),0)</f>
        <v>13</v>
      </c>
      <c r="AP5" s="641">
        <f>IFERROR(AN5/AO5,0)</f>
        <v>0</v>
      </c>
      <c r="AQ5" s="640" t="s">
        <v>25</v>
      </c>
      <c r="AR5" s="47">
        <f>IFERROR(COUNTIF(Kuponger!$BW:$BW,AR$2),0)</f>
        <v>0</v>
      </c>
      <c r="AS5" s="47">
        <f>IFERROR(COUNTIF(Kuponger!$BS:$BS,Analyse!AR$2),0)</f>
        <v>12</v>
      </c>
      <c r="AT5" s="641">
        <f t="shared" ref="AT5:AT13" si="4">IFERROR(AR5/AS5,0)</f>
        <v>0</v>
      </c>
      <c r="AU5" s="642">
        <f>IFERROR(COUNTIF(Kuponger!$V:$V,AR$2),0)</f>
        <v>0</v>
      </c>
      <c r="AV5" s="47">
        <f>IFERROR(COUNTIF(Kuponger!$R:$R,Analyse!AR$2),0)</f>
        <v>1</v>
      </c>
      <c r="AW5" s="641">
        <f>IFERROR(AU5/AV5,0)</f>
        <v>0</v>
      </c>
      <c r="AX5" s="642">
        <f>IFERROR(COUNTIF(Kuponger!$W:$W,AR$2),0)</f>
        <v>0</v>
      </c>
      <c r="AY5" s="47">
        <f>IFERROR(COUNTIF(Kuponger!$S:$S,Analyse!AR$2),0)</f>
        <v>23</v>
      </c>
      <c r="AZ5" s="641">
        <f>IFERROR(AX5/AY5,0)</f>
        <v>0</v>
      </c>
      <c r="BA5" s="640" t="s">
        <v>21</v>
      </c>
      <c r="BB5" s="47">
        <f>IFERROR(COUNTIF(Kuponger!$AM:$AM,BB$2),0)</f>
        <v>0</v>
      </c>
      <c r="BC5" s="47">
        <f>IFERROR(COUNTIF(Kuponger!$AI:$AI,Analyse!BB$2),0)</f>
        <v>12</v>
      </c>
      <c r="BD5" s="641">
        <f t="shared" ref="BD5:BD13" si="5">IFERROR(BB5/BC5,0)</f>
        <v>0</v>
      </c>
      <c r="BE5" s="642">
        <f>IFERROR(COUNTIF(Kuponger!$V:$V,BB$2),0)</f>
        <v>0</v>
      </c>
      <c r="BF5" s="47">
        <f>IFERROR(COUNTIF(Kuponger!$R:$R,Analyse!BB$2),0)</f>
        <v>0</v>
      </c>
      <c r="BG5" s="641">
        <f>IFERROR(BE5/BF5,0)</f>
        <v>0</v>
      </c>
      <c r="BH5" s="642">
        <f>IFERROR(COUNTIF(Kuponger!$W:$W,BB$2),0)</f>
        <v>0</v>
      </c>
      <c r="BI5" s="47">
        <f>IFERROR(COUNTIF(Kuponger!$S:$S,Analyse!BB$2),0)</f>
        <v>2</v>
      </c>
      <c r="BJ5" s="641">
        <f>IFERROR(BH5/BI5,0)</f>
        <v>0</v>
      </c>
      <c r="BK5" s="640" t="s">
        <v>22</v>
      </c>
      <c r="BL5" s="47">
        <f>IFERROR(COUNTIF(Kuponger!$AV:$AV,BL$2),0)</f>
        <v>0</v>
      </c>
      <c r="BM5" s="47">
        <f>IFERROR(COUNTIF(Kuponger!$AR:$AR,Analyse!BL$2),0)</f>
        <v>12</v>
      </c>
      <c r="BN5" s="641">
        <f t="shared" ref="BN5:BN13" si="6">IFERROR(BL5/BM5,0)</f>
        <v>0</v>
      </c>
      <c r="BO5" s="642">
        <f>IFERROR(COUNTIF(Kuponger!$V:$V,BL$2),0)</f>
        <v>0</v>
      </c>
      <c r="BP5" s="47">
        <f>IFERROR(COUNTIF(Kuponger!$R:$R,Analyse!BL$2),0)</f>
        <v>24</v>
      </c>
      <c r="BQ5" s="641">
        <f>IFERROR(BO5/BP5,0)</f>
        <v>0</v>
      </c>
      <c r="BR5" s="642">
        <f>IFERROR(COUNTIF(Kuponger!$W:$W,BL$2),0)</f>
        <v>0</v>
      </c>
      <c r="BS5" s="47">
        <f>IFERROR(COUNTIF(Kuponger!$S:$S,Analyse!BL$2),0)</f>
        <v>12</v>
      </c>
      <c r="BT5" s="641">
        <f>IFERROR(BR5/BS5,0)</f>
        <v>0</v>
      </c>
      <c r="BU5" s="640" t="s">
        <v>19</v>
      </c>
      <c r="BV5" s="47">
        <f>IFERROR(COUNTIF(Kuponger!$U:$U,BV$2),0)</f>
        <v>0</v>
      </c>
      <c r="BW5" s="47">
        <f>IFERROR(COUNTIF(Kuponger!$Q:$Q,Analyse!BV$2),0)</f>
        <v>24</v>
      </c>
      <c r="BX5" s="641">
        <f t="shared" ref="BX5:BX13" si="7">IFERROR(BV5/BW5,0)</f>
        <v>0</v>
      </c>
      <c r="BY5" s="642">
        <f>IFERROR(COUNTIF(Kuponger!$V:$V,BV$2),0)</f>
        <v>0</v>
      </c>
      <c r="BZ5" s="47">
        <f>IFERROR(COUNTIF(Kuponger!$R:$R,Analyse!BV$2),0)</f>
        <v>58</v>
      </c>
      <c r="CA5" s="641">
        <f>IFERROR(BY5/BZ5,0)</f>
        <v>0</v>
      </c>
      <c r="CB5" s="642">
        <f>IFERROR(COUNTIF(Kuponger!$W:$W,BV$2),0)</f>
        <v>0</v>
      </c>
      <c r="CC5" s="47">
        <f>IFERROR(COUNTIF(Kuponger!$S:$S,Analyse!BV$2),0)</f>
        <v>36</v>
      </c>
      <c r="CD5" s="641">
        <f>IFERROR(CB5/CC5,0)</f>
        <v>0</v>
      </c>
    </row>
    <row r="6" spans="2:82" x14ac:dyDescent="0.2">
      <c r="C6" s="640" t="s">
        <v>25</v>
      </c>
      <c r="D6" s="47">
        <f>IFERROR(COUNTIF(Kuponger!$BW:$BW,D$2),0)</f>
        <v>0</v>
      </c>
      <c r="E6" s="47">
        <f>IFERROR(COUNTIF(Kuponger!$BS:$BS,Analyse!D$2),0)</f>
        <v>12</v>
      </c>
      <c r="F6" s="641">
        <f t="shared" si="0"/>
        <v>0</v>
      </c>
      <c r="G6" s="642">
        <f>IFERROR(COUNTIF(Kuponger!$AE:$AE,D$2),0)</f>
        <v>0</v>
      </c>
      <c r="H6" s="47">
        <f>IFERROR(COUNTIF(Kuponger!$AA:$AA,Analyse!D$2),0)</f>
        <v>12</v>
      </c>
      <c r="I6" s="641">
        <f t="shared" ref="I6:I13" si="8">IFERROR(G6/H6,0)</f>
        <v>0</v>
      </c>
      <c r="J6" s="642">
        <f>IFERROR(COUNTIF(Kuponger!$AF:$AF,D$2),0)</f>
        <v>0</v>
      </c>
      <c r="K6" s="47">
        <f>IFERROR(COUNTIF(Kuponger!$AB:$AB,Analyse!D$2),0)</f>
        <v>0</v>
      </c>
      <c r="L6" s="641">
        <f t="shared" ref="L6:L13" si="9">IFERROR(J6/K6,0)</f>
        <v>0</v>
      </c>
      <c r="M6" s="640" t="s">
        <v>22</v>
      </c>
      <c r="N6" s="47">
        <f>IFERROR(COUNTIF(Kuponger!$AV:$AV,N$2),0)</f>
        <v>0</v>
      </c>
      <c r="O6" s="47">
        <f>IFERROR(COUNTIF(Kuponger!$AR:$AR,Analyse!N$2),0)</f>
        <v>12</v>
      </c>
      <c r="P6" s="641">
        <f t="shared" si="1"/>
        <v>0</v>
      </c>
      <c r="Q6" s="642">
        <f>IFERROR(COUNTIF(Kuponger!$AE:$AE,N$2),0)</f>
        <v>0</v>
      </c>
      <c r="R6" s="47">
        <f>IFERROR(COUNTIF(Kuponger!$AA:$AA,Analyse!N$2),0)</f>
        <v>0</v>
      </c>
      <c r="S6" s="641">
        <f t="shared" ref="S6:S13" si="10">IFERROR(Q6/R6,0)</f>
        <v>0</v>
      </c>
      <c r="T6" s="642">
        <f>IFERROR(COUNTIF(Kuponger!$AF:$AF,N$2),0)</f>
        <v>0</v>
      </c>
      <c r="U6" s="47">
        <f>IFERROR(COUNTIF(Kuponger!$AB:$AB,Analyse!N$2),0)</f>
        <v>10</v>
      </c>
      <c r="V6" s="641">
        <f t="shared" ref="V6:V13" si="11">IFERROR(T6/U6,0)</f>
        <v>0</v>
      </c>
      <c r="W6" s="640" t="s">
        <v>21</v>
      </c>
      <c r="X6" s="47">
        <f>IFERROR(COUNTIF(Kuponger!$AM:$AM,X$2),0)</f>
        <v>0</v>
      </c>
      <c r="Y6" s="47">
        <f>IFERROR(COUNTIF(Kuponger!$AI:$AI,Analyse!X$2),0)</f>
        <v>12</v>
      </c>
      <c r="Z6" s="641">
        <f t="shared" si="2"/>
        <v>0</v>
      </c>
      <c r="AA6" s="642">
        <f>IFERROR(COUNTIF(Kuponger!$AE:$AE,X$2),0)</f>
        <v>0</v>
      </c>
      <c r="AB6" s="47">
        <f>IFERROR(COUNTIF(Kuponger!$AA:$AA,Analyse!X$2),0)</f>
        <v>0</v>
      </c>
      <c r="AC6" s="641">
        <f t="shared" ref="AC6:AC13" si="12">IFERROR(AA6/AB6,0)</f>
        <v>0</v>
      </c>
      <c r="AD6" s="642">
        <f>IFERROR(COUNTIF(Kuponger!$AF:$AF,X$2),0)</f>
        <v>0</v>
      </c>
      <c r="AE6" s="47">
        <f>IFERROR(COUNTIF(Kuponger!$AB:$AB,Analyse!X$2),0)</f>
        <v>12</v>
      </c>
      <c r="AF6" s="641">
        <f t="shared" ref="AF6:AF13" si="13">IFERROR(AD6/AE6,0)</f>
        <v>0</v>
      </c>
      <c r="AG6" s="640" t="s">
        <v>21</v>
      </c>
      <c r="AH6" s="47">
        <f>IFERROR(COUNTIF(Kuponger!$AM:$AM,AH$2),0)</f>
        <v>0</v>
      </c>
      <c r="AI6" s="47">
        <f>IFERROR(COUNTIF(Kuponger!$AI:$AI,Analyse!AH$2),0)</f>
        <v>12</v>
      </c>
      <c r="AJ6" s="641">
        <f t="shared" si="3"/>
        <v>0</v>
      </c>
      <c r="AK6" s="642">
        <f>IFERROR(COUNTIF(Kuponger!$AE:$AE,AH$2),0)</f>
        <v>0</v>
      </c>
      <c r="AL6" s="47">
        <f>IFERROR(COUNTIF(Kuponger!$AA:$AA,Analyse!AH$2),0)</f>
        <v>13</v>
      </c>
      <c r="AM6" s="641">
        <f t="shared" ref="AM6:AM13" si="14">IFERROR(AK6/AL6,0)</f>
        <v>0</v>
      </c>
      <c r="AN6" s="642">
        <f>IFERROR(COUNTIF(Kuponger!$AF:$AF,AH$2),0)</f>
        <v>0</v>
      </c>
      <c r="AO6" s="47">
        <f>IFERROR(COUNTIF(Kuponger!$AB:$AB,Analyse!AH$2),0)</f>
        <v>13</v>
      </c>
      <c r="AP6" s="641">
        <f t="shared" ref="AP6:AP13" si="15">IFERROR(AN6/AO6,0)</f>
        <v>0</v>
      </c>
      <c r="AQ6" s="640" t="s">
        <v>23</v>
      </c>
      <c r="AR6" s="47">
        <f>IFERROR(COUNTIF(Kuponger!$BE:$BE,AR$2),0)</f>
        <v>0</v>
      </c>
      <c r="AS6" s="47">
        <f>IFERROR(COUNTIF(Kuponger!$BA:$BA,Analyse!AR$2),0)</f>
        <v>12</v>
      </c>
      <c r="AT6" s="641">
        <f t="shared" si="4"/>
        <v>0</v>
      </c>
      <c r="AU6" s="642">
        <f>IFERROR(COUNTIF(Kuponger!$AE:$AE,AR$2),0)</f>
        <v>0</v>
      </c>
      <c r="AV6" s="47">
        <f>IFERROR(COUNTIF(Kuponger!$AA:$AA,Analyse!AR$2),0)</f>
        <v>1</v>
      </c>
      <c r="AW6" s="641">
        <f t="shared" ref="AW6:AW13" si="16">IFERROR(AU6/AV6,0)</f>
        <v>0</v>
      </c>
      <c r="AX6" s="642">
        <f>IFERROR(COUNTIF(Kuponger!$AF:$AF,AR$2),0)</f>
        <v>0</v>
      </c>
      <c r="AY6" s="47">
        <f>IFERROR(COUNTIF(Kuponger!$AB:$AB,Analyse!AR$2),0)</f>
        <v>23</v>
      </c>
      <c r="AZ6" s="641">
        <f t="shared" ref="AZ6:AZ13" si="17">IFERROR(AX6/AY6,0)</f>
        <v>0</v>
      </c>
      <c r="BA6" s="640" t="s">
        <v>23</v>
      </c>
      <c r="BB6" s="47">
        <f>IFERROR(COUNTIF(Kuponger!$BE:$BE,BB$2),0)</f>
        <v>0</v>
      </c>
      <c r="BC6" s="47">
        <f>IFERROR(COUNTIF(Kuponger!$BA:$BA,Analyse!BB$2),0)</f>
        <v>12</v>
      </c>
      <c r="BD6" s="641">
        <f t="shared" si="5"/>
        <v>0</v>
      </c>
      <c r="BE6" s="642">
        <f>IFERROR(COUNTIF(Kuponger!$AE:$AE,BB$2),0)</f>
        <v>0</v>
      </c>
      <c r="BF6" s="47">
        <f>IFERROR(COUNTIF(Kuponger!$AA:$AA,Analyse!BB$2),0)</f>
        <v>0</v>
      </c>
      <c r="BG6" s="641">
        <f t="shared" ref="BG6:BG13" si="18">IFERROR(BE6/BF6,0)</f>
        <v>0</v>
      </c>
      <c r="BH6" s="642">
        <f>IFERROR(COUNTIF(Kuponger!$AF:$AF,BB$2),0)</f>
        <v>0</v>
      </c>
      <c r="BI6" s="47">
        <f>IFERROR(COUNTIF(Kuponger!$AB:$AB,Analyse!BB$2),0)</f>
        <v>2</v>
      </c>
      <c r="BJ6" s="641">
        <f t="shared" ref="BJ6:BJ13" si="19">IFERROR(BH6/BI6,0)</f>
        <v>0</v>
      </c>
      <c r="BK6" s="640" t="s">
        <v>20</v>
      </c>
      <c r="BL6" s="47">
        <f>IFERROR(COUNTIF(Kuponger!$AD:$AD,BL$2),0)</f>
        <v>0</v>
      </c>
      <c r="BM6" s="47">
        <f>IFERROR(COUNTIF(Kuponger!$Z:$Z,Analyse!BL$2),0)</f>
        <v>12</v>
      </c>
      <c r="BN6" s="641">
        <f t="shared" si="6"/>
        <v>0</v>
      </c>
      <c r="BO6" s="642">
        <f>IFERROR(COUNTIF(Kuponger!$AE:$AE,BL$2),0)</f>
        <v>0</v>
      </c>
      <c r="BP6" s="47">
        <f>IFERROR(COUNTIF(Kuponger!$AA:$AA,Analyse!BL$2),0)</f>
        <v>24</v>
      </c>
      <c r="BQ6" s="641">
        <f t="shared" ref="BQ6:BQ13" si="20">IFERROR(BO6/BP6,0)</f>
        <v>0</v>
      </c>
      <c r="BR6" s="642">
        <f>IFERROR(COUNTIF(Kuponger!$AF:$AF,BL$2),0)</f>
        <v>0</v>
      </c>
      <c r="BS6" s="47">
        <f>IFERROR(COUNTIF(Kuponger!$AB:$AB,Analyse!BL$2),0)</f>
        <v>12</v>
      </c>
      <c r="BT6" s="641">
        <f t="shared" ref="BT6:BT13" si="21">IFERROR(BR6/BS6,0)</f>
        <v>0</v>
      </c>
      <c r="BU6" s="640" t="s">
        <v>25</v>
      </c>
      <c r="BV6" s="47">
        <f>IFERROR(COUNTIF(Kuponger!$BW:$BW,BV$2),0)</f>
        <v>0</v>
      </c>
      <c r="BW6" s="47">
        <f>IFERROR(COUNTIF(Kuponger!$BS:$BS,Analyse!BV$2),0)</f>
        <v>24</v>
      </c>
      <c r="BX6" s="641">
        <f t="shared" si="7"/>
        <v>0</v>
      </c>
      <c r="BY6" s="642">
        <f>IFERROR(COUNTIF(Kuponger!$AE:$AE,BV$2),0)</f>
        <v>0</v>
      </c>
      <c r="BZ6" s="47">
        <f>IFERROR(COUNTIF(Kuponger!$AA:$AA,Analyse!BV$2),0)</f>
        <v>58</v>
      </c>
      <c r="CA6" s="641">
        <f t="shared" ref="CA6:CA13" si="22">IFERROR(BY6/BZ6,0)</f>
        <v>0</v>
      </c>
      <c r="CB6" s="642">
        <f>IFERROR(COUNTIF(Kuponger!$AF:$AF,BV$2),0)</f>
        <v>0</v>
      </c>
      <c r="CC6" s="47">
        <f>IFERROR(COUNTIF(Kuponger!$AB:$AB,Analyse!BV$2),0)</f>
        <v>36</v>
      </c>
      <c r="CD6" s="641">
        <f t="shared" ref="CD6:CD13" si="23">IFERROR(CB6/CC6,0)</f>
        <v>0</v>
      </c>
    </row>
    <row r="7" spans="2:82" x14ac:dyDescent="0.2">
      <c r="C7" s="640" t="s">
        <v>21</v>
      </c>
      <c r="D7" s="47">
        <f>IFERROR(COUNTIF(Kuponger!$AM:$AM,D$2),0)</f>
        <v>0</v>
      </c>
      <c r="E7" s="47">
        <f>IFERROR(COUNTIF(Kuponger!$AI:$AI,Analyse!D$2),0)</f>
        <v>12</v>
      </c>
      <c r="F7" s="641">
        <f t="shared" si="0"/>
        <v>0</v>
      </c>
      <c r="G7" s="642">
        <f>IFERROR(COUNTIF(Kuponger!$AN:$AN,D$2),0)</f>
        <v>0</v>
      </c>
      <c r="H7" s="47">
        <f>IFERROR(COUNTIF(Kuponger!$AJ:$AJ,Analyse!D$2),0)</f>
        <v>12</v>
      </c>
      <c r="I7" s="641">
        <f t="shared" si="8"/>
        <v>0</v>
      </c>
      <c r="J7" s="642">
        <f>IFERROR(COUNTIF(Kuponger!$AO:$AO,D$2),0)</f>
        <v>0</v>
      </c>
      <c r="K7" s="47">
        <f>IFERROR(COUNTIF(Kuponger!$AK:$AK,Analyse!D$2),0)</f>
        <v>0</v>
      </c>
      <c r="L7" s="641">
        <f t="shared" si="9"/>
        <v>0</v>
      </c>
      <c r="M7" s="640" t="s">
        <v>23</v>
      </c>
      <c r="N7" s="47">
        <f>IFERROR(COUNTIF(Kuponger!$BE:$BE,N$2),0)</f>
        <v>0</v>
      </c>
      <c r="O7" s="47">
        <f>IFERROR(COUNTIF(Kuponger!$BA:$BA,Analyse!N$2),0)</f>
        <v>12</v>
      </c>
      <c r="P7" s="641">
        <f t="shared" si="1"/>
        <v>0</v>
      </c>
      <c r="Q7" s="642">
        <f>IFERROR(COUNTIF(Kuponger!$AN:$AN,N$2),0)</f>
        <v>0</v>
      </c>
      <c r="R7" s="47">
        <f>IFERROR(COUNTIF(Kuponger!$AJ:$AJ,Analyse!N$2),0)</f>
        <v>0</v>
      </c>
      <c r="S7" s="641">
        <f t="shared" si="10"/>
        <v>0</v>
      </c>
      <c r="T7" s="642">
        <f>IFERROR(COUNTIF(Kuponger!$AO:$AO,N$2),0)</f>
        <v>0</v>
      </c>
      <c r="U7" s="47">
        <f>IFERROR(COUNTIF(Kuponger!$AK:$AK,Analyse!N$2),0)</f>
        <v>10</v>
      </c>
      <c r="V7" s="641">
        <f t="shared" si="11"/>
        <v>0</v>
      </c>
      <c r="W7" s="640" t="s">
        <v>24</v>
      </c>
      <c r="X7" s="47">
        <f>IFERROR(COUNTIF(Kuponger!$BN:$BN,X$2),0)</f>
        <v>0</v>
      </c>
      <c r="Y7" s="47">
        <f>IFERROR(COUNTIF(Kuponger!$BJ:$BJ,Analyse!X$2),0)</f>
        <v>12</v>
      </c>
      <c r="Z7" s="641">
        <f t="shared" si="2"/>
        <v>0</v>
      </c>
      <c r="AA7" s="642">
        <f>IFERROR(COUNTIF(Kuponger!$AN:$AN,X$2),0)</f>
        <v>0</v>
      </c>
      <c r="AB7" s="47">
        <f>IFERROR(COUNTIF(Kuponger!$AJ:$AJ,Analyse!X$2),0)</f>
        <v>0</v>
      </c>
      <c r="AC7" s="641">
        <f t="shared" si="12"/>
        <v>0</v>
      </c>
      <c r="AD7" s="642">
        <f>IFERROR(COUNTIF(Kuponger!$AO:$AO,X$2),0)</f>
        <v>0</v>
      </c>
      <c r="AE7" s="47">
        <f>IFERROR(COUNTIF(Kuponger!$AK:$AK,Analyse!X$2),0)</f>
        <v>12</v>
      </c>
      <c r="AF7" s="641">
        <f t="shared" si="13"/>
        <v>0</v>
      </c>
      <c r="AG7" s="640" t="s">
        <v>26</v>
      </c>
      <c r="AH7" s="47">
        <f>IFERROR(COUNTIF(Kuponger!$CF:$CF,AH$2),0)</f>
        <v>0</v>
      </c>
      <c r="AI7" s="47">
        <f>IFERROR(COUNTIF(Kuponger!$CB:$CB,Analyse!AH$2),0)</f>
        <v>12</v>
      </c>
      <c r="AJ7" s="641">
        <f t="shared" si="3"/>
        <v>0</v>
      </c>
      <c r="AK7" s="642">
        <f>IFERROR(COUNTIF(Kuponger!$AN:$AN,AH$2),0)</f>
        <v>0</v>
      </c>
      <c r="AL7" s="47">
        <f>IFERROR(COUNTIF(Kuponger!$AJ:$AJ,Analyse!AH$2),0)</f>
        <v>13</v>
      </c>
      <c r="AM7" s="641">
        <f t="shared" si="14"/>
        <v>0</v>
      </c>
      <c r="AN7" s="642">
        <f>IFERROR(COUNTIF(Kuponger!$AO:$AO,AH$2),0)</f>
        <v>0</v>
      </c>
      <c r="AO7" s="47">
        <f>IFERROR(COUNTIF(Kuponger!$AK:$AK,Analyse!AH$2),0)</f>
        <v>13</v>
      </c>
      <c r="AP7" s="641">
        <f t="shared" si="15"/>
        <v>0</v>
      </c>
      <c r="AQ7" s="640" t="s">
        <v>27</v>
      </c>
      <c r="AR7" s="47">
        <f>IFERROR(COUNTIF(Kuponger!$CO:$CO,AR$2),0)</f>
        <v>0</v>
      </c>
      <c r="AS7" s="47">
        <f>IFERROR(COUNTIF(Kuponger!$CK:$CK,Analyse!AR$2),0)</f>
        <v>12</v>
      </c>
      <c r="AT7" s="641">
        <f t="shared" si="4"/>
        <v>0</v>
      </c>
      <c r="AU7" s="642">
        <f>IFERROR(COUNTIF(Kuponger!$AN:$AN,AR$2),0)</f>
        <v>0</v>
      </c>
      <c r="AV7" s="47">
        <f>IFERROR(COUNTIF(Kuponger!$AJ:$AJ,Analyse!AR$2),0)</f>
        <v>1</v>
      </c>
      <c r="AW7" s="641">
        <f t="shared" si="16"/>
        <v>0</v>
      </c>
      <c r="AX7" s="642">
        <f>IFERROR(COUNTIF(Kuponger!$AO:$AO,AR$2),0)</f>
        <v>0</v>
      </c>
      <c r="AY7" s="47">
        <f>IFERROR(COUNTIF(Kuponger!$AK:$AK,Analyse!AR$2),0)</f>
        <v>23</v>
      </c>
      <c r="AZ7" s="641">
        <f t="shared" si="17"/>
        <v>0</v>
      </c>
      <c r="BA7" s="640" t="s">
        <v>25</v>
      </c>
      <c r="BB7" s="47">
        <f>IFERROR(COUNTIF(Kuponger!$BW:$BW,BB$2),0)</f>
        <v>0</v>
      </c>
      <c r="BC7" s="47">
        <f>IFERROR(COUNTIF(Kuponger!$BS:$BS,Analyse!BB$2),0)</f>
        <v>12</v>
      </c>
      <c r="BD7" s="641">
        <f t="shared" si="5"/>
        <v>0</v>
      </c>
      <c r="BE7" s="642">
        <f>IFERROR(COUNTIF(Kuponger!$AN:$AN,BB$2),0)</f>
        <v>0</v>
      </c>
      <c r="BF7" s="47">
        <f>IFERROR(COUNTIF(Kuponger!$AJ:$AJ,Analyse!BB$2),0)</f>
        <v>0</v>
      </c>
      <c r="BG7" s="641">
        <f t="shared" si="18"/>
        <v>0</v>
      </c>
      <c r="BH7" s="642">
        <f>IFERROR(COUNTIF(Kuponger!$AO:$AO,BB$2),0)</f>
        <v>0</v>
      </c>
      <c r="BI7" s="47">
        <f>IFERROR(COUNTIF(Kuponger!$AK:$AK,Analyse!BB$2),0)</f>
        <v>2</v>
      </c>
      <c r="BJ7" s="641">
        <f t="shared" si="19"/>
        <v>0</v>
      </c>
      <c r="BK7" s="640" t="s">
        <v>27</v>
      </c>
      <c r="BL7" s="47">
        <f>IFERROR(COUNTIF(Kuponger!$CO:$CO,BL$2),0)</f>
        <v>0</v>
      </c>
      <c r="BM7" s="47">
        <f>IFERROR(COUNTIF(Kuponger!$CK:$CK,Analyse!BL$2),0)</f>
        <v>12</v>
      </c>
      <c r="BN7" s="641">
        <f t="shared" si="6"/>
        <v>0</v>
      </c>
      <c r="BO7" s="642">
        <f>IFERROR(COUNTIF(Kuponger!$AN:$AN,BL$2),0)</f>
        <v>0</v>
      </c>
      <c r="BP7" s="47">
        <f>IFERROR(COUNTIF(Kuponger!$AJ:$AJ,Analyse!BL$2),0)</f>
        <v>24</v>
      </c>
      <c r="BQ7" s="641">
        <f t="shared" si="20"/>
        <v>0</v>
      </c>
      <c r="BR7" s="642">
        <f>IFERROR(COUNTIF(Kuponger!$AO:$AO,BL$2),0)</f>
        <v>0</v>
      </c>
      <c r="BS7" s="47">
        <f>IFERROR(COUNTIF(Kuponger!$AK:$AK,Analyse!BL$2),0)</f>
        <v>12</v>
      </c>
      <c r="BT7" s="641">
        <f t="shared" si="21"/>
        <v>0</v>
      </c>
      <c r="BU7" s="640" t="s">
        <v>24</v>
      </c>
      <c r="BV7" s="47">
        <f>IFERROR(COUNTIF(Kuponger!$BN:$BN,BV$2),0)</f>
        <v>0</v>
      </c>
      <c r="BW7" s="47">
        <f>IFERROR(COUNTIF(Kuponger!$BJ:$BJ,Analyse!BV$2),0)</f>
        <v>24</v>
      </c>
      <c r="BX7" s="641">
        <f t="shared" si="7"/>
        <v>0</v>
      </c>
      <c r="BY7" s="642">
        <f>IFERROR(COUNTIF(Kuponger!$AN:$AN,BV$2),0)</f>
        <v>0</v>
      </c>
      <c r="BZ7" s="47">
        <f>IFERROR(COUNTIF(Kuponger!$AJ:$AJ,Analyse!BV$2),0)</f>
        <v>58</v>
      </c>
      <c r="CA7" s="641">
        <f t="shared" si="22"/>
        <v>0</v>
      </c>
      <c r="CB7" s="642">
        <f>IFERROR(COUNTIF(Kuponger!$AO:$AO,BV$2),0)</f>
        <v>0</v>
      </c>
      <c r="CC7" s="47">
        <f>IFERROR(COUNTIF(Kuponger!$AK:$AK,Analyse!BV$2),0)</f>
        <v>36</v>
      </c>
      <c r="CD7" s="641">
        <f t="shared" si="23"/>
        <v>0</v>
      </c>
    </row>
    <row r="8" spans="2:82" x14ac:dyDescent="0.2">
      <c r="C8" s="640" t="s">
        <v>19</v>
      </c>
      <c r="D8" s="47">
        <f>IFERROR(COUNTIF(Kuponger!$U:$U,D$2),0)</f>
        <v>0</v>
      </c>
      <c r="E8" s="47">
        <f>IFERROR(COUNTIF(Kuponger!$Q:$Q,Analyse!D$2),0)</f>
        <v>12</v>
      </c>
      <c r="F8" s="641">
        <f t="shared" si="0"/>
        <v>0</v>
      </c>
      <c r="G8" s="642">
        <f>IFERROR(COUNTIF(Kuponger!$AW:$AW,D$2),0)</f>
        <v>0</v>
      </c>
      <c r="H8" s="47">
        <f>IFERROR(COUNTIF(Kuponger!$AS:$AS,Analyse!D$2),0)</f>
        <v>12</v>
      </c>
      <c r="I8" s="641">
        <f t="shared" si="8"/>
        <v>0</v>
      </c>
      <c r="J8" s="642">
        <f>IFERROR(COUNTIF(Kuponger!$AX:$AX,D$2),0)</f>
        <v>0</v>
      </c>
      <c r="K8" s="47">
        <f>IFERROR(COUNTIF(Kuponger!$AT:$AT,Analyse!D$2),0)</f>
        <v>0</v>
      </c>
      <c r="L8" s="641">
        <f t="shared" si="9"/>
        <v>0</v>
      </c>
      <c r="M8" s="640" t="s">
        <v>19</v>
      </c>
      <c r="N8" s="47">
        <f>IFERROR(COUNTIF(Kuponger!$U:$U,N$2),0)</f>
        <v>0</v>
      </c>
      <c r="O8" s="47">
        <f>IFERROR(COUNTIF(Kuponger!$Q:$Q,Analyse!N$2),0)</f>
        <v>12</v>
      </c>
      <c r="P8" s="641">
        <f t="shared" si="1"/>
        <v>0</v>
      </c>
      <c r="Q8" s="642">
        <f>IFERROR(COUNTIF(Kuponger!$AW:$AW,N$2),0)</f>
        <v>0</v>
      </c>
      <c r="R8" s="47">
        <f>IFERROR(COUNTIF(Kuponger!$AS:$AS,Analyse!N$2),0)</f>
        <v>0</v>
      </c>
      <c r="S8" s="641">
        <f t="shared" si="10"/>
        <v>0</v>
      </c>
      <c r="T8" s="642">
        <f>IFERROR(COUNTIF(Kuponger!$AX:$AX,N$2),0)</f>
        <v>0</v>
      </c>
      <c r="U8" s="47">
        <f>IFERROR(COUNTIF(Kuponger!$AT:$AT,Analyse!N$2),0)</f>
        <v>10</v>
      </c>
      <c r="V8" s="641">
        <f t="shared" si="11"/>
        <v>0</v>
      </c>
      <c r="W8" s="640" t="s">
        <v>27</v>
      </c>
      <c r="X8" s="47">
        <f>IFERROR(COUNTIF(Kuponger!$CO:$CO,X$2),0)</f>
        <v>0</v>
      </c>
      <c r="Y8" s="47">
        <f>IFERROR(COUNTIF(Kuponger!$CK:$CK,Analyse!X$2),0)</f>
        <v>12</v>
      </c>
      <c r="Z8" s="641">
        <f t="shared" si="2"/>
        <v>0</v>
      </c>
      <c r="AA8" s="642">
        <f>IFERROR(COUNTIF(Kuponger!$AW:$AW,X$2),0)</f>
        <v>0</v>
      </c>
      <c r="AB8" s="47">
        <f>IFERROR(COUNTIF(Kuponger!$AS:$AS,Analyse!X$2),0)</f>
        <v>0</v>
      </c>
      <c r="AC8" s="641">
        <f t="shared" si="12"/>
        <v>0</v>
      </c>
      <c r="AD8" s="642">
        <f>IFERROR(COUNTIF(Kuponger!$AX:$AX,X$2),0)</f>
        <v>0</v>
      </c>
      <c r="AE8" s="47">
        <f>IFERROR(COUNTIF(Kuponger!$AT:$AT,Analyse!X$2),0)</f>
        <v>12</v>
      </c>
      <c r="AF8" s="641">
        <f t="shared" si="13"/>
        <v>0</v>
      </c>
      <c r="AG8" s="640" t="s">
        <v>22</v>
      </c>
      <c r="AH8" s="47">
        <f>IFERROR(COUNTIF(Kuponger!$AV:$AV,AH$2),0)</f>
        <v>0</v>
      </c>
      <c r="AI8" s="47">
        <f>IFERROR(COUNTIF(Kuponger!$AR:$AR,Analyse!AH$2),0)</f>
        <v>12</v>
      </c>
      <c r="AJ8" s="641">
        <f t="shared" si="3"/>
        <v>0</v>
      </c>
      <c r="AK8" s="642">
        <f>IFERROR(COUNTIF(Kuponger!$AW:$AW,AH$2),0)</f>
        <v>0</v>
      </c>
      <c r="AL8" s="47">
        <f>IFERROR(COUNTIF(Kuponger!$AS:$AS,Analyse!AH$2),0)</f>
        <v>13</v>
      </c>
      <c r="AM8" s="641">
        <f t="shared" si="14"/>
        <v>0</v>
      </c>
      <c r="AN8" s="642">
        <f>IFERROR(COUNTIF(Kuponger!$AX:$AX,AH$2),0)</f>
        <v>0</v>
      </c>
      <c r="AO8" s="47">
        <f>IFERROR(COUNTIF(Kuponger!$AT:$AT,Analyse!AH$2),0)</f>
        <v>13</v>
      </c>
      <c r="AP8" s="641">
        <f t="shared" si="15"/>
        <v>0</v>
      </c>
      <c r="AQ8" s="640" t="s">
        <v>22</v>
      </c>
      <c r="AR8" s="47">
        <f>IFERROR(COUNTIF(Kuponger!$AV:$AV,AR$2),0)</f>
        <v>0</v>
      </c>
      <c r="AS8" s="47">
        <f>IFERROR(COUNTIF(Kuponger!$AR:$AR,Analyse!AR$2),0)</f>
        <v>12</v>
      </c>
      <c r="AT8" s="641">
        <f t="shared" si="4"/>
        <v>0</v>
      </c>
      <c r="AU8" s="642">
        <f>IFERROR(COUNTIF(Kuponger!$AW:$AW,AR$2),0)</f>
        <v>0</v>
      </c>
      <c r="AV8" s="47">
        <f>IFERROR(COUNTIF(Kuponger!$AS:$AS,Analyse!AR$2),0)</f>
        <v>1</v>
      </c>
      <c r="AW8" s="641">
        <f t="shared" si="16"/>
        <v>0</v>
      </c>
      <c r="AX8" s="642">
        <f>IFERROR(COUNTIF(Kuponger!$AX:$AX,AR$2),0)</f>
        <v>0</v>
      </c>
      <c r="AY8" s="47">
        <f>IFERROR(COUNTIF(Kuponger!$AT:$AT,Analyse!AR$2),0)</f>
        <v>23</v>
      </c>
      <c r="AZ8" s="641">
        <f t="shared" si="17"/>
        <v>0</v>
      </c>
      <c r="BA8" s="640" t="s">
        <v>19</v>
      </c>
      <c r="BB8" s="47">
        <f>IFERROR(COUNTIF(Kuponger!$U:$U,BB$2),0)</f>
        <v>0</v>
      </c>
      <c r="BC8" s="47">
        <f>IFERROR(COUNTIF(Kuponger!$Q:$Q,Analyse!BB$2),0)</f>
        <v>12</v>
      </c>
      <c r="BD8" s="641">
        <f t="shared" si="5"/>
        <v>0</v>
      </c>
      <c r="BE8" s="642">
        <f>IFERROR(COUNTIF(Kuponger!$AW:$AW,BB$2),0)</f>
        <v>0</v>
      </c>
      <c r="BF8" s="47">
        <f>IFERROR(COUNTIF(Kuponger!$AS:$AS,Analyse!BB$2),0)</f>
        <v>0</v>
      </c>
      <c r="BG8" s="641">
        <f t="shared" si="18"/>
        <v>0</v>
      </c>
      <c r="BH8" s="642">
        <f>IFERROR(COUNTIF(Kuponger!$AX:$AX,BB$2),0)</f>
        <v>0</v>
      </c>
      <c r="BI8" s="47">
        <f>IFERROR(COUNTIF(Kuponger!$AT:$AT,Analyse!BB$2),0)</f>
        <v>2</v>
      </c>
      <c r="BJ8" s="641">
        <f t="shared" si="19"/>
        <v>0</v>
      </c>
      <c r="BK8" s="640" t="s">
        <v>26</v>
      </c>
      <c r="BL8" s="47">
        <f>IFERROR(COUNTIF(Kuponger!$CF:$CF,BL$2),0)</f>
        <v>0</v>
      </c>
      <c r="BM8" s="47">
        <f>IFERROR(COUNTIF(Kuponger!$CB:$CB,Analyse!BL$2),0)</f>
        <v>12</v>
      </c>
      <c r="BN8" s="641">
        <f t="shared" si="6"/>
        <v>0</v>
      </c>
      <c r="BO8" s="642">
        <f>IFERROR(COUNTIF(Kuponger!$AW:$AW,BL$2),0)</f>
        <v>0</v>
      </c>
      <c r="BP8" s="47">
        <f>IFERROR(COUNTIF(Kuponger!$AS:$AS,Analyse!BL$2),0)</f>
        <v>24</v>
      </c>
      <c r="BQ8" s="641">
        <f t="shared" si="20"/>
        <v>0</v>
      </c>
      <c r="BR8" s="642">
        <f>IFERROR(COUNTIF(Kuponger!$AX:$AX,BL$2),0)</f>
        <v>0</v>
      </c>
      <c r="BS8" s="47">
        <f>IFERROR(COUNTIF(Kuponger!$AT:$AT,Analyse!BL$2),0)</f>
        <v>12</v>
      </c>
      <c r="BT8" s="641">
        <f t="shared" si="21"/>
        <v>0</v>
      </c>
      <c r="BU8" s="640" t="s">
        <v>22</v>
      </c>
      <c r="BV8" s="47">
        <f>IFERROR(COUNTIF(Kuponger!$AV:$AV,BV$2),0)</f>
        <v>0</v>
      </c>
      <c r="BW8" s="47">
        <f>IFERROR(COUNTIF(Kuponger!$AR:$AR,Analyse!BV$2),0)</f>
        <v>24</v>
      </c>
      <c r="BX8" s="641">
        <f t="shared" si="7"/>
        <v>0</v>
      </c>
      <c r="BY8" s="642">
        <f>IFERROR(COUNTIF(Kuponger!$AW:$AW,BV$2),0)</f>
        <v>0</v>
      </c>
      <c r="BZ8" s="47">
        <f>IFERROR(COUNTIF(Kuponger!$AS:$AS,Analyse!BV$2),0)</f>
        <v>58</v>
      </c>
      <c r="CA8" s="641">
        <f t="shared" si="22"/>
        <v>0</v>
      </c>
      <c r="CB8" s="642">
        <f>IFERROR(COUNTIF(Kuponger!$AX:$AX,BV$2),0)</f>
        <v>0</v>
      </c>
      <c r="CC8" s="47">
        <f>IFERROR(COUNTIF(Kuponger!$AT:$AT,Analyse!BV$2),0)</f>
        <v>36</v>
      </c>
      <c r="CD8" s="641">
        <f t="shared" si="23"/>
        <v>0</v>
      </c>
    </row>
    <row r="9" spans="2:82" x14ac:dyDescent="0.2">
      <c r="C9" s="640" t="s">
        <v>26</v>
      </c>
      <c r="D9" s="47">
        <f>IFERROR(COUNTIF(Kuponger!$CF:$CF,D$2),0)</f>
        <v>0</v>
      </c>
      <c r="E9" s="47">
        <f>IFERROR(COUNTIF(Kuponger!$CB:$CB,Analyse!D$2),0)</f>
        <v>12</v>
      </c>
      <c r="F9" s="641">
        <f t="shared" si="0"/>
        <v>0</v>
      </c>
      <c r="G9" s="642">
        <f>IFERROR(COUNTIF(Kuponger!$BF:$BF,D$2),0)</f>
        <v>0</v>
      </c>
      <c r="H9" s="47">
        <f>IFERROR(COUNTIF(Kuponger!$BB:$BB,Analyse!D$2),0)</f>
        <v>12</v>
      </c>
      <c r="I9" s="641">
        <f t="shared" si="8"/>
        <v>0</v>
      </c>
      <c r="J9" s="642">
        <f>IFERROR(COUNTIF(Kuponger!$BG:$BG,D$2),0)</f>
        <v>0</v>
      </c>
      <c r="K9" s="47">
        <f>IFERROR(COUNTIF(Kuponger!$BC:$BC,Analyse!D$2),0)</f>
        <v>0</v>
      </c>
      <c r="L9" s="641">
        <f t="shared" si="9"/>
        <v>0</v>
      </c>
      <c r="M9" s="640" t="s">
        <v>27</v>
      </c>
      <c r="N9" s="47">
        <f>IFERROR(COUNTIF(Kuponger!$CO:$CO,N$2),0)</f>
        <v>0</v>
      </c>
      <c r="O9" s="47">
        <f>IFERROR(COUNTIF(Kuponger!$CK:$CK,Analyse!N$2),0)</f>
        <v>12</v>
      </c>
      <c r="P9" s="641">
        <f t="shared" si="1"/>
        <v>0</v>
      </c>
      <c r="Q9" s="642">
        <f>IFERROR(COUNTIF(Kuponger!$BF:$BF,N$2),0)</f>
        <v>0</v>
      </c>
      <c r="R9" s="47">
        <f>IFERROR(COUNTIF(Kuponger!$BB:$BB,Analyse!N$2),0)</f>
        <v>0</v>
      </c>
      <c r="S9" s="641">
        <f t="shared" si="10"/>
        <v>0</v>
      </c>
      <c r="T9" s="642">
        <f>IFERROR(COUNTIF(Kuponger!$BG:$BG,N$2),0)</f>
        <v>0</v>
      </c>
      <c r="U9" s="47">
        <f>IFERROR(COUNTIF(Kuponger!$BC:$BC,Analyse!N$2),0)</f>
        <v>10</v>
      </c>
      <c r="V9" s="641">
        <f t="shared" si="11"/>
        <v>0</v>
      </c>
      <c r="W9" s="640" t="s">
        <v>26</v>
      </c>
      <c r="X9" s="47">
        <f>IFERROR(COUNTIF(Kuponger!$CF:$CF,X$2),0)</f>
        <v>0</v>
      </c>
      <c r="Y9" s="47">
        <f>IFERROR(COUNTIF(Kuponger!$CB:$CB,Analyse!X$2),0)</f>
        <v>12</v>
      </c>
      <c r="Z9" s="641">
        <f t="shared" si="2"/>
        <v>0</v>
      </c>
      <c r="AA9" s="642">
        <f>IFERROR(COUNTIF(Kuponger!$BF:$BF,X$2),0)</f>
        <v>0</v>
      </c>
      <c r="AB9" s="47">
        <f>IFERROR(COUNTIF(Kuponger!$BB:$BB,Analyse!X$2),0)</f>
        <v>0</v>
      </c>
      <c r="AC9" s="641">
        <f t="shared" si="12"/>
        <v>0</v>
      </c>
      <c r="AD9" s="642">
        <f>IFERROR(COUNTIF(Kuponger!$BG:$BG,X$2),0)</f>
        <v>0</v>
      </c>
      <c r="AE9" s="47">
        <f>IFERROR(COUNTIF(Kuponger!$BC:$BC,Analyse!X$2),0)</f>
        <v>12</v>
      </c>
      <c r="AF9" s="641">
        <f t="shared" si="13"/>
        <v>0</v>
      </c>
      <c r="AG9" s="640" t="s">
        <v>27</v>
      </c>
      <c r="AH9" s="47">
        <f>IFERROR(COUNTIF(Kuponger!$CO:$CO,AH$2),0)</f>
        <v>0</v>
      </c>
      <c r="AI9" s="47">
        <f>IFERROR(COUNTIF(Kuponger!$CK:$CK,Analyse!AH$2),0)</f>
        <v>12</v>
      </c>
      <c r="AJ9" s="641">
        <f t="shared" si="3"/>
        <v>0</v>
      </c>
      <c r="AK9" s="642">
        <f>IFERROR(COUNTIF(Kuponger!$BF:$BF,AH$2),0)</f>
        <v>0</v>
      </c>
      <c r="AL9" s="47">
        <f>IFERROR(COUNTIF(Kuponger!$BB:$BB,Analyse!AH$2),0)</f>
        <v>13</v>
      </c>
      <c r="AM9" s="641">
        <f t="shared" si="14"/>
        <v>0</v>
      </c>
      <c r="AN9" s="642">
        <f>IFERROR(COUNTIF(Kuponger!$BG:$BG,AH$2),0)</f>
        <v>0</v>
      </c>
      <c r="AO9" s="47">
        <f>IFERROR(COUNTIF(Kuponger!$BC:$BC,Analyse!AH$2),0)</f>
        <v>13</v>
      </c>
      <c r="AP9" s="641">
        <f t="shared" si="15"/>
        <v>0</v>
      </c>
      <c r="AQ9" s="640" t="s">
        <v>19</v>
      </c>
      <c r="AR9" s="47">
        <f>IFERROR(COUNTIF(Kuponger!$U:$U,AR$2),0)</f>
        <v>0</v>
      </c>
      <c r="AS9" s="47">
        <f>IFERROR(COUNTIF(Kuponger!$Q:$Q,Analyse!AR$2),0)</f>
        <v>12</v>
      </c>
      <c r="AT9" s="641">
        <f t="shared" si="4"/>
        <v>0</v>
      </c>
      <c r="AU9" s="642">
        <f>IFERROR(COUNTIF(Kuponger!$BF:$BF,AR$2),0)</f>
        <v>0</v>
      </c>
      <c r="AV9" s="47">
        <f>IFERROR(COUNTIF(Kuponger!$BB:$BB,Analyse!AR$2),0)</f>
        <v>1</v>
      </c>
      <c r="AW9" s="641">
        <f t="shared" si="16"/>
        <v>0</v>
      </c>
      <c r="AX9" s="642">
        <f>IFERROR(COUNTIF(Kuponger!$BG:$BG,AR$2),0)</f>
        <v>0</v>
      </c>
      <c r="AY9" s="47">
        <f>IFERROR(COUNTIF(Kuponger!$BC:$BC,Analyse!AR$2),0)</f>
        <v>23</v>
      </c>
      <c r="AZ9" s="641">
        <f t="shared" si="17"/>
        <v>0</v>
      </c>
      <c r="BA9" s="640" t="s">
        <v>27</v>
      </c>
      <c r="BB9" s="47">
        <f>IFERROR(COUNTIF(Kuponger!$CO:$CO,BB$2),0)</f>
        <v>0</v>
      </c>
      <c r="BC9" s="47">
        <f>IFERROR(COUNTIF(Kuponger!$CK:$CK,Analyse!BB$2),0)</f>
        <v>12</v>
      </c>
      <c r="BD9" s="641">
        <f t="shared" si="5"/>
        <v>0</v>
      </c>
      <c r="BE9" s="642">
        <f>IFERROR(COUNTIF(Kuponger!$BF:$BF,BB$2),0)</f>
        <v>0</v>
      </c>
      <c r="BF9" s="47">
        <f>IFERROR(COUNTIF(Kuponger!$BB:$BB,Analyse!BB$2),0)</f>
        <v>0</v>
      </c>
      <c r="BG9" s="641">
        <f t="shared" si="18"/>
        <v>0</v>
      </c>
      <c r="BH9" s="642">
        <f>IFERROR(COUNTIF(Kuponger!$BG:$BG,BB$2),0)</f>
        <v>0</v>
      </c>
      <c r="BI9" s="47">
        <f>IFERROR(COUNTIF(Kuponger!$BC:$BC,Analyse!BB$2),0)</f>
        <v>2</v>
      </c>
      <c r="BJ9" s="641">
        <f t="shared" si="19"/>
        <v>0</v>
      </c>
      <c r="BK9" s="640" t="s">
        <v>23</v>
      </c>
      <c r="BL9" s="47">
        <f>IFERROR(COUNTIF(Kuponger!$BE:$BE,BL$2),0)</f>
        <v>0</v>
      </c>
      <c r="BM9" s="47">
        <f>IFERROR(COUNTIF(Kuponger!$BA:$BA,Analyse!BL$2),0)</f>
        <v>12</v>
      </c>
      <c r="BN9" s="641">
        <f t="shared" si="6"/>
        <v>0</v>
      </c>
      <c r="BO9" s="642">
        <f>IFERROR(COUNTIF(Kuponger!$BF:$BF,BL$2),0)</f>
        <v>0</v>
      </c>
      <c r="BP9" s="47">
        <f>IFERROR(COUNTIF(Kuponger!$BB:$BB,Analyse!BL$2),0)</f>
        <v>24</v>
      </c>
      <c r="BQ9" s="641">
        <f t="shared" si="20"/>
        <v>0</v>
      </c>
      <c r="BR9" s="642">
        <f>IFERROR(COUNTIF(Kuponger!$BG:$BG,BL$2),0)</f>
        <v>0</v>
      </c>
      <c r="BS9" s="47">
        <f>IFERROR(COUNTIF(Kuponger!$BC:$BC,Analyse!BL$2),0)</f>
        <v>12</v>
      </c>
      <c r="BT9" s="641">
        <f t="shared" si="21"/>
        <v>0</v>
      </c>
      <c r="BU9" s="640" t="s">
        <v>20</v>
      </c>
      <c r="BV9" s="47">
        <f>IFERROR(COUNTIF(Kuponger!$AD:$AD,BV$2),0)</f>
        <v>0</v>
      </c>
      <c r="BW9" s="47">
        <f>IFERROR(COUNTIF(Kuponger!$Z:$Z,Analyse!BV$2),0)</f>
        <v>24</v>
      </c>
      <c r="BX9" s="641">
        <f t="shared" si="7"/>
        <v>0</v>
      </c>
      <c r="BY9" s="642">
        <f>IFERROR(COUNTIF(Kuponger!$BF:$BF,BV$2),0)</f>
        <v>0</v>
      </c>
      <c r="BZ9" s="47">
        <f>IFERROR(COUNTIF(Kuponger!$BB:$BB,Analyse!BV$2),0)</f>
        <v>58</v>
      </c>
      <c r="CA9" s="641">
        <f t="shared" si="22"/>
        <v>0</v>
      </c>
      <c r="CB9" s="642">
        <f>IFERROR(COUNTIF(Kuponger!$BG:$BG,BV$2),0)</f>
        <v>0</v>
      </c>
      <c r="CC9" s="47">
        <f>IFERROR(COUNTIF(Kuponger!$BC:$BC,Analyse!BV$2),0)</f>
        <v>36</v>
      </c>
      <c r="CD9" s="641">
        <f t="shared" si="23"/>
        <v>0</v>
      </c>
    </row>
    <row r="10" spans="2:82" x14ac:dyDescent="0.2">
      <c r="C10" s="640" t="s">
        <v>27</v>
      </c>
      <c r="D10" s="47">
        <f>IFERROR(COUNTIF(Kuponger!$CO:$CO,D$2),0)</f>
        <v>0</v>
      </c>
      <c r="E10" s="47">
        <f>IFERROR(COUNTIF(Kuponger!$CK:$CK,Analyse!D$2),0)</f>
        <v>12</v>
      </c>
      <c r="F10" s="641">
        <f t="shared" si="0"/>
        <v>0</v>
      </c>
      <c r="G10" s="642">
        <f>IFERROR(COUNTIF(Kuponger!$BO:$BO,D$2),0)</f>
        <v>0</v>
      </c>
      <c r="H10" s="47">
        <f>IFERROR(COUNTIF(Kuponger!$BK:$BK,Analyse!D$2),0)</f>
        <v>12</v>
      </c>
      <c r="I10" s="641">
        <f t="shared" si="8"/>
        <v>0</v>
      </c>
      <c r="J10" s="642">
        <f>IFERROR(COUNTIF(Kuponger!$BP:$BP,D$2),0)</f>
        <v>0</v>
      </c>
      <c r="K10" s="47">
        <f>IFERROR(COUNTIF(Kuponger!$BL:$BL,Analyse!D$2),0)</f>
        <v>0</v>
      </c>
      <c r="L10" s="641">
        <f t="shared" si="9"/>
        <v>0</v>
      </c>
      <c r="M10" s="640" t="s">
        <v>26</v>
      </c>
      <c r="N10" s="47">
        <f>IFERROR(COUNTIF(Kuponger!$CF:$CF,N$2),0)</f>
        <v>0</v>
      </c>
      <c r="O10" s="47">
        <f>IFERROR(COUNTIF(Kuponger!$CB:$CB,Analyse!N$2),0)</f>
        <v>12</v>
      </c>
      <c r="P10" s="641">
        <f t="shared" si="1"/>
        <v>0</v>
      </c>
      <c r="Q10" s="642">
        <f>IFERROR(COUNTIF(Kuponger!$BO:$BO,N$2),0)</f>
        <v>0</v>
      </c>
      <c r="R10" s="47">
        <f>IFERROR(COUNTIF(Kuponger!$BK:$BK,Analyse!N$2),0)</f>
        <v>0</v>
      </c>
      <c r="S10" s="641">
        <f t="shared" si="10"/>
        <v>0</v>
      </c>
      <c r="T10" s="642">
        <f>IFERROR(COUNTIF(Kuponger!$BP:$BP,N$2),0)</f>
        <v>0</v>
      </c>
      <c r="U10" s="47">
        <f>IFERROR(COUNTIF(Kuponger!$BL:$BL,Analyse!N$2),0)</f>
        <v>10</v>
      </c>
      <c r="V10" s="641">
        <f t="shared" si="11"/>
        <v>0</v>
      </c>
      <c r="W10" s="640" t="s">
        <v>20</v>
      </c>
      <c r="X10" s="47">
        <f>IFERROR(COUNTIF(Kuponger!$AD:$AD,X$2),0)</f>
        <v>0</v>
      </c>
      <c r="Y10" s="47">
        <f>IFERROR(COUNTIF(Kuponger!$Z:$Z,Analyse!X$2),0)</f>
        <v>12</v>
      </c>
      <c r="Z10" s="641">
        <f t="shared" si="2"/>
        <v>0</v>
      </c>
      <c r="AA10" s="642">
        <f>IFERROR(COUNTIF(Kuponger!$BO:$BO,X$2),0)</f>
        <v>0</v>
      </c>
      <c r="AB10" s="47">
        <f>IFERROR(COUNTIF(Kuponger!$BK:$BK,Analyse!X$2),0)</f>
        <v>0</v>
      </c>
      <c r="AC10" s="641">
        <f t="shared" si="12"/>
        <v>0</v>
      </c>
      <c r="AD10" s="642">
        <f>IFERROR(COUNTIF(Kuponger!$BP:$BP,X$2),0)</f>
        <v>0</v>
      </c>
      <c r="AE10" s="47">
        <f>IFERROR(COUNTIF(Kuponger!$BL:$BL,Analyse!X$2),0)</f>
        <v>12</v>
      </c>
      <c r="AF10" s="641">
        <f t="shared" si="13"/>
        <v>0</v>
      </c>
      <c r="AG10" s="640" t="s">
        <v>20</v>
      </c>
      <c r="AH10" s="47">
        <f>IFERROR(COUNTIF(Kuponger!$AD:$AD,AH$2),0)</f>
        <v>0</v>
      </c>
      <c r="AI10" s="47">
        <f>IFERROR(COUNTIF(Kuponger!$Z:$Z,Analyse!AH$2),0)</f>
        <v>12</v>
      </c>
      <c r="AJ10" s="641">
        <f t="shared" si="3"/>
        <v>0</v>
      </c>
      <c r="AK10" s="642">
        <f>IFERROR(COUNTIF(Kuponger!$BO:$BO,AH$2),0)</f>
        <v>0</v>
      </c>
      <c r="AL10" s="47">
        <f>IFERROR(COUNTIF(Kuponger!$BK:$BK,Analyse!AH$2),0)</f>
        <v>13</v>
      </c>
      <c r="AM10" s="641">
        <f t="shared" si="14"/>
        <v>0</v>
      </c>
      <c r="AN10" s="642">
        <f>IFERROR(COUNTIF(Kuponger!$BP:$BP,AH$2),0)</f>
        <v>0</v>
      </c>
      <c r="AO10" s="47">
        <f>IFERROR(COUNTIF(Kuponger!$BL:$BL,Analyse!AH$2),0)</f>
        <v>13</v>
      </c>
      <c r="AP10" s="641">
        <f t="shared" si="15"/>
        <v>0</v>
      </c>
      <c r="AQ10" s="640" t="s">
        <v>26</v>
      </c>
      <c r="AR10" s="47">
        <f>IFERROR(COUNTIF(Kuponger!$CF:$CF,AR$2),0)</f>
        <v>0</v>
      </c>
      <c r="AS10" s="47">
        <f>IFERROR(COUNTIF(Kuponger!$CB:$CB,Analyse!AR$2),0)</f>
        <v>12</v>
      </c>
      <c r="AT10" s="641">
        <f t="shared" si="4"/>
        <v>0</v>
      </c>
      <c r="AU10" s="642">
        <f>IFERROR(COUNTIF(Kuponger!$BO:$BO,AR$2),0)</f>
        <v>0</v>
      </c>
      <c r="AV10" s="47">
        <f>IFERROR(COUNTIF(Kuponger!$BK:$BK,Analyse!AR$2),0)</f>
        <v>1</v>
      </c>
      <c r="AW10" s="641">
        <f t="shared" si="16"/>
        <v>0</v>
      </c>
      <c r="AX10" s="642">
        <f>IFERROR(COUNTIF(Kuponger!$BP:$BP,AR$2),0)</f>
        <v>0</v>
      </c>
      <c r="AY10" s="47">
        <f>IFERROR(COUNTIF(Kuponger!$BL:$BL,Analyse!AR$2),0)</f>
        <v>23</v>
      </c>
      <c r="AZ10" s="641">
        <f t="shared" si="17"/>
        <v>0</v>
      </c>
      <c r="BA10" s="640" t="s">
        <v>24</v>
      </c>
      <c r="BB10" s="47">
        <f>IFERROR(COUNTIF(Kuponger!$BN:$BN,BB$2),0)</f>
        <v>0</v>
      </c>
      <c r="BC10" s="47">
        <f>IFERROR(COUNTIF(Kuponger!$BJ:$BJ,Analyse!BB$2),0)</f>
        <v>12</v>
      </c>
      <c r="BD10" s="641">
        <f t="shared" si="5"/>
        <v>0</v>
      </c>
      <c r="BE10" s="642">
        <f>IFERROR(COUNTIF(Kuponger!$BO:$BO,BB$2),0)</f>
        <v>0</v>
      </c>
      <c r="BF10" s="47">
        <f>IFERROR(COUNTIF(Kuponger!$BK:$BK,Analyse!BB$2),0)</f>
        <v>0</v>
      </c>
      <c r="BG10" s="641">
        <f t="shared" si="18"/>
        <v>0</v>
      </c>
      <c r="BH10" s="642">
        <f>IFERROR(COUNTIF(Kuponger!$BP:$BP,BB$2),0)</f>
        <v>0</v>
      </c>
      <c r="BI10" s="47">
        <f>IFERROR(COUNTIF(Kuponger!$BL:$BL,Analyse!BB$2),0)</f>
        <v>2</v>
      </c>
      <c r="BJ10" s="641">
        <f t="shared" si="19"/>
        <v>0</v>
      </c>
      <c r="BK10" s="640" t="s">
        <v>24</v>
      </c>
      <c r="BL10" s="47">
        <f>IFERROR(COUNTIF(Kuponger!$BN:$BN,BL$2),0)</f>
        <v>0</v>
      </c>
      <c r="BM10" s="47">
        <f>IFERROR(COUNTIF(Kuponger!$BJ:$BJ,Analyse!BL$2),0)</f>
        <v>12</v>
      </c>
      <c r="BN10" s="641">
        <f t="shared" si="6"/>
        <v>0</v>
      </c>
      <c r="BO10" s="642">
        <f>IFERROR(COUNTIF(Kuponger!$BO:$BO,BL$2),0)</f>
        <v>0</v>
      </c>
      <c r="BP10" s="47">
        <f>IFERROR(COUNTIF(Kuponger!$BK:$BK,Analyse!BL$2),0)</f>
        <v>24</v>
      </c>
      <c r="BQ10" s="641">
        <f t="shared" si="20"/>
        <v>0</v>
      </c>
      <c r="BR10" s="642">
        <f>IFERROR(COUNTIF(Kuponger!$BP:$BP,BL$2),0)</f>
        <v>0</v>
      </c>
      <c r="BS10" s="47">
        <f>IFERROR(COUNTIF(Kuponger!$BL:$BL,Analyse!BL$2),0)</f>
        <v>12</v>
      </c>
      <c r="BT10" s="641">
        <f t="shared" si="21"/>
        <v>0</v>
      </c>
      <c r="BU10" s="640" t="s">
        <v>21</v>
      </c>
      <c r="BV10" s="47">
        <f>IFERROR(COUNTIF(Kuponger!$AM:$AM,BV$2),0)</f>
        <v>0</v>
      </c>
      <c r="BW10" s="47">
        <f>IFERROR(COUNTIF(Kuponger!$AI:$AI,Analyse!BV$2),0)</f>
        <v>24</v>
      </c>
      <c r="BX10" s="641">
        <f t="shared" si="7"/>
        <v>0</v>
      </c>
      <c r="BY10" s="642">
        <f>IFERROR(COUNTIF(Kuponger!$BO:$BO,BV$2),0)</f>
        <v>0</v>
      </c>
      <c r="BZ10" s="47">
        <f>IFERROR(COUNTIF(Kuponger!$BK:$BK,Analyse!BV$2),0)</f>
        <v>58</v>
      </c>
      <c r="CA10" s="641">
        <f t="shared" si="22"/>
        <v>0</v>
      </c>
      <c r="CB10" s="642">
        <f>IFERROR(COUNTIF(Kuponger!$BP:$BP,BV$2),0)</f>
        <v>0</v>
      </c>
      <c r="CC10" s="47">
        <f>IFERROR(COUNTIF(Kuponger!$BL:$BL,Analyse!BV$2),0)</f>
        <v>36</v>
      </c>
      <c r="CD10" s="641">
        <f t="shared" si="23"/>
        <v>0</v>
      </c>
    </row>
    <row r="11" spans="2:82" x14ac:dyDescent="0.2">
      <c r="C11" s="640" t="s">
        <v>23</v>
      </c>
      <c r="D11" s="47">
        <f>IFERROR(COUNTIF(Kuponger!$BE:$BE,D$2),0)</f>
        <v>0</v>
      </c>
      <c r="E11" s="47">
        <f>IFERROR(COUNTIF(Kuponger!$BA:$BA,Analyse!D$2),0)</f>
        <v>12</v>
      </c>
      <c r="F11" s="641">
        <f t="shared" si="0"/>
        <v>0</v>
      </c>
      <c r="G11" s="642">
        <f>IFERROR(COUNTIF(Kuponger!$BX:$BX,D$2),0)</f>
        <v>0</v>
      </c>
      <c r="H11" s="47">
        <f>IFERROR(COUNTIF(Kuponger!$BT:$BT,Analyse!D$2),0)</f>
        <v>12</v>
      </c>
      <c r="I11" s="641">
        <f t="shared" si="8"/>
        <v>0</v>
      </c>
      <c r="J11" s="642">
        <f>IFERROR(COUNTIF(Kuponger!$BY:$BY,D$2),0)</f>
        <v>0</v>
      </c>
      <c r="K11" s="47">
        <f>IFERROR(COUNTIF(Kuponger!$BU:$BU,Analyse!D$2),0)</f>
        <v>0</v>
      </c>
      <c r="L11" s="641">
        <f t="shared" si="9"/>
        <v>0</v>
      </c>
      <c r="M11" s="640" t="s">
        <v>24</v>
      </c>
      <c r="N11" s="47">
        <f>IFERROR(COUNTIF(Kuponger!$BN:$BN,N$2),0)</f>
        <v>0</v>
      </c>
      <c r="O11" s="47">
        <f>IFERROR(COUNTIF(Kuponger!$BJ:$BJ,Analyse!N$2),0)</f>
        <v>12</v>
      </c>
      <c r="P11" s="641">
        <f t="shared" si="1"/>
        <v>0</v>
      </c>
      <c r="Q11" s="642">
        <f>IFERROR(COUNTIF(Kuponger!$BX:$BX,N$2),0)</f>
        <v>0</v>
      </c>
      <c r="R11" s="47">
        <f>IFERROR(COUNTIF(Kuponger!$BT:$BT,Analyse!N$2),0)</f>
        <v>0</v>
      </c>
      <c r="S11" s="641">
        <f t="shared" si="10"/>
        <v>0</v>
      </c>
      <c r="T11" s="642">
        <f>IFERROR(COUNTIF(Kuponger!$BY:$BY,N$2),0)</f>
        <v>0</v>
      </c>
      <c r="U11" s="47">
        <f>IFERROR(COUNTIF(Kuponger!$BU:$BU,Analyse!N$2),0)</f>
        <v>10</v>
      </c>
      <c r="V11" s="641">
        <f t="shared" si="11"/>
        <v>0</v>
      </c>
      <c r="W11" s="640" t="s">
        <v>23</v>
      </c>
      <c r="X11" s="47">
        <f>IFERROR(COUNTIF(Kuponger!$BE:$BE,X$2),0)</f>
        <v>0</v>
      </c>
      <c r="Y11" s="47">
        <f>IFERROR(COUNTIF(Kuponger!$BA:$BA,Analyse!X$2),0)</f>
        <v>12</v>
      </c>
      <c r="Z11" s="641">
        <f t="shared" si="2"/>
        <v>0</v>
      </c>
      <c r="AA11" s="642">
        <f>IFERROR(COUNTIF(Kuponger!$BX:$BX,X$2),0)</f>
        <v>0</v>
      </c>
      <c r="AB11" s="47">
        <f>IFERROR(COUNTIF(Kuponger!$BT:$BT,Analyse!X$2),0)</f>
        <v>0</v>
      </c>
      <c r="AC11" s="641">
        <f t="shared" si="12"/>
        <v>0</v>
      </c>
      <c r="AD11" s="642">
        <f>IFERROR(COUNTIF(Kuponger!$BY:$BY,X$2),0)</f>
        <v>0</v>
      </c>
      <c r="AE11" s="47">
        <f>IFERROR(COUNTIF(Kuponger!$BU:$BU,Analyse!X$2),0)</f>
        <v>12</v>
      </c>
      <c r="AF11" s="641">
        <f t="shared" si="13"/>
        <v>0</v>
      </c>
      <c r="AG11" s="640" t="s">
        <v>19</v>
      </c>
      <c r="AH11" s="47">
        <f>IFERROR(COUNTIF(Kuponger!$U:$U,AH$2),0)</f>
        <v>0</v>
      </c>
      <c r="AI11" s="47">
        <f>IFERROR(COUNTIF(Kuponger!$Q:$Q,Analyse!AH$2),0)</f>
        <v>12</v>
      </c>
      <c r="AJ11" s="641">
        <f t="shared" si="3"/>
        <v>0</v>
      </c>
      <c r="AK11" s="642">
        <f>IFERROR(COUNTIF(Kuponger!$BX:$BX,AH$2),0)</f>
        <v>0</v>
      </c>
      <c r="AL11" s="47">
        <f>IFERROR(COUNTIF(Kuponger!$BT:$BT,Analyse!AH$2),0)</f>
        <v>13</v>
      </c>
      <c r="AM11" s="641">
        <f t="shared" si="14"/>
        <v>0</v>
      </c>
      <c r="AN11" s="642">
        <f>IFERROR(COUNTIF(Kuponger!$BY:$BY,AH$2),0)</f>
        <v>0</v>
      </c>
      <c r="AO11" s="47">
        <f>IFERROR(COUNTIF(Kuponger!$BU:$BU,Analyse!AH$2),0)</f>
        <v>13</v>
      </c>
      <c r="AP11" s="641">
        <f t="shared" si="15"/>
        <v>0</v>
      </c>
      <c r="AQ11" s="640" t="s">
        <v>20</v>
      </c>
      <c r="AR11" s="47">
        <f>IFERROR(COUNTIF(Kuponger!$AD:$AD,AR$2),0)</f>
        <v>0</v>
      </c>
      <c r="AS11" s="47">
        <f>IFERROR(COUNTIF(Kuponger!$Z:$Z,Analyse!AR$2),0)</f>
        <v>12</v>
      </c>
      <c r="AT11" s="641">
        <f t="shared" si="4"/>
        <v>0</v>
      </c>
      <c r="AU11" s="642">
        <f>IFERROR(COUNTIF(Kuponger!$BX:$BX,AR$2),0)</f>
        <v>0</v>
      </c>
      <c r="AV11" s="47">
        <f>IFERROR(COUNTIF(Kuponger!$BT:$BT,Analyse!AR$2),0)</f>
        <v>1</v>
      </c>
      <c r="AW11" s="641">
        <f t="shared" si="16"/>
        <v>0</v>
      </c>
      <c r="AX11" s="642">
        <f>IFERROR(COUNTIF(Kuponger!$BY:$BY,AR$2),0)</f>
        <v>0</v>
      </c>
      <c r="AY11" s="47">
        <f>IFERROR(COUNTIF(Kuponger!$BU:$BU,Analyse!AR$2),0)</f>
        <v>23</v>
      </c>
      <c r="AZ11" s="641">
        <f t="shared" si="17"/>
        <v>0</v>
      </c>
      <c r="BA11" s="640" t="s">
        <v>20</v>
      </c>
      <c r="BB11" s="47">
        <f>IFERROR(COUNTIF(Kuponger!$AD:$AD,BB$2),0)</f>
        <v>0</v>
      </c>
      <c r="BC11" s="47">
        <f>IFERROR(COUNTIF(Kuponger!$Z:$Z,Analyse!BB$2),0)</f>
        <v>12</v>
      </c>
      <c r="BD11" s="641">
        <f t="shared" si="5"/>
        <v>0</v>
      </c>
      <c r="BE11" s="642">
        <f>IFERROR(COUNTIF(Kuponger!$BX:$BX,BB$2),0)</f>
        <v>0</v>
      </c>
      <c r="BF11" s="47">
        <f>IFERROR(COUNTIF(Kuponger!$BT:$BT,Analyse!BB$2),0)</f>
        <v>0</v>
      </c>
      <c r="BG11" s="641">
        <f t="shared" si="18"/>
        <v>0</v>
      </c>
      <c r="BH11" s="642">
        <f>IFERROR(COUNTIF(Kuponger!$BY:$BY,BB$2),0)</f>
        <v>0</v>
      </c>
      <c r="BI11" s="47">
        <f>IFERROR(COUNTIF(Kuponger!$BU:$BU,Analyse!BB$2),0)</f>
        <v>2</v>
      </c>
      <c r="BJ11" s="641">
        <f t="shared" si="19"/>
        <v>0</v>
      </c>
      <c r="BK11" s="640" t="s">
        <v>25</v>
      </c>
      <c r="BL11" s="47">
        <f>IFERROR(COUNTIF(Kuponger!$BW:$BW,BL$2),0)</f>
        <v>0</v>
      </c>
      <c r="BM11" s="47">
        <f>IFERROR(COUNTIF(Kuponger!$BS:$BS,Analyse!BL$2),0)</f>
        <v>12</v>
      </c>
      <c r="BN11" s="641">
        <f t="shared" si="6"/>
        <v>0</v>
      </c>
      <c r="BO11" s="642">
        <f>IFERROR(COUNTIF(Kuponger!$BX:$BX,BL$2),0)</f>
        <v>0</v>
      </c>
      <c r="BP11" s="47">
        <f>IFERROR(COUNTIF(Kuponger!$BT:$BT,Analyse!BL$2),0)</f>
        <v>24</v>
      </c>
      <c r="BQ11" s="641">
        <f t="shared" si="20"/>
        <v>0</v>
      </c>
      <c r="BR11" s="642">
        <f>IFERROR(COUNTIF(Kuponger!$BY:$BY,BL$2),0)</f>
        <v>0</v>
      </c>
      <c r="BS11" s="47">
        <f>IFERROR(COUNTIF(Kuponger!$BU:$BU,Analyse!BL$2),0)</f>
        <v>12</v>
      </c>
      <c r="BT11" s="641">
        <f t="shared" si="21"/>
        <v>0</v>
      </c>
      <c r="BU11" s="640" t="s">
        <v>23</v>
      </c>
      <c r="BV11" s="47">
        <f>IFERROR(COUNTIF(Kuponger!$BE:$BE,BV$2),0)</f>
        <v>0</v>
      </c>
      <c r="BW11" s="47">
        <f>IFERROR(COUNTIF(Kuponger!$BA:$BA,Analyse!BV$2),0)</f>
        <v>24</v>
      </c>
      <c r="BX11" s="641">
        <f t="shared" si="7"/>
        <v>0</v>
      </c>
      <c r="BY11" s="642">
        <f>IFERROR(COUNTIF(Kuponger!$BX:$BX,BV$2),0)</f>
        <v>0</v>
      </c>
      <c r="BZ11" s="47">
        <f>IFERROR(COUNTIF(Kuponger!$BT:$BT,Analyse!BV$2),0)</f>
        <v>58</v>
      </c>
      <c r="CA11" s="641">
        <f t="shared" si="22"/>
        <v>0</v>
      </c>
      <c r="CB11" s="642">
        <f>IFERROR(COUNTIF(Kuponger!$BY:$BY,BV$2),0)</f>
        <v>0</v>
      </c>
      <c r="CC11" s="47">
        <f>IFERROR(COUNTIF(Kuponger!$BU:$BU,Analyse!BV$2),0)</f>
        <v>36</v>
      </c>
      <c r="CD11" s="641">
        <f t="shared" si="23"/>
        <v>0</v>
      </c>
    </row>
    <row r="12" spans="2:82" x14ac:dyDescent="0.2">
      <c r="C12" s="640" t="s">
        <v>24</v>
      </c>
      <c r="D12" s="47">
        <f>IFERROR(COUNTIF(Kuponger!$BN:$BN,D$2),0)</f>
        <v>0</v>
      </c>
      <c r="E12" s="47">
        <f>IFERROR(COUNTIF(Kuponger!$BJ:$BJ,Analyse!D$2),0)</f>
        <v>12</v>
      </c>
      <c r="F12" s="641">
        <f t="shared" si="0"/>
        <v>0</v>
      </c>
      <c r="G12" s="642">
        <f>IFERROR(COUNTIF(Kuponger!$CG:$CG,D$2),0)</f>
        <v>0</v>
      </c>
      <c r="H12" s="47">
        <f>IFERROR(COUNTIF(Kuponger!$CC:$CC,Analyse!D$2),0)</f>
        <v>12</v>
      </c>
      <c r="I12" s="641">
        <f t="shared" si="8"/>
        <v>0</v>
      </c>
      <c r="J12" s="642">
        <f>IFERROR(COUNTIF(Kuponger!$CH:$CH,D$2),0)</f>
        <v>0</v>
      </c>
      <c r="K12" s="47">
        <f>IFERROR(COUNTIF(Kuponger!$CC:$CC,Analyse!D$2),0)</f>
        <v>12</v>
      </c>
      <c r="L12" s="641">
        <f t="shared" si="9"/>
        <v>0</v>
      </c>
      <c r="M12" s="640" t="s">
        <v>25</v>
      </c>
      <c r="N12" s="47">
        <f>IFERROR(COUNTIF(Kuponger!$BW:$BW,N$2),0)</f>
        <v>0</v>
      </c>
      <c r="O12" s="47">
        <f>IFERROR(COUNTIF(Kuponger!$BS:$BS,Analyse!N$2),0)</f>
        <v>12</v>
      </c>
      <c r="P12" s="641">
        <f t="shared" si="1"/>
        <v>0</v>
      </c>
      <c r="Q12" s="642">
        <f>IFERROR(COUNTIF(Kuponger!$CG:$CG,N$2),0)</f>
        <v>0</v>
      </c>
      <c r="R12" s="47">
        <f>IFERROR(COUNTIF(Kuponger!$CC:$CC,Analyse!N$2),0)</f>
        <v>0</v>
      </c>
      <c r="S12" s="641">
        <f t="shared" si="10"/>
        <v>0</v>
      </c>
      <c r="T12" s="642">
        <f>IFERROR(COUNTIF(Kuponger!$CH:$CH,N$2),0)</f>
        <v>0</v>
      </c>
      <c r="U12" s="47">
        <f>IFERROR(COUNTIF(Kuponger!$CC:$CC,Analyse!N$2),0)</f>
        <v>0</v>
      </c>
      <c r="V12" s="641">
        <f t="shared" si="11"/>
        <v>0</v>
      </c>
      <c r="W12" s="640" t="s">
        <v>22</v>
      </c>
      <c r="X12" s="47">
        <f>IFERROR(COUNTIF(Kuponger!$AV:$AV,X$2),0)</f>
        <v>0</v>
      </c>
      <c r="Y12" s="47">
        <f>IFERROR(COUNTIF(Kuponger!$AR:$AR,Analyse!X$2),0)</f>
        <v>12</v>
      </c>
      <c r="Z12" s="641">
        <f t="shared" si="2"/>
        <v>0</v>
      </c>
      <c r="AA12" s="642">
        <f>IFERROR(COUNTIF(Kuponger!$CG:$CG,X$2),0)</f>
        <v>0</v>
      </c>
      <c r="AB12" s="47">
        <f>IFERROR(COUNTIF(Kuponger!$CC:$CC,Analyse!X$2),0)</f>
        <v>0</v>
      </c>
      <c r="AC12" s="641">
        <f t="shared" si="12"/>
        <v>0</v>
      </c>
      <c r="AD12" s="642">
        <f>IFERROR(COUNTIF(Kuponger!$CH:$CH,X$2),0)</f>
        <v>0</v>
      </c>
      <c r="AE12" s="47">
        <f>IFERROR(COUNTIF(Kuponger!$CC:$CC,Analyse!X$2),0)</f>
        <v>0</v>
      </c>
      <c r="AF12" s="641">
        <f t="shared" si="13"/>
        <v>0</v>
      </c>
      <c r="AG12" s="640" t="s">
        <v>23</v>
      </c>
      <c r="AH12" s="47">
        <f>IFERROR(COUNTIF(Kuponger!$BE:$BE,AH$2),0)</f>
        <v>0</v>
      </c>
      <c r="AI12" s="47">
        <f>IFERROR(COUNTIF(Kuponger!$BA:$BA,Analyse!AH$2),0)</f>
        <v>12</v>
      </c>
      <c r="AJ12" s="641">
        <f t="shared" si="3"/>
        <v>0</v>
      </c>
      <c r="AK12" s="642">
        <f>IFERROR(COUNTIF(Kuponger!$CG:$CG,AH$2),0)</f>
        <v>0</v>
      </c>
      <c r="AL12" s="47">
        <f>IFERROR(COUNTIF(Kuponger!$CC:$CC,Analyse!AH$2),0)</f>
        <v>13</v>
      </c>
      <c r="AM12" s="641">
        <f t="shared" si="14"/>
        <v>0</v>
      </c>
      <c r="AN12" s="642">
        <f>IFERROR(COUNTIF(Kuponger!$CH:$CH,AH$2),0)</f>
        <v>0</v>
      </c>
      <c r="AO12" s="47">
        <f>IFERROR(COUNTIF(Kuponger!$CC:$CC,Analyse!AH$2),0)</f>
        <v>13</v>
      </c>
      <c r="AP12" s="641">
        <f t="shared" si="15"/>
        <v>0</v>
      </c>
      <c r="AQ12" s="640" t="s">
        <v>21</v>
      </c>
      <c r="AR12" s="47">
        <f>IFERROR(COUNTIF(Kuponger!$AM:$AM,AR$2),0)</f>
        <v>0</v>
      </c>
      <c r="AS12" s="47">
        <f>IFERROR(COUNTIF(Kuponger!$AI:$AI,Analyse!AR$2),0)</f>
        <v>12</v>
      </c>
      <c r="AT12" s="641">
        <f t="shared" si="4"/>
        <v>0</v>
      </c>
      <c r="AU12" s="642">
        <f>IFERROR(COUNTIF(Kuponger!$CG:$CG,AR$2),0)</f>
        <v>0</v>
      </c>
      <c r="AV12" s="47">
        <f>IFERROR(COUNTIF(Kuponger!$CC:$CC,Analyse!AR$2),0)</f>
        <v>1</v>
      </c>
      <c r="AW12" s="641">
        <f t="shared" si="16"/>
        <v>0</v>
      </c>
      <c r="AX12" s="642">
        <f>IFERROR(COUNTIF(Kuponger!$CH:$CH,AR$2),0)</f>
        <v>0</v>
      </c>
      <c r="AY12" s="47">
        <f>IFERROR(COUNTIF(Kuponger!$CC:$CC,Analyse!AR$2),0)</f>
        <v>1</v>
      </c>
      <c r="AZ12" s="641">
        <f t="shared" si="17"/>
        <v>0</v>
      </c>
      <c r="BA12" s="640" t="s">
        <v>26</v>
      </c>
      <c r="BB12" s="47">
        <f>IFERROR(COUNTIF(Kuponger!$CF:$CF,BB$2),0)</f>
        <v>0</v>
      </c>
      <c r="BC12" s="47">
        <f>IFERROR(COUNTIF(Kuponger!$CB:$CB,Analyse!BB$2),0)</f>
        <v>12</v>
      </c>
      <c r="BD12" s="641">
        <f t="shared" si="5"/>
        <v>0</v>
      </c>
      <c r="BE12" s="642">
        <f>IFERROR(COUNTIF(Kuponger!$CG:$CG,BB$2),0)</f>
        <v>0</v>
      </c>
      <c r="BF12" s="47">
        <f>IFERROR(COUNTIF(Kuponger!$CC:$CC,Analyse!BB$2),0)</f>
        <v>0</v>
      </c>
      <c r="BG12" s="641">
        <f t="shared" si="18"/>
        <v>0</v>
      </c>
      <c r="BH12" s="642">
        <f>IFERROR(COUNTIF(Kuponger!$CH:$CH,BB$2),0)</f>
        <v>0</v>
      </c>
      <c r="BI12" s="47">
        <f>IFERROR(COUNTIF(Kuponger!$CC:$CC,Analyse!BB$2),0)</f>
        <v>0</v>
      </c>
      <c r="BJ12" s="641">
        <f t="shared" si="19"/>
        <v>0</v>
      </c>
      <c r="BK12" s="640" t="s">
        <v>21</v>
      </c>
      <c r="BL12" s="47">
        <f>IFERROR(COUNTIF(Kuponger!$AM:$AM,BL$2),0)</f>
        <v>0</v>
      </c>
      <c r="BM12" s="47">
        <f>IFERROR(COUNTIF(Kuponger!$AI:$AI,Analyse!BL$2),0)</f>
        <v>12</v>
      </c>
      <c r="BN12" s="641">
        <f t="shared" si="6"/>
        <v>0</v>
      </c>
      <c r="BO12" s="642">
        <f>IFERROR(COUNTIF(Kuponger!$CG:$CG,BL$2),0)</f>
        <v>0</v>
      </c>
      <c r="BP12" s="47">
        <f>IFERROR(COUNTIF(Kuponger!$CC:$CC,Analyse!BL$2),0)</f>
        <v>24</v>
      </c>
      <c r="BQ12" s="641">
        <f t="shared" si="20"/>
        <v>0</v>
      </c>
      <c r="BR12" s="642">
        <f>IFERROR(COUNTIF(Kuponger!$CH:$CH,BL$2),0)</f>
        <v>0</v>
      </c>
      <c r="BS12" s="47">
        <f>IFERROR(COUNTIF(Kuponger!$CC:$CC,Analyse!BL$2),0)</f>
        <v>24</v>
      </c>
      <c r="BT12" s="641">
        <f t="shared" si="21"/>
        <v>0</v>
      </c>
      <c r="BU12" s="640" t="s">
        <v>26</v>
      </c>
      <c r="BV12" s="47">
        <f>IFERROR(COUNTIF(Kuponger!$CF:$CF,BV$2),0)</f>
        <v>0</v>
      </c>
      <c r="BW12" s="47">
        <f>IFERROR(COUNTIF(Kuponger!$CB:$CB,Analyse!BV$2),0)</f>
        <v>24</v>
      </c>
      <c r="BX12" s="641">
        <f t="shared" si="7"/>
        <v>0</v>
      </c>
      <c r="BY12" s="642">
        <f>IFERROR(COUNTIF(Kuponger!$CG:$CG,BV$2),0)</f>
        <v>0</v>
      </c>
      <c r="BZ12" s="47">
        <f>IFERROR(COUNTIF(Kuponger!$CC:$CC,Analyse!BV$2),0)</f>
        <v>58</v>
      </c>
      <c r="CA12" s="641">
        <f t="shared" si="22"/>
        <v>0</v>
      </c>
      <c r="CB12" s="642">
        <f>IFERROR(COUNTIF(Kuponger!$CH:$CH,BV$2),0)</f>
        <v>0</v>
      </c>
      <c r="CC12" s="47">
        <f>IFERROR(COUNTIF(Kuponger!$CC:$CC,Analyse!BV$2),0)</f>
        <v>58</v>
      </c>
      <c r="CD12" s="641">
        <f t="shared" si="23"/>
        <v>0</v>
      </c>
    </row>
    <row r="13" spans="2:82" x14ac:dyDescent="0.2">
      <c r="C13" s="643" t="s">
        <v>22</v>
      </c>
      <c r="D13" s="644">
        <f>IFERROR(COUNTIF(Kuponger!$AV:$AV,D$2),0)</f>
        <v>0</v>
      </c>
      <c r="E13" s="644">
        <f>IFERROR(COUNTIF(Kuponger!$Q:$Q,Analyse!D$2),0)</f>
        <v>12</v>
      </c>
      <c r="F13" s="645">
        <f t="shared" si="0"/>
        <v>0</v>
      </c>
      <c r="G13" s="646">
        <f>IFERROR(COUNTIF(Kuponger!$CP:$CP,D$2),0)</f>
        <v>0</v>
      </c>
      <c r="H13" s="644">
        <f>IFERROR(COUNTIF(Kuponger!$CL:$CL,Analyse!D$2),0)</f>
        <v>12</v>
      </c>
      <c r="I13" s="645">
        <f t="shared" si="8"/>
        <v>0</v>
      </c>
      <c r="J13" s="646">
        <f>IFERROR(COUNTIF(Kuponger!$CQ:$CQ,D$2),0)</f>
        <v>0</v>
      </c>
      <c r="K13" s="644">
        <f>IFERROR(COUNTIF(Kuponger!$CM:$CM,Analyse!D$2),0)</f>
        <v>0</v>
      </c>
      <c r="L13" s="645">
        <f t="shared" si="9"/>
        <v>0</v>
      </c>
      <c r="M13" s="643" t="s">
        <v>21</v>
      </c>
      <c r="N13" s="644">
        <f>IFERROR(COUNTIF(Kuponger!$AM:$AM,N$2),0)</f>
        <v>0</v>
      </c>
      <c r="O13" s="644">
        <f>IFERROR(COUNTIF(Kuponger!$AI:$AI,Analyse!N$2),0)</f>
        <v>12</v>
      </c>
      <c r="P13" s="645">
        <f t="shared" si="1"/>
        <v>0</v>
      </c>
      <c r="Q13" s="646">
        <f>IFERROR(COUNTIF(Kuponger!$CP:$CP,N$2),0)</f>
        <v>0</v>
      </c>
      <c r="R13" s="644">
        <f>IFERROR(COUNTIF(Kuponger!$CL:$CL,Analyse!N$2),0)</f>
        <v>0</v>
      </c>
      <c r="S13" s="645">
        <f t="shared" si="10"/>
        <v>0</v>
      </c>
      <c r="T13" s="646">
        <f>IFERROR(COUNTIF(Kuponger!$CQ:$CQ,N$2),0)</f>
        <v>0</v>
      </c>
      <c r="U13" s="644">
        <f>IFERROR(COUNTIF(Kuponger!$CM:$CM,Analyse!N$2),0)</f>
        <v>10</v>
      </c>
      <c r="V13" s="645">
        <f t="shared" si="11"/>
        <v>0</v>
      </c>
      <c r="W13" s="643" t="s">
        <v>25</v>
      </c>
      <c r="X13" s="644">
        <f>IFERROR(COUNTIF(Kuponger!$BW:$BW,X$2),0)</f>
        <v>0</v>
      </c>
      <c r="Y13" s="644">
        <f>IFERROR(COUNTIF(Kuponger!$BS:$BS,Analyse!X$2),0)</f>
        <v>12</v>
      </c>
      <c r="Z13" s="645">
        <f t="shared" si="2"/>
        <v>0</v>
      </c>
      <c r="AA13" s="646">
        <f>IFERROR(COUNTIF(Kuponger!$CP:$CP,X$2),0)</f>
        <v>0</v>
      </c>
      <c r="AB13" s="644">
        <f>IFERROR(COUNTIF(Kuponger!$CL:$CL,Analyse!X$2),0)</f>
        <v>0</v>
      </c>
      <c r="AC13" s="645">
        <f t="shared" si="12"/>
        <v>0</v>
      </c>
      <c r="AD13" s="646">
        <f>IFERROR(COUNTIF(Kuponger!$CQ:$CQ,X$2),0)</f>
        <v>0</v>
      </c>
      <c r="AE13" s="644">
        <f>IFERROR(COUNTIF(Kuponger!$CM:$CM,Analyse!X$2),0)</f>
        <v>12</v>
      </c>
      <c r="AF13" s="645">
        <f t="shared" si="13"/>
        <v>0</v>
      </c>
      <c r="AG13" s="643" t="s">
        <v>25</v>
      </c>
      <c r="AH13" s="644">
        <f>IFERROR(COUNTIF(Kuponger!$BW:$BW,AH$2),0)</f>
        <v>0</v>
      </c>
      <c r="AI13" s="644">
        <f>IFERROR(COUNTIF(Kuponger!$BS:$BS,Analyse!AH$2),0)</f>
        <v>12</v>
      </c>
      <c r="AJ13" s="645">
        <f t="shared" si="3"/>
        <v>0</v>
      </c>
      <c r="AK13" s="646">
        <f>IFERROR(COUNTIF(Kuponger!$CP:$CP,AH$2),0)</f>
        <v>0</v>
      </c>
      <c r="AL13" s="644">
        <f>IFERROR(COUNTIF(Kuponger!$CL:$CL,Analyse!AH$2),0)</f>
        <v>13</v>
      </c>
      <c r="AM13" s="645">
        <f t="shared" si="14"/>
        <v>0</v>
      </c>
      <c r="AN13" s="646">
        <f>IFERROR(COUNTIF(Kuponger!$CQ:$CQ,AH$2),0)</f>
        <v>0</v>
      </c>
      <c r="AO13" s="644">
        <f>IFERROR(COUNTIF(Kuponger!$CM:$CM,Analyse!AH$2),0)</f>
        <v>13</v>
      </c>
      <c r="AP13" s="645">
        <f t="shared" si="15"/>
        <v>0</v>
      </c>
      <c r="AQ13" s="643" t="s">
        <v>24</v>
      </c>
      <c r="AR13" s="644">
        <f>IFERROR(COUNTIF(Kuponger!$BN:$BN,AR$2),0)</f>
        <v>0</v>
      </c>
      <c r="AS13" s="644">
        <f>IFERROR(COUNTIF(Kuponger!$BJ:$BJ,Analyse!AR$2),0)</f>
        <v>12</v>
      </c>
      <c r="AT13" s="645">
        <f t="shared" si="4"/>
        <v>0</v>
      </c>
      <c r="AU13" s="646">
        <f>IFERROR(COUNTIF(Kuponger!$CP:$CP,AR$2),0)</f>
        <v>0</v>
      </c>
      <c r="AV13" s="644">
        <f>IFERROR(COUNTIF(Kuponger!$CL:$CL,Analyse!AR$2),0)</f>
        <v>1</v>
      </c>
      <c r="AW13" s="645">
        <f t="shared" si="16"/>
        <v>0</v>
      </c>
      <c r="AX13" s="646">
        <f>IFERROR(COUNTIF(Kuponger!$CQ:$CQ,AR$2),0)</f>
        <v>0</v>
      </c>
      <c r="AY13" s="644">
        <f>IFERROR(COUNTIF(Kuponger!$CM:$CM,Analyse!AR$2),0)</f>
        <v>23</v>
      </c>
      <c r="AZ13" s="645">
        <f t="shared" si="17"/>
        <v>0</v>
      </c>
      <c r="BA13" s="643" t="s">
        <v>22</v>
      </c>
      <c r="BB13" s="644">
        <f>IFERROR(COUNTIF(Kuponger!$AV:$AV,BB$2),0)</f>
        <v>0</v>
      </c>
      <c r="BC13" s="644">
        <f>IFERROR(COUNTIF(Kuponger!$AR:$AR,Analyse!BB$2),0)</f>
        <v>12</v>
      </c>
      <c r="BD13" s="645">
        <f t="shared" si="5"/>
        <v>0</v>
      </c>
      <c r="BE13" s="646">
        <f>IFERROR(COUNTIF(Kuponger!$CP:$CP,BB$2),0)</f>
        <v>0</v>
      </c>
      <c r="BF13" s="644">
        <f>IFERROR(COUNTIF(Kuponger!$CL:$CL,Analyse!BB$2),0)</f>
        <v>0</v>
      </c>
      <c r="BG13" s="645">
        <f t="shared" si="18"/>
        <v>0</v>
      </c>
      <c r="BH13" s="646">
        <f>IFERROR(COUNTIF(Kuponger!$CQ:$CQ,BB$2),0)</f>
        <v>0</v>
      </c>
      <c r="BI13" s="644">
        <f>IFERROR(COUNTIF(Kuponger!$CM:$CM,Analyse!BB$2),0)</f>
        <v>2</v>
      </c>
      <c r="BJ13" s="645">
        <f t="shared" si="19"/>
        <v>0</v>
      </c>
      <c r="BK13" s="643" t="s">
        <v>19</v>
      </c>
      <c r="BL13" s="644">
        <f>IFERROR(COUNTIF(Kuponger!$U:$U,BL$2),0)</f>
        <v>0</v>
      </c>
      <c r="BM13" s="644">
        <f>IFERROR(COUNTIF(Kuponger!$Q:$Q,Analyse!BL$2),0)</f>
        <v>12</v>
      </c>
      <c r="BN13" s="645">
        <f t="shared" si="6"/>
        <v>0</v>
      </c>
      <c r="BO13" s="646">
        <f>IFERROR(COUNTIF(Kuponger!$CP:$CP,BL$2),0)</f>
        <v>0</v>
      </c>
      <c r="BP13" s="644">
        <f>IFERROR(COUNTIF(Kuponger!$CL:$CL,Analyse!BL$2),0)</f>
        <v>24</v>
      </c>
      <c r="BQ13" s="645">
        <f t="shared" si="20"/>
        <v>0</v>
      </c>
      <c r="BR13" s="646">
        <f>IFERROR(COUNTIF(Kuponger!$CQ:$CQ,BL$2),0)</f>
        <v>0</v>
      </c>
      <c r="BS13" s="644">
        <f>IFERROR(COUNTIF(Kuponger!$CM:$CM,Analyse!BL$2),0)</f>
        <v>12</v>
      </c>
      <c r="BT13" s="645">
        <f t="shared" si="21"/>
        <v>0</v>
      </c>
      <c r="BU13" s="643" t="s">
        <v>27</v>
      </c>
      <c r="BV13" s="644">
        <f>IFERROR(COUNTIF(Kuponger!$CO:$CO,BV$2),0)</f>
        <v>0</v>
      </c>
      <c r="BW13" s="644">
        <f>IFERROR(COUNTIF(Kuponger!$CK:$CK,Analyse!BV$2),0)</f>
        <v>24</v>
      </c>
      <c r="BX13" s="645">
        <f t="shared" si="7"/>
        <v>0</v>
      </c>
      <c r="BY13" s="646">
        <f>IFERROR(COUNTIF(Kuponger!$CP:$CP,BV$2),0)</f>
        <v>0</v>
      </c>
      <c r="BZ13" s="644">
        <f>IFERROR(COUNTIF(Kuponger!$CL:$CL,Analyse!BV$2),0)</f>
        <v>58</v>
      </c>
      <c r="CA13" s="645">
        <f t="shared" si="22"/>
        <v>0</v>
      </c>
      <c r="CB13" s="646">
        <f>IFERROR(COUNTIF(Kuponger!$CQ:$CQ,BV$2),0)</f>
        <v>0</v>
      </c>
      <c r="CC13" s="644">
        <f>IFERROR(COUNTIF(Kuponger!$CM:$CM,Analyse!BV$2),0)</f>
        <v>36</v>
      </c>
      <c r="CD13" s="645">
        <f t="shared" si="23"/>
        <v>0</v>
      </c>
    </row>
    <row r="15" spans="2:82" x14ac:dyDescent="0.2">
      <c r="B15" s="27">
        <f>COUNTIF(Kuponger!Z:AB,80)</f>
        <v>24</v>
      </c>
    </row>
    <row r="17" spans="3:41" x14ac:dyDescent="0.2">
      <c r="C17" s="647"/>
      <c r="D17" s="631" t="s">
        <v>459</v>
      </c>
      <c r="E17" s="629"/>
      <c r="F17" s="630"/>
      <c r="G17" s="629"/>
      <c r="H17" s="629"/>
      <c r="I17" s="631"/>
      <c r="J17" s="629"/>
      <c r="K17" s="630"/>
      <c r="L17" s="629"/>
      <c r="M17" s="629"/>
      <c r="N17" s="631"/>
      <c r="O17" s="629"/>
      <c r="P17" s="630"/>
      <c r="Q17" s="629"/>
      <c r="R17" s="629"/>
      <c r="S17" s="631"/>
      <c r="T17" s="629"/>
      <c r="U17" s="630"/>
      <c r="V17" s="629"/>
      <c r="W17" s="629"/>
      <c r="X17" s="631"/>
      <c r="Y17" s="629"/>
      <c r="Z17" s="630"/>
      <c r="AA17" s="629"/>
      <c r="AB17" s="629"/>
      <c r="AC17" s="631"/>
      <c r="AD17" s="629"/>
      <c r="AE17" s="630"/>
      <c r="AF17" s="629"/>
      <c r="AG17" s="629"/>
      <c r="AH17" s="631"/>
      <c r="AI17" s="629"/>
      <c r="AJ17" s="630"/>
      <c r="AK17" s="629"/>
      <c r="AL17" s="629"/>
      <c r="AM17" s="631"/>
      <c r="AN17" s="629"/>
      <c r="AO17" s="630"/>
    </row>
    <row r="18" spans="3:41" x14ac:dyDescent="0.2">
      <c r="C18" s="640"/>
      <c r="D18" s="635">
        <f>$D$2</f>
        <v>80</v>
      </c>
      <c r="E18" s="633"/>
      <c r="F18" s="634"/>
      <c r="G18" s="633"/>
      <c r="H18" s="633"/>
      <c r="I18" s="635">
        <f>$N$2</f>
        <v>70</v>
      </c>
      <c r="J18" s="633"/>
      <c r="K18" s="634"/>
      <c r="L18" s="633"/>
      <c r="M18" s="633"/>
      <c r="N18" s="635">
        <v>60</v>
      </c>
      <c r="O18" s="633"/>
      <c r="P18" s="634"/>
      <c r="Q18" s="633"/>
      <c r="R18" s="633"/>
      <c r="S18" s="635">
        <v>50</v>
      </c>
      <c r="T18" s="633"/>
      <c r="U18" s="634"/>
      <c r="V18" s="633"/>
      <c r="W18" s="633"/>
      <c r="X18" s="635">
        <v>40</v>
      </c>
      <c r="Y18" s="633"/>
      <c r="Z18" s="634"/>
      <c r="AA18" s="633"/>
      <c r="AB18" s="633"/>
      <c r="AC18" s="635">
        <v>30</v>
      </c>
      <c r="AD18" s="633"/>
      <c r="AE18" s="634"/>
      <c r="AF18" s="633"/>
      <c r="AG18" s="633"/>
      <c r="AH18" s="635">
        <v>20</v>
      </c>
      <c r="AI18" s="633"/>
      <c r="AJ18" s="634"/>
      <c r="AK18" s="633"/>
      <c r="AL18" s="633"/>
      <c r="AM18" s="635">
        <v>10</v>
      </c>
      <c r="AN18" s="633"/>
      <c r="AO18" s="634"/>
    </row>
    <row r="19" spans="3:41" x14ac:dyDescent="0.2">
      <c r="C19" s="643"/>
      <c r="D19" s="639" t="s">
        <v>47</v>
      </c>
      <c r="E19" s="637" t="s">
        <v>48</v>
      </c>
      <c r="F19" s="638" t="s">
        <v>49</v>
      </c>
      <c r="G19" s="637"/>
      <c r="H19" s="637"/>
      <c r="I19" s="639" t="s">
        <v>47</v>
      </c>
      <c r="J19" s="637" t="s">
        <v>48</v>
      </c>
      <c r="K19" s="638" t="s">
        <v>49</v>
      </c>
      <c r="L19" s="637"/>
      <c r="M19" s="637"/>
      <c r="N19" s="639" t="s">
        <v>47</v>
      </c>
      <c r="O19" s="637" t="s">
        <v>48</v>
      </c>
      <c r="P19" s="638" t="s">
        <v>49</v>
      </c>
      <c r="Q19" s="637"/>
      <c r="R19" s="637"/>
      <c r="S19" s="639" t="s">
        <v>47</v>
      </c>
      <c r="T19" s="637" t="s">
        <v>48</v>
      </c>
      <c r="U19" s="638" t="s">
        <v>49</v>
      </c>
      <c r="V19" s="637"/>
      <c r="W19" s="637"/>
      <c r="X19" s="639" t="s">
        <v>47</v>
      </c>
      <c r="Y19" s="637" t="s">
        <v>48</v>
      </c>
      <c r="Z19" s="638" t="s">
        <v>49</v>
      </c>
      <c r="AA19" s="637"/>
      <c r="AB19" s="637"/>
      <c r="AC19" s="639" t="s">
        <v>47</v>
      </c>
      <c r="AD19" s="637" t="s">
        <v>48</v>
      </c>
      <c r="AE19" s="638" t="s">
        <v>49</v>
      </c>
      <c r="AF19" s="637"/>
      <c r="AG19" s="637"/>
      <c r="AH19" s="639" t="s">
        <v>47</v>
      </c>
      <c r="AI19" s="637" t="s">
        <v>48</v>
      </c>
      <c r="AJ19" s="638" t="s">
        <v>49</v>
      </c>
      <c r="AK19" s="637"/>
      <c r="AL19" s="637"/>
      <c r="AM19" s="639" t="s">
        <v>47</v>
      </c>
      <c r="AN19" s="637" t="s">
        <v>48</v>
      </c>
      <c r="AO19" s="638" t="s">
        <v>49</v>
      </c>
    </row>
    <row r="20" spans="3:41" x14ac:dyDescent="0.2">
      <c r="C20" s="27" t="s">
        <v>19</v>
      </c>
      <c r="D20" s="648">
        <f t="shared" ref="D20:D28" si="24">F5</f>
        <v>0</v>
      </c>
      <c r="E20" s="649">
        <f t="shared" ref="E20:E28" si="25">I5</f>
        <v>0</v>
      </c>
      <c r="F20" s="641">
        <f t="shared" ref="F20:F28" si="26">L5</f>
        <v>0</v>
      </c>
      <c r="G20" s="649"/>
      <c r="H20" s="649" t="s">
        <v>19</v>
      </c>
      <c r="I20" s="648">
        <f t="shared" ref="I20:I28" si="27">P5</f>
        <v>0</v>
      </c>
      <c r="J20" s="649">
        <f t="shared" ref="J20:J28" si="28">S5</f>
        <v>0</v>
      </c>
      <c r="K20" s="641">
        <f t="shared" ref="K20:K28" si="29">V5</f>
        <v>0</v>
      </c>
      <c r="L20" s="649"/>
      <c r="M20" s="649" t="s">
        <v>19</v>
      </c>
      <c r="N20" s="648">
        <f t="shared" ref="N20:N28" si="30">Z5</f>
        <v>0</v>
      </c>
      <c r="O20" s="649">
        <f t="shared" ref="O20:O28" si="31">AC5</f>
        <v>0</v>
      </c>
      <c r="P20" s="641">
        <f t="shared" ref="P20:P28" si="32">AF5</f>
        <v>0</v>
      </c>
      <c r="Q20" s="649"/>
      <c r="R20" s="649" t="s">
        <v>19</v>
      </c>
      <c r="S20" s="648">
        <f t="shared" ref="S20:S28" si="33">AJ5</f>
        <v>0</v>
      </c>
      <c r="T20" s="649">
        <f t="shared" ref="T20:T28" si="34">AM5</f>
        <v>0</v>
      </c>
      <c r="U20" s="641">
        <f t="shared" ref="U20:U28" si="35">AP5</f>
        <v>0</v>
      </c>
      <c r="V20" s="649"/>
      <c r="W20" s="649" t="s">
        <v>19</v>
      </c>
      <c r="X20" s="648">
        <f t="shared" ref="X20:X28" si="36">AT5</f>
        <v>0</v>
      </c>
      <c r="Y20" s="649">
        <f t="shared" ref="Y20:Y28" si="37">AW5</f>
        <v>0</v>
      </c>
      <c r="Z20" s="641">
        <f t="shared" ref="Z20:Z28" si="38">AZ5</f>
        <v>0</v>
      </c>
      <c r="AA20" s="649"/>
      <c r="AB20" s="649" t="s">
        <v>19</v>
      </c>
      <c r="AC20" s="648">
        <f t="shared" ref="AC20:AC28" si="39">BD5</f>
        <v>0</v>
      </c>
      <c r="AD20" s="649">
        <f t="shared" ref="AD20:AD28" si="40">BG5</f>
        <v>0</v>
      </c>
      <c r="AE20" s="641">
        <f t="shared" ref="AE20:AE28" si="41">BG5</f>
        <v>0</v>
      </c>
      <c r="AF20" s="649"/>
      <c r="AG20" s="649" t="s">
        <v>19</v>
      </c>
      <c r="AH20" s="648">
        <f t="shared" ref="AH20:AH28" si="42">BN5</f>
        <v>0</v>
      </c>
      <c r="AI20" s="649">
        <f t="shared" ref="AI20:AI28" si="43">BQ5</f>
        <v>0</v>
      </c>
      <c r="AJ20" s="641">
        <f t="shared" ref="AJ20:AJ28" si="44">BT5</f>
        <v>0</v>
      </c>
      <c r="AK20" s="649"/>
      <c r="AL20" s="649" t="s">
        <v>19</v>
      </c>
      <c r="AM20" s="648">
        <f t="shared" ref="AM20:AM28" si="45">BX5</f>
        <v>0</v>
      </c>
      <c r="AN20" s="649">
        <f t="shared" ref="AN20:AN28" si="46">CA5</f>
        <v>0</v>
      </c>
      <c r="AO20" s="641">
        <f t="shared" ref="AO20:AO28" si="47">CD5</f>
        <v>0</v>
      </c>
    </row>
    <row r="21" spans="3:41" x14ac:dyDescent="0.2">
      <c r="C21" s="27" t="s">
        <v>20</v>
      </c>
      <c r="D21" s="648">
        <f t="shared" si="24"/>
        <v>0</v>
      </c>
      <c r="E21" s="649">
        <f t="shared" si="25"/>
        <v>0</v>
      </c>
      <c r="F21" s="641">
        <f t="shared" si="26"/>
        <v>0</v>
      </c>
      <c r="G21" s="649"/>
      <c r="H21" s="649" t="s">
        <v>20</v>
      </c>
      <c r="I21" s="648">
        <f t="shared" si="27"/>
        <v>0</v>
      </c>
      <c r="J21" s="649">
        <f t="shared" si="28"/>
        <v>0</v>
      </c>
      <c r="K21" s="641">
        <f t="shared" si="29"/>
        <v>0</v>
      </c>
      <c r="L21" s="649"/>
      <c r="M21" s="649" t="s">
        <v>20</v>
      </c>
      <c r="N21" s="648">
        <f t="shared" si="30"/>
        <v>0</v>
      </c>
      <c r="O21" s="649">
        <f t="shared" si="31"/>
        <v>0</v>
      </c>
      <c r="P21" s="641">
        <f t="shared" si="32"/>
        <v>0</v>
      </c>
      <c r="Q21" s="649"/>
      <c r="R21" s="649" t="s">
        <v>20</v>
      </c>
      <c r="S21" s="648">
        <f t="shared" si="33"/>
        <v>0</v>
      </c>
      <c r="T21" s="649">
        <f t="shared" si="34"/>
        <v>0</v>
      </c>
      <c r="U21" s="641">
        <f t="shared" si="35"/>
        <v>0</v>
      </c>
      <c r="V21" s="649"/>
      <c r="W21" s="649" t="s">
        <v>20</v>
      </c>
      <c r="X21" s="648">
        <f t="shared" si="36"/>
        <v>0</v>
      </c>
      <c r="Y21" s="649">
        <f t="shared" si="37"/>
        <v>0</v>
      </c>
      <c r="Z21" s="641">
        <f t="shared" si="38"/>
        <v>0</v>
      </c>
      <c r="AA21" s="649"/>
      <c r="AB21" s="649" t="s">
        <v>20</v>
      </c>
      <c r="AC21" s="648">
        <f t="shared" si="39"/>
        <v>0</v>
      </c>
      <c r="AD21" s="649">
        <f t="shared" si="40"/>
        <v>0</v>
      </c>
      <c r="AE21" s="641">
        <f t="shared" si="41"/>
        <v>0</v>
      </c>
      <c r="AF21" s="649"/>
      <c r="AG21" s="649" t="s">
        <v>20</v>
      </c>
      <c r="AH21" s="648">
        <f t="shared" si="42"/>
        <v>0</v>
      </c>
      <c r="AI21" s="649">
        <f t="shared" si="43"/>
        <v>0</v>
      </c>
      <c r="AJ21" s="641">
        <f t="shared" si="44"/>
        <v>0</v>
      </c>
      <c r="AK21" s="649"/>
      <c r="AL21" s="649" t="s">
        <v>20</v>
      </c>
      <c r="AM21" s="648">
        <f t="shared" si="45"/>
        <v>0</v>
      </c>
      <c r="AN21" s="649">
        <f t="shared" si="46"/>
        <v>0</v>
      </c>
      <c r="AO21" s="641">
        <f t="shared" si="47"/>
        <v>0</v>
      </c>
    </row>
    <row r="22" spans="3:41" x14ac:dyDescent="0.2">
      <c r="C22" s="27" t="s">
        <v>21</v>
      </c>
      <c r="D22" s="648">
        <f t="shared" si="24"/>
        <v>0</v>
      </c>
      <c r="E22" s="649">
        <f t="shared" si="25"/>
        <v>0</v>
      </c>
      <c r="F22" s="641">
        <f t="shared" si="26"/>
        <v>0</v>
      </c>
      <c r="G22" s="649"/>
      <c r="H22" s="649" t="s">
        <v>21</v>
      </c>
      <c r="I22" s="648">
        <f t="shared" si="27"/>
        <v>0</v>
      </c>
      <c r="J22" s="649">
        <f t="shared" si="28"/>
        <v>0</v>
      </c>
      <c r="K22" s="641">
        <f t="shared" si="29"/>
        <v>0</v>
      </c>
      <c r="L22" s="649"/>
      <c r="M22" s="649" t="s">
        <v>21</v>
      </c>
      <c r="N22" s="648">
        <f t="shared" si="30"/>
        <v>0</v>
      </c>
      <c r="O22" s="649">
        <f t="shared" si="31"/>
        <v>0</v>
      </c>
      <c r="P22" s="641">
        <f t="shared" si="32"/>
        <v>0</v>
      </c>
      <c r="Q22" s="649"/>
      <c r="R22" s="649" t="s">
        <v>21</v>
      </c>
      <c r="S22" s="648">
        <f t="shared" si="33"/>
        <v>0</v>
      </c>
      <c r="T22" s="649">
        <f t="shared" si="34"/>
        <v>0</v>
      </c>
      <c r="U22" s="641">
        <f t="shared" si="35"/>
        <v>0</v>
      </c>
      <c r="V22" s="649"/>
      <c r="W22" s="649" t="s">
        <v>21</v>
      </c>
      <c r="X22" s="648">
        <f t="shared" si="36"/>
        <v>0</v>
      </c>
      <c r="Y22" s="649">
        <f t="shared" si="37"/>
        <v>0</v>
      </c>
      <c r="Z22" s="641">
        <f t="shared" si="38"/>
        <v>0</v>
      </c>
      <c r="AA22" s="649"/>
      <c r="AB22" s="649" t="s">
        <v>21</v>
      </c>
      <c r="AC22" s="648">
        <f t="shared" si="39"/>
        <v>0</v>
      </c>
      <c r="AD22" s="649">
        <f t="shared" si="40"/>
        <v>0</v>
      </c>
      <c r="AE22" s="641">
        <f t="shared" si="41"/>
        <v>0</v>
      </c>
      <c r="AF22" s="649"/>
      <c r="AG22" s="649" t="s">
        <v>21</v>
      </c>
      <c r="AH22" s="648">
        <f t="shared" si="42"/>
        <v>0</v>
      </c>
      <c r="AI22" s="649">
        <f t="shared" si="43"/>
        <v>0</v>
      </c>
      <c r="AJ22" s="641">
        <f t="shared" si="44"/>
        <v>0</v>
      </c>
      <c r="AK22" s="649"/>
      <c r="AL22" s="649" t="s">
        <v>21</v>
      </c>
      <c r="AM22" s="648">
        <f t="shared" si="45"/>
        <v>0</v>
      </c>
      <c r="AN22" s="649">
        <f t="shared" si="46"/>
        <v>0</v>
      </c>
      <c r="AO22" s="641">
        <f t="shared" si="47"/>
        <v>0</v>
      </c>
    </row>
    <row r="23" spans="3:41" x14ac:dyDescent="0.2">
      <c r="C23" s="27" t="s">
        <v>22</v>
      </c>
      <c r="D23" s="648">
        <f t="shared" si="24"/>
        <v>0</v>
      </c>
      <c r="E23" s="649">
        <f t="shared" si="25"/>
        <v>0</v>
      </c>
      <c r="F23" s="641">
        <f t="shared" si="26"/>
        <v>0</v>
      </c>
      <c r="G23" s="649"/>
      <c r="H23" s="649" t="s">
        <v>22</v>
      </c>
      <c r="I23" s="648">
        <f t="shared" si="27"/>
        <v>0</v>
      </c>
      <c r="J23" s="649">
        <f t="shared" si="28"/>
        <v>0</v>
      </c>
      <c r="K23" s="641">
        <f t="shared" si="29"/>
        <v>0</v>
      </c>
      <c r="L23" s="649"/>
      <c r="M23" s="649" t="s">
        <v>22</v>
      </c>
      <c r="N23" s="648">
        <f t="shared" si="30"/>
        <v>0</v>
      </c>
      <c r="O23" s="649">
        <f t="shared" si="31"/>
        <v>0</v>
      </c>
      <c r="P23" s="641">
        <f t="shared" si="32"/>
        <v>0</v>
      </c>
      <c r="Q23" s="649"/>
      <c r="R23" s="649" t="s">
        <v>22</v>
      </c>
      <c r="S23" s="648">
        <f t="shared" si="33"/>
        <v>0</v>
      </c>
      <c r="T23" s="649">
        <f t="shared" si="34"/>
        <v>0</v>
      </c>
      <c r="U23" s="641">
        <f t="shared" si="35"/>
        <v>0</v>
      </c>
      <c r="V23" s="649"/>
      <c r="W23" s="649" t="s">
        <v>22</v>
      </c>
      <c r="X23" s="648">
        <f t="shared" si="36"/>
        <v>0</v>
      </c>
      <c r="Y23" s="649">
        <f t="shared" si="37"/>
        <v>0</v>
      </c>
      <c r="Z23" s="641">
        <f t="shared" si="38"/>
        <v>0</v>
      </c>
      <c r="AA23" s="649"/>
      <c r="AB23" s="649" t="s">
        <v>22</v>
      </c>
      <c r="AC23" s="648">
        <f t="shared" si="39"/>
        <v>0</v>
      </c>
      <c r="AD23" s="649">
        <f t="shared" si="40"/>
        <v>0</v>
      </c>
      <c r="AE23" s="641">
        <f t="shared" si="41"/>
        <v>0</v>
      </c>
      <c r="AF23" s="649"/>
      <c r="AG23" s="649" t="s">
        <v>22</v>
      </c>
      <c r="AH23" s="648">
        <f t="shared" si="42"/>
        <v>0</v>
      </c>
      <c r="AI23" s="649">
        <f t="shared" si="43"/>
        <v>0</v>
      </c>
      <c r="AJ23" s="641">
        <f t="shared" si="44"/>
        <v>0</v>
      </c>
      <c r="AK23" s="649"/>
      <c r="AL23" s="649" t="s">
        <v>22</v>
      </c>
      <c r="AM23" s="648">
        <f t="shared" si="45"/>
        <v>0</v>
      </c>
      <c r="AN23" s="649">
        <f t="shared" si="46"/>
        <v>0</v>
      </c>
      <c r="AO23" s="641">
        <f t="shared" si="47"/>
        <v>0</v>
      </c>
    </row>
    <row r="24" spans="3:41" x14ac:dyDescent="0.2">
      <c r="C24" s="27" t="s">
        <v>23</v>
      </c>
      <c r="D24" s="648">
        <f t="shared" si="24"/>
        <v>0</v>
      </c>
      <c r="E24" s="649">
        <f t="shared" si="25"/>
        <v>0</v>
      </c>
      <c r="F24" s="641">
        <f t="shared" si="26"/>
        <v>0</v>
      </c>
      <c r="G24" s="649"/>
      <c r="H24" s="649" t="s">
        <v>23</v>
      </c>
      <c r="I24" s="648">
        <f t="shared" si="27"/>
        <v>0</v>
      </c>
      <c r="J24" s="649">
        <f t="shared" si="28"/>
        <v>0</v>
      </c>
      <c r="K24" s="641">
        <f t="shared" si="29"/>
        <v>0</v>
      </c>
      <c r="L24" s="649"/>
      <c r="M24" s="649" t="s">
        <v>23</v>
      </c>
      <c r="N24" s="648">
        <f t="shared" si="30"/>
        <v>0</v>
      </c>
      <c r="O24" s="649">
        <f t="shared" si="31"/>
        <v>0</v>
      </c>
      <c r="P24" s="641">
        <f t="shared" si="32"/>
        <v>0</v>
      </c>
      <c r="Q24" s="649"/>
      <c r="R24" s="649" t="s">
        <v>23</v>
      </c>
      <c r="S24" s="648">
        <f t="shared" si="33"/>
        <v>0</v>
      </c>
      <c r="T24" s="649">
        <f t="shared" si="34"/>
        <v>0</v>
      </c>
      <c r="U24" s="641">
        <f t="shared" si="35"/>
        <v>0</v>
      </c>
      <c r="V24" s="649"/>
      <c r="W24" s="649" t="s">
        <v>23</v>
      </c>
      <c r="X24" s="648">
        <f t="shared" si="36"/>
        <v>0</v>
      </c>
      <c r="Y24" s="649">
        <f t="shared" si="37"/>
        <v>0</v>
      </c>
      <c r="Z24" s="641">
        <f t="shared" si="38"/>
        <v>0</v>
      </c>
      <c r="AA24" s="649"/>
      <c r="AB24" s="649" t="s">
        <v>23</v>
      </c>
      <c r="AC24" s="648">
        <f t="shared" si="39"/>
        <v>0</v>
      </c>
      <c r="AD24" s="649">
        <f t="shared" si="40"/>
        <v>0</v>
      </c>
      <c r="AE24" s="641">
        <f t="shared" si="41"/>
        <v>0</v>
      </c>
      <c r="AF24" s="649"/>
      <c r="AG24" s="649" t="s">
        <v>23</v>
      </c>
      <c r="AH24" s="648">
        <f t="shared" si="42"/>
        <v>0</v>
      </c>
      <c r="AI24" s="649">
        <f t="shared" si="43"/>
        <v>0</v>
      </c>
      <c r="AJ24" s="641">
        <f t="shared" si="44"/>
        <v>0</v>
      </c>
      <c r="AK24" s="649"/>
      <c r="AL24" s="649" t="s">
        <v>23</v>
      </c>
      <c r="AM24" s="648">
        <f t="shared" si="45"/>
        <v>0</v>
      </c>
      <c r="AN24" s="649">
        <f t="shared" si="46"/>
        <v>0</v>
      </c>
      <c r="AO24" s="641">
        <f t="shared" si="47"/>
        <v>0</v>
      </c>
    </row>
    <row r="25" spans="3:41" x14ac:dyDescent="0.2">
      <c r="C25" s="27" t="s">
        <v>24</v>
      </c>
      <c r="D25" s="648">
        <f t="shared" si="24"/>
        <v>0</v>
      </c>
      <c r="E25" s="649">
        <f t="shared" si="25"/>
        <v>0</v>
      </c>
      <c r="F25" s="641">
        <f t="shared" si="26"/>
        <v>0</v>
      </c>
      <c r="G25" s="649"/>
      <c r="H25" s="649" t="s">
        <v>24</v>
      </c>
      <c r="I25" s="648">
        <f t="shared" si="27"/>
        <v>0</v>
      </c>
      <c r="J25" s="649">
        <f t="shared" si="28"/>
        <v>0</v>
      </c>
      <c r="K25" s="641">
        <f t="shared" si="29"/>
        <v>0</v>
      </c>
      <c r="L25" s="649"/>
      <c r="M25" s="649" t="s">
        <v>24</v>
      </c>
      <c r="N25" s="648">
        <f t="shared" si="30"/>
        <v>0</v>
      </c>
      <c r="O25" s="649">
        <f t="shared" si="31"/>
        <v>0</v>
      </c>
      <c r="P25" s="641">
        <f t="shared" si="32"/>
        <v>0</v>
      </c>
      <c r="Q25" s="649"/>
      <c r="R25" s="649" t="s">
        <v>24</v>
      </c>
      <c r="S25" s="648">
        <f t="shared" si="33"/>
        <v>0</v>
      </c>
      <c r="T25" s="649">
        <f t="shared" si="34"/>
        <v>0</v>
      </c>
      <c r="U25" s="641">
        <f t="shared" si="35"/>
        <v>0</v>
      </c>
      <c r="V25" s="649"/>
      <c r="W25" s="649" t="s">
        <v>24</v>
      </c>
      <c r="X25" s="648">
        <f t="shared" si="36"/>
        <v>0</v>
      </c>
      <c r="Y25" s="649">
        <f t="shared" si="37"/>
        <v>0</v>
      </c>
      <c r="Z25" s="641">
        <f t="shared" si="38"/>
        <v>0</v>
      </c>
      <c r="AA25" s="649"/>
      <c r="AB25" s="649" t="s">
        <v>24</v>
      </c>
      <c r="AC25" s="648">
        <f t="shared" si="39"/>
        <v>0</v>
      </c>
      <c r="AD25" s="649">
        <f t="shared" si="40"/>
        <v>0</v>
      </c>
      <c r="AE25" s="641">
        <f t="shared" si="41"/>
        <v>0</v>
      </c>
      <c r="AF25" s="649"/>
      <c r="AG25" s="649" t="s">
        <v>24</v>
      </c>
      <c r="AH25" s="648">
        <f t="shared" si="42"/>
        <v>0</v>
      </c>
      <c r="AI25" s="649">
        <f t="shared" si="43"/>
        <v>0</v>
      </c>
      <c r="AJ25" s="641">
        <f t="shared" si="44"/>
        <v>0</v>
      </c>
      <c r="AK25" s="649"/>
      <c r="AL25" s="649" t="s">
        <v>24</v>
      </c>
      <c r="AM25" s="648">
        <f t="shared" si="45"/>
        <v>0</v>
      </c>
      <c r="AN25" s="649">
        <f t="shared" si="46"/>
        <v>0</v>
      </c>
      <c r="AO25" s="641">
        <f t="shared" si="47"/>
        <v>0</v>
      </c>
    </row>
    <row r="26" spans="3:41" x14ac:dyDescent="0.2">
      <c r="C26" s="27" t="s">
        <v>25</v>
      </c>
      <c r="D26" s="648">
        <f t="shared" si="24"/>
        <v>0</v>
      </c>
      <c r="E26" s="649">
        <f t="shared" si="25"/>
        <v>0</v>
      </c>
      <c r="F26" s="641">
        <f t="shared" si="26"/>
        <v>0</v>
      </c>
      <c r="G26" s="649"/>
      <c r="H26" s="649" t="s">
        <v>25</v>
      </c>
      <c r="I26" s="648">
        <f t="shared" si="27"/>
        <v>0</v>
      </c>
      <c r="J26" s="649">
        <f t="shared" si="28"/>
        <v>0</v>
      </c>
      <c r="K26" s="641">
        <f t="shared" si="29"/>
        <v>0</v>
      </c>
      <c r="L26" s="649"/>
      <c r="M26" s="649" t="s">
        <v>25</v>
      </c>
      <c r="N26" s="648">
        <f t="shared" si="30"/>
        <v>0</v>
      </c>
      <c r="O26" s="649">
        <f t="shared" si="31"/>
        <v>0</v>
      </c>
      <c r="P26" s="641">
        <f t="shared" si="32"/>
        <v>0</v>
      </c>
      <c r="Q26" s="649"/>
      <c r="R26" s="649" t="s">
        <v>25</v>
      </c>
      <c r="S26" s="648">
        <f t="shared" si="33"/>
        <v>0</v>
      </c>
      <c r="T26" s="649">
        <f t="shared" si="34"/>
        <v>0</v>
      </c>
      <c r="U26" s="641">
        <f t="shared" si="35"/>
        <v>0</v>
      </c>
      <c r="V26" s="649"/>
      <c r="W26" s="649" t="s">
        <v>25</v>
      </c>
      <c r="X26" s="648">
        <f t="shared" si="36"/>
        <v>0</v>
      </c>
      <c r="Y26" s="649">
        <f t="shared" si="37"/>
        <v>0</v>
      </c>
      <c r="Z26" s="641">
        <f t="shared" si="38"/>
        <v>0</v>
      </c>
      <c r="AA26" s="649"/>
      <c r="AB26" s="649" t="s">
        <v>25</v>
      </c>
      <c r="AC26" s="648">
        <f t="shared" si="39"/>
        <v>0</v>
      </c>
      <c r="AD26" s="649">
        <f t="shared" si="40"/>
        <v>0</v>
      </c>
      <c r="AE26" s="641">
        <f t="shared" si="41"/>
        <v>0</v>
      </c>
      <c r="AF26" s="649"/>
      <c r="AG26" s="649" t="s">
        <v>25</v>
      </c>
      <c r="AH26" s="648">
        <f t="shared" si="42"/>
        <v>0</v>
      </c>
      <c r="AI26" s="649">
        <f t="shared" si="43"/>
        <v>0</v>
      </c>
      <c r="AJ26" s="641">
        <f t="shared" si="44"/>
        <v>0</v>
      </c>
      <c r="AK26" s="649"/>
      <c r="AL26" s="649" t="s">
        <v>25</v>
      </c>
      <c r="AM26" s="648">
        <f t="shared" si="45"/>
        <v>0</v>
      </c>
      <c r="AN26" s="649">
        <f t="shared" si="46"/>
        <v>0</v>
      </c>
      <c r="AO26" s="641">
        <f t="shared" si="47"/>
        <v>0</v>
      </c>
    </row>
    <row r="27" spans="3:41" x14ac:dyDescent="0.2">
      <c r="C27" s="27" t="s">
        <v>26</v>
      </c>
      <c r="D27" s="648">
        <f t="shared" si="24"/>
        <v>0</v>
      </c>
      <c r="E27" s="649">
        <f t="shared" si="25"/>
        <v>0</v>
      </c>
      <c r="F27" s="641">
        <f t="shared" si="26"/>
        <v>0</v>
      </c>
      <c r="G27" s="649"/>
      <c r="H27" s="649" t="s">
        <v>26</v>
      </c>
      <c r="I27" s="648">
        <f t="shared" si="27"/>
        <v>0</v>
      </c>
      <c r="J27" s="649">
        <f t="shared" si="28"/>
        <v>0</v>
      </c>
      <c r="K27" s="641">
        <f t="shared" si="29"/>
        <v>0</v>
      </c>
      <c r="L27" s="649"/>
      <c r="M27" s="649" t="s">
        <v>26</v>
      </c>
      <c r="N27" s="648">
        <f t="shared" si="30"/>
        <v>0</v>
      </c>
      <c r="O27" s="649">
        <f t="shared" si="31"/>
        <v>0</v>
      </c>
      <c r="P27" s="641">
        <f t="shared" si="32"/>
        <v>0</v>
      </c>
      <c r="Q27" s="649"/>
      <c r="R27" s="649" t="s">
        <v>26</v>
      </c>
      <c r="S27" s="648">
        <f t="shared" si="33"/>
        <v>0</v>
      </c>
      <c r="T27" s="649">
        <f t="shared" si="34"/>
        <v>0</v>
      </c>
      <c r="U27" s="641">
        <f t="shared" si="35"/>
        <v>0</v>
      </c>
      <c r="V27" s="649"/>
      <c r="W27" s="649" t="s">
        <v>26</v>
      </c>
      <c r="X27" s="648">
        <f t="shared" si="36"/>
        <v>0</v>
      </c>
      <c r="Y27" s="649">
        <f t="shared" si="37"/>
        <v>0</v>
      </c>
      <c r="Z27" s="641">
        <f t="shared" si="38"/>
        <v>0</v>
      </c>
      <c r="AA27" s="649"/>
      <c r="AB27" s="649" t="s">
        <v>26</v>
      </c>
      <c r="AC27" s="648">
        <f t="shared" si="39"/>
        <v>0</v>
      </c>
      <c r="AD27" s="649">
        <f t="shared" si="40"/>
        <v>0</v>
      </c>
      <c r="AE27" s="641">
        <f t="shared" si="41"/>
        <v>0</v>
      </c>
      <c r="AF27" s="649"/>
      <c r="AG27" s="649" t="s">
        <v>26</v>
      </c>
      <c r="AH27" s="648">
        <f t="shared" si="42"/>
        <v>0</v>
      </c>
      <c r="AI27" s="649">
        <f t="shared" si="43"/>
        <v>0</v>
      </c>
      <c r="AJ27" s="641">
        <f t="shared" si="44"/>
        <v>0</v>
      </c>
      <c r="AK27" s="649"/>
      <c r="AL27" s="649" t="s">
        <v>26</v>
      </c>
      <c r="AM27" s="648">
        <f t="shared" si="45"/>
        <v>0</v>
      </c>
      <c r="AN27" s="649">
        <f t="shared" si="46"/>
        <v>0</v>
      </c>
      <c r="AO27" s="641">
        <f t="shared" si="47"/>
        <v>0</v>
      </c>
    </row>
    <row r="28" spans="3:41" x14ac:dyDescent="0.2">
      <c r="C28" s="27" t="s">
        <v>27</v>
      </c>
      <c r="D28" s="650">
        <f t="shared" si="24"/>
        <v>0</v>
      </c>
      <c r="E28" s="651">
        <f t="shared" si="25"/>
        <v>0</v>
      </c>
      <c r="F28" s="645">
        <f t="shared" si="26"/>
        <v>0</v>
      </c>
      <c r="G28" s="651"/>
      <c r="H28" s="651" t="s">
        <v>27</v>
      </c>
      <c r="I28" s="650">
        <f t="shared" si="27"/>
        <v>0</v>
      </c>
      <c r="J28" s="651">
        <f t="shared" si="28"/>
        <v>0</v>
      </c>
      <c r="K28" s="645">
        <f t="shared" si="29"/>
        <v>0</v>
      </c>
      <c r="L28" s="651"/>
      <c r="M28" s="651" t="s">
        <v>27</v>
      </c>
      <c r="N28" s="650">
        <f t="shared" si="30"/>
        <v>0</v>
      </c>
      <c r="O28" s="651">
        <f t="shared" si="31"/>
        <v>0</v>
      </c>
      <c r="P28" s="645">
        <f t="shared" si="32"/>
        <v>0</v>
      </c>
      <c r="Q28" s="651"/>
      <c r="R28" s="651" t="s">
        <v>27</v>
      </c>
      <c r="S28" s="650">
        <f t="shared" si="33"/>
        <v>0</v>
      </c>
      <c r="T28" s="651">
        <f t="shared" si="34"/>
        <v>0</v>
      </c>
      <c r="U28" s="645">
        <f t="shared" si="35"/>
        <v>0</v>
      </c>
      <c r="V28" s="651"/>
      <c r="W28" s="651" t="s">
        <v>27</v>
      </c>
      <c r="X28" s="650">
        <f t="shared" si="36"/>
        <v>0</v>
      </c>
      <c r="Y28" s="651">
        <f t="shared" si="37"/>
        <v>0</v>
      </c>
      <c r="Z28" s="645">
        <f t="shared" si="38"/>
        <v>0</v>
      </c>
      <c r="AA28" s="651"/>
      <c r="AB28" s="651" t="s">
        <v>27</v>
      </c>
      <c r="AC28" s="650">
        <f t="shared" si="39"/>
        <v>0</v>
      </c>
      <c r="AD28" s="651">
        <f t="shared" si="40"/>
        <v>0</v>
      </c>
      <c r="AE28" s="645">
        <f t="shared" si="41"/>
        <v>0</v>
      </c>
      <c r="AF28" s="651"/>
      <c r="AG28" s="651" t="s">
        <v>27</v>
      </c>
      <c r="AH28" s="650">
        <f t="shared" si="42"/>
        <v>0</v>
      </c>
      <c r="AI28" s="651">
        <f t="shared" si="43"/>
        <v>0</v>
      </c>
      <c r="AJ28" s="645">
        <f t="shared" si="44"/>
        <v>0</v>
      </c>
      <c r="AK28" s="651"/>
      <c r="AL28" s="651" t="s">
        <v>27</v>
      </c>
      <c r="AM28" s="650">
        <f t="shared" si="45"/>
        <v>0</v>
      </c>
      <c r="AN28" s="651">
        <f t="shared" si="46"/>
        <v>0</v>
      </c>
      <c r="AO28" s="645">
        <f t="shared" si="47"/>
        <v>0</v>
      </c>
    </row>
    <row r="31" spans="3:41" x14ac:dyDescent="0.2">
      <c r="G31" s="27">
        <v>1</v>
      </c>
      <c r="H31" s="27">
        <v>1</v>
      </c>
      <c r="I31" s="27">
        <v>1</v>
      </c>
    </row>
    <row r="32" spans="3:41" x14ac:dyDescent="0.2">
      <c r="D32" s="27" t="s">
        <v>509</v>
      </c>
      <c r="G32" s="27" t="s">
        <v>510</v>
      </c>
      <c r="N32" s="47"/>
      <c r="O32" s="47"/>
      <c r="P32" s="47"/>
    </row>
    <row r="33" spans="3:18" x14ac:dyDescent="0.2">
      <c r="D33" s="652" t="s">
        <v>47</v>
      </c>
      <c r="E33" s="653" t="s">
        <v>48</v>
      </c>
      <c r="F33" s="654" t="s">
        <v>49</v>
      </c>
      <c r="G33" s="652" t="s">
        <v>47</v>
      </c>
      <c r="H33" s="653" t="s">
        <v>48</v>
      </c>
      <c r="I33" s="654" t="s">
        <v>49</v>
      </c>
      <c r="J33" s="47" t="s">
        <v>511</v>
      </c>
      <c r="K33" s="47" t="s">
        <v>512</v>
      </c>
      <c r="N33" s="47" t="s">
        <v>47</v>
      </c>
      <c r="O33" s="47" t="s">
        <v>48</v>
      </c>
      <c r="P33" s="47" t="s">
        <v>49</v>
      </c>
      <c r="R33" s="27" t="s">
        <v>513</v>
      </c>
    </row>
    <row r="34" spans="3:18" x14ac:dyDescent="0.2">
      <c r="C34" s="571" t="s">
        <v>19</v>
      </c>
      <c r="D34" s="648">
        <f t="shared" ref="D34:D42" si="48">AVERAGE(D20,I20,N20,S20,X20,AC20,AH20,AM20)</f>
        <v>0</v>
      </c>
      <c r="E34" s="649">
        <f t="shared" ref="E34:E42" si="49">AVERAGE(E20,J20,O20,T20,Y20,AD20,AI20,AN20)</f>
        <v>0</v>
      </c>
      <c r="F34" s="641">
        <f t="shared" ref="F34:F42" si="50">AVERAGE(F20,K20,P20,U20,Z20,AE20,AJ20,AO20)</f>
        <v>0</v>
      </c>
      <c r="G34" s="648">
        <f t="shared" ref="G34:G42" si="51">SUM(D20,I20,N20,S20,X20,AC20,AH20,AM20)</f>
        <v>0</v>
      </c>
      <c r="H34" s="649">
        <f t="shared" ref="H34:H42" si="52">SUM(E20,J20,O20,T20,Y20,AD20,AI20,AN20)</f>
        <v>0</v>
      </c>
      <c r="I34" s="641">
        <f t="shared" ref="I34:I42" si="53">SUM(F20,K20,P20,U20,Z20,AE20,AJ20,AO20)</f>
        <v>0</v>
      </c>
      <c r="J34" s="655">
        <f>_xlfn.RANK.EQ(G34,$G$34:$G$42)*$G$31+_xlfn.RANK.EQ(H34,$H$34:$H$42,-1)*$H$31+_xlfn.RANK.EQ(I34,$I$34:$I$42,-1)*$I$31</f>
        <v>3</v>
      </c>
      <c r="K34" s="656">
        <f>_xlfn.RANK.EQ(J34,$J$34:$J$42)+COUNTIF($J$34:J34,J34)-1</f>
        <v>1</v>
      </c>
      <c r="L34" s="27">
        <v>1</v>
      </c>
      <c r="M34" s="27" t="str">
        <f>_xlfn.XLOOKUP(L34,$K$34:$K$42,$C$34:$C$42)</f>
        <v>AHH</v>
      </c>
      <c r="N34" s="649">
        <f>_xlfn.XLOOKUP($M34,$C$34:$C$42,G$34:G$42)</f>
        <v>0</v>
      </c>
      <c r="O34" s="649">
        <f t="shared" ref="O34:P42" si="54">_xlfn.XLOOKUP($M34,$C$34:$C$42,H$34:H$42)</f>
        <v>0</v>
      </c>
      <c r="P34" s="649">
        <f t="shared" si="54"/>
        <v>0</v>
      </c>
      <c r="R34" s="27" t="str">
        <f>_xlfn.XLOOKUP(LARGE($N$34:$N$42,1),$N$34:$N$42,$M$34:$M$42)&amp;" er vår beste tipper på hjemmekamper"</f>
        <v>AHH er vår beste tipper på hjemmekamper</v>
      </c>
    </row>
    <row r="35" spans="3:18" x14ac:dyDescent="0.2">
      <c r="C35" s="657" t="s">
        <v>20</v>
      </c>
      <c r="D35" s="648">
        <f t="shared" si="48"/>
        <v>0</v>
      </c>
      <c r="E35" s="649">
        <f t="shared" si="49"/>
        <v>0</v>
      </c>
      <c r="F35" s="641">
        <f t="shared" si="50"/>
        <v>0</v>
      </c>
      <c r="G35" s="648">
        <f t="shared" si="51"/>
        <v>0</v>
      </c>
      <c r="H35" s="649">
        <f t="shared" si="52"/>
        <v>0</v>
      </c>
      <c r="I35" s="641">
        <f t="shared" si="53"/>
        <v>0</v>
      </c>
      <c r="J35" s="655">
        <f t="shared" ref="J35:J42" si="55">_xlfn.RANK.EQ(G35,$G$34:$G$42,-1)*$G$31+_xlfn.RANK.EQ(H35,$H$34:$H$42,-1)*$H$31+_xlfn.RANK.EQ(I35,$I$34:$I$42,-1)*$I$31</f>
        <v>3</v>
      </c>
      <c r="K35" s="656">
        <f>_xlfn.RANK.EQ(J35,$J$34:$J$42)+COUNTIF($J$34:J35,J35)-1</f>
        <v>2</v>
      </c>
      <c r="L35" s="27">
        <v>2</v>
      </c>
      <c r="M35" s="27" t="str">
        <f t="shared" ref="M35:M42" si="56">_xlfn.XLOOKUP(L35,$K$34:$K$42,$C$34:$C$42)</f>
        <v>RB</v>
      </c>
      <c r="N35" s="649">
        <f t="shared" ref="N35:N42" si="57">_xlfn.XLOOKUP($M35,$C$34:$C$42,G$34:G$42)</f>
        <v>0</v>
      </c>
      <c r="O35" s="649">
        <f t="shared" si="54"/>
        <v>0</v>
      </c>
      <c r="P35" s="649">
        <f t="shared" si="54"/>
        <v>0</v>
      </c>
      <c r="R35" s="27" t="str">
        <f>_xlfn.XLOOKUP(LARGE($O$34:$O$42,1),$O$34:$O$42,$M$34:$M$42)&amp;" er vår beste tipper på uavgjorte kamper"</f>
        <v>AHH er vår beste tipper på uavgjorte kamper</v>
      </c>
    </row>
    <row r="36" spans="3:18" x14ac:dyDescent="0.2">
      <c r="C36" s="657" t="s">
        <v>21</v>
      </c>
      <c r="D36" s="648">
        <f t="shared" si="48"/>
        <v>0</v>
      </c>
      <c r="E36" s="649">
        <f t="shared" si="49"/>
        <v>0</v>
      </c>
      <c r="F36" s="641">
        <f t="shared" si="50"/>
        <v>0</v>
      </c>
      <c r="G36" s="648">
        <f t="shared" si="51"/>
        <v>0</v>
      </c>
      <c r="H36" s="649">
        <f t="shared" si="52"/>
        <v>0</v>
      </c>
      <c r="I36" s="641">
        <f t="shared" si="53"/>
        <v>0</v>
      </c>
      <c r="J36" s="655">
        <f t="shared" si="55"/>
        <v>3</v>
      </c>
      <c r="K36" s="656">
        <f>_xlfn.RANK.EQ(J36,$J$34:$J$42)+COUNTIF($J$34:J36,J36)-1</f>
        <v>3</v>
      </c>
      <c r="L36" s="27">
        <v>3</v>
      </c>
      <c r="M36" s="27" t="str">
        <f t="shared" si="56"/>
        <v>EB</v>
      </c>
      <c r="N36" s="649">
        <f t="shared" si="57"/>
        <v>0</v>
      </c>
      <c r="O36" s="649">
        <f t="shared" si="54"/>
        <v>0</v>
      </c>
      <c r="P36" s="649">
        <f t="shared" si="54"/>
        <v>0</v>
      </c>
      <c r="R36" s="27" t="str">
        <f>_xlfn.XLOOKUP(LARGE($P$34:$P$42,1),$P$34:$P$42,$M$34:$M$42)&amp;" er vår beste tipper på bortekamper"</f>
        <v>AHH er vår beste tipper på bortekamper</v>
      </c>
    </row>
    <row r="37" spans="3:18" x14ac:dyDescent="0.2">
      <c r="C37" s="657" t="s">
        <v>22</v>
      </c>
      <c r="D37" s="648">
        <f t="shared" si="48"/>
        <v>0</v>
      </c>
      <c r="E37" s="649">
        <f t="shared" si="49"/>
        <v>0</v>
      </c>
      <c r="F37" s="641">
        <f t="shared" si="50"/>
        <v>0</v>
      </c>
      <c r="G37" s="648">
        <f t="shared" si="51"/>
        <v>0</v>
      </c>
      <c r="H37" s="649">
        <f t="shared" si="52"/>
        <v>0</v>
      </c>
      <c r="I37" s="641">
        <f t="shared" si="53"/>
        <v>0</v>
      </c>
      <c r="J37" s="655">
        <f t="shared" si="55"/>
        <v>3</v>
      </c>
      <c r="K37" s="656">
        <f>_xlfn.RANK.EQ(J37,$J$34:$J$42)+COUNTIF($J$34:J37,J37)-1</f>
        <v>4</v>
      </c>
      <c r="L37" s="27">
        <v>4</v>
      </c>
      <c r="M37" s="27" t="str">
        <f t="shared" si="56"/>
        <v>KAF</v>
      </c>
      <c r="N37" s="649">
        <f t="shared" si="57"/>
        <v>0</v>
      </c>
      <c r="O37" s="649">
        <f t="shared" si="54"/>
        <v>0</v>
      </c>
      <c r="P37" s="649">
        <f t="shared" si="54"/>
        <v>0</v>
      </c>
    </row>
    <row r="38" spans="3:18" x14ac:dyDescent="0.2">
      <c r="C38" s="657" t="s">
        <v>23</v>
      </c>
      <c r="D38" s="648">
        <f t="shared" si="48"/>
        <v>0</v>
      </c>
      <c r="E38" s="649">
        <f t="shared" si="49"/>
        <v>0</v>
      </c>
      <c r="F38" s="641">
        <f t="shared" si="50"/>
        <v>0</v>
      </c>
      <c r="G38" s="648">
        <f t="shared" si="51"/>
        <v>0</v>
      </c>
      <c r="H38" s="649">
        <f t="shared" si="52"/>
        <v>0</v>
      </c>
      <c r="I38" s="641">
        <f t="shared" si="53"/>
        <v>0</v>
      </c>
      <c r="J38" s="655">
        <f t="shared" si="55"/>
        <v>3</v>
      </c>
      <c r="K38" s="656">
        <f>_xlfn.RANK.EQ(J38,$J$34:$J$42)+COUNTIF($J$34:J38,J38)-1</f>
        <v>5</v>
      </c>
      <c r="L38" s="27">
        <v>5</v>
      </c>
      <c r="M38" s="27" t="str">
        <f t="shared" si="56"/>
        <v>ØG</v>
      </c>
      <c r="N38" s="649">
        <f t="shared" si="57"/>
        <v>0</v>
      </c>
      <c r="O38" s="649">
        <f t="shared" si="54"/>
        <v>0</v>
      </c>
      <c r="P38" s="649">
        <f t="shared" si="54"/>
        <v>0</v>
      </c>
      <c r="R38" s="27" t="str">
        <f>C5&amp;" er tippelagets beste på 80-tips. Han har truffet på "&amp;D5&amp;" av "&amp;E5&amp;" hjemmetips"</f>
        <v>RB er tippelagets beste på 80-tips. Han har truffet på 0 av 12 hjemmetips</v>
      </c>
    </row>
    <row r="39" spans="3:18" x14ac:dyDescent="0.2">
      <c r="C39" s="657" t="s">
        <v>24</v>
      </c>
      <c r="D39" s="648">
        <f t="shared" si="48"/>
        <v>0</v>
      </c>
      <c r="E39" s="649">
        <f t="shared" si="49"/>
        <v>0</v>
      </c>
      <c r="F39" s="641">
        <f t="shared" si="50"/>
        <v>0</v>
      </c>
      <c r="G39" s="648">
        <f t="shared" si="51"/>
        <v>0</v>
      </c>
      <c r="H39" s="649">
        <f t="shared" si="52"/>
        <v>0</v>
      </c>
      <c r="I39" s="641">
        <f t="shared" si="53"/>
        <v>0</v>
      </c>
      <c r="J39" s="655">
        <f t="shared" si="55"/>
        <v>3</v>
      </c>
      <c r="K39" s="656">
        <f>_xlfn.RANK.EQ(J39,$J$34:$J$42)+COUNTIF($J$34:J39,J39)-1</f>
        <v>6</v>
      </c>
      <c r="L39" s="27">
        <v>6</v>
      </c>
      <c r="M39" s="27" t="str">
        <f t="shared" si="56"/>
        <v>JH</v>
      </c>
      <c r="N39" s="649">
        <f t="shared" si="57"/>
        <v>0</v>
      </c>
      <c r="O39" s="649">
        <f t="shared" si="54"/>
        <v>0</v>
      </c>
      <c r="P39" s="649">
        <f t="shared" si="54"/>
        <v>0</v>
      </c>
    </row>
    <row r="40" spans="3:18" x14ac:dyDescent="0.2">
      <c r="C40" s="657" t="s">
        <v>25</v>
      </c>
      <c r="D40" s="648">
        <f t="shared" si="48"/>
        <v>0</v>
      </c>
      <c r="E40" s="649">
        <f t="shared" si="49"/>
        <v>0</v>
      </c>
      <c r="F40" s="641">
        <f t="shared" si="50"/>
        <v>0</v>
      </c>
      <c r="G40" s="648">
        <f t="shared" si="51"/>
        <v>0</v>
      </c>
      <c r="H40" s="649">
        <f t="shared" si="52"/>
        <v>0</v>
      </c>
      <c r="I40" s="641">
        <f t="shared" si="53"/>
        <v>0</v>
      </c>
      <c r="J40" s="655">
        <f t="shared" si="55"/>
        <v>3</v>
      </c>
      <c r="K40" s="656">
        <f>_xlfn.RANK.EQ(J40,$J$34:$J$42)+COUNTIF($J$34:J40,J40)-1</f>
        <v>7</v>
      </c>
      <c r="L40" s="27">
        <v>7</v>
      </c>
      <c r="M40" s="27" t="str">
        <f t="shared" si="56"/>
        <v>TOH</v>
      </c>
      <c r="N40" s="649">
        <f t="shared" si="57"/>
        <v>0</v>
      </c>
      <c r="O40" s="649">
        <f t="shared" si="54"/>
        <v>0</v>
      </c>
      <c r="P40" s="649">
        <f t="shared" si="54"/>
        <v>0</v>
      </c>
    </row>
    <row r="41" spans="3:18" x14ac:dyDescent="0.2">
      <c r="C41" s="657" t="s">
        <v>26</v>
      </c>
      <c r="D41" s="648">
        <f t="shared" si="48"/>
        <v>0</v>
      </c>
      <c r="E41" s="649">
        <f t="shared" si="49"/>
        <v>0</v>
      </c>
      <c r="F41" s="641">
        <f t="shared" si="50"/>
        <v>0</v>
      </c>
      <c r="G41" s="648">
        <f t="shared" si="51"/>
        <v>0</v>
      </c>
      <c r="H41" s="649">
        <f t="shared" si="52"/>
        <v>0</v>
      </c>
      <c r="I41" s="641">
        <f t="shared" si="53"/>
        <v>0</v>
      </c>
      <c r="J41" s="655">
        <f t="shared" si="55"/>
        <v>3</v>
      </c>
      <c r="K41" s="656">
        <f>_xlfn.RANK.EQ(J41,$J$34:$J$42)+COUNTIF($J$34:J41,J41)-1</f>
        <v>8</v>
      </c>
      <c r="L41" s="27">
        <v>8</v>
      </c>
      <c r="M41" s="27" t="str">
        <f t="shared" si="56"/>
        <v>UTG</v>
      </c>
      <c r="N41" s="649">
        <f t="shared" si="57"/>
        <v>0</v>
      </c>
      <c r="O41" s="649">
        <f t="shared" si="54"/>
        <v>0</v>
      </c>
      <c r="P41" s="649">
        <f t="shared" si="54"/>
        <v>0</v>
      </c>
    </row>
    <row r="42" spans="3:18" x14ac:dyDescent="0.2">
      <c r="C42" s="658" t="s">
        <v>27</v>
      </c>
      <c r="D42" s="650">
        <f t="shared" si="48"/>
        <v>0</v>
      </c>
      <c r="E42" s="651">
        <f t="shared" si="49"/>
        <v>0</v>
      </c>
      <c r="F42" s="645">
        <f t="shared" si="50"/>
        <v>0</v>
      </c>
      <c r="G42" s="650">
        <f t="shared" si="51"/>
        <v>0</v>
      </c>
      <c r="H42" s="651">
        <f t="shared" si="52"/>
        <v>0</v>
      </c>
      <c r="I42" s="645">
        <f t="shared" si="53"/>
        <v>0</v>
      </c>
      <c r="J42" s="655">
        <f t="shared" si="55"/>
        <v>3</v>
      </c>
      <c r="K42" s="656">
        <f>_xlfn.RANK.EQ(J42,$J$34:$J$42)+COUNTIF($J$34:J42,J42)-1</f>
        <v>9</v>
      </c>
      <c r="L42" s="27">
        <v>9</v>
      </c>
      <c r="M42" s="27" t="str">
        <f t="shared" si="56"/>
        <v>LEV</v>
      </c>
      <c r="N42" s="649">
        <f t="shared" si="57"/>
        <v>0</v>
      </c>
      <c r="O42" s="649">
        <f t="shared" si="54"/>
        <v>0</v>
      </c>
      <c r="P42" s="649">
        <f t="shared" si="54"/>
        <v>0</v>
      </c>
    </row>
    <row r="47" spans="3:18" x14ac:dyDescent="0.2">
      <c r="D47" s="62" t="s">
        <v>508</v>
      </c>
      <c r="E47" s="62"/>
      <c r="F47" s="62"/>
      <c r="G47" s="62" t="s">
        <v>457</v>
      </c>
      <c r="H47" s="62"/>
      <c r="I47" s="62"/>
    </row>
    <row r="48" spans="3:18" x14ac:dyDescent="0.2">
      <c r="D48" s="659" t="s">
        <v>47</v>
      </c>
      <c r="E48" s="660" t="s">
        <v>48</v>
      </c>
      <c r="F48" s="661" t="s">
        <v>49</v>
      </c>
      <c r="G48" s="659" t="s">
        <v>47</v>
      </c>
      <c r="H48" s="660" t="s">
        <v>48</v>
      </c>
      <c r="I48" s="661" t="s">
        <v>49</v>
      </c>
    </row>
    <row r="49" spans="3:20" x14ac:dyDescent="0.2">
      <c r="C49" s="571" t="s">
        <v>19</v>
      </c>
      <c r="D49" s="47">
        <f t="shared" ref="D49:D57" si="58">SUM(E5+O5+Y5+AI5+AS5+BC5+BM5+BW5)</f>
        <v>108</v>
      </c>
      <c r="E49" s="47">
        <f t="shared" ref="E49:E57" si="59">SUM(H5+R5+AB5+AL5+AV5+BF5+BP5+BZ5)</f>
        <v>108</v>
      </c>
      <c r="F49" s="47">
        <f t="shared" ref="F49:F57" si="60">SUM(K5+U5+AE5+AO5+AY5+BI5+BS5+CC5)</f>
        <v>108</v>
      </c>
      <c r="G49" s="47">
        <f t="shared" ref="G49:G57" si="61">SUM(D5+N5+X5+AH5+AR5+BB5+BL5+BV5)</f>
        <v>0</v>
      </c>
      <c r="H49" s="47">
        <f t="shared" ref="H49:H57" si="62">SUM(G5+Q5+AA5+AK5+AU5+BE5+BO5+BY5)</f>
        <v>0</v>
      </c>
      <c r="I49" s="47">
        <f t="shared" ref="I49:I57" si="63">SUM(J5+T5+AD5+AN5+AX5+BH5+BR5+CB5)</f>
        <v>0</v>
      </c>
    </row>
    <row r="50" spans="3:20" x14ac:dyDescent="0.2">
      <c r="C50" s="657" t="s">
        <v>20</v>
      </c>
      <c r="D50" s="47">
        <f t="shared" si="58"/>
        <v>108</v>
      </c>
      <c r="E50" s="47">
        <f t="shared" si="59"/>
        <v>108</v>
      </c>
      <c r="F50" s="47">
        <f t="shared" si="60"/>
        <v>108</v>
      </c>
      <c r="G50" s="47">
        <f t="shared" si="61"/>
        <v>0</v>
      </c>
      <c r="H50" s="47">
        <f t="shared" si="62"/>
        <v>0</v>
      </c>
      <c r="I50" s="47">
        <f t="shared" si="63"/>
        <v>0</v>
      </c>
    </row>
    <row r="51" spans="3:20" x14ac:dyDescent="0.2">
      <c r="C51" s="657" t="s">
        <v>21</v>
      </c>
      <c r="D51" s="47">
        <f t="shared" si="58"/>
        <v>108</v>
      </c>
      <c r="E51" s="47">
        <f t="shared" si="59"/>
        <v>108</v>
      </c>
      <c r="F51" s="47">
        <f t="shared" si="60"/>
        <v>108</v>
      </c>
      <c r="G51" s="47">
        <f t="shared" si="61"/>
        <v>0</v>
      </c>
      <c r="H51" s="47">
        <f t="shared" si="62"/>
        <v>0</v>
      </c>
      <c r="I51" s="47">
        <f t="shared" si="63"/>
        <v>0</v>
      </c>
    </row>
    <row r="52" spans="3:20" x14ac:dyDescent="0.2">
      <c r="C52" s="657" t="s">
        <v>22</v>
      </c>
      <c r="D52" s="47">
        <f t="shared" si="58"/>
        <v>108</v>
      </c>
      <c r="E52" s="47">
        <f t="shared" si="59"/>
        <v>108</v>
      </c>
      <c r="F52" s="47">
        <f t="shared" si="60"/>
        <v>108</v>
      </c>
      <c r="G52" s="47">
        <f t="shared" si="61"/>
        <v>0</v>
      </c>
      <c r="H52" s="47">
        <f t="shared" si="62"/>
        <v>0</v>
      </c>
      <c r="I52" s="47">
        <f t="shared" si="63"/>
        <v>0</v>
      </c>
    </row>
    <row r="53" spans="3:20" x14ac:dyDescent="0.2">
      <c r="C53" s="657" t="s">
        <v>23</v>
      </c>
      <c r="D53" s="47">
        <f t="shared" si="58"/>
        <v>108</v>
      </c>
      <c r="E53" s="47">
        <f t="shared" si="59"/>
        <v>108</v>
      </c>
      <c r="F53" s="47">
        <f t="shared" si="60"/>
        <v>108</v>
      </c>
      <c r="G53" s="47">
        <f t="shared" si="61"/>
        <v>0</v>
      </c>
      <c r="H53" s="47">
        <f t="shared" si="62"/>
        <v>0</v>
      </c>
      <c r="I53" s="47">
        <f t="shared" si="63"/>
        <v>0</v>
      </c>
    </row>
    <row r="54" spans="3:20" x14ac:dyDescent="0.2">
      <c r="C54" s="657" t="s">
        <v>24</v>
      </c>
      <c r="D54" s="47">
        <f t="shared" si="58"/>
        <v>108</v>
      </c>
      <c r="E54" s="47">
        <f t="shared" si="59"/>
        <v>108</v>
      </c>
      <c r="F54" s="47">
        <f t="shared" si="60"/>
        <v>108</v>
      </c>
      <c r="G54" s="47">
        <f t="shared" si="61"/>
        <v>0</v>
      </c>
      <c r="H54" s="47">
        <f t="shared" si="62"/>
        <v>0</v>
      </c>
      <c r="I54" s="47">
        <f t="shared" si="63"/>
        <v>0</v>
      </c>
    </row>
    <row r="55" spans="3:20" x14ac:dyDescent="0.2">
      <c r="C55" s="657" t="s">
        <v>25</v>
      </c>
      <c r="D55" s="47">
        <f t="shared" si="58"/>
        <v>108</v>
      </c>
      <c r="E55" s="47">
        <f t="shared" si="59"/>
        <v>108</v>
      </c>
      <c r="F55" s="47">
        <f t="shared" si="60"/>
        <v>108</v>
      </c>
      <c r="G55" s="47">
        <f t="shared" si="61"/>
        <v>0</v>
      </c>
      <c r="H55" s="47">
        <f t="shared" si="62"/>
        <v>0</v>
      </c>
      <c r="I55" s="47">
        <f t="shared" si="63"/>
        <v>0</v>
      </c>
    </row>
    <row r="56" spans="3:20" x14ac:dyDescent="0.2">
      <c r="C56" s="657" t="s">
        <v>26</v>
      </c>
      <c r="D56" s="47">
        <f t="shared" si="58"/>
        <v>108</v>
      </c>
      <c r="E56" s="47">
        <f t="shared" si="59"/>
        <v>108</v>
      </c>
      <c r="F56" s="47">
        <f t="shared" si="60"/>
        <v>108</v>
      </c>
      <c r="G56" s="47">
        <f t="shared" si="61"/>
        <v>0</v>
      </c>
      <c r="H56" s="47">
        <f t="shared" si="62"/>
        <v>0</v>
      </c>
      <c r="I56" s="47">
        <f t="shared" si="63"/>
        <v>0</v>
      </c>
    </row>
    <row r="57" spans="3:20" x14ac:dyDescent="0.2">
      <c r="C57" s="658" t="s">
        <v>27</v>
      </c>
      <c r="D57" s="47">
        <f t="shared" si="58"/>
        <v>108</v>
      </c>
      <c r="E57" s="47">
        <f t="shared" si="59"/>
        <v>108</v>
      </c>
      <c r="F57" s="47">
        <f t="shared" si="60"/>
        <v>108</v>
      </c>
      <c r="G57" s="47">
        <f t="shared" si="61"/>
        <v>0</v>
      </c>
      <c r="H57" s="47">
        <f t="shared" si="62"/>
        <v>0</v>
      </c>
      <c r="I57" s="47">
        <f t="shared" si="63"/>
        <v>0</v>
      </c>
    </row>
    <row r="59" spans="3:20" ht="15.75" x14ac:dyDescent="0.25">
      <c r="N59" s="662" t="s">
        <v>514</v>
      </c>
    </row>
    <row r="61" spans="3:20" ht="26.25" x14ac:dyDescent="0.4">
      <c r="N61" s="663" t="s">
        <v>515</v>
      </c>
    </row>
    <row r="62" spans="3:20" x14ac:dyDescent="0.2">
      <c r="D62" s="27">
        <v>1000</v>
      </c>
      <c r="E62" s="27">
        <v>10000</v>
      </c>
      <c r="F62" s="27">
        <v>5000</v>
      </c>
      <c r="G62" s="27">
        <v>-5000</v>
      </c>
      <c r="H62" s="27">
        <v>5000</v>
      </c>
      <c r="I62" s="27">
        <v>10000</v>
      </c>
    </row>
    <row r="63" spans="3:20" x14ac:dyDescent="0.2">
      <c r="D63" s="664" t="s">
        <v>16</v>
      </c>
      <c r="E63" s="665" t="s">
        <v>17</v>
      </c>
      <c r="F63" s="665" t="s">
        <v>18</v>
      </c>
      <c r="G63" s="665" t="s">
        <v>15</v>
      </c>
      <c r="H63" s="665" t="s">
        <v>516</v>
      </c>
      <c r="I63" s="665" t="s">
        <v>517</v>
      </c>
      <c r="J63" s="665" t="s">
        <v>518</v>
      </c>
      <c r="K63" s="666" t="s">
        <v>519</v>
      </c>
      <c r="O63" s="659" t="s">
        <v>16</v>
      </c>
      <c r="P63" s="660" t="s">
        <v>17</v>
      </c>
      <c r="Q63" s="660" t="s">
        <v>18</v>
      </c>
      <c r="R63" s="660" t="s">
        <v>15</v>
      </c>
      <c r="S63" s="660" t="s">
        <v>516</v>
      </c>
      <c r="T63" s="660" t="s">
        <v>520</v>
      </c>
    </row>
    <row r="64" spans="3:20" x14ac:dyDescent="0.2">
      <c r="C64" s="571" t="s">
        <v>19</v>
      </c>
      <c r="D64" s="27">
        <f ca="1">SUM(INDIRECT("t_"&amp;$C64&amp;"["&amp;D$63&amp;"]"))</f>
        <v>2340</v>
      </c>
      <c r="E64" s="27">
        <f t="shared" ref="E64:H64" ca="1" si="64">SUM(INDIRECT("t_"&amp;$C64&amp;"["&amp;E$63&amp;"]"))</f>
        <v>1702</v>
      </c>
      <c r="F64" s="27">
        <f t="shared" ca="1" si="64"/>
        <v>2414</v>
      </c>
      <c r="G64" s="27">
        <v>0</v>
      </c>
      <c r="H64" s="27">
        <f t="shared" ca="1" si="64"/>
        <v>6456</v>
      </c>
      <c r="I64" s="667">
        <f ca="1">AVERAGE(INDIRECT("t_"&amp;$C64&amp;"["&amp;I$63&amp;"]"))</f>
        <v>1</v>
      </c>
      <c r="J64" s="27">
        <f ca="1">_xlfn.RANK.EQ(D64,$D$64:$D$72)*$D$62+_xlfn.RANK.EQ(E64,$E$64:$E$72)*$E$62+_xlfn.RANK.EQ(F64,$F$64:$F$72)*$F$62+_xlfn.RANK.EQ(G64,$G$64:$G$72)*$G$62+_xlfn.RANK.EQ(H64,$H$64:$H$72)*$H$62+_xlfn.RANK.EQ(I64,$I$64:$I$72)*$I$62</f>
        <v>26000</v>
      </c>
      <c r="K64" s="27">
        <f ca="1">_xlfn.RANK.EQ(J64,$J$64:$J$72)+COUNTIF($J$64:J64,J64)-1</f>
        <v>1</v>
      </c>
      <c r="M64" s="27">
        <v>1</v>
      </c>
      <c r="N64" s="27" t="str">
        <f ca="1">_xlfn.XLOOKUP(M64,$K$64:$K$72,$C$64:$C$72)</f>
        <v>AHH</v>
      </c>
      <c r="O64" s="47">
        <f ca="1">_xlfn.XLOOKUP($N64,$C$64:$C$72,D$64:D$72)</f>
        <v>2340</v>
      </c>
      <c r="P64" s="47">
        <f t="shared" ref="P64:T72" ca="1" si="65">_xlfn.XLOOKUP($N64,$C$64:$C$72,E$64:E$72)</f>
        <v>1702</v>
      </c>
      <c r="Q64" s="47">
        <f t="shared" ca="1" si="65"/>
        <v>2414</v>
      </c>
      <c r="R64" s="47">
        <f t="shared" ca="1" si="65"/>
        <v>0</v>
      </c>
      <c r="S64" s="47">
        <f t="shared" ca="1" si="65"/>
        <v>6456</v>
      </c>
      <c r="T64" s="668">
        <f t="shared" ca="1" si="65"/>
        <v>1</v>
      </c>
    </row>
    <row r="65" spans="3:20" x14ac:dyDescent="0.2">
      <c r="C65" s="657" t="s">
        <v>20</v>
      </c>
      <c r="D65" s="27">
        <f t="shared" ref="D65:H72" ca="1" si="66">SUM(INDIRECT("t_"&amp;$C65&amp;"["&amp;D$63&amp;"]"))</f>
        <v>2340</v>
      </c>
      <c r="E65" s="27">
        <f t="shared" ca="1" si="66"/>
        <v>1702</v>
      </c>
      <c r="F65" s="27">
        <f t="shared" ca="1" si="66"/>
        <v>2414</v>
      </c>
      <c r="G65" s="27">
        <f t="shared" ca="1" si="66"/>
        <v>0</v>
      </c>
      <c r="H65" s="27">
        <f t="shared" ca="1" si="66"/>
        <v>6456</v>
      </c>
      <c r="I65" s="667">
        <f t="shared" ref="I65:I72" ca="1" si="67">AVERAGE(INDIRECT("t_"&amp;$C65&amp;"["&amp;I$63&amp;"]"))</f>
        <v>1</v>
      </c>
      <c r="J65" s="27">
        <f t="shared" ref="J65:J72" ca="1" si="68">_xlfn.RANK.EQ(D65,$D$64:$D$72)*$D$62+_xlfn.RANK.EQ(E65,$E$64:$E$72)*$E$62+_xlfn.RANK.EQ(F65,$F$64:$F$72)*$F$62+_xlfn.RANK.EQ(G65,$G$64:$G$72)*$G$62+_xlfn.RANK.EQ(H65,$H$64:$H$72)*$H$62+_xlfn.RANK.EQ(I65,$I$64:$I$72)*$I$62</f>
        <v>26000</v>
      </c>
      <c r="K65" s="27">
        <f ca="1">_xlfn.RANK.EQ(J65,$J$64:$J$72)+COUNTIF($J$64:J65,J65)-1</f>
        <v>2</v>
      </c>
      <c r="M65" s="27">
        <v>2</v>
      </c>
      <c r="N65" s="27" t="str">
        <f t="shared" ref="N65:N72" ca="1" si="69">_xlfn.XLOOKUP(M65,$K$64:$K$72,$C$64:$C$72)</f>
        <v>RB</v>
      </c>
      <c r="O65" s="47">
        <f t="shared" ref="O65:O72" ca="1" si="70">_xlfn.XLOOKUP($N65,$C$64:$C$72,D$64:D$72)</f>
        <v>2340</v>
      </c>
      <c r="P65" s="47">
        <f t="shared" ca="1" si="65"/>
        <v>1702</v>
      </c>
      <c r="Q65" s="47">
        <f t="shared" ca="1" si="65"/>
        <v>2414</v>
      </c>
      <c r="R65" s="47">
        <f t="shared" ca="1" si="65"/>
        <v>0</v>
      </c>
      <c r="S65" s="47">
        <f t="shared" ca="1" si="65"/>
        <v>6456</v>
      </c>
      <c r="T65" s="668">
        <f t="shared" ca="1" si="65"/>
        <v>1</v>
      </c>
    </row>
    <row r="66" spans="3:20" x14ac:dyDescent="0.2">
      <c r="C66" s="657" t="s">
        <v>21</v>
      </c>
      <c r="D66" s="27">
        <f t="shared" ca="1" si="66"/>
        <v>2340</v>
      </c>
      <c r="E66" s="27">
        <f t="shared" ca="1" si="66"/>
        <v>1702</v>
      </c>
      <c r="F66" s="27">
        <f t="shared" ca="1" si="66"/>
        <v>2414</v>
      </c>
      <c r="G66" s="27">
        <f t="shared" ca="1" si="66"/>
        <v>0</v>
      </c>
      <c r="H66" s="27">
        <f t="shared" ca="1" si="66"/>
        <v>6456</v>
      </c>
      <c r="I66" s="667">
        <f t="shared" ca="1" si="67"/>
        <v>1</v>
      </c>
      <c r="J66" s="27">
        <f t="shared" ca="1" si="68"/>
        <v>26000</v>
      </c>
      <c r="K66" s="27">
        <f ca="1">_xlfn.RANK.EQ(J66,$J$64:$J$72)+COUNTIF($J$64:J66,J66)-1</f>
        <v>3</v>
      </c>
      <c r="M66" s="27">
        <v>3</v>
      </c>
      <c r="N66" s="27" t="str">
        <f t="shared" ca="1" si="69"/>
        <v>EB</v>
      </c>
      <c r="O66" s="47">
        <f t="shared" ca="1" si="70"/>
        <v>2340</v>
      </c>
      <c r="P66" s="47">
        <f t="shared" ca="1" si="65"/>
        <v>1702</v>
      </c>
      <c r="Q66" s="47">
        <f t="shared" ca="1" si="65"/>
        <v>2414</v>
      </c>
      <c r="R66" s="47">
        <f t="shared" ca="1" si="65"/>
        <v>0</v>
      </c>
      <c r="S66" s="47">
        <f t="shared" ca="1" si="65"/>
        <v>6456</v>
      </c>
      <c r="T66" s="668">
        <f t="shared" ca="1" si="65"/>
        <v>1</v>
      </c>
    </row>
    <row r="67" spans="3:20" x14ac:dyDescent="0.2">
      <c r="C67" s="657" t="s">
        <v>22</v>
      </c>
      <c r="D67" s="27">
        <f t="shared" ca="1" si="66"/>
        <v>2340</v>
      </c>
      <c r="E67" s="27">
        <f t="shared" ca="1" si="66"/>
        <v>1702</v>
      </c>
      <c r="F67" s="27">
        <f t="shared" ca="1" si="66"/>
        <v>2414</v>
      </c>
      <c r="G67" s="27">
        <f t="shared" ca="1" si="66"/>
        <v>0</v>
      </c>
      <c r="H67" s="27">
        <f t="shared" ca="1" si="66"/>
        <v>6456</v>
      </c>
      <c r="I67" s="667">
        <f t="shared" ca="1" si="67"/>
        <v>1</v>
      </c>
      <c r="J67" s="27">
        <f t="shared" ca="1" si="68"/>
        <v>26000</v>
      </c>
      <c r="K67" s="27">
        <f ca="1">_xlfn.RANK.EQ(J67,$J$64:$J$72)+COUNTIF($J$64:J67,J67)-1</f>
        <v>4</v>
      </c>
      <c r="M67" s="27">
        <v>4</v>
      </c>
      <c r="N67" s="27" t="str">
        <f t="shared" ca="1" si="69"/>
        <v>KAF</v>
      </c>
      <c r="O67" s="47">
        <f t="shared" ca="1" si="70"/>
        <v>2340</v>
      </c>
      <c r="P67" s="47">
        <f t="shared" ca="1" si="65"/>
        <v>1702</v>
      </c>
      <c r="Q67" s="47">
        <f t="shared" ca="1" si="65"/>
        <v>2414</v>
      </c>
      <c r="R67" s="47">
        <f t="shared" ca="1" si="65"/>
        <v>0</v>
      </c>
      <c r="S67" s="47">
        <f t="shared" ca="1" si="65"/>
        <v>6456</v>
      </c>
      <c r="T67" s="668">
        <f t="shared" ca="1" si="65"/>
        <v>1</v>
      </c>
    </row>
    <row r="68" spans="3:20" x14ac:dyDescent="0.2">
      <c r="C68" s="657" t="s">
        <v>23</v>
      </c>
      <c r="D68" s="27">
        <f t="shared" ca="1" si="66"/>
        <v>2340</v>
      </c>
      <c r="E68" s="27">
        <f t="shared" ca="1" si="66"/>
        <v>1702</v>
      </c>
      <c r="F68" s="27">
        <f t="shared" ca="1" si="66"/>
        <v>2414</v>
      </c>
      <c r="G68" s="27">
        <f t="shared" ca="1" si="66"/>
        <v>0</v>
      </c>
      <c r="H68" s="27">
        <f t="shared" ca="1" si="66"/>
        <v>6456</v>
      </c>
      <c r="I68" s="667">
        <f t="shared" ca="1" si="67"/>
        <v>1</v>
      </c>
      <c r="J68" s="27">
        <f t="shared" ca="1" si="68"/>
        <v>26000</v>
      </c>
      <c r="K68" s="27">
        <f ca="1">_xlfn.RANK.EQ(J68,$J$64:$J$72)+COUNTIF($J$64:J68,J68)-1</f>
        <v>5</v>
      </c>
      <c r="M68" s="27">
        <v>5</v>
      </c>
      <c r="N68" s="27" t="str">
        <f t="shared" ca="1" si="69"/>
        <v>ØG</v>
      </c>
      <c r="O68" s="47">
        <f t="shared" ca="1" si="70"/>
        <v>2340</v>
      </c>
      <c r="P68" s="47">
        <f t="shared" ca="1" si="65"/>
        <v>1702</v>
      </c>
      <c r="Q68" s="47">
        <f t="shared" ca="1" si="65"/>
        <v>2414</v>
      </c>
      <c r="R68" s="47">
        <f t="shared" ca="1" si="65"/>
        <v>0</v>
      </c>
      <c r="S68" s="47">
        <f t="shared" ca="1" si="65"/>
        <v>6456</v>
      </c>
      <c r="T68" s="668">
        <f t="shared" ca="1" si="65"/>
        <v>1</v>
      </c>
    </row>
    <row r="69" spans="3:20" x14ac:dyDescent="0.2">
      <c r="C69" s="657" t="s">
        <v>24</v>
      </c>
      <c r="D69" s="27">
        <f t="shared" ca="1" si="66"/>
        <v>2340</v>
      </c>
      <c r="E69" s="27">
        <f t="shared" ca="1" si="66"/>
        <v>1702</v>
      </c>
      <c r="F69" s="27">
        <f t="shared" ca="1" si="66"/>
        <v>2414</v>
      </c>
      <c r="G69" s="27">
        <f t="shared" ca="1" si="66"/>
        <v>0</v>
      </c>
      <c r="H69" s="27">
        <f t="shared" ca="1" si="66"/>
        <v>6456</v>
      </c>
      <c r="I69" s="667">
        <f t="shared" ca="1" si="67"/>
        <v>1</v>
      </c>
      <c r="J69" s="27">
        <f t="shared" ca="1" si="68"/>
        <v>26000</v>
      </c>
      <c r="K69" s="27">
        <f ca="1">_xlfn.RANK.EQ(J69,$J$64:$J$72)+COUNTIF($J$64:J69,J69)-1</f>
        <v>6</v>
      </c>
      <c r="M69" s="27">
        <v>6</v>
      </c>
      <c r="N69" s="27" t="str">
        <f t="shared" ca="1" si="69"/>
        <v>JH</v>
      </c>
      <c r="O69" s="47">
        <f t="shared" ca="1" si="70"/>
        <v>2340</v>
      </c>
      <c r="P69" s="47">
        <f t="shared" ca="1" si="65"/>
        <v>1702</v>
      </c>
      <c r="Q69" s="47">
        <f t="shared" ca="1" si="65"/>
        <v>2414</v>
      </c>
      <c r="R69" s="47">
        <f t="shared" ca="1" si="65"/>
        <v>0</v>
      </c>
      <c r="S69" s="47">
        <f t="shared" ca="1" si="65"/>
        <v>6456</v>
      </c>
      <c r="T69" s="668">
        <f t="shared" ca="1" si="65"/>
        <v>1</v>
      </c>
    </row>
    <row r="70" spans="3:20" x14ac:dyDescent="0.2">
      <c r="C70" s="657" t="s">
        <v>25</v>
      </c>
      <c r="D70" s="27">
        <f t="shared" ca="1" si="66"/>
        <v>2340</v>
      </c>
      <c r="E70" s="27">
        <f t="shared" ca="1" si="66"/>
        <v>1702</v>
      </c>
      <c r="F70" s="27">
        <f t="shared" ca="1" si="66"/>
        <v>2414</v>
      </c>
      <c r="G70" s="27">
        <f t="shared" ca="1" si="66"/>
        <v>0</v>
      </c>
      <c r="H70" s="27">
        <f t="shared" ca="1" si="66"/>
        <v>6456</v>
      </c>
      <c r="I70" s="667">
        <f t="shared" ca="1" si="67"/>
        <v>1</v>
      </c>
      <c r="J70" s="27">
        <f t="shared" ca="1" si="68"/>
        <v>26000</v>
      </c>
      <c r="K70" s="27">
        <f ca="1">_xlfn.RANK.EQ(J70,$J$64:$J$72)+COUNTIF($J$64:J70,J70)-1</f>
        <v>7</v>
      </c>
      <c r="M70" s="27">
        <v>7</v>
      </c>
      <c r="N70" s="27" t="str">
        <f t="shared" ca="1" si="69"/>
        <v>TOH</v>
      </c>
      <c r="O70" s="47">
        <f t="shared" ca="1" si="70"/>
        <v>2340</v>
      </c>
      <c r="P70" s="47">
        <f t="shared" ca="1" si="65"/>
        <v>1702</v>
      </c>
      <c r="Q70" s="47">
        <f t="shared" ca="1" si="65"/>
        <v>2414</v>
      </c>
      <c r="R70" s="47">
        <f t="shared" ca="1" si="65"/>
        <v>0</v>
      </c>
      <c r="S70" s="47">
        <f t="shared" ca="1" si="65"/>
        <v>6456</v>
      </c>
      <c r="T70" s="668">
        <f t="shared" ca="1" si="65"/>
        <v>1</v>
      </c>
    </row>
    <row r="71" spans="3:20" x14ac:dyDescent="0.2">
      <c r="C71" s="657" t="s">
        <v>26</v>
      </c>
      <c r="D71" s="27">
        <f t="shared" ca="1" si="66"/>
        <v>2340</v>
      </c>
      <c r="E71" s="27">
        <f t="shared" ca="1" si="66"/>
        <v>1702</v>
      </c>
      <c r="F71" s="27">
        <f t="shared" ca="1" si="66"/>
        <v>2414</v>
      </c>
      <c r="G71" s="27">
        <f t="shared" ca="1" si="66"/>
        <v>0</v>
      </c>
      <c r="H71" s="27">
        <f t="shared" ca="1" si="66"/>
        <v>6456</v>
      </c>
      <c r="I71" s="667">
        <f t="shared" ca="1" si="67"/>
        <v>1</v>
      </c>
      <c r="J71" s="27">
        <f t="shared" ca="1" si="68"/>
        <v>26000</v>
      </c>
      <c r="K71" s="27">
        <f ca="1">_xlfn.RANK.EQ(J71,$J$64:$J$72)+COUNTIF($J$64:J71,J71)-1</f>
        <v>8</v>
      </c>
      <c r="M71" s="27">
        <v>8</v>
      </c>
      <c r="N71" s="27" t="str">
        <f t="shared" ca="1" si="69"/>
        <v>UTG</v>
      </c>
      <c r="O71" s="47">
        <f t="shared" ca="1" si="70"/>
        <v>2340</v>
      </c>
      <c r="P71" s="47">
        <f t="shared" ca="1" si="65"/>
        <v>1702</v>
      </c>
      <c r="Q71" s="47">
        <f t="shared" ca="1" si="65"/>
        <v>2414</v>
      </c>
      <c r="R71" s="47">
        <f t="shared" ca="1" si="65"/>
        <v>0</v>
      </c>
      <c r="S71" s="47">
        <f t="shared" ca="1" si="65"/>
        <v>6456</v>
      </c>
      <c r="T71" s="668">
        <f t="shared" ca="1" si="65"/>
        <v>1</v>
      </c>
    </row>
    <row r="72" spans="3:20" x14ac:dyDescent="0.2">
      <c r="C72" s="658" t="s">
        <v>27</v>
      </c>
      <c r="D72" s="27">
        <f t="shared" ca="1" si="66"/>
        <v>2340</v>
      </c>
      <c r="E72" s="27">
        <f t="shared" ca="1" si="66"/>
        <v>1702</v>
      </c>
      <c r="F72" s="27">
        <f t="shared" ca="1" si="66"/>
        <v>2414</v>
      </c>
      <c r="G72" s="27">
        <f t="shared" ca="1" si="66"/>
        <v>0</v>
      </c>
      <c r="H72" s="27">
        <f t="shared" ca="1" si="66"/>
        <v>6456</v>
      </c>
      <c r="I72" s="667">
        <f t="shared" ca="1" si="67"/>
        <v>1</v>
      </c>
      <c r="J72" s="27">
        <f t="shared" ca="1" si="68"/>
        <v>26000</v>
      </c>
      <c r="K72" s="27">
        <f ca="1">_xlfn.RANK.EQ(J72,$J$64:$J$72)+COUNTIF($J$64:J72,J72)-1</f>
        <v>9</v>
      </c>
      <c r="M72" s="27">
        <v>9</v>
      </c>
      <c r="N72" s="27" t="str">
        <f t="shared" ca="1" si="69"/>
        <v>LEV</v>
      </c>
      <c r="O72" s="47">
        <f t="shared" ca="1" si="70"/>
        <v>2340</v>
      </c>
      <c r="P72" s="47">
        <f t="shared" ca="1" si="65"/>
        <v>1702</v>
      </c>
      <c r="Q72" s="47">
        <f t="shared" ca="1" si="65"/>
        <v>2414</v>
      </c>
      <c r="R72" s="47">
        <f t="shared" ca="1" si="65"/>
        <v>0</v>
      </c>
      <c r="S72" s="47">
        <f t="shared" ca="1" si="65"/>
        <v>6456</v>
      </c>
      <c r="T72" s="668">
        <f t="shared" ca="1" si="65"/>
        <v>1</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U431"/>
  <sheetViews>
    <sheetView showGridLines="0" topLeftCell="A409" workbookViewId="0">
      <selection activeCell="E432" sqref="E432"/>
    </sheetView>
  </sheetViews>
  <sheetFormatPr baseColWidth="10" defaultColWidth="11.42578125" defaultRowHeight="12.75" x14ac:dyDescent="0.2"/>
  <cols>
    <col min="1" max="16384" width="11.42578125" style="27"/>
  </cols>
  <sheetData>
    <row r="6" spans="5:5" x14ac:dyDescent="0.2">
      <c r="E6" s="62" t="s">
        <v>521</v>
      </c>
    </row>
    <row r="7" spans="5:5" x14ac:dyDescent="0.2">
      <c r="E7" s="27" t="s">
        <v>522</v>
      </c>
    </row>
    <row r="8" spans="5:5" x14ac:dyDescent="0.2">
      <c r="E8" s="27" t="s">
        <v>523</v>
      </c>
    </row>
    <row r="9" spans="5:5" x14ac:dyDescent="0.2">
      <c r="E9" s="27" t="s">
        <v>524</v>
      </c>
    </row>
    <row r="10" spans="5:5" x14ac:dyDescent="0.2">
      <c r="E10" s="27" t="s">
        <v>525</v>
      </c>
    </row>
    <row r="12" spans="5:5" x14ac:dyDescent="0.2">
      <c r="E12" s="62" t="s">
        <v>526</v>
      </c>
    </row>
    <row r="13" spans="5:5" x14ac:dyDescent="0.2">
      <c r="E13" s="27" t="s">
        <v>527</v>
      </c>
    </row>
    <row r="14" spans="5:5" x14ac:dyDescent="0.2">
      <c r="E14" s="27" t="s">
        <v>528</v>
      </c>
    </row>
    <row r="16" spans="5:5" x14ac:dyDescent="0.2">
      <c r="E16" s="27" t="s">
        <v>529</v>
      </c>
    </row>
    <row r="17" spans="5:5" x14ac:dyDescent="0.2">
      <c r="E17" s="27" t="s">
        <v>530</v>
      </c>
    </row>
    <row r="19" spans="5:5" x14ac:dyDescent="0.2">
      <c r="E19" s="27" t="s">
        <v>531</v>
      </c>
    </row>
    <row r="21" spans="5:5" x14ac:dyDescent="0.2">
      <c r="E21" s="27" t="s">
        <v>532</v>
      </c>
    </row>
    <row r="22" spans="5:5" x14ac:dyDescent="0.2">
      <c r="E22" s="27" t="s">
        <v>533</v>
      </c>
    </row>
    <row r="24" spans="5:5" x14ac:dyDescent="0.2">
      <c r="E24" s="27" t="s">
        <v>534</v>
      </c>
    </row>
    <row r="25" spans="5:5" x14ac:dyDescent="0.2">
      <c r="E25" s="27" t="s">
        <v>535</v>
      </c>
    </row>
    <row r="26" spans="5:5" x14ac:dyDescent="0.2">
      <c r="E26" s="27" t="s">
        <v>536</v>
      </c>
    </row>
    <row r="27" spans="5:5" x14ac:dyDescent="0.2">
      <c r="E27" s="27" t="s">
        <v>537</v>
      </c>
    </row>
    <row r="29" spans="5:5" x14ac:dyDescent="0.2">
      <c r="E29" s="27" t="s">
        <v>538</v>
      </c>
    </row>
    <row r="31" spans="5:5" x14ac:dyDescent="0.2">
      <c r="E31" s="27" t="s">
        <v>539</v>
      </c>
    </row>
    <row r="33" spans="5:5" x14ac:dyDescent="0.2">
      <c r="E33" s="828">
        <v>40894</v>
      </c>
    </row>
    <row r="34" spans="5:5" x14ac:dyDescent="0.2">
      <c r="E34" s="27" t="s">
        <v>540</v>
      </c>
    </row>
    <row r="37" spans="5:5" x14ac:dyDescent="0.2">
      <c r="E37" s="828">
        <v>40927</v>
      </c>
    </row>
    <row r="38" spans="5:5" x14ac:dyDescent="0.2">
      <c r="E38" s="27" t="s">
        <v>541</v>
      </c>
    </row>
    <row r="39" spans="5:5" x14ac:dyDescent="0.2">
      <c r="E39" s="27" t="s">
        <v>542</v>
      </c>
    </row>
    <row r="41" spans="5:5" x14ac:dyDescent="0.2">
      <c r="E41" s="828">
        <v>40929</v>
      </c>
    </row>
    <row r="42" spans="5:5" x14ac:dyDescent="0.2">
      <c r="E42" s="27" t="s">
        <v>543</v>
      </c>
    </row>
    <row r="43" spans="5:5" x14ac:dyDescent="0.2">
      <c r="E43" s="27" t="s">
        <v>544</v>
      </c>
    </row>
    <row r="45" spans="5:5" x14ac:dyDescent="0.2">
      <c r="E45" s="828">
        <v>41063</v>
      </c>
    </row>
    <row r="46" spans="5:5" x14ac:dyDescent="0.2">
      <c r="E46" s="27" t="s">
        <v>545</v>
      </c>
    </row>
    <row r="47" spans="5:5" x14ac:dyDescent="0.2">
      <c r="E47" s="27" t="s">
        <v>546</v>
      </c>
    </row>
    <row r="49" spans="5:5" x14ac:dyDescent="0.2">
      <c r="E49" s="828">
        <v>41090</v>
      </c>
    </row>
    <row r="50" spans="5:5" x14ac:dyDescent="0.2">
      <c r="E50" s="27" t="s">
        <v>547</v>
      </c>
    </row>
    <row r="52" spans="5:5" x14ac:dyDescent="0.2">
      <c r="E52" s="828">
        <v>41348</v>
      </c>
    </row>
    <row r="53" spans="5:5" x14ac:dyDescent="0.2">
      <c r="E53" s="27" t="s">
        <v>548</v>
      </c>
    </row>
    <row r="55" spans="5:5" x14ac:dyDescent="0.2">
      <c r="E55" s="828">
        <v>41371</v>
      </c>
    </row>
    <row r="56" spans="5:5" x14ac:dyDescent="0.2">
      <c r="E56" s="27" t="s">
        <v>549</v>
      </c>
    </row>
    <row r="58" spans="5:5" x14ac:dyDescent="0.2">
      <c r="E58" s="828">
        <v>41372</v>
      </c>
    </row>
    <row r="59" spans="5:5" x14ac:dyDescent="0.2">
      <c r="E59" s="27" t="s">
        <v>550</v>
      </c>
    </row>
    <row r="61" spans="5:5" x14ac:dyDescent="0.2">
      <c r="E61" s="62" t="s">
        <v>551</v>
      </c>
    </row>
    <row r="62" spans="5:5" x14ac:dyDescent="0.2">
      <c r="E62" s="27" t="s">
        <v>552</v>
      </c>
    </row>
    <row r="63" spans="5:5" x14ac:dyDescent="0.2">
      <c r="E63" s="27" t="s">
        <v>553</v>
      </c>
    </row>
    <row r="64" spans="5:5" x14ac:dyDescent="0.2">
      <c r="E64" s="27" t="s">
        <v>554</v>
      </c>
    </row>
    <row r="65" spans="5:5" x14ac:dyDescent="0.2">
      <c r="E65" s="27" t="s">
        <v>555</v>
      </c>
    </row>
    <row r="66" spans="5:5" x14ac:dyDescent="0.2">
      <c r="E66" s="27" t="s">
        <v>556</v>
      </c>
    </row>
    <row r="68" spans="5:5" x14ac:dyDescent="0.2">
      <c r="E68" s="62" t="s">
        <v>557</v>
      </c>
    </row>
    <row r="69" spans="5:5" x14ac:dyDescent="0.2">
      <c r="E69" s="27" t="s">
        <v>558</v>
      </c>
    </row>
    <row r="70" spans="5:5" x14ac:dyDescent="0.2">
      <c r="E70" s="27" t="s">
        <v>559</v>
      </c>
    </row>
    <row r="73" spans="5:5" x14ac:dyDescent="0.2">
      <c r="E73" s="62" t="s">
        <v>560</v>
      </c>
    </row>
    <row r="74" spans="5:5" x14ac:dyDescent="0.2">
      <c r="E74" s="27" t="s">
        <v>561</v>
      </c>
    </row>
    <row r="75" spans="5:5" x14ac:dyDescent="0.2">
      <c r="E75" s="27" t="s">
        <v>562</v>
      </c>
    </row>
    <row r="76" spans="5:5" x14ac:dyDescent="0.2">
      <c r="E76" s="27" t="s">
        <v>563</v>
      </c>
    </row>
    <row r="78" spans="5:5" x14ac:dyDescent="0.2">
      <c r="E78" s="62" t="s">
        <v>564</v>
      </c>
    </row>
    <row r="79" spans="5:5" x14ac:dyDescent="0.2">
      <c r="E79" s="27" t="s">
        <v>565</v>
      </c>
    </row>
    <row r="81" spans="5:5" x14ac:dyDescent="0.2">
      <c r="E81" s="62" t="s">
        <v>566</v>
      </c>
    </row>
    <row r="82" spans="5:5" x14ac:dyDescent="0.2">
      <c r="E82" s="27" t="s">
        <v>567</v>
      </c>
    </row>
    <row r="85" spans="5:5" x14ac:dyDescent="0.2">
      <c r="E85" s="62" t="s">
        <v>568</v>
      </c>
    </row>
    <row r="86" spans="5:5" x14ac:dyDescent="0.2">
      <c r="E86" s="27" t="s">
        <v>569</v>
      </c>
    </row>
    <row r="87" spans="5:5" x14ac:dyDescent="0.2">
      <c r="E87" s="27" t="s">
        <v>570</v>
      </c>
    </row>
    <row r="88" spans="5:5" x14ac:dyDescent="0.2">
      <c r="E88" s="27" t="s">
        <v>571</v>
      </c>
    </row>
    <row r="89" spans="5:5" x14ac:dyDescent="0.2">
      <c r="E89" s="27" t="s">
        <v>572</v>
      </c>
    </row>
    <row r="90" spans="5:5" x14ac:dyDescent="0.2">
      <c r="E90" s="27" t="s">
        <v>573</v>
      </c>
    </row>
    <row r="91" spans="5:5" x14ac:dyDescent="0.2">
      <c r="E91" s="27" t="s">
        <v>574</v>
      </c>
    </row>
    <row r="92" spans="5:5" x14ac:dyDescent="0.2">
      <c r="E92" s="27" t="s">
        <v>575</v>
      </c>
    </row>
    <row r="93" spans="5:5" x14ac:dyDescent="0.2">
      <c r="E93" s="27" t="s">
        <v>576</v>
      </c>
    </row>
    <row r="94" spans="5:5" x14ac:dyDescent="0.2">
      <c r="E94" s="27" t="s">
        <v>577</v>
      </c>
    </row>
    <row r="96" spans="5:5" x14ac:dyDescent="0.2">
      <c r="E96" s="62" t="s">
        <v>578</v>
      </c>
    </row>
    <row r="97" spans="5:5" x14ac:dyDescent="0.2">
      <c r="E97" s="27" t="s">
        <v>579</v>
      </c>
    </row>
    <row r="99" spans="5:5" x14ac:dyDescent="0.2">
      <c r="E99" s="62" t="s">
        <v>580</v>
      </c>
    </row>
    <row r="100" spans="5:5" x14ac:dyDescent="0.2">
      <c r="E100" s="27" t="s">
        <v>581</v>
      </c>
    </row>
    <row r="101" spans="5:5" x14ac:dyDescent="0.2">
      <c r="E101" s="27" t="s">
        <v>582</v>
      </c>
    </row>
    <row r="102" spans="5:5" x14ac:dyDescent="0.2">
      <c r="E102" s="27" t="s">
        <v>583</v>
      </c>
    </row>
    <row r="104" spans="5:5" x14ac:dyDescent="0.2">
      <c r="E104" s="62" t="s">
        <v>584</v>
      </c>
    </row>
    <row r="105" spans="5:5" x14ac:dyDescent="0.2">
      <c r="E105" s="27" t="s">
        <v>585</v>
      </c>
    </row>
    <row r="107" spans="5:5" x14ac:dyDescent="0.2">
      <c r="E107" s="62" t="s">
        <v>586</v>
      </c>
    </row>
    <row r="108" spans="5:5" x14ac:dyDescent="0.2">
      <c r="E108" s="27" t="s">
        <v>587</v>
      </c>
    </row>
    <row r="109" spans="5:5" x14ac:dyDescent="0.2">
      <c r="E109" s="27" t="s">
        <v>588</v>
      </c>
    </row>
    <row r="112" spans="5:5" x14ac:dyDescent="0.2">
      <c r="E112" s="62" t="s">
        <v>589</v>
      </c>
    </row>
    <row r="113" spans="5:5" x14ac:dyDescent="0.2">
      <c r="E113" s="27" t="s">
        <v>590</v>
      </c>
    </row>
    <row r="114" spans="5:5" x14ac:dyDescent="0.2">
      <c r="E114" s="27" t="s">
        <v>591</v>
      </c>
    </row>
    <row r="115" spans="5:5" x14ac:dyDescent="0.2">
      <c r="E115" s="27" t="s">
        <v>592</v>
      </c>
    </row>
    <row r="116" spans="5:5" x14ac:dyDescent="0.2">
      <c r="E116" s="27" t="s">
        <v>593</v>
      </c>
    </row>
    <row r="117" spans="5:5" x14ac:dyDescent="0.2">
      <c r="E117" s="27" t="s">
        <v>594</v>
      </c>
    </row>
    <row r="118" spans="5:5" x14ac:dyDescent="0.2">
      <c r="E118" s="27" t="s">
        <v>595</v>
      </c>
    </row>
    <row r="119" spans="5:5" x14ac:dyDescent="0.2">
      <c r="E119" s="27" t="s">
        <v>596</v>
      </c>
    </row>
    <row r="121" spans="5:5" x14ac:dyDescent="0.2">
      <c r="E121" s="27" t="s">
        <v>597</v>
      </c>
    </row>
    <row r="122" spans="5:5" x14ac:dyDescent="0.2">
      <c r="E122" s="27" t="s">
        <v>598</v>
      </c>
    </row>
    <row r="123" spans="5:5" x14ac:dyDescent="0.2">
      <c r="E123" s="27" t="s">
        <v>599</v>
      </c>
    </row>
    <row r="126" spans="5:5" x14ac:dyDescent="0.2">
      <c r="E126" s="62" t="s">
        <v>600</v>
      </c>
    </row>
    <row r="127" spans="5:5" x14ac:dyDescent="0.2">
      <c r="E127" s="27" t="s">
        <v>601</v>
      </c>
    </row>
    <row r="130" spans="5:5" x14ac:dyDescent="0.2">
      <c r="E130" s="62" t="s">
        <v>602</v>
      </c>
    </row>
    <row r="131" spans="5:5" x14ac:dyDescent="0.2">
      <c r="E131" s="27" t="s">
        <v>603</v>
      </c>
    </row>
    <row r="132" spans="5:5" x14ac:dyDescent="0.2">
      <c r="E132" s="27" t="s">
        <v>604</v>
      </c>
    </row>
    <row r="135" spans="5:5" x14ac:dyDescent="0.2">
      <c r="E135" s="62" t="s">
        <v>605</v>
      </c>
    </row>
    <row r="136" spans="5:5" x14ac:dyDescent="0.2">
      <c r="E136" s="27" t="s">
        <v>606</v>
      </c>
    </row>
    <row r="138" spans="5:5" x14ac:dyDescent="0.2">
      <c r="E138" s="27" t="s">
        <v>607</v>
      </c>
    </row>
    <row r="140" spans="5:5" x14ac:dyDescent="0.2">
      <c r="E140" s="62" t="s">
        <v>608</v>
      </c>
    </row>
    <row r="141" spans="5:5" x14ac:dyDescent="0.2">
      <c r="E141" s="27" t="s">
        <v>609</v>
      </c>
    </row>
    <row r="142" spans="5:5" x14ac:dyDescent="0.2">
      <c r="E142" s="27" t="s">
        <v>610</v>
      </c>
    </row>
    <row r="145" spans="5:5" x14ac:dyDescent="0.2">
      <c r="E145" s="62" t="s">
        <v>611</v>
      </c>
    </row>
    <row r="146" spans="5:5" x14ac:dyDescent="0.2">
      <c r="E146" s="27" t="s">
        <v>612</v>
      </c>
    </row>
    <row r="148" spans="5:5" x14ac:dyDescent="0.2">
      <c r="E148" s="62" t="s">
        <v>613</v>
      </c>
    </row>
    <row r="149" spans="5:5" x14ac:dyDescent="0.2">
      <c r="E149" s="27" t="s">
        <v>614</v>
      </c>
    </row>
    <row r="150" spans="5:5" x14ac:dyDescent="0.2">
      <c r="E150" s="27" t="s">
        <v>615</v>
      </c>
    </row>
    <row r="153" spans="5:5" x14ac:dyDescent="0.2">
      <c r="E153" s="62" t="s">
        <v>616</v>
      </c>
    </row>
    <row r="154" spans="5:5" x14ac:dyDescent="0.2">
      <c r="E154" s="27" t="s">
        <v>617</v>
      </c>
    </row>
    <row r="155" spans="5:5" x14ac:dyDescent="0.2">
      <c r="E155" s="27" t="s">
        <v>618</v>
      </c>
    </row>
    <row r="156" spans="5:5" x14ac:dyDescent="0.2">
      <c r="E156" s="27" t="s">
        <v>619</v>
      </c>
    </row>
    <row r="157" spans="5:5" x14ac:dyDescent="0.2">
      <c r="E157" s="27" t="s">
        <v>620</v>
      </c>
    </row>
    <row r="158" spans="5:5" x14ac:dyDescent="0.2">
      <c r="E158" s="27" t="s">
        <v>621</v>
      </c>
    </row>
    <row r="159" spans="5:5" x14ac:dyDescent="0.2">
      <c r="E159" s="27" t="s">
        <v>622</v>
      </c>
    </row>
    <row r="160" spans="5:5" x14ac:dyDescent="0.2">
      <c r="E160" s="27" t="s">
        <v>623</v>
      </c>
    </row>
    <row r="162" spans="5:5" x14ac:dyDescent="0.2">
      <c r="E162" s="62" t="s">
        <v>624</v>
      </c>
    </row>
    <row r="163" spans="5:5" x14ac:dyDescent="0.2">
      <c r="E163" s="27" t="s">
        <v>625</v>
      </c>
    </row>
    <row r="166" spans="5:5" x14ac:dyDescent="0.2">
      <c r="E166" s="62" t="s">
        <v>626</v>
      </c>
    </row>
    <row r="167" spans="5:5" x14ac:dyDescent="0.2">
      <c r="E167" s="27" t="s">
        <v>627</v>
      </c>
    </row>
    <row r="168" spans="5:5" x14ac:dyDescent="0.2">
      <c r="E168" s="27" t="s">
        <v>628</v>
      </c>
    </row>
    <row r="169" spans="5:5" x14ac:dyDescent="0.2">
      <c r="E169" s="27" t="s">
        <v>629</v>
      </c>
    </row>
    <row r="172" spans="5:5" x14ac:dyDescent="0.2">
      <c r="E172" s="62" t="s">
        <v>630</v>
      </c>
    </row>
    <row r="173" spans="5:5" x14ac:dyDescent="0.2">
      <c r="E173" s="27" t="s">
        <v>631</v>
      </c>
    </row>
    <row r="176" spans="5:5" x14ac:dyDescent="0.2">
      <c r="E176" s="62" t="s">
        <v>632</v>
      </c>
    </row>
    <row r="177" spans="5:5" x14ac:dyDescent="0.2">
      <c r="E177" s="27" t="s">
        <v>633</v>
      </c>
    </row>
    <row r="180" spans="5:5" x14ac:dyDescent="0.2">
      <c r="E180" s="62" t="s">
        <v>634</v>
      </c>
    </row>
    <row r="181" spans="5:5" x14ac:dyDescent="0.2">
      <c r="E181" s="27" t="s">
        <v>635</v>
      </c>
    </row>
    <row r="183" spans="5:5" x14ac:dyDescent="0.2">
      <c r="E183" s="62" t="s">
        <v>636</v>
      </c>
    </row>
    <row r="184" spans="5:5" x14ac:dyDescent="0.2">
      <c r="E184" s="27" t="s">
        <v>637</v>
      </c>
    </row>
    <row r="186" spans="5:5" x14ac:dyDescent="0.2">
      <c r="E186" s="62" t="s">
        <v>638</v>
      </c>
    </row>
    <row r="187" spans="5:5" x14ac:dyDescent="0.2">
      <c r="E187" s="27" t="s">
        <v>639</v>
      </c>
    </row>
    <row r="188" spans="5:5" x14ac:dyDescent="0.2">
      <c r="E188" s="27" t="s">
        <v>640</v>
      </c>
    </row>
    <row r="189" spans="5:5" x14ac:dyDescent="0.2">
      <c r="E189" s="27" t="s">
        <v>641</v>
      </c>
    </row>
    <row r="191" spans="5:5" x14ac:dyDescent="0.2">
      <c r="E191" s="27" t="s">
        <v>641</v>
      </c>
    </row>
    <row r="192" spans="5:5" x14ac:dyDescent="0.2">
      <c r="E192" s="27" t="s">
        <v>642</v>
      </c>
    </row>
    <row r="194" spans="5:5" x14ac:dyDescent="0.2">
      <c r="E194" s="62" t="s">
        <v>643</v>
      </c>
    </row>
    <row r="195" spans="5:5" x14ac:dyDescent="0.2">
      <c r="E195" s="27" t="s">
        <v>644</v>
      </c>
    </row>
    <row r="197" spans="5:5" x14ac:dyDescent="0.2">
      <c r="E197" s="62" t="s">
        <v>645</v>
      </c>
    </row>
    <row r="198" spans="5:5" x14ac:dyDescent="0.2">
      <c r="E198" s="27" t="s">
        <v>646</v>
      </c>
    </row>
    <row r="199" spans="5:5" x14ac:dyDescent="0.2">
      <c r="E199" s="27" t="s">
        <v>647</v>
      </c>
    </row>
    <row r="200" spans="5:5" x14ac:dyDescent="0.2">
      <c r="E200" s="27" t="s">
        <v>648</v>
      </c>
    </row>
    <row r="201" spans="5:5" x14ac:dyDescent="0.2">
      <c r="E201" s="27" t="s">
        <v>649</v>
      </c>
    </row>
    <row r="202" spans="5:5" x14ac:dyDescent="0.2">
      <c r="E202" s="27" t="s">
        <v>650</v>
      </c>
    </row>
    <row r="205" spans="5:5" x14ac:dyDescent="0.2">
      <c r="E205" s="62" t="s">
        <v>651</v>
      </c>
    </row>
    <row r="206" spans="5:5" x14ac:dyDescent="0.2">
      <c r="E206" s="27" t="s">
        <v>652</v>
      </c>
    </row>
    <row r="207" spans="5:5" x14ac:dyDescent="0.2">
      <c r="E207" s="27" t="s">
        <v>653</v>
      </c>
    </row>
    <row r="209" spans="5:5" x14ac:dyDescent="0.2">
      <c r="E209" s="27" t="s">
        <v>654</v>
      </c>
    </row>
    <row r="210" spans="5:5" x14ac:dyDescent="0.2">
      <c r="E210" s="27" t="s">
        <v>655</v>
      </c>
    </row>
    <row r="211" spans="5:5" x14ac:dyDescent="0.2">
      <c r="E211" s="27" t="s">
        <v>656</v>
      </c>
    </row>
    <row r="213" spans="5:5" x14ac:dyDescent="0.2">
      <c r="E213" s="62" t="s">
        <v>657</v>
      </c>
    </row>
    <row r="214" spans="5:5" x14ac:dyDescent="0.2">
      <c r="E214" s="27" t="s">
        <v>658</v>
      </c>
    </row>
    <row r="215" spans="5:5" x14ac:dyDescent="0.2">
      <c r="E215" s="27" t="s">
        <v>659</v>
      </c>
    </row>
    <row r="217" spans="5:5" x14ac:dyDescent="0.2">
      <c r="E217" s="62" t="s">
        <v>660</v>
      </c>
    </row>
    <row r="218" spans="5:5" x14ac:dyDescent="0.2">
      <c r="E218" s="27" t="s">
        <v>661</v>
      </c>
    </row>
    <row r="220" spans="5:5" x14ac:dyDescent="0.2">
      <c r="E220" s="62" t="s">
        <v>662</v>
      </c>
    </row>
    <row r="221" spans="5:5" x14ac:dyDescent="0.2">
      <c r="E221" s="27" t="s">
        <v>663</v>
      </c>
    </row>
    <row r="222" spans="5:5" x14ac:dyDescent="0.2">
      <c r="E222" s="27" t="s">
        <v>664</v>
      </c>
    </row>
    <row r="223" spans="5:5" x14ac:dyDescent="0.2">
      <c r="E223" s="27" t="s">
        <v>665</v>
      </c>
    </row>
    <row r="225" spans="5:5" x14ac:dyDescent="0.2">
      <c r="E225" s="62" t="s">
        <v>666</v>
      </c>
    </row>
    <row r="226" spans="5:5" x14ac:dyDescent="0.2">
      <c r="E226" s="27" t="s">
        <v>667</v>
      </c>
    </row>
    <row r="228" spans="5:5" x14ac:dyDescent="0.2">
      <c r="E228" s="62" t="s">
        <v>668</v>
      </c>
    </row>
    <row r="229" spans="5:5" x14ac:dyDescent="0.2">
      <c r="E229" s="27" t="s">
        <v>669</v>
      </c>
    </row>
    <row r="230" spans="5:5" x14ac:dyDescent="0.2">
      <c r="E230" s="27" t="s">
        <v>670</v>
      </c>
    </row>
    <row r="231" spans="5:5" x14ac:dyDescent="0.2">
      <c r="E231" s="27" t="s">
        <v>671</v>
      </c>
    </row>
    <row r="234" spans="5:5" x14ac:dyDescent="0.2">
      <c r="E234" s="62" t="s">
        <v>672</v>
      </c>
    </row>
    <row r="235" spans="5:5" x14ac:dyDescent="0.2">
      <c r="E235" s="27" t="s">
        <v>673</v>
      </c>
    </row>
    <row r="236" spans="5:5" x14ac:dyDescent="0.2">
      <c r="E236" s="27" t="s">
        <v>674</v>
      </c>
    </row>
    <row r="237" spans="5:5" x14ac:dyDescent="0.2">
      <c r="E237" s="27" t="s">
        <v>675</v>
      </c>
    </row>
    <row r="240" spans="5:5" x14ac:dyDescent="0.2">
      <c r="E240" s="62" t="s">
        <v>676</v>
      </c>
    </row>
    <row r="241" spans="5:5" x14ac:dyDescent="0.2">
      <c r="E241" s="27" t="s">
        <v>677</v>
      </c>
    </row>
    <row r="242" spans="5:5" x14ac:dyDescent="0.2">
      <c r="E242" s="27" t="s">
        <v>678</v>
      </c>
    </row>
    <row r="243" spans="5:5" x14ac:dyDescent="0.2">
      <c r="E243" s="27" t="s">
        <v>679</v>
      </c>
    </row>
    <row r="244" spans="5:5" x14ac:dyDescent="0.2">
      <c r="E244" s="27" t="s">
        <v>680</v>
      </c>
    </row>
    <row r="245" spans="5:5" x14ac:dyDescent="0.2">
      <c r="E245" s="27" t="s">
        <v>681</v>
      </c>
    </row>
    <row r="246" spans="5:5" x14ac:dyDescent="0.2">
      <c r="E246" s="27" t="s">
        <v>682</v>
      </c>
    </row>
    <row r="247" spans="5:5" x14ac:dyDescent="0.2">
      <c r="E247" s="829" t="s">
        <v>683</v>
      </c>
    </row>
    <row r="250" spans="5:5" x14ac:dyDescent="0.2">
      <c r="E250" s="62" t="s">
        <v>684</v>
      </c>
    </row>
    <row r="251" spans="5:5" x14ac:dyDescent="0.2">
      <c r="E251" s="27" t="s">
        <v>685</v>
      </c>
    </row>
    <row r="252" spans="5:5" x14ac:dyDescent="0.2">
      <c r="E252" s="27" t="s">
        <v>686</v>
      </c>
    </row>
    <row r="255" spans="5:5" x14ac:dyDescent="0.2">
      <c r="E255" s="62" t="s">
        <v>687</v>
      </c>
    </row>
    <row r="256" spans="5:5" x14ac:dyDescent="0.2">
      <c r="E256" s="27" t="s">
        <v>688</v>
      </c>
    </row>
    <row r="259" spans="5:5" x14ac:dyDescent="0.2">
      <c r="E259" s="62" t="s">
        <v>689</v>
      </c>
    </row>
    <row r="260" spans="5:5" x14ac:dyDescent="0.2">
      <c r="E260" s="27" t="s">
        <v>690</v>
      </c>
    </row>
    <row r="262" spans="5:5" x14ac:dyDescent="0.2">
      <c r="E262" s="62" t="s">
        <v>691</v>
      </c>
    </row>
    <row r="263" spans="5:5" x14ac:dyDescent="0.2">
      <c r="E263" s="27" t="s">
        <v>692</v>
      </c>
    </row>
    <row r="265" spans="5:5" x14ac:dyDescent="0.2">
      <c r="E265" s="62" t="s">
        <v>693</v>
      </c>
    </row>
    <row r="266" spans="5:5" x14ac:dyDescent="0.2">
      <c r="E266" s="27" t="s">
        <v>694</v>
      </c>
    </row>
    <row r="267" spans="5:5" x14ac:dyDescent="0.2">
      <c r="E267" s="27" t="s">
        <v>695</v>
      </c>
    </row>
    <row r="268" spans="5:5" x14ac:dyDescent="0.2">
      <c r="E268" s="27" t="s">
        <v>696</v>
      </c>
    </row>
    <row r="269" spans="5:5" x14ac:dyDescent="0.2">
      <c r="E269" s="27" t="s">
        <v>697</v>
      </c>
    </row>
    <row r="270" spans="5:5" x14ac:dyDescent="0.2">
      <c r="E270" s="27" t="s">
        <v>698</v>
      </c>
    </row>
    <row r="273" spans="5:5" x14ac:dyDescent="0.2">
      <c r="E273" s="62" t="s">
        <v>699</v>
      </c>
    </row>
    <row r="274" spans="5:5" x14ac:dyDescent="0.2">
      <c r="E274" s="27" t="s">
        <v>700</v>
      </c>
    </row>
    <row r="275" spans="5:5" x14ac:dyDescent="0.2">
      <c r="E275" s="27" t="s">
        <v>701</v>
      </c>
    </row>
    <row r="276" spans="5:5" x14ac:dyDescent="0.2">
      <c r="E276" s="27" t="s">
        <v>702</v>
      </c>
    </row>
    <row r="279" spans="5:5" x14ac:dyDescent="0.2">
      <c r="E279" s="62" t="s">
        <v>703</v>
      </c>
    </row>
    <row r="280" spans="5:5" x14ac:dyDescent="0.2">
      <c r="E280" s="27" t="s">
        <v>704</v>
      </c>
    </row>
    <row r="281" spans="5:5" x14ac:dyDescent="0.2">
      <c r="E281" s="27" t="s">
        <v>705</v>
      </c>
    </row>
    <row r="283" spans="5:5" x14ac:dyDescent="0.2">
      <c r="E283" s="62" t="s">
        <v>706</v>
      </c>
    </row>
    <row r="284" spans="5:5" x14ac:dyDescent="0.2">
      <c r="E284" s="27" t="s">
        <v>707</v>
      </c>
    </row>
    <row r="286" spans="5:5" x14ac:dyDescent="0.2">
      <c r="E286" s="62" t="s">
        <v>708</v>
      </c>
    </row>
    <row r="287" spans="5:5" x14ac:dyDescent="0.2">
      <c r="E287" s="27" t="s">
        <v>709</v>
      </c>
    </row>
    <row r="288" spans="5:5" x14ac:dyDescent="0.2">
      <c r="E288" s="27" t="s">
        <v>710</v>
      </c>
    </row>
    <row r="290" spans="5:5" x14ac:dyDescent="0.2">
      <c r="E290" s="62" t="s">
        <v>711</v>
      </c>
    </row>
    <row r="291" spans="5:5" x14ac:dyDescent="0.2">
      <c r="E291" s="27" t="s">
        <v>712</v>
      </c>
    </row>
    <row r="293" spans="5:5" x14ac:dyDescent="0.2">
      <c r="E293" s="62" t="s">
        <v>713</v>
      </c>
    </row>
    <row r="294" spans="5:5" x14ac:dyDescent="0.2">
      <c r="E294" s="27" t="s">
        <v>714</v>
      </c>
    </row>
    <row r="295" spans="5:5" x14ac:dyDescent="0.2">
      <c r="E295" s="27" t="s">
        <v>715</v>
      </c>
    </row>
    <row r="296" spans="5:5" x14ac:dyDescent="0.2">
      <c r="E296" s="27" t="s">
        <v>716</v>
      </c>
    </row>
    <row r="298" spans="5:5" x14ac:dyDescent="0.2">
      <c r="E298" s="62" t="s">
        <v>717</v>
      </c>
    </row>
    <row r="299" spans="5:5" x14ac:dyDescent="0.2">
      <c r="E299" s="27" t="s">
        <v>718</v>
      </c>
    </row>
    <row r="301" spans="5:5" x14ac:dyDescent="0.2">
      <c r="E301" s="62" t="s">
        <v>719</v>
      </c>
    </row>
    <row r="302" spans="5:5" x14ac:dyDescent="0.2">
      <c r="E302" s="27" t="s">
        <v>720</v>
      </c>
    </row>
    <row r="303" spans="5:5" x14ac:dyDescent="0.2">
      <c r="E303" s="27" t="s">
        <v>721</v>
      </c>
    </row>
    <row r="305" spans="5:5" x14ac:dyDescent="0.2">
      <c r="E305" s="62" t="s">
        <v>722</v>
      </c>
    </row>
    <row r="306" spans="5:5" x14ac:dyDescent="0.2">
      <c r="E306" s="27" t="s">
        <v>723</v>
      </c>
    </row>
    <row r="308" spans="5:5" x14ac:dyDescent="0.2">
      <c r="E308" s="62" t="s">
        <v>724</v>
      </c>
    </row>
    <row r="309" spans="5:5" x14ac:dyDescent="0.2">
      <c r="E309" s="27" t="s">
        <v>725</v>
      </c>
    </row>
    <row r="310" spans="5:5" x14ac:dyDescent="0.2">
      <c r="E310" s="27" t="s">
        <v>726</v>
      </c>
    </row>
    <row r="311" spans="5:5" x14ac:dyDescent="0.2">
      <c r="E311" s="27" t="s">
        <v>727</v>
      </c>
    </row>
    <row r="313" spans="5:5" x14ac:dyDescent="0.2">
      <c r="E313" s="62" t="s">
        <v>728</v>
      </c>
    </row>
    <row r="314" spans="5:5" x14ac:dyDescent="0.2">
      <c r="E314" s="27" t="s">
        <v>729</v>
      </c>
    </row>
    <row r="315" spans="5:5" x14ac:dyDescent="0.2">
      <c r="E315" s="27" t="s">
        <v>730</v>
      </c>
    </row>
    <row r="317" spans="5:5" x14ac:dyDescent="0.2">
      <c r="E317" s="62" t="s">
        <v>731</v>
      </c>
    </row>
    <row r="318" spans="5:5" x14ac:dyDescent="0.2">
      <c r="E318" s="27" t="s">
        <v>732</v>
      </c>
    </row>
    <row r="319" spans="5:5" x14ac:dyDescent="0.2">
      <c r="E319" s="27" t="s">
        <v>733</v>
      </c>
    </row>
    <row r="321" spans="5:5" x14ac:dyDescent="0.2">
      <c r="E321" s="62" t="s">
        <v>734</v>
      </c>
    </row>
    <row r="322" spans="5:5" x14ac:dyDescent="0.2">
      <c r="E322" s="27" t="s">
        <v>735</v>
      </c>
    </row>
    <row r="324" spans="5:5" x14ac:dyDescent="0.2">
      <c r="E324" s="62" t="s">
        <v>736</v>
      </c>
    </row>
    <row r="325" spans="5:5" x14ac:dyDescent="0.2">
      <c r="E325" s="27" t="s">
        <v>737</v>
      </c>
    </row>
    <row r="326" spans="5:5" x14ac:dyDescent="0.2">
      <c r="E326" s="27" t="s">
        <v>738</v>
      </c>
    </row>
    <row r="328" spans="5:5" x14ac:dyDescent="0.2">
      <c r="E328" s="62" t="s">
        <v>739</v>
      </c>
    </row>
    <row r="329" spans="5:5" x14ac:dyDescent="0.2">
      <c r="E329" s="27" t="s">
        <v>740</v>
      </c>
    </row>
    <row r="330" spans="5:5" x14ac:dyDescent="0.2">
      <c r="E330" s="27" t="s">
        <v>741</v>
      </c>
    </row>
    <row r="332" spans="5:5" x14ac:dyDescent="0.2">
      <c r="E332" s="62" t="s">
        <v>742</v>
      </c>
    </row>
    <row r="333" spans="5:5" x14ac:dyDescent="0.2">
      <c r="E333" s="27" t="s">
        <v>743</v>
      </c>
    </row>
    <row r="334" spans="5:5" x14ac:dyDescent="0.2">
      <c r="E334" s="27" t="s">
        <v>744</v>
      </c>
    </row>
    <row r="335" spans="5:5" x14ac:dyDescent="0.2">
      <c r="E335" s="27" t="s">
        <v>745</v>
      </c>
    </row>
    <row r="336" spans="5:5" x14ac:dyDescent="0.2">
      <c r="E336" s="27" t="s">
        <v>746</v>
      </c>
    </row>
    <row r="337" spans="5:5" x14ac:dyDescent="0.2">
      <c r="E337" s="27" t="s">
        <v>747</v>
      </c>
    </row>
    <row r="338" spans="5:5" x14ac:dyDescent="0.2">
      <c r="E338" s="27" t="s">
        <v>748</v>
      </c>
    </row>
    <row r="339" spans="5:5" x14ac:dyDescent="0.2">
      <c r="E339" s="27" t="s">
        <v>749</v>
      </c>
    </row>
    <row r="340" spans="5:5" x14ac:dyDescent="0.2">
      <c r="E340" s="27" t="s">
        <v>750</v>
      </c>
    </row>
    <row r="341" spans="5:5" x14ac:dyDescent="0.2">
      <c r="E341" s="27" t="s">
        <v>751</v>
      </c>
    </row>
    <row r="342" spans="5:5" x14ac:dyDescent="0.2">
      <c r="E342" s="27" t="s">
        <v>752</v>
      </c>
    </row>
    <row r="344" spans="5:5" x14ac:dyDescent="0.2">
      <c r="E344" s="62" t="s">
        <v>753</v>
      </c>
    </row>
    <row r="345" spans="5:5" x14ac:dyDescent="0.2">
      <c r="E345" s="27" t="s">
        <v>754</v>
      </c>
    </row>
    <row r="346" spans="5:5" x14ac:dyDescent="0.2">
      <c r="E346" s="27" t="s">
        <v>755</v>
      </c>
    </row>
    <row r="347" spans="5:5" x14ac:dyDescent="0.2">
      <c r="E347" s="27" t="s">
        <v>756</v>
      </c>
    </row>
    <row r="348" spans="5:5" x14ac:dyDescent="0.2">
      <c r="E348" s="27" t="s">
        <v>757</v>
      </c>
    </row>
    <row r="349" spans="5:5" x14ac:dyDescent="0.2">
      <c r="E349" s="27" t="s">
        <v>758</v>
      </c>
    </row>
    <row r="350" spans="5:5" x14ac:dyDescent="0.2">
      <c r="E350" s="27" t="s">
        <v>759</v>
      </c>
    </row>
    <row r="352" spans="5:5" x14ac:dyDescent="0.2">
      <c r="E352" s="62" t="s">
        <v>760</v>
      </c>
    </row>
    <row r="353" spans="5:5" x14ac:dyDescent="0.2">
      <c r="E353" s="27" t="s">
        <v>761</v>
      </c>
    </row>
    <row r="354" spans="5:5" x14ac:dyDescent="0.2">
      <c r="E354" s="27" t="s">
        <v>762</v>
      </c>
    </row>
    <row r="355" spans="5:5" x14ac:dyDescent="0.2">
      <c r="E355" s="27" t="s">
        <v>763</v>
      </c>
    </row>
    <row r="357" spans="5:5" x14ac:dyDescent="0.2">
      <c r="E357" s="62" t="s">
        <v>764</v>
      </c>
    </row>
    <row r="358" spans="5:5" x14ac:dyDescent="0.2">
      <c r="E358" s="27" t="s">
        <v>765</v>
      </c>
    </row>
    <row r="359" spans="5:5" x14ac:dyDescent="0.2">
      <c r="E359" s="27" t="s">
        <v>766</v>
      </c>
    </row>
    <row r="360" spans="5:5" x14ac:dyDescent="0.2">
      <c r="E360" s="27" t="s">
        <v>767</v>
      </c>
    </row>
    <row r="361" spans="5:5" x14ac:dyDescent="0.2">
      <c r="E361" s="27" t="s">
        <v>768</v>
      </c>
    </row>
    <row r="362" spans="5:5" x14ac:dyDescent="0.2">
      <c r="E362" s="27" t="s">
        <v>769</v>
      </c>
    </row>
    <row r="364" spans="5:5" x14ac:dyDescent="0.2">
      <c r="E364" s="62" t="s">
        <v>770</v>
      </c>
    </row>
    <row r="365" spans="5:5" x14ac:dyDescent="0.2">
      <c r="E365" s="27" t="s">
        <v>771</v>
      </c>
    </row>
    <row r="366" spans="5:5" x14ac:dyDescent="0.2">
      <c r="E366" s="27" t="s">
        <v>772</v>
      </c>
    </row>
    <row r="367" spans="5:5" x14ac:dyDescent="0.2">
      <c r="E367" s="27" t="s">
        <v>773</v>
      </c>
    </row>
    <row r="368" spans="5:5" x14ac:dyDescent="0.2">
      <c r="E368" s="27" t="s">
        <v>774</v>
      </c>
    </row>
    <row r="370" spans="5:5" x14ac:dyDescent="0.2">
      <c r="E370" s="62" t="s">
        <v>775</v>
      </c>
    </row>
    <row r="371" spans="5:5" x14ac:dyDescent="0.2">
      <c r="E371" s="27" t="s">
        <v>776</v>
      </c>
    </row>
    <row r="373" spans="5:5" x14ac:dyDescent="0.2">
      <c r="E373" s="62" t="s">
        <v>777</v>
      </c>
    </row>
    <row r="374" spans="5:5" x14ac:dyDescent="0.2">
      <c r="E374" s="27" t="s">
        <v>778</v>
      </c>
    </row>
    <row r="377" spans="5:5" x14ac:dyDescent="0.2">
      <c r="E377" s="62" t="s">
        <v>779</v>
      </c>
    </row>
    <row r="378" spans="5:5" x14ac:dyDescent="0.2">
      <c r="E378" s="27" t="s">
        <v>780</v>
      </c>
    </row>
    <row r="380" spans="5:5" x14ac:dyDescent="0.2">
      <c r="E380" s="62" t="s">
        <v>781</v>
      </c>
    </row>
    <row r="381" spans="5:5" x14ac:dyDescent="0.2">
      <c r="E381" s="27" t="s">
        <v>782</v>
      </c>
    </row>
    <row r="383" spans="5:5" x14ac:dyDescent="0.2">
      <c r="E383" s="62" t="s">
        <v>783</v>
      </c>
    </row>
    <row r="384" spans="5:5" x14ac:dyDescent="0.2">
      <c r="E384" s="27" t="s">
        <v>784</v>
      </c>
    </row>
    <row r="386" spans="5:5" x14ac:dyDescent="0.2">
      <c r="E386" s="62" t="s">
        <v>785</v>
      </c>
    </row>
    <row r="387" spans="5:5" x14ac:dyDescent="0.2">
      <c r="E387" s="830" t="s">
        <v>786</v>
      </c>
    </row>
    <row r="388" spans="5:5" x14ac:dyDescent="0.2">
      <c r="E388" s="830" t="s">
        <v>787</v>
      </c>
    </row>
    <row r="391" spans="5:5" x14ac:dyDescent="0.2">
      <c r="E391" s="828">
        <v>46130</v>
      </c>
    </row>
    <row r="392" spans="5:5" x14ac:dyDescent="0.2">
      <c r="E392" s="27" t="s">
        <v>788</v>
      </c>
    </row>
    <row r="394" spans="5:5" x14ac:dyDescent="0.2">
      <c r="E394" s="831" t="s">
        <v>789</v>
      </c>
    </row>
    <row r="395" spans="5:5" x14ac:dyDescent="0.2">
      <c r="E395" s="832" t="s">
        <v>790</v>
      </c>
    </row>
    <row r="396" spans="5:5" x14ac:dyDescent="0.2">
      <c r="E396" s="27" t="s">
        <v>791</v>
      </c>
    </row>
    <row r="397" spans="5:5" x14ac:dyDescent="0.2">
      <c r="E397" s="27" t="s">
        <v>792</v>
      </c>
    </row>
    <row r="398" spans="5:5" x14ac:dyDescent="0.2">
      <c r="E398" s="27" t="s">
        <v>793</v>
      </c>
    </row>
    <row r="399" spans="5:5" x14ac:dyDescent="0.2">
      <c r="E399" s="27" t="s">
        <v>794</v>
      </c>
    </row>
    <row r="400" spans="5:5" x14ac:dyDescent="0.2">
      <c r="E400" s="27" t="s">
        <v>795</v>
      </c>
    </row>
    <row r="401" spans="5:21" x14ac:dyDescent="0.2">
      <c r="E401" s="27" t="s">
        <v>796</v>
      </c>
    </row>
    <row r="403" spans="5:21" x14ac:dyDescent="0.2">
      <c r="E403" s="27" t="s">
        <v>797</v>
      </c>
    </row>
    <row r="404" spans="5:21" x14ac:dyDescent="0.2">
      <c r="E404" s="27" t="s">
        <v>473</v>
      </c>
      <c r="F404" s="28" t="s">
        <v>16</v>
      </c>
      <c r="G404" s="28" t="s">
        <v>17</v>
      </c>
      <c r="H404" s="28" t="s">
        <v>18</v>
      </c>
      <c r="I404" s="28" t="s">
        <v>15</v>
      </c>
      <c r="J404" s="28" t="s">
        <v>516</v>
      </c>
      <c r="K404" s="28" t="s">
        <v>517</v>
      </c>
      <c r="L404" s="28" t="s">
        <v>798</v>
      </c>
      <c r="M404" s="28" t="s">
        <v>474</v>
      </c>
      <c r="N404" s="28" t="s">
        <v>799</v>
      </c>
      <c r="O404" s="28" t="s">
        <v>800</v>
      </c>
      <c r="P404" s="28" t="s">
        <v>801</v>
      </c>
      <c r="Q404" s="28" t="s">
        <v>802</v>
      </c>
      <c r="R404" s="28" t="s">
        <v>803</v>
      </c>
      <c r="S404" s="28" t="s">
        <v>804</v>
      </c>
      <c r="T404" s="28" t="s">
        <v>805</v>
      </c>
      <c r="U404" s="28" t="s">
        <v>467</v>
      </c>
    </row>
    <row r="405" spans="5:21" x14ac:dyDescent="0.2">
      <c r="E405" s="27" t="s">
        <v>26</v>
      </c>
      <c r="F405" s="27">
        <v>9360</v>
      </c>
      <c r="G405" s="27">
        <v>0</v>
      </c>
      <c r="H405" s="27">
        <v>4047</v>
      </c>
      <c r="I405" s="27">
        <v>0</v>
      </c>
      <c r="J405" s="27">
        <v>13407</v>
      </c>
      <c r="K405" s="27">
        <v>102</v>
      </c>
      <c r="L405" s="27">
        <v>198</v>
      </c>
      <c r="M405" s="27">
        <v>13407</v>
      </c>
      <c r="N405" s="27">
        <v>0</v>
      </c>
      <c r="O405" s="27">
        <v>0</v>
      </c>
      <c r="P405" s="27">
        <v>1</v>
      </c>
      <c r="Q405" s="27">
        <v>0</v>
      </c>
      <c r="R405" s="27">
        <v>0</v>
      </c>
      <c r="S405" s="27">
        <v>58</v>
      </c>
      <c r="T405" s="27">
        <v>58</v>
      </c>
      <c r="U405" s="27">
        <v>13523</v>
      </c>
    </row>
    <row r="406" spans="5:21" x14ac:dyDescent="0.2">
      <c r="E406" s="27" t="s">
        <v>23</v>
      </c>
      <c r="F406" s="27">
        <v>9620</v>
      </c>
      <c r="G406" s="27">
        <v>100</v>
      </c>
      <c r="H406" s="27">
        <v>3550</v>
      </c>
      <c r="I406" s="27">
        <v>-50</v>
      </c>
      <c r="J406" s="27">
        <v>13220</v>
      </c>
      <c r="K406" s="27">
        <v>143</v>
      </c>
      <c r="L406" s="27">
        <v>183</v>
      </c>
      <c r="M406" s="27">
        <v>13220</v>
      </c>
      <c r="N406" s="27">
        <v>0</v>
      </c>
      <c r="O406" s="27">
        <v>0</v>
      </c>
      <c r="P406" s="27">
        <v>2</v>
      </c>
      <c r="Q406" s="27">
        <v>0</v>
      </c>
      <c r="R406" s="27">
        <v>0</v>
      </c>
      <c r="S406" s="27">
        <v>116</v>
      </c>
      <c r="T406" s="27">
        <v>116</v>
      </c>
      <c r="U406" s="27">
        <v>13452</v>
      </c>
    </row>
    <row r="407" spans="5:21" x14ac:dyDescent="0.2">
      <c r="E407" s="27" t="s">
        <v>22</v>
      </c>
      <c r="F407" s="27">
        <v>7670</v>
      </c>
      <c r="G407" s="27">
        <v>444</v>
      </c>
      <c r="H407" s="27">
        <v>4473</v>
      </c>
      <c r="I407" s="27">
        <v>-50</v>
      </c>
      <c r="J407" s="27">
        <v>12537</v>
      </c>
      <c r="K407" s="27">
        <v>122</v>
      </c>
      <c r="L407" s="27">
        <v>187</v>
      </c>
      <c r="M407" s="27">
        <v>12537</v>
      </c>
      <c r="N407" s="27">
        <v>0</v>
      </c>
      <c r="O407" s="27">
        <v>0</v>
      </c>
      <c r="P407" s="27">
        <v>0</v>
      </c>
      <c r="Q407" s="27">
        <v>0</v>
      </c>
      <c r="R407" s="27">
        <v>0</v>
      </c>
      <c r="S407" s="27">
        <v>0</v>
      </c>
      <c r="T407" s="27">
        <v>0</v>
      </c>
      <c r="U407" s="27">
        <v>12537</v>
      </c>
    </row>
    <row r="408" spans="5:21" x14ac:dyDescent="0.2">
      <c r="E408" s="27" t="s">
        <v>21</v>
      </c>
      <c r="F408" s="27">
        <v>8060</v>
      </c>
      <c r="G408" s="27">
        <v>1554</v>
      </c>
      <c r="H408" s="27">
        <v>3621</v>
      </c>
      <c r="I408" s="27">
        <v>0</v>
      </c>
      <c r="J408" s="27">
        <v>13235</v>
      </c>
      <c r="K408" s="27">
        <v>149</v>
      </c>
      <c r="L408" s="27">
        <v>180</v>
      </c>
      <c r="M408" s="27">
        <v>13235</v>
      </c>
      <c r="N408" s="27">
        <v>0</v>
      </c>
      <c r="O408" s="27">
        <v>0</v>
      </c>
      <c r="P408" s="27">
        <v>0</v>
      </c>
      <c r="Q408" s="27">
        <v>0</v>
      </c>
      <c r="R408" s="27">
        <v>0</v>
      </c>
      <c r="S408" s="27">
        <v>0</v>
      </c>
      <c r="T408" s="27">
        <v>0</v>
      </c>
      <c r="U408" s="27">
        <v>13235</v>
      </c>
    </row>
    <row r="409" spans="5:21" x14ac:dyDescent="0.2">
      <c r="E409" s="27" t="s">
        <v>27</v>
      </c>
      <c r="F409" s="27">
        <v>8255</v>
      </c>
      <c r="G409" s="27">
        <v>1332</v>
      </c>
      <c r="H409" s="27">
        <v>3550</v>
      </c>
      <c r="I409" s="27">
        <v>0</v>
      </c>
      <c r="J409" s="27">
        <v>13137</v>
      </c>
      <c r="K409" s="27">
        <v>154</v>
      </c>
      <c r="L409" s="27">
        <v>179</v>
      </c>
      <c r="M409" s="27">
        <v>13137</v>
      </c>
      <c r="N409" s="27">
        <v>0</v>
      </c>
      <c r="O409" s="27">
        <v>0</v>
      </c>
      <c r="P409" s="27">
        <v>0</v>
      </c>
      <c r="Q409" s="27">
        <v>0</v>
      </c>
      <c r="R409" s="27">
        <v>0</v>
      </c>
      <c r="S409" s="27">
        <v>0</v>
      </c>
      <c r="T409" s="27">
        <v>0</v>
      </c>
      <c r="U409" s="27">
        <v>13137</v>
      </c>
    </row>
    <row r="410" spans="5:21" x14ac:dyDescent="0.2">
      <c r="E410" s="27" t="s">
        <v>20</v>
      </c>
      <c r="F410" s="27">
        <v>8905</v>
      </c>
      <c r="G410" s="27">
        <v>296</v>
      </c>
      <c r="H410" s="27">
        <v>3337</v>
      </c>
      <c r="I410" s="27">
        <v>-100</v>
      </c>
      <c r="J410" s="27">
        <v>12438</v>
      </c>
      <c r="K410" s="27">
        <v>133</v>
      </c>
      <c r="L410" s="27">
        <v>186</v>
      </c>
      <c r="M410" s="27">
        <v>12438</v>
      </c>
      <c r="N410" s="27">
        <v>0</v>
      </c>
      <c r="O410" s="27">
        <v>0</v>
      </c>
      <c r="P410" s="27">
        <v>0</v>
      </c>
      <c r="Q410" s="27">
        <v>0</v>
      </c>
      <c r="R410" s="27">
        <v>0</v>
      </c>
      <c r="S410" s="27">
        <v>0</v>
      </c>
      <c r="T410" s="27">
        <v>0</v>
      </c>
      <c r="U410" s="27">
        <v>12438</v>
      </c>
    </row>
    <row r="411" spans="5:21" x14ac:dyDescent="0.2">
      <c r="E411" s="27" t="s">
        <v>25</v>
      </c>
      <c r="F411" s="27">
        <v>8190</v>
      </c>
      <c r="G411" s="27">
        <v>814</v>
      </c>
      <c r="H411" s="27">
        <v>3479</v>
      </c>
      <c r="I411" s="27">
        <v>-500</v>
      </c>
      <c r="J411" s="27">
        <v>11983</v>
      </c>
      <c r="K411" s="27">
        <v>134</v>
      </c>
      <c r="L411" s="27">
        <v>182</v>
      </c>
      <c r="M411" s="27">
        <v>11983</v>
      </c>
      <c r="N411" s="27">
        <v>0</v>
      </c>
      <c r="O411" s="27">
        <v>1</v>
      </c>
      <c r="P411" s="27">
        <v>1</v>
      </c>
      <c r="Q411" s="27">
        <v>0</v>
      </c>
      <c r="R411" s="27">
        <v>161</v>
      </c>
      <c r="S411" s="27">
        <v>58</v>
      </c>
      <c r="T411" s="27">
        <v>219</v>
      </c>
      <c r="U411" s="27">
        <v>12421</v>
      </c>
    </row>
    <row r="412" spans="5:21" x14ac:dyDescent="0.2">
      <c r="E412" s="27" t="s">
        <v>19</v>
      </c>
      <c r="F412" s="27">
        <v>8970</v>
      </c>
      <c r="G412" s="27">
        <v>740</v>
      </c>
      <c r="H412" s="27">
        <v>2130</v>
      </c>
      <c r="I412" s="27">
        <v>0</v>
      </c>
      <c r="J412" s="27">
        <v>11840</v>
      </c>
      <c r="K412" s="27">
        <v>161</v>
      </c>
      <c r="L412" s="27">
        <v>175</v>
      </c>
      <c r="M412" s="27">
        <v>11840</v>
      </c>
      <c r="N412" s="27">
        <v>0</v>
      </c>
      <c r="O412" s="27">
        <v>0</v>
      </c>
      <c r="P412" s="27">
        <v>1</v>
      </c>
      <c r="Q412" s="27">
        <v>0</v>
      </c>
      <c r="R412" s="27">
        <v>0</v>
      </c>
      <c r="S412" s="27">
        <v>58</v>
      </c>
      <c r="T412" s="27">
        <v>58</v>
      </c>
      <c r="U412" s="27">
        <v>11956</v>
      </c>
    </row>
    <row r="413" spans="5:21" x14ac:dyDescent="0.2">
      <c r="E413" s="27" t="s">
        <v>24</v>
      </c>
      <c r="F413" s="27">
        <v>6045</v>
      </c>
      <c r="G413" s="27">
        <v>1776</v>
      </c>
      <c r="H413" s="27">
        <v>4473</v>
      </c>
      <c r="I413" s="27">
        <v>-50</v>
      </c>
      <c r="J413" s="27">
        <v>12244</v>
      </c>
      <c r="K413" s="27">
        <v>173</v>
      </c>
      <c r="L413" s="27">
        <v>167</v>
      </c>
      <c r="M413" s="27">
        <v>12244</v>
      </c>
      <c r="N413" s="27">
        <v>0</v>
      </c>
      <c r="O413" s="27">
        <v>0</v>
      </c>
      <c r="P413" s="27">
        <v>0</v>
      </c>
      <c r="Q413" s="27">
        <v>0</v>
      </c>
      <c r="R413" s="27">
        <v>0</v>
      </c>
      <c r="S413" s="27">
        <v>0</v>
      </c>
      <c r="T413" s="27">
        <v>0</v>
      </c>
      <c r="U413" s="27">
        <v>12244</v>
      </c>
    </row>
    <row r="415" spans="5:21" x14ac:dyDescent="0.2">
      <c r="E415" s="27" t="s">
        <v>806</v>
      </c>
    </row>
    <row r="416" spans="5:21" x14ac:dyDescent="0.2">
      <c r="E416" s="27" t="s">
        <v>807</v>
      </c>
      <c r="F416" s="27">
        <v>840</v>
      </c>
    </row>
    <row r="417" spans="5:6" x14ac:dyDescent="0.2">
      <c r="E417" s="27" t="s">
        <v>808</v>
      </c>
      <c r="F417" s="27">
        <v>1289</v>
      </c>
    </row>
    <row r="418" spans="5:6" ht="13.5" thickBot="1" x14ac:dyDescent="0.25">
      <c r="E418" s="833" t="s">
        <v>809</v>
      </c>
      <c r="F418" s="833">
        <f>SUM(F416:F417)</f>
        <v>2129</v>
      </c>
    </row>
    <row r="419" spans="5:6" ht="13.5" thickTop="1" x14ac:dyDescent="0.2"/>
    <row r="421" spans="5:6" x14ac:dyDescent="0.2">
      <c r="E421" s="27" t="s">
        <v>810</v>
      </c>
    </row>
    <row r="422" spans="5:6" x14ac:dyDescent="0.2">
      <c r="E422" s="27" t="s">
        <v>811</v>
      </c>
    </row>
    <row r="424" spans="5:6" x14ac:dyDescent="0.2">
      <c r="E424" s="27" t="s">
        <v>812</v>
      </c>
    </row>
    <row r="425" spans="5:6" x14ac:dyDescent="0.2">
      <c r="E425" s="27" t="s">
        <v>813</v>
      </c>
    </row>
    <row r="426" spans="5:6" x14ac:dyDescent="0.2">
      <c r="E426" s="27" t="s">
        <v>814</v>
      </c>
    </row>
    <row r="427" spans="5:6" x14ac:dyDescent="0.2">
      <c r="E427" s="27" t="s">
        <v>815</v>
      </c>
    </row>
    <row r="428" spans="5:6" x14ac:dyDescent="0.2">
      <c r="E428" s="27" t="s">
        <v>816</v>
      </c>
    </row>
    <row r="430" spans="5:6" x14ac:dyDescent="0.2">
      <c r="E430" s="27" t="s">
        <v>958</v>
      </c>
    </row>
    <row r="431" spans="5:6" x14ac:dyDescent="0.2">
      <c r="E431" s="27" t="s">
        <v>959</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topLeftCell="A16" workbookViewId="0">
      <selection activeCell="C36" sqref="C36"/>
    </sheetView>
  </sheetViews>
  <sheetFormatPr baseColWidth="10" defaultColWidth="10.5703125" defaultRowHeight="12.75" x14ac:dyDescent="0.2"/>
  <cols>
    <col min="1" max="1" width="12.5703125" customWidth="1"/>
    <col min="2" max="2" width="12.42578125" bestFit="1" customWidth="1"/>
  </cols>
  <sheetData>
    <row r="1" spans="1:5" x14ac:dyDescent="0.2">
      <c r="A1" s="395" t="s">
        <v>817</v>
      </c>
      <c r="B1" s="396" t="str" cm="1">
        <f t="array" ref="B1">"fra "&amp;A13&amp;" til "&amp;LOOKUP(2,1/(A10:A50&lt;&gt;""),A10:A50)</f>
        <v>fra '02/03 til 25/26</v>
      </c>
      <c r="C1" s="396"/>
      <c r="D1" s="39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1</v>
      </c>
      <c r="C8" s="4"/>
      <c r="D8" s="4"/>
      <c r="E8" s="4"/>
    </row>
    <row r="9" spans="1:5" x14ac:dyDescent="0.2">
      <c r="A9" s="4"/>
      <c r="B9" s="4"/>
      <c r="C9" s="4"/>
      <c r="D9" s="4"/>
      <c r="E9" s="4"/>
    </row>
    <row r="10" spans="1:5" x14ac:dyDescent="0.2">
      <c r="A10" s="4"/>
      <c r="B10" s="4"/>
      <c r="C10" s="4"/>
      <c r="D10" s="4"/>
      <c r="E10" s="4"/>
    </row>
    <row r="12" spans="1:5" x14ac:dyDescent="0.2">
      <c r="A12" t="s">
        <v>818</v>
      </c>
    </row>
    <row r="13" spans="1:5" x14ac:dyDescent="0.2">
      <c r="A13" t="s">
        <v>819</v>
      </c>
      <c r="B13" t="s">
        <v>22</v>
      </c>
      <c r="C13">
        <v>456</v>
      </c>
    </row>
    <row r="14" spans="1:5" x14ac:dyDescent="0.2">
      <c r="A14" t="s">
        <v>820</v>
      </c>
      <c r="B14" t="s">
        <v>23</v>
      </c>
      <c r="C14">
        <v>821</v>
      </c>
    </row>
    <row r="15" spans="1:5" x14ac:dyDescent="0.2">
      <c r="A15" t="s">
        <v>821</v>
      </c>
      <c r="B15" t="s">
        <v>23</v>
      </c>
      <c r="C15">
        <v>817</v>
      </c>
    </row>
    <row r="16" spans="1:5" x14ac:dyDescent="0.2">
      <c r="A16" t="s">
        <v>822</v>
      </c>
      <c r="B16" t="s">
        <v>19</v>
      </c>
      <c r="C16">
        <v>195</v>
      </c>
    </row>
    <row r="17" spans="1:3" x14ac:dyDescent="0.2">
      <c r="A17" t="s">
        <v>823</v>
      </c>
      <c r="B17" t="s">
        <v>23</v>
      </c>
      <c r="C17">
        <v>445</v>
      </c>
    </row>
    <row r="18" spans="1:3" x14ac:dyDescent="0.2">
      <c r="A18" t="s">
        <v>824</v>
      </c>
      <c r="B18" t="s">
        <v>21</v>
      </c>
      <c r="C18">
        <v>375</v>
      </c>
    </row>
    <row r="19" spans="1:3" x14ac:dyDescent="0.2">
      <c r="A19" t="s">
        <v>825</v>
      </c>
      <c r="B19" t="s">
        <v>24</v>
      </c>
      <c r="C19">
        <v>1177</v>
      </c>
    </row>
    <row r="20" spans="1:3" x14ac:dyDescent="0.2">
      <c r="A20" t="s">
        <v>826</v>
      </c>
      <c r="B20" t="s">
        <v>22</v>
      </c>
      <c r="C20">
        <v>14456</v>
      </c>
    </row>
    <row r="21" spans="1:3" x14ac:dyDescent="0.2">
      <c r="A21" t="s">
        <v>827</v>
      </c>
      <c r="B21" t="s">
        <v>22</v>
      </c>
      <c r="C21">
        <v>14228</v>
      </c>
    </row>
    <row r="22" spans="1:3" x14ac:dyDescent="0.2">
      <c r="A22" t="s">
        <v>828</v>
      </c>
      <c r="B22" t="s">
        <v>23</v>
      </c>
      <c r="C22">
        <v>14001</v>
      </c>
    </row>
    <row r="23" spans="1:3" x14ac:dyDescent="0.2">
      <c r="A23" t="s">
        <v>829</v>
      </c>
      <c r="B23" t="s">
        <v>22</v>
      </c>
      <c r="C23">
        <v>12519</v>
      </c>
    </row>
    <row r="24" spans="1:3" x14ac:dyDescent="0.2">
      <c r="A24" t="s">
        <v>830</v>
      </c>
      <c r="B24" t="s">
        <v>19</v>
      </c>
      <c r="C24">
        <v>12489</v>
      </c>
    </row>
    <row r="25" spans="1:3" x14ac:dyDescent="0.2">
      <c r="A25" t="s">
        <v>831</v>
      </c>
      <c r="B25" t="s">
        <v>19</v>
      </c>
      <c r="C25">
        <v>12489</v>
      </c>
    </row>
    <row r="26" spans="1:3" x14ac:dyDescent="0.2">
      <c r="A26" t="s">
        <v>832</v>
      </c>
      <c r="B26" t="s">
        <v>25</v>
      </c>
      <c r="C26">
        <v>12377</v>
      </c>
    </row>
    <row r="27" spans="1:3" x14ac:dyDescent="0.2">
      <c r="A27" t="s">
        <v>833</v>
      </c>
      <c r="B27" t="s">
        <v>22</v>
      </c>
      <c r="C27">
        <v>12830</v>
      </c>
    </row>
    <row r="28" spans="1:3" x14ac:dyDescent="0.2">
      <c r="A28" t="s">
        <v>834</v>
      </c>
      <c r="B28" t="s">
        <v>22</v>
      </c>
      <c r="C28">
        <v>11476</v>
      </c>
    </row>
    <row r="29" spans="1:3" x14ac:dyDescent="0.2">
      <c r="A29" t="s">
        <v>835</v>
      </c>
      <c r="B29" t="s">
        <v>22</v>
      </c>
      <c r="C29">
        <v>11352</v>
      </c>
    </row>
    <row r="30" spans="1:3" x14ac:dyDescent="0.2">
      <c r="A30" t="s">
        <v>836</v>
      </c>
      <c r="B30" t="s">
        <v>21</v>
      </c>
      <c r="C30">
        <v>7223</v>
      </c>
    </row>
    <row r="31" spans="1:3" x14ac:dyDescent="0.2">
      <c r="A31" t="s">
        <v>837</v>
      </c>
      <c r="B31" t="s">
        <v>22</v>
      </c>
      <c r="C31">
        <v>3870</v>
      </c>
    </row>
    <row r="32" spans="1:3" x14ac:dyDescent="0.2">
      <c r="A32" t="s">
        <v>838</v>
      </c>
      <c r="B32" t="s">
        <v>22</v>
      </c>
      <c r="C32">
        <v>10844</v>
      </c>
    </row>
    <row r="33" spans="1:3" x14ac:dyDescent="0.2">
      <c r="A33" s="547" t="s">
        <v>839</v>
      </c>
      <c r="B33" t="s">
        <v>23</v>
      </c>
      <c r="C33">
        <v>15320</v>
      </c>
    </row>
    <row r="34" spans="1:3" x14ac:dyDescent="0.2">
      <c r="A34" s="547" t="s">
        <v>840</v>
      </c>
      <c r="B34" t="s">
        <v>23</v>
      </c>
      <c r="C34">
        <v>11620</v>
      </c>
    </row>
    <row r="35" spans="1:3" x14ac:dyDescent="0.2">
      <c r="A35" t="s">
        <v>841</v>
      </c>
      <c r="B35" t="s">
        <v>23</v>
      </c>
      <c r="C35">
        <v>11830</v>
      </c>
    </row>
    <row r="36" spans="1:3" x14ac:dyDescent="0.2">
      <c r="A36" t="s">
        <v>842</v>
      </c>
      <c r="B36" t="s">
        <v>20</v>
      </c>
      <c r="C36">
        <v>17320</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X715"/>
  <sheetViews>
    <sheetView showGridLines="0" topLeftCell="W1" workbookViewId="0">
      <selection activeCell="BU4" sqref="BU4:BU42"/>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 min="72" max="72" width="14.42578125" customWidth="1"/>
  </cols>
  <sheetData>
    <row r="1" spans="1:76" ht="17.25" thickBot="1" x14ac:dyDescent="0.35">
      <c r="A1" s="20" t="s">
        <v>843</v>
      </c>
      <c r="X1">
        <v>1200</v>
      </c>
      <c r="Y1" t="s">
        <v>844</v>
      </c>
      <c r="AA1" s="145" t="s">
        <v>845</v>
      </c>
      <c r="AD1" s="20" t="s">
        <v>846</v>
      </c>
      <c r="AE1" t="e">
        <f>COUNTIF(Hjelpeark!#REF!,"&gt;I/T")</f>
        <v>#REF!</v>
      </c>
      <c r="AF1" s="20" t="s">
        <v>37</v>
      </c>
      <c r="AG1">
        <v>65</v>
      </c>
      <c r="AI1">
        <v>10</v>
      </c>
      <c r="AJ1">
        <v>58</v>
      </c>
      <c r="AL1" s="22">
        <v>46249</v>
      </c>
      <c r="AM1">
        <v>0</v>
      </c>
      <c r="AN1">
        <v>1</v>
      </c>
      <c r="BA1" s="18" t="s">
        <v>847</v>
      </c>
      <c r="BI1" t="s">
        <v>848</v>
      </c>
      <c r="BS1" s="834"/>
      <c r="BT1" s="834"/>
      <c r="BU1" s="834"/>
      <c r="BV1" s="866"/>
      <c r="BW1" s="866"/>
      <c r="BX1" s="834"/>
    </row>
    <row r="2" spans="1:76" ht="15" x14ac:dyDescent="0.25">
      <c r="A2" s="20">
        <v>33</v>
      </c>
      <c r="AA2" s="5" t="s">
        <v>849</v>
      </c>
      <c r="AF2" s="20" t="s">
        <v>38</v>
      </c>
      <c r="AG2">
        <v>74</v>
      </c>
      <c r="AI2">
        <v>11</v>
      </c>
      <c r="AJ2">
        <v>161</v>
      </c>
      <c r="AL2" s="22">
        <f>AL1+7</f>
        <v>46256</v>
      </c>
      <c r="AM2">
        <f>AM1+22</f>
        <v>22</v>
      </c>
      <c r="AN2">
        <v>2</v>
      </c>
      <c r="BA2" s="18" t="s">
        <v>847</v>
      </c>
      <c r="BI2">
        <v>65</v>
      </c>
      <c r="BJ2">
        <v>74</v>
      </c>
      <c r="BK2">
        <v>71</v>
      </c>
      <c r="BS2" s="835" t="s">
        <v>850</v>
      </c>
      <c r="BT2" s="836" t="s">
        <v>497</v>
      </c>
      <c r="BU2" s="837" t="s">
        <v>851</v>
      </c>
      <c r="BV2" s="836" t="s">
        <v>440</v>
      </c>
      <c r="BW2" s="836" t="s">
        <v>852</v>
      </c>
      <c r="BX2" s="838" t="s">
        <v>35</v>
      </c>
    </row>
    <row r="3" spans="1:76" ht="15" x14ac:dyDescent="0.25">
      <c r="A3" s="20">
        <v>34</v>
      </c>
      <c r="AA3" s="5">
        <v>2001</v>
      </c>
      <c r="AF3" s="20" t="s">
        <v>39</v>
      </c>
      <c r="AG3">
        <v>71</v>
      </c>
      <c r="AI3">
        <v>12</v>
      </c>
      <c r="AJ3">
        <v>1070</v>
      </c>
      <c r="AL3" s="22">
        <f t="shared" ref="AL3:AL40" si="0">AL2+7</f>
        <v>46263</v>
      </c>
      <c r="AM3">
        <f t="shared" ref="AM3:AM40" si="1">AM2+22</f>
        <v>44</v>
      </c>
      <c r="AN3">
        <v>3</v>
      </c>
      <c r="BA3" s="18" t="s">
        <v>847</v>
      </c>
      <c r="BS3" s="839"/>
      <c r="BT3" s="840"/>
      <c r="BU3" s="841"/>
      <c r="BV3" s="840"/>
      <c r="BW3" s="840"/>
      <c r="BX3" s="842"/>
    </row>
    <row r="4" spans="1:76" ht="18" x14ac:dyDescent="0.35">
      <c r="A4" s="20">
        <v>35</v>
      </c>
      <c r="E4" s="2" t="s">
        <v>853</v>
      </c>
      <c r="J4">
        <v>10</v>
      </c>
      <c r="T4">
        <v>20</v>
      </c>
      <c r="AA4" s="5">
        <f ca="1">YEAR(TODAY())</f>
        <v>2026</v>
      </c>
      <c r="AL4" s="22">
        <f t="shared" si="0"/>
        <v>46270</v>
      </c>
      <c r="AM4">
        <f t="shared" si="1"/>
        <v>66</v>
      </c>
      <c r="AN4">
        <v>4</v>
      </c>
      <c r="BA4" s="18" t="s">
        <v>847</v>
      </c>
      <c r="BS4" s="839">
        <v>1</v>
      </c>
      <c r="BT4" s="843">
        <v>45885</v>
      </c>
      <c r="BU4" s="841" t="s">
        <v>23</v>
      </c>
      <c r="BV4" s="844">
        <v>2</v>
      </c>
      <c r="BW4" s="844">
        <v>9</v>
      </c>
      <c r="BX4" s="845">
        <v>0</v>
      </c>
    </row>
    <row r="5" spans="1:76" ht="16.5" x14ac:dyDescent="0.3">
      <c r="A5" s="20">
        <v>36</v>
      </c>
      <c r="E5" s="13" t="s">
        <v>853</v>
      </c>
      <c r="F5" s="14"/>
      <c r="G5" s="14"/>
      <c r="H5" s="15"/>
      <c r="I5" s="15"/>
      <c r="J5" s="16"/>
      <c r="K5" s="15"/>
      <c r="AA5" s="5" t="s">
        <v>854</v>
      </c>
      <c r="AL5" s="22">
        <f t="shared" si="0"/>
        <v>46277</v>
      </c>
      <c r="AM5">
        <f t="shared" si="1"/>
        <v>88</v>
      </c>
      <c r="AN5">
        <v>5</v>
      </c>
      <c r="BA5" s="18" t="s">
        <v>847</v>
      </c>
      <c r="BS5" s="839">
        <v>34</v>
      </c>
      <c r="BT5" s="843">
        <v>45892</v>
      </c>
      <c r="BU5" s="841" t="s">
        <v>20</v>
      </c>
      <c r="BV5" s="844">
        <v>2</v>
      </c>
      <c r="BW5" s="844">
        <v>10</v>
      </c>
      <c r="BX5" s="846">
        <v>70</v>
      </c>
    </row>
    <row r="6" spans="1:76" ht="16.5" x14ac:dyDescent="0.3">
      <c r="A6" s="20">
        <v>37</v>
      </c>
      <c r="E6" s="12" t="s">
        <v>855</v>
      </c>
      <c r="F6" s="12" t="s">
        <v>856</v>
      </c>
      <c r="G6" s="12" t="s">
        <v>857</v>
      </c>
      <c r="H6" s="12" t="s">
        <v>858</v>
      </c>
      <c r="I6" s="17">
        <v>10</v>
      </c>
      <c r="J6" s="17">
        <v>11</v>
      </c>
      <c r="K6" s="17">
        <v>12</v>
      </c>
      <c r="AL6" s="22">
        <f t="shared" si="0"/>
        <v>46284</v>
      </c>
      <c r="AM6">
        <f t="shared" si="1"/>
        <v>110</v>
      </c>
      <c r="AN6">
        <v>6</v>
      </c>
      <c r="BA6" s="18" t="s">
        <v>847</v>
      </c>
      <c r="BS6" s="839">
        <v>35</v>
      </c>
      <c r="BT6" s="843">
        <v>45899</v>
      </c>
      <c r="BU6" s="863" t="s">
        <v>859</v>
      </c>
      <c r="BV6" s="864"/>
      <c r="BW6" s="864"/>
      <c r="BX6" s="865"/>
    </row>
    <row r="7" spans="1:76" ht="16.5" x14ac:dyDescent="0.3">
      <c r="A7" s="20">
        <v>38</v>
      </c>
      <c r="E7" s="17">
        <v>65</v>
      </c>
      <c r="F7" s="17">
        <v>74</v>
      </c>
      <c r="G7" s="17">
        <v>71</v>
      </c>
      <c r="H7" s="17">
        <v>-50</v>
      </c>
      <c r="I7" s="17">
        <v>50</v>
      </c>
      <c r="J7" s="17">
        <v>100</v>
      </c>
      <c r="K7" s="17">
        <v>300</v>
      </c>
      <c r="AL7" s="22">
        <f t="shared" si="0"/>
        <v>46291</v>
      </c>
      <c r="AM7">
        <f t="shared" si="1"/>
        <v>132</v>
      </c>
      <c r="AN7">
        <v>7</v>
      </c>
      <c r="BA7" s="18" t="s">
        <v>847</v>
      </c>
      <c r="BS7" s="839">
        <v>36</v>
      </c>
      <c r="BT7" s="843">
        <v>45906</v>
      </c>
      <c r="BU7" s="863" t="s">
        <v>859</v>
      </c>
      <c r="BV7" s="864"/>
      <c r="BW7" s="864"/>
      <c r="BX7" s="865"/>
    </row>
    <row r="8" spans="1:76" ht="16.5" x14ac:dyDescent="0.3">
      <c r="A8">
        <v>39</v>
      </c>
      <c r="AL8" s="22">
        <f t="shared" si="0"/>
        <v>46298</v>
      </c>
      <c r="AM8">
        <f t="shared" si="1"/>
        <v>154</v>
      </c>
      <c r="AN8">
        <v>8</v>
      </c>
      <c r="BA8" s="18" t="s">
        <v>847</v>
      </c>
      <c r="BS8" s="839">
        <v>37</v>
      </c>
      <c r="BT8" s="843">
        <v>45913</v>
      </c>
      <c r="BU8" s="863" t="s">
        <v>859</v>
      </c>
      <c r="BV8" s="864"/>
      <c r="BW8" s="864"/>
      <c r="BX8" s="865"/>
    </row>
    <row r="9" spans="1:76" ht="16.5" x14ac:dyDescent="0.3">
      <c r="A9">
        <v>40</v>
      </c>
      <c r="AL9" s="22">
        <f t="shared" si="0"/>
        <v>46305</v>
      </c>
      <c r="AM9">
        <f t="shared" si="1"/>
        <v>176</v>
      </c>
      <c r="AN9">
        <v>9</v>
      </c>
      <c r="BA9" s="18" t="s">
        <v>847</v>
      </c>
      <c r="BS9" s="839">
        <v>38</v>
      </c>
      <c r="BT9" s="843">
        <v>45920</v>
      </c>
      <c r="BU9" s="841" t="s">
        <v>24</v>
      </c>
      <c r="BV9" s="844">
        <v>3</v>
      </c>
      <c r="BW9" s="844">
        <v>10</v>
      </c>
      <c r="BX9" s="846">
        <v>420</v>
      </c>
    </row>
    <row r="10" spans="1:76" ht="18" x14ac:dyDescent="0.35">
      <c r="A10">
        <v>41</v>
      </c>
      <c r="E10" s="2" t="s">
        <v>860</v>
      </c>
      <c r="AL10" s="22">
        <f t="shared" si="0"/>
        <v>46312</v>
      </c>
      <c r="AM10">
        <f t="shared" si="1"/>
        <v>198</v>
      </c>
      <c r="AN10">
        <v>10</v>
      </c>
      <c r="BA10" s="18" t="s">
        <v>847</v>
      </c>
      <c r="BS10" s="839">
        <v>39</v>
      </c>
      <c r="BT10" s="843">
        <v>45927</v>
      </c>
      <c r="BU10" s="841" t="s">
        <v>21</v>
      </c>
      <c r="BV10" s="844">
        <v>1</v>
      </c>
      <c r="BW10" s="844">
        <v>8</v>
      </c>
      <c r="BX10" s="845">
        <v>0</v>
      </c>
    </row>
    <row r="11" spans="1:76" ht="167.85" customHeight="1" x14ac:dyDescent="0.3">
      <c r="A11">
        <v>42</v>
      </c>
      <c r="E11" t="s">
        <v>19</v>
      </c>
      <c r="F11" t="s">
        <v>861</v>
      </c>
      <c r="H11" s="18" t="s">
        <v>862</v>
      </c>
      <c r="M11" t="s">
        <v>863</v>
      </c>
      <c r="S11" t="s">
        <v>864</v>
      </c>
      <c r="AL11" s="22">
        <f t="shared" si="0"/>
        <v>46319</v>
      </c>
      <c r="AM11">
        <f t="shared" si="1"/>
        <v>220</v>
      </c>
      <c r="AN11">
        <v>11</v>
      </c>
      <c r="BS11" s="839">
        <v>40</v>
      </c>
      <c r="BT11" s="843">
        <v>45934</v>
      </c>
      <c r="BU11" s="841" t="s">
        <v>20</v>
      </c>
      <c r="BV11" s="847">
        <v>41640</v>
      </c>
      <c r="BW11" s="848">
        <v>46306</v>
      </c>
      <c r="BX11" s="846">
        <v>210</v>
      </c>
    </row>
    <row r="12" spans="1:76" ht="161.85" customHeight="1" x14ac:dyDescent="0.3">
      <c r="A12">
        <v>43</v>
      </c>
      <c r="E12" t="s">
        <v>20</v>
      </c>
      <c r="F12" t="s">
        <v>865</v>
      </c>
      <c r="H12" s="18" t="s">
        <v>866</v>
      </c>
      <c r="M12" t="s">
        <v>867</v>
      </c>
      <c r="S12" t="s">
        <v>868</v>
      </c>
      <c r="AL12" s="22">
        <f t="shared" si="0"/>
        <v>46326</v>
      </c>
      <c r="AM12">
        <f t="shared" si="1"/>
        <v>242</v>
      </c>
      <c r="AN12">
        <v>12</v>
      </c>
      <c r="BS12" s="839">
        <v>41</v>
      </c>
      <c r="BT12" s="843">
        <v>45941</v>
      </c>
      <c r="BU12" s="841" t="s">
        <v>22</v>
      </c>
      <c r="BV12" s="844">
        <v>2</v>
      </c>
      <c r="BW12" s="844">
        <v>10</v>
      </c>
      <c r="BX12" s="846">
        <v>30</v>
      </c>
    </row>
    <row r="13" spans="1:76" ht="145.35" customHeight="1" x14ac:dyDescent="0.3">
      <c r="A13">
        <v>44</v>
      </c>
      <c r="E13" t="s">
        <v>21</v>
      </c>
      <c r="F13" t="s">
        <v>869</v>
      </c>
      <c r="H13" s="18" t="s">
        <v>870</v>
      </c>
      <c r="M13" t="s">
        <v>871</v>
      </c>
      <c r="S13" t="s">
        <v>872</v>
      </c>
      <c r="AL13" s="22">
        <f t="shared" si="0"/>
        <v>46333</v>
      </c>
      <c r="AM13">
        <f t="shared" si="1"/>
        <v>264</v>
      </c>
      <c r="AN13">
        <v>13</v>
      </c>
      <c r="BS13" s="839">
        <v>42</v>
      </c>
      <c r="BT13" s="843">
        <v>45948</v>
      </c>
      <c r="BU13" s="841" t="s">
        <v>873</v>
      </c>
      <c r="BV13" s="848">
        <v>46084</v>
      </c>
      <c r="BW13" s="848">
        <v>46306</v>
      </c>
      <c r="BX13" s="846">
        <v>345</v>
      </c>
    </row>
    <row r="14" spans="1:76" ht="145.35" customHeight="1" x14ac:dyDescent="0.3">
      <c r="A14">
        <v>45</v>
      </c>
      <c r="E14" t="s">
        <v>22</v>
      </c>
      <c r="F14" t="s">
        <v>874</v>
      </c>
      <c r="H14" s="18" t="s">
        <v>875</v>
      </c>
      <c r="M14" t="s">
        <v>876</v>
      </c>
      <c r="S14" t="s">
        <v>877</v>
      </c>
      <c r="AL14" s="22">
        <f t="shared" si="0"/>
        <v>46340</v>
      </c>
      <c r="AM14">
        <f t="shared" si="1"/>
        <v>286</v>
      </c>
      <c r="AN14">
        <v>14</v>
      </c>
      <c r="BS14" s="839">
        <v>43</v>
      </c>
      <c r="BT14" s="843">
        <v>45955</v>
      </c>
      <c r="BU14" s="841" t="s">
        <v>23</v>
      </c>
      <c r="BV14" s="844">
        <v>1</v>
      </c>
      <c r="BW14" s="844">
        <v>10</v>
      </c>
      <c r="BX14" s="846">
        <v>160</v>
      </c>
    </row>
    <row r="15" spans="1:76" ht="162" customHeight="1" x14ac:dyDescent="0.3">
      <c r="A15">
        <v>46</v>
      </c>
      <c r="E15" t="s">
        <v>23</v>
      </c>
      <c r="F15" t="s">
        <v>849</v>
      </c>
      <c r="H15" s="18" t="s">
        <v>847</v>
      </c>
      <c r="M15" t="s">
        <v>878</v>
      </c>
      <c r="S15" t="s">
        <v>879</v>
      </c>
      <c r="AL15" s="22">
        <f t="shared" si="0"/>
        <v>46347</v>
      </c>
      <c r="AM15">
        <f t="shared" si="1"/>
        <v>308</v>
      </c>
      <c r="AN15">
        <v>15</v>
      </c>
      <c r="BS15" s="839">
        <v>44</v>
      </c>
      <c r="BT15" s="843">
        <v>45962</v>
      </c>
      <c r="BU15" s="841" t="s">
        <v>25</v>
      </c>
      <c r="BV15" s="844">
        <v>1</v>
      </c>
      <c r="BW15" s="844">
        <v>11</v>
      </c>
      <c r="BX15" s="846">
        <v>90</v>
      </c>
    </row>
    <row r="16" spans="1:76" ht="145.35" customHeight="1" x14ac:dyDescent="0.35">
      <c r="A16">
        <v>47</v>
      </c>
      <c r="E16" t="s">
        <v>24</v>
      </c>
      <c r="F16" t="s">
        <v>880</v>
      </c>
      <c r="H16" s="18" t="s">
        <v>881</v>
      </c>
      <c r="M16" t="s">
        <v>882</v>
      </c>
      <c r="S16" t="s">
        <v>883</v>
      </c>
      <c r="AL16" s="22">
        <f t="shared" si="0"/>
        <v>46354</v>
      </c>
      <c r="AM16">
        <f t="shared" si="1"/>
        <v>330</v>
      </c>
      <c r="AN16">
        <v>16</v>
      </c>
      <c r="BS16" s="839">
        <v>45</v>
      </c>
      <c r="BT16" s="843">
        <v>45969</v>
      </c>
      <c r="BU16" s="841" t="s">
        <v>20</v>
      </c>
      <c r="BV16" s="844">
        <v>6</v>
      </c>
      <c r="BW16" s="844">
        <v>8</v>
      </c>
      <c r="BX16" s="845">
        <v>0</v>
      </c>
    </row>
    <row r="17" spans="1:76" ht="145.35" customHeight="1" x14ac:dyDescent="0.3">
      <c r="A17">
        <v>48</v>
      </c>
      <c r="E17" t="s">
        <v>25</v>
      </c>
      <c r="F17" t="s">
        <v>884</v>
      </c>
      <c r="H17" s="18" t="s">
        <v>885</v>
      </c>
      <c r="M17" t="s">
        <v>886</v>
      </c>
      <c r="S17" t="s">
        <v>887</v>
      </c>
      <c r="AL17" s="22">
        <f t="shared" si="0"/>
        <v>46361</v>
      </c>
      <c r="AM17">
        <f t="shared" si="1"/>
        <v>352</v>
      </c>
      <c r="AN17">
        <v>17</v>
      </c>
      <c r="BS17" s="839">
        <v>46</v>
      </c>
      <c r="BT17" s="843">
        <v>45976</v>
      </c>
      <c r="BU17" s="841" t="s">
        <v>21</v>
      </c>
      <c r="BV17" s="848">
        <v>46054</v>
      </c>
      <c r="BW17" s="848">
        <v>46306</v>
      </c>
      <c r="BX17" s="849">
        <v>590</v>
      </c>
    </row>
    <row r="18" spans="1:76" ht="18" x14ac:dyDescent="0.35">
      <c r="A18">
        <v>49</v>
      </c>
      <c r="E18" t="s">
        <v>26</v>
      </c>
      <c r="F18" t="s">
        <v>888</v>
      </c>
      <c r="M18" t="s">
        <v>889</v>
      </c>
      <c r="S18" t="s">
        <v>890</v>
      </c>
      <c r="AL18" s="22">
        <f t="shared" si="0"/>
        <v>46368</v>
      </c>
      <c r="AM18">
        <f t="shared" si="1"/>
        <v>374</v>
      </c>
      <c r="AN18">
        <v>18</v>
      </c>
      <c r="BS18" s="839">
        <v>47</v>
      </c>
      <c r="BT18" s="843">
        <v>45983</v>
      </c>
      <c r="BU18" s="841" t="s">
        <v>22</v>
      </c>
      <c r="BV18" s="844">
        <v>3</v>
      </c>
      <c r="BW18" s="844">
        <v>8</v>
      </c>
      <c r="BX18" s="845">
        <v>0</v>
      </c>
    </row>
    <row r="19" spans="1:76" ht="16.5" x14ac:dyDescent="0.3">
      <c r="E19" t="s">
        <v>27</v>
      </c>
      <c r="F19" t="s">
        <v>891</v>
      </c>
      <c r="M19" t="s">
        <v>892</v>
      </c>
      <c r="S19" t="s">
        <v>893</v>
      </c>
      <c r="AL19" s="22">
        <f t="shared" si="0"/>
        <v>46375</v>
      </c>
      <c r="AM19">
        <f t="shared" si="1"/>
        <v>396</v>
      </c>
      <c r="AN19">
        <v>19</v>
      </c>
      <c r="BS19" s="839">
        <v>48</v>
      </c>
      <c r="BT19" s="843">
        <v>45990</v>
      </c>
      <c r="BU19" s="841" t="s">
        <v>873</v>
      </c>
      <c r="BV19" s="844">
        <v>5</v>
      </c>
      <c r="BW19" s="844">
        <v>10</v>
      </c>
      <c r="BX19" s="846">
        <v>100</v>
      </c>
    </row>
    <row r="20" spans="1:76" ht="18" x14ac:dyDescent="0.35">
      <c r="AL20" s="22">
        <f t="shared" si="0"/>
        <v>46382</v>
      </c>
      <c r="AM20">
        <f t="shared" si="1"/>
        <v>418</v>
      </c>
      <c r="AN20">
        <v>20</v>
      </c>
      <c r="BS20" s="839">
        <v>49</v>
      </c>
      <c r="BT20" s="843">
        <v>45997</v>
      </c>
      <c r="BU20" s="841" t="s">
        <v>24</v>
      </c>
      <c r="BV20" s="844">
        <v>3</v>
      </c>
      <c r="BW20" s="844">
        <v>9</v>
      </c>
      <c r="BX20" s="845">
        <v>0</v>
      </c>
    </row>
    <row r="21" spans="1:76" ht="16.5" x14ac:dyDescent="0.3">
      <c r="A21">
        <v>50</v>
      </c>
      <c r="E21" s="2" t="s">
        <v>894</v>
      </c>
      <c r="AL21" s="22">
        <f t="shared" si="0"/>
        <v>46389</v>
      </c>
      <c r="AM21">
        <f t="shared" si="1"/>
        <v>440</v>
      </c>
      <c r="AN21">
        <v>21</v>
      </c>
      <c r="BS21" s="839">
        <v>50</v>
      </c>
      <c r="BT21" s="843">
        <v>46004</v>
      </c>
      <c r="BU21" s="841" t="s">
        <v>23</v>
      </c>
      <c r="BV21" s="844">
        <v>1</v>
      </c>
      <c r="BW21" s="844">
        <v>10</v>
      </c>
      <c r="BX21" s="846">
        <v>15</v>
      </c>
    </row>
    <row r="22" spans="1:76" ht="16.5" x14ac:dyDescent="0.3">
      <c r="A22">
        <v>51</v>
      </c>
      <c r="E22" t="s">
        <v>440</v>
      </c>
      <c r="F22">
        <v>0</v>
      </c>
      <c r="AL22" s="22">
        <f t="shared" si="0"/>
        <v>46396</v>
      </c>
      <c r="AM22">
        <f t="shared" si="1"/>
        <v>462</v>
      </c>
      <c r="AN22">
        <v>22</v>
      </c>
      <c r="BS22" s="839">
        <v>51</v>
      </c>
      <c r="BT22" s="843">
        <v>46011</v>
      </c>
      <c r="BU22" s="863" t="s">
        <v>859</v>
      </c>
      <c r="BV22" s="864"/>
      <c r="BW22" s="864"/>
      <c r="BX22" s="865"/>
    </row>
    <row r="23" spans="1:76" ht="16.5" x14ac:dyDescent="0.3">
      <c r="A23">
        <v>52</v>
      </c>
      <c r="E23" t="s">
        <v>895</v>
      </c>
      <c r="F23">
        <v>12</v>
      </c>
      <c r="AL23" s="22">
        <f t="shared" si="0"/>
        <v>46403</v>
      </c>
      <c r="AM23">
        <f t="shared" si="1"/>
        <v>484</v>
      </c>
      <c r="AN23">
        <v>23</v>
      </c>
      <c r="BS23" s="839">
        <v>52</v>
      </c>
      <c r="BT23" s="843">
        <v>46018</v>
      </c>
      <c r="BU23" s="863" t="s">
        <v>859</v>
      </c>
      <c r="BV23" s="864"/>
      <c r="BW23" s="864"/>
      <c r="BX23" s="865"/>
    </row>
    <row r="24" spans="1:76" ht="16.5" x14ac:dyDescent="0.3">
      <c r="A24">
        <v>1</v>
      </c>
      <c r="E24" t="s">
        <v>896</v>
      </c>
      <c r="F24">
        <v>12</v>
      </c>
      <c r="AL24" s="22">
        <f t="shared" si="0"/>
        <v>46410</v>
      </c>
      <c r="AM24">
        <f t="shared" si="1"/>
        <v>506</v>
      </c>
      <c r="AN24">
        <v>24</v>
      </c>
      <c r="BS24" s="839">
        <v>1</v>
      </c>
      <c r="BT24" s="843">
        <v>46025</v>
      </c>
      <c r="BU24" s="863" t="s">
        <v>859</v>
      </c>
      <c r="BV24" s="864"/>
      <c r="BW24" s="864"/>
      <c r="BX24" s="865"/>
    </row>
    <row r="25" spans="1:76" ht="16.5" x14ac:dyDescent="0.3">
      <c r="A25">
        <v>2</v>
      </c>
      <c r="E25" t="s">
        <v>897</v>
      </c>
      <c r="F25">
        <v>0</v>
      </c>
      <c r="AL25" s="22">
        <f t="shared" si="0"/>
        <v>46417</v>
      </c>
      <c r="AM25">
        <f t="shared" si="1"/>
        <v>528</v>
      </c>
      <c r="AN25">
        <v>25</v>
      </c>
      <c r="BS25" s="839">
        <v>2</v>
      </c>
      <c r="BT25" s="843">
        <v>46032</v>
      </c>
      <c r="BU25" s="850" t="s">
        <v>20</v>
      </c>
      <c r="BV25" s="844">
        <v>1</v>
      </c>
      <c r="BW25" s="844">
        <v>10</v>
      </c>
      <c r="BX25" s="846">
        <v>10</v>
      </c>
    </row>
    <row r="26" spans="1:76" ht="18" x14ac:dyDescent="0.35">
      <c r="A26">
        <v>3</v>
      </c>
      <c r="E26" t="s">
        <v>898</v>
      </c>
      <c r="F26">
        <v>0</v>
      </c>
      <c r="AL26" s="22">
        <f t="shared" si="0"/>
        <v>46424</v>
      </c>
      <c r="AM26">
        <f t="shared" si="1"/>
        <v>550</v>
      </c>
      <c r="AN26">
        <v>26</v>
      </c>
      <c r="BS26" s="839">
        <v>3</v>
      </c>
      <c r="BT26" s="843">
        <v>46039</v>
      </c>
      <c r="BU26" s="850" t="s">
        <v>21</v>
      </c>
      <c r="BV26" s="844">
        <v>1</v>
      </c>
      <c r="BW26" s="844">
        <v>9</v>
      </c>
      <c r="BX26" s="845">
        <v>0</v>
      </c>
    </row>
    <row r="27" spans="1:76" ht="18" x14ac:dyDescent="0.35">
      <c r="A27">
        <v>4</v>
      </c>
      <c r="E27" s="4" t="s">
        <v>899</v>
      </c>
      <c r="F27">
        <v>-50</v>
      </c>
      <c r="AL27" s="22">
        <f t="shared" si="0"/>
        <v>46431</v>
      </c>
      <c r="AM27">
        <f t="shared" si="1"/>
        <v>572</v>
      </c>
      <c r="AN27">
        <v>27</v>
      </c>
      <c r="BS27" s="839">
        <v>4</v>
      </c>
      <c r="BT27" s="843">
        <v>46046</v>
      </c>
      <c r="BU27" s="850" t="s">
        <v>22</v>
      </c>
      <c r="BV27" s="844">
        <v>3</v>
      </c>
      <c r="BW27" s="844">
        <v>8</v>
      </c>
      <c r="BX27" s="845">
        <v>0</v>
      </c>
    </row>
    <row r="28" spans="1:76" ht="18" x14ac:dyDescent="0.35">
      <c r="A28">
        <v>5</v>
      </c>
      <c r="E28" s="4"/>
      <c r="AL28" s="22">
        <f t="shared" si="0"/>
        <v>46438</v>
      </c>
      <c r="AM28">
        <f t="shared" si="1"/>
        <v>594</v>
      </c>
      <c r="AN28">
        <v>28</v>
      </c>
      <c r="BS28" s="839">
        <v>5</v>
      </c>
      <c r="BT28" s="843">
        <v>46053</v>
      </c>
      <c r="BU28" s="841" t="s">
        <v>25</v>
      </c>
      <c r="BV28" s="844">
        <v>2</v>
      </c>
      <c r="BW28" s="844">
        <v>9</v>
      </c>
      <c r="BX28" s="845">
        <v>0</v>
      </c>
    </row>
    <row r="29" spans="1:76" ht="16.5" x14ac:dyDescent="0.3">
      <c r="A29">
        <v>6</v>
      </c>
      <c r="AL29" s="22">
        <f t="shared" si="0"/>
        <v>46445</v>
      </c>
      <c r="AM29">
        <f t="shared" si="1"/>
        <v>616</v>
      </c>
      <c r="AN29">
        <v>29</v>
      </c>
      <c r="BS29" s="839">
        <v>6</v>
      </c>
      <c r="BT29" s="843">
        <v>46060</v>
      </c>
      <c r="BU29" s="850" t="s">
        <v>21</v>
      </c>
      <c r="BV29" s="844">
        <v>2</v>
      </c>
      <c r="BW29" s="844">
        <v>10</v>
      </c>
      <c r="BX29" s="846">
        <v>630</v>
      </c>
    </row>
    <row r="30" spans="1:76" ht="16.5" x14ac:dyDescent="0.3">
      <c r="A30">
        <v>7</v>
      </c>
      <c r="E30" s="2" t="s">
        <v>497</v>
      </c>
      <c r="AL30" s="22">
        <f t="shared" si="0"/>
        <v>46452</v>
      </c>
      <c r="AM30">
        <f t="shared" si="1"/>
        <v>638</v>
      </c>
      <c r="AN30">
        <v>30</v>
      </c>
      <c r="BS30" s="839">
        <v>7</v>
      </c>
      <c r="BT30" s="843">
        <v>46067</v>
      </c>
      <c r="BU30" s="850" t="s">
        <v>873</v>
      </c>
      <c r="BV30" s="844">
        <v>1</v>
      </c>
      <c r="BW30" s="844">
        <v>10</v>
      </c>
      <c r="BX30" s="846">
        <v>145</v>
      </c>
    </row>
    <row r="31" spans="1:76" ht="18" x14ac:dyDescent="0.35">
      <c r="A31">
        <v>8</v>
      </c>
      <c r="E31" s="6" t="s">
        <v>900</v>
      </c>
      <c r="F31" s="542">
        <f ca="1">TODAY()</f>
        <v>46222</v>
      </c>
      <c r="AL31" s="22">
        <f t="shared" si="0"/>
        <v>46459</v>
      </c>
      <c r="AM31">
        <f t="shared" si="1"/>
        <v>660</v>
      </c>
      <c r="AN31">
        <v>31</v>
      </c>
      <c r="BS31" s="839">
        <v>8</v>
      </c>
      <c r="BT31" s="843">
        <v>46074</v>
      </c>
      <c r="BU31" s="850" t="s">
        <v>23</v>
      </c>
      <c r="BV31" s="844">
        <v>1</v>
      </c>
      <c r="BW31" s="844">
        <v>8</v>
      </c>
      <c r="BX31" s="845">
        <v>0</v>
      </c>
    </row>
    <row r="32" spans="1:76" ht="18" x14ac:dyDescent="0.35">
      <c r="A32">
        <v>9</v>
      </c>
      <c r="E32" s="8" t="s">
        <v>901</v>
      </c>
      <c r="F32" s="10">
        <f ca="1">WEEKDAY(F31)</f>
        <v>1</v>
      </c>
      <c r="AL32" s="22">
        <f t="shared" si="0"/>
        <v>46466</v>
      </c>
      <c r="AM32">
        <f t="shared" si="1"/>
        <v>682</v>
      </c>
      <c r="AN32">
        <v>32</v>
      </c>
      <c r="BS32" s="839">
        <v>9</v>
      </c>
      <c r="BT32" s="843">
        <v>46081</v>
      </c>
      <c r="BU32" s="841" t="s">
        <v>20</v>
      </c>
      <c r="BV32" s="844">
        <v>2</v>
      </c>
      <c r="BW32" s="844">
        <v>10</v>
      </c>
      <c r="BX32" s="845">
        <v>0</v>
      </c>
    </row>
    <row r="33" spans="1:76" ht="18" x14ac:dyDescent="0.35">
      <c r="A33">
        <v>10</v>
      </c>
      <c r="E33" s="8" t="s">
        <v>902</v>
      </c>
      <c r="F33" s="9">
        <f ca="1">TODAY()-DATE(2023,1,1)</f>
        <v>1295</v>
      </c>
      <c r="AL33" s="22">
        <f t="shared" si="0"/>
        <v>46473</v>
      </c>
      <c r="AM33">
        <f t="shared" si="1"/>
        <v>704</v>
      </c>
      <c r="AN33">
        <v>33</v>
      </c>
      <c r="BS33" s="839">
        <v>10</v>
      </c>
      <c r="BT33" s="843">
        <v>46088</v>
      </c>
      <c r="BU33" s="850" t="s">
        <v>24</v>
      </c>
      <c r="BV33" s="844">
        <v>2</v>
      </c>
      <c r="BW33" s="844">
        <v>9</v>
      </c>
      <c r="BX33" s="845">
        <v>0</v>
      </c>
    </row>
    <row r="34" spans="1:76" ht="18" x14ac:dyDescent="0.35">
      <c r="A34">
        <v>11</v>
      </c>
      <c r="E34" s="8" t="s">
        <v>903</v>
      </c>
      <c r="F34" s="9" t="str">
        <f ca="1">TEXT(F31,"MMMMMMMM")</f>
        <v>juli</v>
      </c>
      <c r="AL34" s="22">
        <f t="shared" si="0"/>
        <v>46480</v>
      </c>
      <c r="AM34">
        <f t="shared" si="1"/>
        <v>726</v>
      </c>
      <c r="AN34">
        <v>34</v>
      </c>
      <c r="BS34" s="839">
        <v>11</v>
      </c>
      <c r="BT34" s="843">
        <v>46095</v>
      </c>
      <c r="BU34" s="850" t="s">
        <v>21</v>
      </c>
      <c r="BV34" s="844">
        <v>1</v>
      </c>
      <c r="BW34" s="844">
        <v>9</v>
      </c>
      <c r="BX34" s="845">
        <v>0</v>
      </c>
    </row>
    <row r="35" spans="1:76" ht="18" x14ac:dyDescent="0.35">
      <c r="A35">
        <v>12</v>
      </c>
      <c r="E35" s="7" t="s">
        <v>850</v>
      </c>
      <c r="F35" s="11">
        <f ca="1">INT((F36-(DATE(YEAR(F36+(MOD(8-WEEKDAY(F36),7)-3)),1,1))-3+MOD(WEEKDAY(DATE(YEAR(F36+(MOD(8-WEEKDAY(B1),7)-3)),1,1))+1,7))/7)+1</f>
        <v>29</v>
      </c>
      <c r="AL35" s="22">
        <f t="shared" si="0"/>
        <v>46487</v>
      </c>
      <c r="AM35">
        <f t="shared" si="1"/>
        <v>748</v>
      </c>
      <c r="AN35">
        <v>35</v>
      </c>
      <c r="BS35" s="839">
        <v>12</v>
      </c>
      <c r="BT35" s="843">
        <v>46102</v>
      </c>
      <c r="BU35" s="850" t="s">
        <v>873</v>
      </c>
      <c r="BV35" s="844">
        <v>4</v>
      </c>
      <c r="BW35" s="844">
        <v>7</v>
      </c>
      <c r="BX35" s="845">
        <v>0</v>
      </c>
    </row>
    <row r="36" spans="1:76" ht="18" x14ac:dyDescent="0.35">
      <c r="A36">
        <v>13</v>
      </c>
      <c r="E36" s="7" t="s">
        <v>904</v>
      </c>
      <c r="F36" s="11">
        <f ca="1">YEAR(TODAY())</f>
        <v>2026</v>
      </c>
      <c r="AL36" s="22">
        <f t="shared" si="0"/>
        <v>46494</v>
      </c>
      <c r="AM36">
        <f t="shared" si="1"/>
        <v>770</v>
      </c>
      <c r="AN36">
        <v>36</v>
      </c>
      <c r="BS36" s="839">
        <v>13</v>
      </c>
      <c r="BT36" s="843">
        <v>46109</v>
      </c>
      <c r="BU36" s="841" t="s">
        <v>22</v>
      </c>
      <c r="BV36" s="844">
        <v>1</v>
      </c>
      <c r="BW36" s="844">
        <v>10</v>
      </c>
      <c r="BX36" s="851">
        <v>195</v>
      </c>
    </row>
    <row r="37" spans="1:76" ht="16.5" x14ac:dyDescent="0.3">
      <c r="A37">
        <v>14</v>
      </c>
      <c r="E37" s="5"/>
      <c r="AL37" s="22">
        <f t="shared" si="0"/>
        <v>46501</v>
      </c>
      <c r="AM37">
        <f t="shared" si="1"/>
        <v>792</v>
      </c>
      <c r="AN37">
        <v>37</v>
      </c>
      <c r="BS37" s="839">
        <v>14</v>
      </c>
      <c r="BT37" s="843">
        <v>46116</v>
      </c>
      <c r="BU37" s="863" t="s">
        <v>859</v>
      </c>
      <c r="BV37" s="864"/>
      <c r="BW37" s="864"/>
      <c r="BX37" s="865"/>
    </row>
    <row r="38" spans="1:76" ht="18" x14ac:dyDescent="0.35">
      <c r="A38">
        <v>15</v>
      </c>
      <c r="AL38" s="22">
        <f t="shared" si="0"/>
        <v>46508</v>
      </c>
      <c r="AM38">
        <f t="shared" si="1"/>
        <v>814</v>
      </c>
      <c r="AN38">
        <v>38</v>
      </c>
      <c r="BS38" s="839">
        <v>15</v>
      </c>
      <c r="BT38" s="843">
        <v>46123</v>
      </c>
      <c r="BU38" s="850" t="s">
        <v>21</v>
      </c>
      <c r="BV38" s="844">
        <v>2</v>
      </c>
      <c r="BW38" s="844">
        <v>9</v>
      </c>
      <c r="BX38" s="845">
        <v>0</v>
      </c>
    </row>
    <row r="39" spans="1:76" ht="18" x14ac:dyDescent="0.35">
      <c r="A39">
        <v>16</v>
      </c>
      <c r="H39" s="3"/>
      <c r="I39" s="3"/>
      <c r="J39" s="3"/>
      <c r="K39" s="3"/>
      <c r="L39" s="3"/>
      <c r="M39" s="3"/>
      <c r="N39" s="3"/>
      <c r="O39" s="3"/>
      <c r="P39" s="3"/>
      <c r="Q39" s="3"/>
      <c r="R39" s="3"/>
      <c r="S39" s="3"/>
      <c r="T39" s="3"/>
      <c r="U39" s="3"/>
      <c r="AL39" s="22">
        <f t="shared" si="0"/>
        <v>46515</v>
      </c>
      <c r="AM39">
        <f t="shared" si="1"/>
        <v>836</v>
      </c>
      <c r="AN39">
        <v>39</v>
      </c>
      <c r="BS39" s="839">
        <v>16</v>
      </c>
      <c r="BT39" s="843">
        <v>46130</v>
      </c>
      <c r="BU39" s="841" t="s">
        <v>23</v>
      </c>
      <c r="BV39" s="852">
        <v>2</v>
      </c>
      <c r="BW39" s="844">
        <v>9</v>
      </c>
      <c r="BX39" s="845">
        <v>0</v>
      </c>
    </row>
    <row r="40" spans="1:76" ht="18" x14ac:dyDescent="0.35">
      <c r="A40">
        <v>17</v>
      </c>
      <c r="H40" s="21"/>
      <c r="I40" s="21"/>
      <c r="J40" s="21"/>
      <c r="K40" s="21"/>
      <c r="L40" s="21"/>
      <c r="M40" s="21"/>
      <c r="N40" s="21"/>
      <c r="AL40" s="22">
        <f t="shared" si="0"/>
        <v>46522</v>
      </c>
      <c r="AM40">
        <f t="shared" si="1"/>
        <v>858</v>
      </c>
      <c r="AN40">
        <v>40</v>
      </c>
      <c r="BS40" s="839">
        <v>17</v>
      </c>
      <c r="BT40" s="843">
        <v>46137</v>
      </c>
      <c r="BU40" s="850" t="s">
        <v>21</v>
      </c>
      <c r="BV40" s="848">
        <v>46055</v>
      </c>
      <c r="BW40" s="848">
        <v>46306</v>
      </c>
      <c r="BX40" s="851">
        <v>710</v>
      </c>
    </row>
    <row r="41" spans="1:76" ht="18" x14ac:dyDescent="0.35">
      <c r="A41">
        <v>18</v>
      </c>
      <c r="H41" s="21"/>
      <c r="I41" s="21"/>
      <c r="J41" s="21"/>
      <c r="K41" s="21"/>
      <c r="L41" s="21"/>
      <c r="M41" s="21"/>
      <c r="N41" s="21"/>
      <c r="AL41" s="22"/>
      <c r="BS41" s="839">
        <v>18</v>
      </c>
      <c r="BT41" s="843">
        <v>46144</v>
      </c>
      <c r="BU41" s="841" t="s">
        <v>20</v>
      </c>
      <c r="BV41" s="844">
        <v>3</v>
      </c>
      <c r="BW41" s="844">
        <v>9</v>
      </c>
      <c r="BX41" s="845">
        <v>0</v>
      </c>
    </row>
    <row r="42" spans="1:76" ht="18.75" thickBot="1" x14ac:dyDescent="0.4">
      <c r="A42">
        <v>19</v>
      </c>
      <c r="AL42" s="22"/>
      <c r="BS42" s="853">
        <v>19</v>
      </c>
      <c r="BT42" s="854">
        <v>46151</v>
      </c>
      <c r="BU42" s="855" t="s">
        <v>22</v>
      </c>
      <c r="BV42" s="856">
        <v>1</v>
      </c>
      <c r="BW42" s="856">
        <v>10</v>
      </c>
      <c r="BX42" s="857">
        <v>0</v>
      </c>
    </row>
    <row r="43" spans="1:76" x14ac:dyDescent="0.2">
      <c r="A43">
        <v>20</v>
      </c>
      <c r="AL43" s="22"/>
    </row>
    <row r="44" spans="1:76" x14ac:dyDescent="0.2">
      <c r="A44">
        <v>21</v>
      </c>
      <c r="AL44" s="22"/>
    </row>
    <row r="45" spans="1:76" x14ac:dyDescent="0.2">
      <c r="A45">
        <v>22</v>
      </c>
      <c r="AL45" s="22"/>
    </row>
    <row r="46" spans="1:76" x14ac:dyDescent="0.2">
      <c r="A46">
        <v>23</v>
      </c>
      <c r="AL46" s="22"/>
    </row>
    <row r="47" spans="1:76" x14ac:dyDescent="0.2">
      <c r="A47">
        <v>24</v>
      </c>
      <c r="AL47" s="22"/>
    </row>
    <row r="48" spans="1:76" x14ac:dyDescent="0.2">
      <c r="A48">
        <v>25</v>
      </c>
      <c r="AL48" s="22"/>
    </row>
    <row r="49" spans="1:38" x14ac:dyDescent="0.2">
      <c r="A49">
        <v>26</v>
      </c>
      <c r="AL49" s="22"/>
    </row>
    <row r="50" spans="1:38" x14ac:dyDescent="0.2">
      <c r="A50">
        <v>27</v>
      </c>
      <c r="AL50" s="22"/>
    </row>
    <row r="51" spans="1:38" x14ac:dyDescent="0.2">
      <c r="A51">
        <v>28</v>
      </c>
      <c r="AL51" s="22"/>
    </row>
    <row r="52" spans="1:38" x14ac:dyDescent="0.2">
      <c r="A52">
        <v>29</v>
      </c>
      <c r="AL52" s="22"/>
    </row>
    <row r="53" spans="1:38" x14ac:dyDescent="0.2">
      <c r="A53">
        <v>30</v>
      </c>
      <c r="AL53" s="22"/>
    </row>
    <row r="54" spans="1:38" x14ac:dyDescent="0.2">
      <c r="A54">
        <v>31</v>
      </c>
      <c r="AL54" s="22"/>
    </row>
    <row r="55" spans="1:38" x14ac:dyDescent="0.2">
      <c r="A55">
        <v>32</v>
      </c>
      <c r="AL55" s="22"/>
    </row>
    <row r="56" spans="1:38" x14ac:dyDescent="0.2">
      <c r="AL56" s="22"/>
    </row>
    <row r="57" spans="1:38" x14ac:dyDescent="0.2">
      <c r="AL57" s="22"/>
    </row>
    <row r="58" spans="1:38" x14ac:dyDescent="0.2">
      <c r="Y58" s="19"/>
      <c r="Z58" s="19"/>
      <c r="AL58" s="22"/>
    </row>
    <row r="59" spans="1:38" x14ac:dyDescent="0.2">
      <c r="AL59" s="22"/>
    </row>
    <row r="60" spans="1:38" x14ac:dyDescent="0.2">
      <c r="AL60" s="22"/>
    </row>
    <row r="61" spans="1:38" x14ac:dyDescent="0.2">
      <c r="AL61" s="22"/>
    </row>
    <row r="62" spans="1:38" x14ac:dyDescent="0.2">
      <c r="AL62" s="22"/>
    </row>
    <row r="63" spans="1:38" x14ac:dyDescent="0.2">
      <c r="AL63" s="22"/>
    </row>
    <row r="64" spans="1:38" x14ac:dyDescent="0.2">
      <c r="AL64" s="22"/>
    </row>
    <row r="65" spans="38:38" x14ac:dyDescent="0.2">
      <c r="AL65" s="22"/>
    </row>
    <row r="66" spans="38:38" x14ac:dyDescent="0.2">
      <c r="AL66" s="22"/>
    </row>
    <row r="67" spans="38:38" x14ac:dyDescent="0.2">
      <c r="AL67" s="22"/>
    </row>
    <row r="68" spans="38:38" x14ac:dyDescent="0.2">
      <c r="AL68" s="22"/>
    </row>
    <row r="69" spans="38:38" x14ac:dyDescent="0.2">
      <c r="AL69" s="22"/>
    </row>
    <row r="70" spans="38:38" x14ac:dyDescent="0.2">
      <c r="AL70" s="22"/>
    </row>
    <row r="71" spans="38:38" x14ac:dyDescent="0.2">
      <c r="AL71" s="22"/>
    </row>
    <row r="72" spans="38:38" x14ac:dyDescent="0.2">
      <c r="AL72" s="22"/>
    </row>
    <row r="73" spans="38:38" x14ac:dyDescent="0.2">
      <c r="AL73" s="22"/>
    </row>
    <row r="74" spans="38:38" x14ac:dyDescent="0.2">
      <c r="AL74" s="22"/>
    </row>
    <row r="75" spans="38:38" x14ac:dyDescent="0.2">
      <c r="AL75" s="22"/>
    </row>
    <row r="76" spans="38:38" x14ac:dyDescent="0.2">
      <c r="AL76" s="22"/>
    </row>
    <row r="77" spans="38:38" x14ac:dyDescent="0.2">
      <c r="AL77" s="22"/>
    </row>
    <row r="78" spans="38:38" x14ac:dyDescent="0.2">
      <c r="AL78" s="22"/>
    </row>
    <row r="79" spans="38:38" x14ac:dyDescent="0.2">
      <c r="AL79" s="22"/>
    </row>
    <row r="80" spans="38:38" x14ac:dyDescent="0.2">
      <c r="AL80" s="22"/>
    </row>
    <row r="81" spans="38:38" x14ac:dyDescent="0.2">
      <c r="AL81" s="22"/>
    </row>
    <row r="82" spans="38:38" x14ac:dyDescent="0.2">
      <c r="AL82" s="22"/>
    </row>
    <row r="83" spans="38:38" x14ac:dyDescent="0.2">
      <c r="AL83" s="22"/>
    </row>
    <row r="84" spans="38:38" x14ac:dyDescent="0.2">
      <c r="AL84" s="22"/>
    </row>
    <row r="85" spans="38:38" x14ac:dyDescent="0.2">
      <c r="AL85" s="22"/>
    </row>
    <row r="86" spans="38:38" x14ac:dyDescent="0.2">
      <c r="AL86" s="22"/>
    </row>
    <row r="87" spans="38:38" x14ac:dyDescent="0.2">
      <c r="AL87" s="22"/>
    </row>
    <row r="88" spans="38:38" x14ac:dyDescent="0.2">
      <c r="AL88" s="22"/>
    </row>
    <row r="89" spans="38:38" x14ac:dyDescent="0.2">
      <c r="AL89" s="22"/>
    </row>
    <row r="90" spans="38:38" x14ac:dyDescent="0.2">
      <c r="AL90" s="22"/>
    </row>
    <row r="91" spans="38:38" x14ac:dyDescent="0.2">
      <c r="AL91" s="22"/>
    </row>
    <row r="92" spans="38:38" x14ac:dyDescent="0.2">
      <c r="AL92" s="22"/>
    </row>
    <row r="93" spans="38:38" x14ac:dyDescent="0.2">
      <c r="AL93" s="22"/>
    </row>
    <row r="94" spans="38:38" x14ac:dyDescent="0.2">
      <c r="AL94" s="22"/>
    </row>
    <row r="95" spans="38:38" x14ac:dyDescent="0.2">
      <c r="AL95" s="22"/>
    </row>
    <row r="96" spans="38:38" x14ac:dyDescent="0.2">
      <c r="AL96" s="22"/>
    </row>
    <row r="97" spans="38:38" x14ac:dyDescent="0.2">
      <c r="AL97" s="22"/>
    </row>
    <row r="98" spans="38:38" x14ac:dyDescent="0.2">
      <c r="AL98" s="22"/>
    </row>
    <row r="99" spans="38:38" x14ac:dyDescent="0.2">
      <c r="AL99" s="22"/>
    </row>
    <row r="100" spans="38:38" x14ac:dyDescent="0.2">
      <c r="AL100" s="22"/>
    </row>
    <row r="101" spans="38:38" x14ac:dyDescent="0.2">
      <c r="AL101" s="22"/>
    </row>
    <row r="102" spans="38:38" x14ac:dyDescent="0.2">
      <c r="AL102" s="22"/>
    </row>
    <row r="103" spans="38:38" x14ac:dyDescent="0.2">
      <c r="AL103" s="22"/>
    </row>
    <row r="104" spans="38:38" x14ac:dyDescent="0.2">
      <c r="AL104" s="22"/>
    </row>
    <row r="105" spans="38:38" x14ac:dyDescent="0.2">
      <c r="AL105" s="22"/>
    </row>
    <row r="106" spans="38:38" x14ac:dyDescent="0.2">
      <c r="AL106" s="22"/>
    </row>
    <row r="107" spans="38:38" x14ac:dyDescent="0.2">
      <c r="AL107" s="22"/>
    </row>
    <row r="108" spans="38:38" x14ac:dyDescent="0.2">
      <c r="AL108" s="22"/>
    </row>
    <row r="109" spans="38:38" x14ac:dyDescent="0.2">
      <c r="AL109" s="22"/>
    </row>
    <row r="110" spans="38:38" x14ac:dyDescent="0.2">
      <c r="AL110" s="22"/>
    </row>
    <row r="111" spans="38:38" x14ac:dyDescent="0.2">
      <c r="AL111" s="22"/>
    </row>
    <row r="112" spans="38:38" x14ac:dyDescent="0.2">
      <c r="AL112" s="22"/>
    </row>
    <row r="113" spans="38:38" x14ac:dyDescent="0.2">
      <c r="AL113" s="22"/>
    </row>
    <row r="114" spans="38:38" x14ac:dyDescent="0.2">
      <c r="AL114" s="22"/>
    </row>
    <row r="115" spans="38:38" x14ac:dyDescent="0.2">
      <c r="AL115" s="22"/>
    </row>
    <row r="116" spans="38:38" x14ac:dyDescent="0.2">
      <c r="AL116" s="22"/>
    </row>
    <row r="117" spans="38:38" x14ac:dyDescent="0.2">
      <c r="AL117" s="22"/>
    </row>
    <row r="118" spans="38:38" x14ac:dyDescent="0.2">
      <c r="AL118" s="22"/>
    </row>
    <row r="119" spans="38:38" x14ac:dyDescent="0.2">
      <c r="AL119" s="22"/>
    </row>
    <row r="120" spans="38:38" x14ac:dyDescent="0.2">
      <c r="AL120" s="22"/>
    </row>
    <row r="121" spans="38:38" x14ac:dyDescent="0.2">
      <c r="AL121" s="22"/>
    </row>
    <row r="122" spans="38:38" x14ac:dyDescent="0.2">
      <c r="AL122" s="22"/>
    </row>
    <row r="123" spans="38:38" x14ac:dyDescent="0.2">
      <c r="AL123" s="22"/>
    </row>
    <row r="124" spans="38:38" x14ac:dyDescent="0.2">
      <c r="AL124" s="22"/>
    </row>
    <row r="125" spans="38:38" x14ac:dyDescent="0.2">
      <c r="AL125" s="22"/>
    </row>
    <row r="126" spans="38:38" x14ac:dyDescent="0.2">
      <c r="AL126" s="22"/>
    </row>
    <row r="127" spans="38:38" x14ac:dyDescent="0.2">
      <c r="AL127" s="22"/>
    </row>
    <row r="128" spans="38:38" x14ac:dyDescent="0.2">
      <c r="AL128" s="22"/>
    </row>
    <row r="129" spans="38:38" x14ac:dyDescent="0.2">
      <c r="AL129" s="22"/>
    </row>
    <row r="130" spans="38:38" x14ac:dyDescent="0.2">
      <c r="AL130" s="22"/>
    </row>
    <row r="131" spans="38:38" x14ac:dyDescent="0.2">
      <c r="AL131" s="22"/>
    </row>
    <row r="132" spans="38:38" x14ac:dyDescent="0.2">
      <c r="AL132" s="22"/>
    </row>
    <row r="133" spans="38:38" x14ac:dyDescent="0.2">
      <c r="AL133" s="22"/>
    </row>
    <row r="134" spans="38:38" x14ac:dyDescent="0.2">
      <c r="AL134" s="22"/>
    </row>
    <row r="135" spans="38:38" x14ac:dyDescent="0.2">
      <c r="AL135" s="22"/>
    </row>
    <row r="136" spans="38:38" x14ac:dyDescent="0.2">
      <c r="AL136" s="22"/>
    </row>
    <row r="137" spans="38:38" x14ac:dyDescent="0.2">
      <c r="AL137" s="22"/>
    </row>
    <row r="138" spans="38:38" x14ac:dyDescent="0.2">
      <c r="AL138" s="22"/>
    </row>
    <row r="139" spans="38:38" x14ac:dyDescent="0.2">
      <c r="AL139" s="22"/>
    </row>
    <row r="140" spans="38:38" x14ac:dyDescent="0.2">
      <c r="AL140" s="22"/>
    </row>
    <row r="141" spans="38:38" x14ac:dyDescent="0.2">
      <c r="AL141" s="22"/>
    </row>
    <row r="142" spans="38:38" x14ac:dyDescent="0.2">
      <c r="AL142" s="22"/>
    </row>
    <row r="143" spans="38:38" x14ac:dyDescent="0.2">
      <c r="AL143" s="22"/>
    </row>
    <row r="144" spans="38:38" x14ac:dyDescent="0.2">
      <c r="AL144" s="22"/>
    </row>
    <row r="145" spans="38:38" x14ac:dyDescent="0.2">
      <c r="AL145" s="22"/>
    </row>
    <row r="146" spans="38:38" x14ac:dyDescent="0.2">
      <c r="AL146" s="22"/>
    </row>
    <row r="147" spans="38:38" x14ac:dyDescent="0.2">
      <c r="AL147" s="22"/>
    </row>
    <row r="148" spans="38:38" x14ac:dyDescent="0.2">
      <c r="AL148" s="22"/>
    </row>
    <row r="149" spans="38:38" x14ac:dyDescent="0.2">
      <c r="AL149" s="22"/>
    </row>
    <row r="150" spans="38:38" x14ac:dyDescent="0.2">
      <c r="AL150" s="22"/>
    </row>
    <row r="151" spans="38:38" x14ac:dyDescent="0.2">
      <c r="AL151" s="22"/>
    </row>
    <row r="152" spans="38:38" x14ac:dyDescent="0.2">
      <c r="AL152" s="22"/>
    </row>
    <row r="153" spans="38:38" x14ac:dyDescent="0.2">
      <c r="AL153" s="22"/>
    </row>
    <row r="154" spans="38:38" x14ac:dyDescent="0.2">
      <c r="AL154" s="22"/>
    </row>
    <row r="155" spans="38:38" x14ac:dyDescent="0.2">
      <c r="AL155" s="22"/>
    </row>
    <row r="156" spans="38:38" x14ac:dyDescent="0.2">
      <c r="AL156" s="22"/>
    </row>
    <row r="157" spans="38:38" x14ac:dyDescent="0.2">
      <c r="AL157" s="22"/>
    </row>
    <row r="158" spans="38:38" x14ac:dyDescent="0.2">
      <c r="AL158" s="22"/>
    </row>
    <row r="159" spans="38:38" x14ac:dyDescent="0.2">
      <c r="AL159" s="22"/>
    </row>
    <row r="160" spans="38:38" x14ac:dyDescent="0.2">
      <c r="AL160" s="22"/>
    </row>
    <row r="161" spans="38:38" x14ac:dyDescent="0.2">
      <c r="AL161" s="22"/>
    </row>
    <row r="162" spans="38:38" x14ac:dyDescent="0.2">
      <c r="AL162" s="22"/>
    </row>
    <row r="163" spans="38:38" x14ac:dyDescent="0.2">
      <c r="AL163" s="22"/>
    </row>
    <row r="164" spans="38:38" x14ac:dyDescent="0.2">
      <c r="AL164" s="22"/>
    </row>
    <row r="165" spans="38:38" x14ac:dyDescent="0.2">
      <c r="AL165" s="22"/>
    </row>
    <row r="166" spans="38:38" x14ac:dyDescent="0.2">
      <c r="AL166" s="22"/>
    </row>
    <row r="167" spans="38:38" x14ac:dyDescent="0.2">
      <c r="AL167" s="22"/>
    </row>
    <row r="168" spans="38:38" x14ac:dyDescent="0.2">
      <c r="AL168" s="22"/>
    </row>
    <row r="169" spans="38:38" x14ac:dyDescent="0.2">
      <c r="AL169" s="22"/>
    </row>
    <row r="170" spans="38:38" x14ac:dyDescent="0.2">
      <c r="AL170" s="22"/>
    </row>
    <row r="171" spans="38:38" x14ac:dyDescent="0.2">
      <c r="AL171" s="22"/>
    </row>
    <row r="172" spans="38:38" x14ac:dyDescent="0.2">
      <c r="AL172" s="22"/>
    </row>
    <row r="173" spans="38:38" x14ac:dyDescent="0.2">
      <c r="AL173" s="22"/>
    </row>
    <row r="174" spans="38:38" x14ac:dyDescent="0.2">
      <c r="AL174" s="22"/>
    </row>
    <row r="175" spans="38:38" x14ac:dyDescent="0.2">
      <c r="AL175" s="22"/>
    </row>
    <row r="176" spans="38:38" x14ac:dyDescent="0.2">
      <c r="AL176" s="22"/>
    </row>
    <row r="177" spans="38:38" x14ac:dyDescent="0.2">
      <c r="AL177" s="22"/>
    </row>
    <row r="178" spans="38:38" x14ac:dyDescent="0.2">
      <c r="AL178" s="22"/>
    </row>
    <row r="179" spans="38:38" x14ac:dyDescent="0.2">
      <c r="AL179" s="22"/>
    </row>
    <row r="180" spans="38:38" x14ac:dyDescent="0.2">
      <c r="AL180" s="22"/>
    </row>
    <row r="181" spans="38:38" x14ac:dyDescent="0.2">
      <c r="AL181" s="22"/>
    </row>
    <row r="182" spans="38:38" x14ac:dyDescent="0.2">
      <c r="AL182" s="22"/>
    </row>
    <row r="183" spans="38:38" x14ac:dyDescent="0.2">
      <c r="AL183" s="22"/>
    </row>
    <row r="184" spans="38:38" x14ac:dyDescent="0.2">
      <c r="AL184" s="22"/>
    </row>
    <row r="185" spans="38:38" x14ac:dyDescent="0.2">
      <c r="AL185" s="22"/>
    </row>
    <row r="186" spans="38:38" x14ac:dyDescent="0.2">
      <c r="AL186" s="22"/>
    </row>
    <row r="187" spans="38:38" x14ac:dyDescent="0.2">
      <c r="AL187" s="22"/>
    </row>
    <row r="188" spans="38:38" x14ac:dyDescent="0.2">
      <c r="AL188" s="22"/>
    </row>
    <row r="189" spans="38:38" x14ac:dyDescent="0.2">
      <c r="AL189" s="22"/>
    </row>
    <row r="190" spans="38:38" x14ac:dyDescent="0.2">
      <c r="AL190" s="22"/>
    </row>
    <row r="191" spans="38:38" x14ac:dyDescent="0.2">
      <c r="AL191" s="22"/>
    </row>
    <row r="192" spans="38:38" x14ac:dyDescent="0.2">
      <c r="AL192" s="22"/>
    </row>
    <row r="193" spans="38:38" x14ac:dyDescent="0.2">
      <c r="AL193" s="22"/>
    </row>
    <row r="194" spans="38:38" x14ac:dyDescent="0.2">
      <c r="AL194" s="22"/>
    </row>
    <row r="195" spans="38:38" x14ac:dyDescent="0.2">
      <c r="AL195" s="22"/>
    </row>
    <row r="196" spans="38:38" x14ac:dyDescent="0.2">
      <c r="AL196" s="22"/>
    </row>
    <row r="197" spans="38:38" x14ac:dyDescent="0.2">
      <c r="AL197" s="22"/>
    </row>
    <row r="198" spans="38:38" x14ac:dyDescent="0.2">
      <c r="AL198" s="22"/>
    </row>
    <row r="199" spans="38:38" x14ac:dyDescent="0.2">
      <c r="AL199" s="22"/>
    </row>
    <row r="200" spans="38:38" x14ac:dyDescent="0.2">
      <c r="AL200" s="22"/>
    </row>
    <row r="201" spans="38:38" x14ac:dyDescent="0.2">
      <c r="AL201" s="22"/>
    </row>
    <row r="202" spans="38:38" x14ac:dyDescent="0.2">
      <c r="AL202" s="22"/>
    </row>
    <row r="203" spans="38:38" x14ac:dyDescent="0.2">
      <c r="AL203" s="22"/>
    </row>
    <row r="204" spans="38:38" x14ac:dyDescent="0.2">
      <c r="AL204" s="22"/>
    </row>
    <row r="205" spans="38:38" x14ac:dyDescent="0.2">
      <c r="AL205" s="22"/>
    </row>
    <row r="206" spans="38:38" x14ac:dyDescent="0.2">
      <c r="AL206" s="22"/>
    </row>
    <row r="207" spans="38:38" x14ac:dyDescent="0.2">
      <c r="AL207" s="22"/>
    </row>
    <row r="208" spans="38:38" x14ac:dyDescent="0.2">
      <c r="AL208" s="22"/>
    </row>
    <row r="209" spans="38:38" x14ac:dyDescent="0.2">
      <c r="AL209" s="22"/>
    </row>
    <row r="210" spans="38:38" x14ac:dyDescent="0.2">
      <c r="AL210" s="22"/>
    </row>
    <row r="211" spans="38:38" x14ac:dyDescent="0.2">
      <c r="AL211" s="22"/>
    </row>
    <row r="212" spans="38:38" x14ac:dyDescent="0.2">
      <c r="AL212" s="22"/>
    </row>
    <row r="213" spans="38:38" x14ac:dyDescent="0.2">
      <c r="AL213" s="22"/>
    </row>
    <row r="214" spans="38:38" x14ac:dyDescent="0.2">
      <c r="AL214" s="22"/>
    </row>
    <row r="215" spans="38:38" x14ac:dyDescent="0.2">
      <c r="AL215" s="22"/>
    </row>
    <row r="216" spans="38:38" x14ac:dyDescent="0.2">
      <c r="AL216" s="22"/>
    </row>
    <row r="217" spans="38:38" x14ac:dyDescent="0.2">
      <c r="AL217" s="22"/>
    </row>
    <row r="218" spans="38:38" x14ac:dyDescent="0.2">
      <c r="AL218" s="22"/>
    </row>
    <row r="219" spans="38:38" x14ac:dyDescent="0.2">
      <c r="AL219" s="22"/>
    </row>
    <row r="220" spans="38:38" x14ac:dyDescent="0.2">
      <c r="AL220" s="22"/>
    </row>
    <row r="221" spans="38:38" x14ac:dyDescent="0.2">
      <c r="AL221" s="22"/>
    </row>
    <row r="222" spans="38:38" x14ac:dyDescent="0.2">
      <c r="AL222" s="22"/>
    </row>
    <row r="223" spans="38:38" x14ac:dyDescent="0.2">
      <c r="AL223" s="22"/>
    </row>
    <row r="224" spans="38:38" x14ac:dyDescent="0.2">
      <c r="AL224" s="22"/>
    </row>
    <row r="225" spans="38:38" x14ac:dyDescent="0.2">
      <c r="AL225" s="22"/>
    </row>
    <row r="226" spans="38:38" x14ac:dyDescent="0.2">
      <c r="AL226" s="22"/>
    </row>
    <row r="227" spans="38:38" x14ac:dyDescent="0.2">
      <c r="AL227" s="22"/>
    </row>
    <row r="228" spans="38:38" x14ac:dyDescent="0.2">
      <c r="AL228" s="22"/>
    </row>
    <row r="229" spans="38:38" x14ac:dyDescent="0.2">
      <c r="AL229" s="22"/>
    </row>
    <row r="230" spans="38:38" x14ac:dyDescent="0.2">
      <c r="AL230" s="22"/>
    </row>
    <row r="231" spans="38:38" x14ac:dyDescent="0.2">
      <c r="AL231" s="22"/>
    </row>
    <row r="232" spans="38:38" x14ac:dyDescent="0.2">
      <c r="AL232" s="22"/>
    </row>
    <row r="233" spans="38:38" x14ac:dyDescent="0.2">
      <c r="AL233" s="22"/>
    </row>
    <row r="234" spans="38:38" x14ac:dyDescent="0.2">
      <c r="AL234" s="22"/>
    </row>
    <row r="235" spans="38:38" x14ac:dyDescent="0.2">
      <c r="AL235" s="22"/>
    </row>
    <row r="236" spans="38:38" x14ac:dyDescent="0.2">
      <c r="AL236" s="22"/>
    </row>
    <row r="237" spans="38:38" x14ac:dyDescent="0.2">
      <c r="AL237" s="22"/>
    </row>
    <row r="238" spans="38:38" x14ac:dyDescent="0.2">
      <c r="AL238" s="22"/>
    </row>
    <row r="239" spans="38:38" x14ac:dyDescent="0.2">
      <c r="AL239" s="22"/>
    </row>
    <row r="240" spans="38:38" x14ac:dyDescent="0.2">
      <c r="AL240" s="22"/>
    </row>
    <row r="241" spans="38:38" x14ac:dyDescent="0.2">
      <c r="AL241" s="22"/>
    </row>
    <row r="242" spans="38:38" x14ac:dyDescent="0.2">
      <c r="AL242" s="22"/>
    </row>
    <row r="243" spans="38:38" x14ac:dyDescent="0.2">
      <c r="AL243" s="22"/>
    </row>
    <row r="244" spans="38:38" x14ac:dyDescent="0.2">
      <c r="AL244" s="22"/>
    </row>
    <row r="245" spans="38:38" x14ac:dyDescent="0.2">
      <c r="AL245" s="22"/>
    </row>
    <row r="246" spans="38:38" x14ac:dyDescent="0.2">
      <c r="AL246" s="22"/>
    </row>
    <row r="247" spans="38:38" x14ac:dyDescent="0.2">
      <c r="AL247" s="22"/>
    </row>
    <row r="248" spans="38:38" x14ac:dyDescent="0.2">
      <c r="AL248" s="22"/>
    </row>
    <row r="249" spans="38:38" x14ac:dyDescent="0.2">
      <c r="AL249" s="22"/>
    </row>
    <row r="250" spans="38:38" x14ac:dyDescent="0.2">
      <c r="AL250" s="22"/>
    </row>
    <row r="251" spans="38:38" x14ac:dyDescent="0.2">
      <c r="AL251" s="22"/>
    </row>
    <row r="252" spans="38:38" x14ac:dyDescent="0.2">
      <c r="AL252" s="22"/>
    </row>
    <row r="253" spans="38:38" x14ac:dyDescent="0.2">
      <c r="AL253" s="22"/>
    </row>
    <row r="254" spans="38:38" x14ac:dyDescent="0.2">
      <c r="AL254" s="22"/>
    </row>
    <row r="255" spans="38:38" x14ac:dyDescent="0.2">
      <c r="AL255" s="22"/>
    </row>
    <row r="256" spans="38:38" x14ac:dyDescent="0.2">
      <c r="AL256" s="22"/>
    </row>
    <row r="257" spans="38:38" x14ac:dyDescent="0.2">
      <c r="AL257" s="22"/>
    </row>
    <row r="258" spans="38:38" x14ac:dyDescent="0.2">
      <c r="AL258" s="22"/>
    </row>
    <row r="259" spans="38:38" x14ac:dyDescent="0.2">
      <c r="AL259" s="22"/>
    </row>
    <row r="260" spans="38:38" x14ac:dyDescent="0.2">
      <c r="AL260" s="22"/>
    </row>
    <row r="261" spans="38:38" x14ac:dyDescent="0.2">
      <c r="AL261" s="22"/>
    </row>
    <row r="262" spans="38:38" x14ac:dyDescent="0.2">
      <c r="AL262" s="22"/>
    </row>
    <row r="263" spans="38:38" x14ac:dyDescent="0.2">
      <c r="AL263" s="22"/>
    </row>
    <row r="264" spans="38:38" x14ac:dyDescent="0.2">
      <c r="AL264" s="22"/>
    </row>
    <row r="265" spans="38:38" x14ac:dyDescent="0.2">
      <c r="AL265" s="22"/>
    </row>
    <row r="266" spans="38:38" x14ac:dyDescent="0.2">
      <c r="AL266" s="22"/>
    </row>
    <row r="267" spans="38:38" x14ac:dyDescent="0.2">
      <c r="AL267" s="22"/>
    </row>
    <row r="268" spans="38:38" x14ac:dyDescent="0.2">
      <c r="AL268" s="22"/>
    </row>
    <row r="269" spans="38:38" x14ac:dyDescent="0.2">
      <c r="AL269" s="22"/>
    </row>
    <row r="270" spans="38:38" x14ac:dyDescent="0.2">
      <c r="AL270" s="22"/>
    </row>
    <row r="271" spans="38:38" x14ac:dyDescent="0.2">
      <c r="AL271" s="22"/>
    </row>
    <row r="272" spans="38:38" x14ac:dyDescent="0.2">
      <c r="AL272" s="22"/>
    </row>
    <row r="273" spans="38:38" x14ac:dyDescent="0.2">
      <c r="AL273" s="22"/>
    </row>
    <row r="274" spans="38:38" x14ac:dyDescent="0.2">
      <c r="AL274" s="22"/>
    </row>
    <row r="275" spans="38:38" x14ac:dyDescent="0.2">
      <c r="AL275" s="22"/>
    </row>
    <row r="276" spans="38:38" x14ac:dyDescent="0.2">
      <c r="AL276" s="22"/>
    </row>
    <row r="277" spans="38:38" x14ac:dyDescent="0.2">
      <c r="AL277" s="22"/>
    </row>
    <row r="278" spans="38:38" x14ac:dyDescent="0.2">
      <c r="AL278" s="22"/>
    </row>
    <row r="279" spans="38:38" x14ac:dyDescent="0.2">
      <c r="AL279" s="22"/>
    </row>
    <row r="280" spans="38:38" x14ac:dyDescent="0.2">
      <c r="AL280" s="22"/>
    </row>
    <row r="281" spans="38:38" x14ac:dyDescent="0.2">
      <c r="AL281" s="22"/>
    </row>
    <row r="282" spans="38:38" x14ac:dyDescent="0.2">
      <c r="AL282" s="22"/>
    </row>
    <row r="283" spans="38:38" x14ac:dyDescent="0.2">
      <c r="AL283" s="22"/>
    </row>
    <row r="284" spans="38:38" x14ac:dyDescent="0.2">
      <c r="AL284" s="22"/>
    </row>
    <row r="285" spans="38:38" x14ac:dyDescent="0.2">
      <c r="AL285" s="22"/>
    </row>
    <row r="286" spans="38:38" x14ac:dyDescent="0.2">
      <c r="AL286" s="22"/>
    </row>
    <row r="287" spans="38:38" x14ac:dyDescent="0.2">
      <c r="AL287" s="22"/>
    </row>
    <row r="288" spans="38:38" x14ac:dyDescent="0.2">
      <c r="AL288" s="22"/>
    </row>
    <row r="289" spans="38:38" x14ac:dyDescent="0.2">
      <c r="AL289" s="22"/>
    </row>
    <row r="290" spans="38:38" x14ac:dyDescent="0.2">
      <c r="AL290" s="22"/>
    </row>
    <row r="291" spans="38:38" x14ac:dyDescent="0.2">
      <c r="AL291" s="22"/>
    </row>
    <row r="292" spans="38:38" x14ac:dyDescent="0.2">
      <c r="AL292" s="22"/>
    </row>
    <row r="293" spans="38:38" x14ac:dyDescent="0.2">
      <c r="AL293" s="22"/>
    </row>
    <row r="294" spans="38:38" x14ac:dyDescent="0.2">
      <c r="AL294" s="22"/>
    </row>
    <row r="295" spans="38:38" x14ac:dyDescent="0.2">
      <c r="AL295" s="22"/>
    </row>
    <row r="296" spans="38:38" x14ac:dyDescent="0.2">
      <c r="AL296" s="22"/>
    </row>
    <row r="297" spans="38:38" x14ac:dyDescent="0.2">
      <c r="AL297" s="22"/>
    </row>
    <row r="298" spans="38:38" x14ac:dyDescent="0.2">
      <c r="AL298" s="22"/>
    </row>
    <row r="299" spans="38:38" x14ac:dyDescent="0.2">
      <c r="AL299" s="22"/>
    </row>
    <row r="300" spans="38:38" x14ac:dyDescent="0.2">
      <c r="AL300" s="22"/>
    </row>
    <row r="301" spans="38:38" x14ac:dyDescent="0.2">
      <c r="AL301" s="22"/>
    </row>
    <row r="302" spans="38:38" x14ac:dyDescent="0.2">
      <c r="AL302" s="22"/>
    </row>
    <row r="303" spans="38:38" x14ac:dyDescent="0.2">
      <c r="AL303" s="22"/>
    </row>
    <row r="304" spans="38:38" x14ac:dyDescent="0.2">
      <c r="AL304" s="22"/>
    </row>
    <row r="305" spans="38:38" x14ac:dyDescent="0.2">
      <c r="AL305" s="22"/>
    </row>
    <row r="306" spans="38:38" x14ac:dyDescent="0.2">
      <c r="AL306" s="22"/>
    </row>
    <row r="307" spans="38:38" x14ac:dyDescent="0.2">
      <c r="AL307" s="22"/>
    </row>
    <row r="308" spans="38:38" x14ac:dyDescent="0.2">
      <c r="AL308" s="22"/>
    </row>
    <row r="309" spans="38:38" x14ac:dyDescent="0.2">
      <c r="AL309" s="22"/>
    </row>
    <row r="310" spans="38:38" x14ac:dyDescent="0.2">
      <c r="AL310" s="22"/>
    </row>
    <row r="311" spans="38:38" x14ac:dyDescent="0.2">
      <c r="AL311" s="22"/>
    </row>
    <row r="312" spans="38:38" x14ac:dyDescent="0.2">
      <c r="AL312" s="22"/>
    </row>
    <row r="313" spans="38:38" x14ac:dyDescent="0.2">
      <c r="AL313" s="22"/>
    </row>
    <row r="314" spans="38:38" x14ac:dyDescent="0.2">
      <c r="AL314" s="22"/>
    </row>
    <row r="315" spans="38:38" x14ac:dyDescent="0.2">
      <c r="AL315" s="22"/>
    </row>
    <row r="316" spans="38:38" x14ac:dyDescent="0.2">
      <c r="AL316" s="22"/>
    </row>
    <row r="317" spans="38:38" x14ac:dyDescent="0.2">
      <c r="AL317" s="22"/>
    </row>
    <row r="318" spans="38:38" x14ac:dyDescent="0.2">
      <c r="AL318" s="22"/>
    </row>
    <row r="319" spans="38:38" x14ac:dyDescent="0.2">
      <c r="AL319" s="22"/>
    </row>
    <row r="320" spans="38:38" x14ac:dyDescent="0.2">
      <c r="AL320" s="22"/>
    </row>
    <row r="321" spans="38:38" x14ac:dyDescent="0.2">
      <c r="AL321" s="22"/>
    </row>
    <row r="322" spans="38:38" x14ac:dyDescent="0.2">
      <c r="AL322" s="22"/>
    </row>
    <row r="323" spans="38:38" x14ac:dyDescent="0.2">
      <c r="AL323" s="22"/>
    </row>
    <row r="324" spans="38:38" x14ac:dyDescent="0.2">
      <c r="AL324" s="22"/>
    </row>
    <row r="325" spans="38:38" x14ac:dyDescent="0.2">
      <c r="AL325" s="22"/>
    </row>
    <row r="326" spans="38:38" x14ac:dyDescent="0.2">
      <c r="AL326" s="22"/>
    </row>
    <row r="327" spans="38:38" x14ac:dyDescent="0.2">
      <c r="AL327" s="22"/>
    </row>
    <row r="328" spans="38:38" x14ac:dyDescent="0.2">
      <c r="AL328" s="22"/>
    </row>
    <row r="329" spans="38:38" x14ac:dyDescent="0.2">
      <c r="AL329" s="22"/>
    </row>
    <row r="330" spans="38:38" x14ac:dyDescent="0.2">
      <c r="AL330" s="22"/>
    </row>
    <row r="331" spans="38:38" x14ac:dyDescent="0.2">
      <c r="AL331" s="22"/>
    </row>
    <row r="332" spans="38:38" x14ac:dyDescent="0.2">
      <c r="AL332" s="22"/>
    </row>
    <row r="333" spans="38:38" x14ac:dyDescent="0.2">
      <c r="AL333" s="22"/>
    </row>
    <row r="334" spans="38:38" x14ac:dyDescent="0.2">
      <c r="AL334" s="22"/>
    </row>
    <row r="335" spans="38:38" x14ac:dyDescent="0.2">
      <c r="AL335" s="22"/>
    </row>
    <row r="336" spans="38:38" x14ac:dyDescent="0.2">
      <c r="AL336" s="22"/>
    </row>
    <row r="337" spans="38:38" x14ac:dyDescent="0.2">
      <c r="AL337" s="22"/>
    </row>
    <row r="338" spans="38:38" x14ac:dyDescent="0.2">
      <c r="AL338" s="22"/>
    </row>
    <row r="339" spans="38:38" x14ac:dyDescent="0.2">
      <c r="AL339" s="22"/>
    </row>
    <row r="340" spans="38:38" x14ac:dyDescent="0.2">
      <c r="AL340" s="22"/>
    </row>
    <row r="341" spans="38:38" x14ac:dyDescent="0.2">
      <c r="AL341" s="22"/>
    </row>
    <row r="342" spans="38:38" x14ac:dyDescent="0.2">
      <c r="AL342" s="22"/>
    </row>
    <row r="343" spans="38:38" x14ac:dyDescent="0.2">
      <c r="AL343" s="22"/>
    </row>
    <row r="344" spans="38:38" x14ac:dyDescent="0.2">
      <c r="AL344" s="22"/>
    </row>
    <row r="345" spans="38:38" x14ac:dyDescent="0.2">
      <c r="AL345" s="22"/>
    </row>
    <row r="346" spans="38:38" x14ac:dyDescent="0.2">
      <c r="AL346" s="22"/>
    </row>
    <row r="347" spans="38:38" x14ac:dyDescent="0.2">
      <c r="AL347" s="22"/>
    </row>
    <row r="348" spans="38:38" x14ac:dyDescent="0.2">
      <c r="AL348" s="22"/>
    </row>
    <row r="349" spans="38:38" x14ac:dyDescent="0.2">
      <c r="AL349" s="22"/>
    </row>
    <row r="350" spans="38:38" x14ac:dyDescent="0.2">
      <c r="AL350" s="22"/>
    </row>
    <row r="351" spans="38:38" x14ac:dyDescent="0.2">
      <c r="AL351" s="22"/>
    </row>
    <row r="352" spans="38:38" x14ac:dyDescent="0.2">
      <c r="AL352" s="22"/>
    </row>
    <row r="353" spans="38:38" x14ac:dyDescent="0.2">
      <c r="AL353" s="22"/>
    </row>
    <row r="354" spans="38:38" x14ac:dyDescent="0.2">
      <c r="AL354" s="22"/>
    </row>
    <row r="355" spans="38:38" x14ac:dyDescent="0.2">
      <c r="AL355" s="22"/>
    </row>
    <row r="356" spans="38:38" x14ac:dyDescent="0.2">
      <c r="AL356" s="22"/>
    </row>
    <row r="357" spans="38:38" x14ac:dyDescent="0.2">
      <c r="AL357" s="22"/>
    </row>
    <row r="358" spans="38:38" x14ac:dyDescent="0.2">
      <c r="AL358" s="22"/>
    </row>
    <row r="359" spans="38:38" x14ac:dyDescent="0.2">
      <c r="AL359" s="22"/>
    </row>
    <row r="360" spans="38:38" x14ac:dyDescent="0.2">
      <c r="AL360" s="22"/>
    </row>
    <row r="361" spans="38:38" x14ac:dyDescent="0.2">
      <c r="AL361" s="22"/>
    </row>
    <row r="362" spans="38:38" x14ac:dyDescent="0.2">
      <c r="AL362" s="22"/>
    </row>
    <row r="363" spans="38:38" x14ac:dyDescent="0.2">
      <c r="AL363" s="22"/>
    </row>
    <row r="364" spans="38:38" x14ac:dyDescent="0.2">
      <c r="AL364" s="22"/>
    </row>
    <row r="365" spans="38:38" x14ac:dyDescent="0.2">
      <c r="AL365" s="22"/>
    </row>
    <row r="366" spans="38:38" x14ac:dyDescent="0.2">
      <c r="AL366" s="22"/>
    </row>
    <row r="367" spans="38:38" x14ac:dyDescent="0.2">
      <c r="AL367" s="22"/>
    </row>
    <row r="368" spans="38:38" x14ac:dyDescent="0.2">
      <c r="AL368" s="22"/>
    </row>
    <row r="369" spans="38:38" x14ac:dyDescent="0.2">
      <c r="AL369" s="22"/>
    </row>
    <row r="370" spans="38:38" x14ac:dyDescent="0.2">
      <c r="AL370" s="22"/>
    </row>
    <row r="371" spans="38:38" x14ac:dyDescent="0.2">
      <c r="AL371" s="22"/>
    </row>
    <row r="372" spans="38:38" x14ac:dyDescent="0.2">
      <c r="AL372" s="22"/>
    </row>
    <row r="373" spans="38:38" x14ac:dyDescent="0.2">
      <c r="AL373" s="22"/>
    </row>
    <row r="374" spans="38:38" x14ac:dyDescent="0.2">
      <c r="AL374" s="22"/>
    </row>
    <row r="375" spans="38:38" x14ac:dyDescent="0.2">
      <c r="AL375" s="22"/>
    </row>
    <row r="376" spans="38:38" x14ac:dyDescent="0.2">
      <c r="AL376" s="22"/>
    </row>
    <row r="377" spans="38:38" x14ac:dyDescent="0.2">
      <c r="AL377" s="22"/>
    </row>
    <row r="378" spans="38:38" x14ac:dyDescent="0.2">
      <c r="AL378" s="22"/>
    </row>
    <row r="379" spans="38:38" x14ac:dyDescent="0.2">
      <c r="AL379" s="22"/>
    </row>
    <row r="380" spans="38:38" x14ac:dyDescent="0.2">
      <c r="AL380" s="22"/>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55"/>
  <sheetViews>
    <sheetView showGridLines="0" topLeftCell="Q1" zoomScaleNormal="100" workbookViewId="0">
      <pane ySplit="1" topLeftCell="A2" activePane="bottomLeft" state="frozen"/>
      <selection activeCell="AO1" sqref="AO1"/>
      <selection pane="bottomLeft" activeCell="Y26" sqref="Y26"/>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46"/>
  </cols>
  <sheetData>
    <row r="1" spans="1:47" ht="13.5" thickBot="1" x14ac:dyDescent="0.25">
      <c r="B1" t="s">
        <v>497</v>
      </c>
      <c r="C1" t="s">
        <v>905</v>
      </c>
      <c r="D1" t="s">
        <v>906</v>
      </c>
      <c r="E1" t="s">
        <v>907</v>
      </c>
      <c r="F1" t="s">
        <v>908</v>
      </c>
      <c r="G1" t="s">
        <v>46</v>
      </c>
      <c r="H1" t="s">
        <v>909</v>
      </c>
      <c r="I1" t="s">
        <v>910</v>
      </c>
      <c r="J1" t="s">
        <v>911</v>
      </c>
      <c r="K1" s="545" t="s">
        <v>463</v>
      </c>
      <c r="L1" s="379"/>
      <c r="M1" s="379"/>
      <c r="N1" s="379"/>
      <c r="O1" s="362" t="s">
        <v>19</v>
      </c>
      <c r="P1" s="390" t="s">
        <v>497</v>
      </c>
      <c r="Q1" s="391" t="s">
        <v>905</v>
      </c>
      <c r="R1" s="391" t="s">
        <v>906</v>
      </c>
      <c r="S1" s="391" t="s">
        <v>907</v>
      </c>
      <c r="T1" s="391" t="s">
        <v>908</v>
      </c>
      <c r="U1" s="391" t="s">
        <v>46</v>
      </c>
      <c r="V1" s="391" t="s">
        <v>909</v>
      </c>
      <c r="W1" s="391" t="s">
        <v>910</v>
      </c>
      <c r="X1" s="391" t="s">
        <v>911</v>
      </c>
      <c r="Y1" s="382" t="s">
        <v>463</v>
      </c>
      <c r="AA1" s="390"/>
      <c r="AB1" s="391" t="s">
        <v>912</v>
      </c>
      <c r="AC1" s="391"/>
      <c r="AD1" s="391"/>
      <c r="AE1" s="391"/>
      <c r="AF1" s="391"/>
      <c r="AG1" s="391"/>
      <c r="AH1" s="391"/>
      <c r="AI1" s="391"/>
      <c r="AJ1" s="382"/>
      <c r="AK1" s="556"/>
      <c r="AL1" s="390"/>
      <c r="AM1" s="391" t="s">
        <v>43</v>
      </c>
      <c r="AN1" s="391"/>
      <c r="AO1" s="391"/>
      <c r="AP1" s="391"/>
      <c r="AQ1" s="391"/>
      <c r="AR1" s="391"/>
      <c r="AS1" s="391"/>
      <c r="AT1" s="391"/>
      <c r="AU1" s="382"/>
    </row>
    <row r="2" spans="1:47" ht="14.25" thickTop="1" thickBot="1" x14ac:dyDescent="0.25">
      <c r="A2">
        <v>1</v>
      </c>
      <c r="B2" s="22">
        <f>Data!AL1</f>
        <v>46249</v>
      </c>
      <c r="C2" t="str" cm="1">
        <f t="array" aca="1" ref="C2" ca="1">IFERROR(_xlfn.XLOOKUP(_xlfn.SINGLE(t_rang[[Dato]:[Dato]]),INDIRECT("t_"&amp;C$1&amp;"[[Dato]]"),INDIRECT("t_"&amp;C$1&amp;"[[Rank]]")),"")</f>
        <v/>
      </c>
      <c r="D2" t="str" cm="1">
        <f t="array" aca="1" ref="D2" ca="1">IFERROR(_xlfn.XLOOKUP(_xlfn.SINGLE(t_rang[[Dato]:[Dato]]),INDIRECT("t_"&amp;D$1&amp;"[[Dato]]"),INDIRECT("t_"&amp;D$1&amp;"[[Rank]]")),"")</f>
        <v/>
      </c>
      <c r="E2" t="str" cm="1">
        <f t="array" aca="1" ref="E2" ca="1">IFERROR(_xlfn.XLOOKUP(_xlfn.SINGLE(t_rang[[Dato]:[Dato]]),INDIRECT("t_"&amp;E$1&amp;"[[Dato]]"),INDIRECT("t_"&amp;E$1&amp;"[[Rank]]")),"")</f>
        <v/>
      </c>
      <c r="F2" t="str" cm="1">
        <f t="array" aca="1" ref="F2" ca="1">IFERROR(_xlfn.XLOOKUP(_xlfn.SINGLE(t_rang[[Dato]:[Dato]]),INDIRECT("t_"&amp;F$1&amp;"[[Dato]]"),INDIRECT("t_"&amp;F$1&amp;"[[Rank]]")),"")</f>
        <v/>
      </c>
      <c r="G2" t="str" cm="1">
        <f t="array" aca="1" ref="G2" ca="1">IFERROR(_xlfn.XLOOKUP(_xlfn.SINGLE(t_rang[[Dato]:[Dato]]),INDIRECT("t_"&amp;G$1&amp;"[[Dato]]"),INDIRECT("t_"&amp;G$1&amp;"[[Rank]]")),"")</f>
        <v/>
      </c>
      <c r="H2" t="str" cm="1">
        <f t="array" aca="1" ref="H2" ca="1">IFERROR(_xlfn.XLOOKUP(_xlfn.SINGLE(t_rang[[Dato]:[Dato]]),INDIRECT("t_"&amp;H$1&amp;"[[Dato]]"),INDIRECT("t_"&amp;H$1&amp;"[[Rank]]")),"")</f>
        <v/>
      </c>
      <c r="I2" t="str" cm="1">
        <f t="array" aca="1" ref="I2" ca="1">IFERROR(_xlfn.XLOOKUP(_xlfn.SINGLE(t_rang[[Dato]:[Dato]]),INDIRECT("t_"&amp;I$1&amp;"[[Dato]]"),INDIRECT("t_"&amp;I$1&amp;"[[Rank]]")),"")</f>
        <v/>
      </c>
      <c r="J2" t="str" cm="1">
        <f t="array" aca="1" ref="J2" ca="1">IFERROR(_xlfn.XLOOKUP(_xlfn.SINGLE(t_rang[[Dato]:[Dato]]),INDIRECT("t_"&amp;J$1&amp;"[[Dato]]"),INDIRECT("t_"&amp;J$1&amp;"[[Rank]]")),"")</f>
        <v/>
      </c>
      <c r="K2" t="str" cm="1">
        <f t="array" aca="1" ref="K2" ca="1">IFERROR(_xlfn.XLOOKUP(_xlfn.SINGLE(t_rang[[Dato]:[Dato]]),INDIRECT("t_"&amp;K$1&amp;"[[Dato]]"),INDIRECT("t_"&amp;K$1&amp;"[[Rank]]")),"")</f>
        <v/>
      </c>
      <c r="L2" s="380"/>
      <c r="M2" s="380"/>
      <c r="N2" s="380"/>
      <c r="O2" s="360"/>
      <c r="P2" s="383">
        <f>Data!AL1</f>
        <v>46249</v>
      </c>
      <c r="Q2" s="360" cm="1">
        <f t="array" aca="1" ref="Q2" ca="1">IFERROR(INDIRECT("t_"&amp;Q$1&amp;"[@[Totalt]:[Totalt]]"),"")</f>
        <v>0</v>
      </c>
      <c r="R2" s="360" cm="1">
        <f t="array" aca="1" ref="R2" ca="1">IFERROR(INDIRECT("t_"&amp;R$1&amp;"[@[Totalt]:[Totalt]]"),"")</f>
        <v>0</v>
      </c>
      <c r="S2" s="360" cm="1">
        <f t="array" aca="1" ref="S2" ca="1">IFERROR(INDIRECT("t_"&amp;S$1&amp;"[@[Totalt]:[Totalt]]"),"")</f>
        <v>0</v>
      </c>
      <c r="T2" s="360" cm="1">
        <f t="array" aca="1" ref="T2" ca="1">IFERROR(INDIRECT("t_"&amp;T$1&amp;"[@[Totalt]:[Totalt]]"),"")</f>
        <v>0</v>
      </c>
      <c r="U2" s="360" cm="1">
        <f t="array" aca="1" ref="U2" ca="1">IFERROR(INDIRECT("t_"&amp;U$1&amp;"[@[Totalt]:[Totalt]]"),"")</f>
        <v>0</v>
      </c>
      <c r="V2" s="360" cm="1">
        <f t="array" aca="1" ref="V2" ca="1">IFERROR(INDIRECT("t_"&amp;V$1&amp;"[@[Totalt]:[Totalt]]"),"")</f>
        <v>0</v>
      </c>
      <c r="W2" s="360" cm="1">
        <f t="array" aca="1" ref="W2" ca="1">IFERROR(INDIRECT("t_"&amp;W$1&amp;"[@[Totalt]:[Totalt]]"),"")</f>
        <v>0</v>
      </c>
      <c r="X2" s="360" cm="1">
        <f t="array" aca="1" ref="X2" ca="1">IFERROR(INDIRECT("t_"&amp;X$1&amp;"[@[Totalt]:[Totalt]]"),"")</f>
        <v>0</v>
      </c>
      <c r="Y2" s="360" cm="1">
        <f t="array" aca="1" ref="Y2" ca="1">IFERROR(INDIRECT("t_"&amp;Y$1&amp;"[@[Totalt]:[Totalt]]"),"")</f>
        <v>0</v>
      </c>
      <c r="AA2" s="557">
        <f>t_tp[[#This Row],[Dato]]</f>
        <v>46249</v>
      </c>
      <c r="AB2" s="558" t="str" cm="1">
        <f t="array" aca="1" ref="AB2:AJ2" ca="1">IFERROR(_xlfn._xlws.FILTER($Q$1:$Y$1,t_tp[[#This Row],[ahh]:[lev]]=LARGE(t_tp[[#This Row],[ahh]:[lev]],1)),"")</f>
        <v>ahh</v>
      </c>
      <c r="AC2" s="558" t="str">
        <f ca="1"/>
        <v>rb</v>
      </c>
      <c r="AD2" s="558" t="str">
        <f ca="1"/>
        <v>eb</v>
      </c>
      <c r="AE2" s="558" t="str">
        <f ca="1"/>
        <v>kaf</v>
      </c>
      <c r="AF2" s="558" t="str">
        <f ca="1"/>
        <v>øg</v>
      </c>
      <c r="AG2" s="558" t="str">
        <f ca="1"/>
        <v>jh</v>
      </c>
      <c r="AH2" s="558" t="str">
        <f ca="1"/>
        <v>toh</v>
      </c>
      <c r="AI2" s="558" t="str">
        <f ca="1"/>
        <v>utg</v>
      </c>
      <c r="AJ2" s="559" t="str">
        <f ca="1"/>
        <v>lev</v>
      </c>
      <c r="AK2" s="20"/>
      <c r="AL2" s="557">
        <f>AA2</f>
        <v>46249</v>
      </c>
      <c r="AM2" s="558" t="str" cm="1">
        <f t="array" aca="1" ref="AM2:AU2" ca="1">IFERROR(_xlfn._xlws.FILTER($Q$1:$Y$1,t_tp[[#This Row],[ahh]:[lev]]=SMALL(t_tp[[#This Row],[ahh]:[lev]],1)),"")</f>
        <v>ahh</v>
      </c>
      <c r="AN2" s="558" t="str">
        <f ca="1"/>
        <v>rb</v>
      </c>
      <c r="AO2" s="558" t="str">
        <f ca="1"/>
        <v>eb</v>
      </c>
      <c r="AP2" s="558" t="str">
        <f ca="1"/>
        <v>kaf</v>
      </c>
      <c r="AQ2" s="558" t="str">
        <f ca="1"/>
        <v>øg</v>
      </c>
      <c r="AR2" s="558" t="str">
        <f ca="1"/>
        <v>jh</v>
      </c>
      <c r="AS2" s="558" t="str">
        <f ca="1"/>
        <v>toh</v>
      </c>
      <c r="AT2" s="558" t="str">
        <f ca="1"/>
        <v>utg</v>
      </c>
      <c r="AU2" s="559" t="str">
        <f ca="1"/>
        <v>lev</v>
      </c>
    </row>
    <row r="3" spans="1:47" ht="14.25" thickTop="1" thickBot="1" x14ac:dyDescent="0.25">
      <c r="A3">
        <v>2</v>
      </c>
      <c r="B3" s="22">
        <f>Data!AL2</f>
        <v>46256</v>
      </c>
      <c r="C3" cm="1">
        <f t="array" aca="1" ref="C3" ca="1">IFERROR(_xlfn.XLOOKUP(_xlfn.SINGLE(t_rang[[Dato]:[Dato]]),INDIRECT("t_"&amp;C$1&amp;"[[Dato]]"),INDIRECT("t_"&amp;C$1&amp;"[[Rank]]")),"")</f>
        <v>1</v>
      </c>
      <c r="D3" cm="1">
        <f t="array" aca="1" ref="D3" ca="1">IFERROR(_xlfn.XLOOKUP(_xlfn.SINGLE(t_rang[[Dato]:[Dato]]),INDIRECT("t_"&amp;D$1&amp;"[[Dato]]"),INDIRECT("t_"&amp;D$1&amp;"[[Rank]]")),"")</f>
        <v>1</v>
      </c>
      <c r="E3" cm="1">
        <f t="array" aca="1" ref="E3" ca="1">IFERROR(_xlfn.XLOOKUP(_xlfn.SINGLE(t_rang[[Dato]:[Dato]]),INDIRECT("t_"&amp;E$1&amp;"[[Dato]]"),INDIRECT("t_"&amp;E$1&amp;"[[Rank]]")),"")</f>
        <v>1</v>
      </c>
      <c r="F3" cm="1">
        <f t="array" aca="1" ref="F3" ca="1">IFERROR(_xlfn.XLOOKUP(_xlfn.SINGLE(t_rang[[Dato]:[Dato]]),INDIRECT("t_"&amp;F$1&amp;"[[Dato]]"),INDIRECT("t_"&amp;F$1&amp;"[[Rank]]")),"")</f>
        <v>1</v>
      </c>
      <c r="G3" cm="1">
        <f t="array" aca="1" ref="G3" ca="1">IFERROR(_xlfn.XLOOKUP(_xlfn.SINGLE(t_rang[[Dato]:[Dato]]),INDIRECT("t_"&amp;G$1&amp;"[[Dato]]"),INDIRECT("t_"&amp;G$1&amp;"[[Rank]]")),"")</f>
        <v>1</v>
      </c>
      <c r="H3" cm="1">
        <f t="array" aca="1" ref="H3" ca="1">IFERROR(_xlfn.XLOOKUP(_xlfn.SINGLE(t_rang[[Dato]:[Dato]]),INDIRECT("t_"&amp;H$1&amp;"[[Dato]]"),INDIRECT("t_"&amp;H$1&amp;"[[Rank]]")),"")</f>
        <v>1</v>
      </c>
      <c r="I3" cm="1">
        <f t="array" aca="1" ref="I3" ca="1">IFERROR(_xlfn.XLOOKUP(_xlfn.SINGLE(t_rang[[Dato]:[Dato]]),INDIRECT("t_"&amp;I$1&amp;"[[Dato]]"),INDIRECT("t_"&amp;I$1&amp;"[[Rank]]")),"")</f>
        <v>1</v>
      </c>
      <c r="J3" cm="1">
        <f t="array" aca="1" ref="J3" ca="1">IFERROR(_xlfn.XLOOKUP(_xlfn.SINGLE(t_rang[[Dato]:[Dato]]),INDIRECT("t_"&amp;J$1&amp;"[[Dato]]"),INDIRECT("t_"&amp;J$1&amp;"[[Rank]]")),"")</f>
        <v>1</v>
      </c>
      <c r="K3" cm="1">
        <f t="array" aca="1" ref="K3" ca="1">IFERROR(_xlfn.XLOOKUP(_xlfn.SINGLE(t_rang[[Dato]:[Dato]]),INDIRECT("t_"&amp;K$1&amp;"[[Dato]]"),INDIRECT("t_"&amp;K$1&amp;"[[Rank]]")),"")</f>
        <v>1</v>
      </c>
      <c r="L3" s="381"/>
      <c r="M3" s="381"/>
      <c r="N3" s="381"/>
      <c r="O3" s="361"/>
      <c r="P3" s="383">
        <f>Data!AL2</f>
        <v>46256</v>
      </c>
      <c r="Q3" s="360" cm="1">
        <f t="array" aca="1" ref="Q3" ca="1">IFERROR(INDIRECT("t_"&amp;Q$1&amp;"[@[Totalt]:[Totalt]]"),"")</f>
        <v>941</v>
      </c>
      <c r="R3" s="360" cm="1">
        <f t="array" aca="1" ref="R3" ca="1">IFERROR(INDIRECT("t_"&amp;R$1&amp;"[@[Totalt]:[Totalt]]"),"")</f>
        <v>1850</v>
      </c>
      <c r="S3" s="360" cm="1">
        <f t="array" aca="1" ref="S3" ca="1">IFERROR(INDIRECT("t_"&amp;S$1&amp;"[@[Totalt]:[Totalt]]"),"")</f>
        <v>3410</v>
      </c>
      <c r="T3" s="360" cm="1">
        <f t="array" aca="1" ref="T3" ca="1">IFERROR(INDIRECT("t_"&amp;T$1&amp;"[@[Totalt]:[Totalt]]"),"")</f>
        <v>1850</v>
      </c>
      <c r="U3" s="360" cm="1">
        <f t="array" aca="1" ref="U3" ca="1">IFERROR(INDIRECT("t_"&amp;U$1&amp;"[@[Totalt]:[Totalt]]"),"")</f>
        <v>1850</v>
      </c>
      <c r="V3" s="360" cm="1">
        <f t="array" aca="1" ref="V3" ca="1">IFERROR(INDIRECT("t_"&amp;V$1&amp;"[@[Totalt]:[Totalt]]"),"")</f>
        <v>1850</v>
      </c>
      <c r="W3" s="360" cm="1">
        <f t="array" aca="1" ref="W3" ca="1">IFERROR(INDIRECT("t_"&amp;W$1&amp;"[@[Totalt]:[Totalt]]"),"")</f>
        <v>1850</v>
      </c>
      <c r="X3" s="360" cm="1">
        <f t="array" aca="1" ref="X3" ca="1">IFERROR(INDIRECT("t_"&amp;X$1&amp;"[@[Totalt]:[Totalt]]"),"")</f>
        <v>1850</v>
      </c>
      <c r="Y3" s="360" cm="1">
        <f t="array" aca="1" ref="Y3" ca="1">IFERROR(INDIRECT("t_"&amp;Y$1&amp;"[@[Totalt]:[Totalt]]"),"")</f>
        <v>1850</v>
      </c>
      <c r="AA3" s="560">
        <f>t_tp[[#This Row],[Dato]]</f>
        <v>46256</v>
      </c>
      <c r="AB3" s="561" t="str" cm="1">
        <f t="array" aca="1" ref="AB3" ca="1">IFERROR(_xlfn._xlws.FILTER($Q$1:$Y$1,t_tp[[#This Row],[ahh]:[lev]]=LARGE(t_tp[[#This Row],[ahh]:[lev]],1)),"")</f>
        <v>eb</v>
      </c>
      <c r="AC3" s="561"/>
      <c r="AD3" s="561"/>
      <c r="AE3" s="561"/>
      <c r="AF3" s="561"/>
      <c r="AG3" s="561"/>
      <c r="AH3" s="561"/>
      <c r="AI3" s="561"/>
      <c r="AJ3" s="562"/>
      <c r="AK3" s="20"/>
      <c r="AL3" s="560">
        <f t="shared" ref="AL3:AL42" si="0">AA3</f>
        <v>46256</v>
      </c>
      <c r="AM3" s="561" t="str" cm="1">
        <f t="array" aca="1" ref="AM3" ca="1">IFERROR(_xlfn._xlws.FILTER($Q$1:$Y$1,t_tp[[#This Row],[ahh]:[lev]]=SMALL(t_tp[[#This Row],[ahh]:[lev]],1)),"")</f>
        <v>ahh</v>
      </c>
      <c r="AN3" s="561"/>
      <c r="AO3" s="561"/>
      <c r="AP3" s="561"/>
      <c r="AQ3" s="561"/>
      <c r="AR3" s="561"/>
      <c r="AS3" s="561"/>
      <c r="AT3" s="561"/>
      <c r="AU3" s="562"/>
    </row>
    <row r="4" spans="1:47" ht="14.25" thickTop="1" thickBot="1" x14ac:dyDescent="0.25">
      <c r="A4">
        <v>3</v>
      </c>
      <c r="B4" s="22">
        <f>Data!AL3</f>
        <v>46263</v>
      </c>
      <c r="C4" cm="1">
        <f t="array" aca="1" ref="C4" ca="1">IFERROR(_xlfn.XLOOKUP(_xlfn.SINGLE(t_rang[[Dato]:[Dato]]),INDIRECT("t_"&amp;C$1&amp;"[[Dato]]"),INDIRECT("t_"&amp;C$1&amp;"[[Rank]]")),"")</f>
        <v>1</v>
      </c>
      <c r="D4" cm="1">
        <f t="array" aca="1" ref="D4" ca="1">IFERROR(_xlfn.XLOOKUP(_xlfn.SINGLE(t_rang[[Dato]:[Dato]]),INDIRECT("t_"&amp;D$1&amp;"[[Dato]]"),INDIRECT("t_"&amp;D$1&amp;"[[Rank]]")),"")</f>
        <v>1</v>
      </c>
      <c r="E4" cm="1">
        <f t="array" aca="1" ref="E4" ca="1">IFERROR(_xlfn.XLOOKUP(_xlfn.SINGLE(t_rang[[Dato]:[Dato]]),INDIRECT("t_"&amp;E$1&amp;"[[Dato]]"),INDIRECT("t_"&amp;E$1&amp;"[[Rank]]")),"")</f>
        <v>1</v>
      </c>
      <c r="F4" cm="1">
        <f t="array" aca="1" ref="F4" ca="1">IFERROR(_xlfn.XLOOKUP(_xlfn.SINGLE(t_rang[[Dato]:[Dato]]),INDIRECT("t_"&amp;F$1&amp;"[[Dato]]"),INDIRECT("t_"&amp;F$1&amp;"[[Rank]]")),"")</f>
        <v>1</v>
      </c>
      <c r="G4" cm="1">
        <f t="array" aca="1" ref="G4" ca="1">IFERROR(_xlfn.XLOOKUP(_xlfn.SINGLE(t_rang[[Dato]:[Dato]]),INDIRECT("t_"&amp;G$1&amp;"[[Dato]]"),INDIRECT("t_"&amp;G$1&amp;"[[Rank]]")),"")</f>
        <v>1</v>
      </c>
      <c r="H4" cm="1">
        <f t="array" aca="1" ref="H4" ca="1">IFERROR(_xlfn.XLOOKUP(_xlfn.SINGLE(t_rang[[Dato]:[Dato]]),INDIRECT("t_"&amp;H$1&amp;"[[Dato]]"),INDIRECT("t_"&amp;H$1&amp;"[[Rank]]")),"")</f>
        <v>1</v>
      </c>
      <c r="I4" cm="1">
        <f t="array" aca="1" ref="I4" ca="1">IFERROR(_xlfn.XLOOKUP(_xlfn.SINGLE(t_rang[[Dato]:[Dato]]),INDIRECT("t_"&amp;I$1&amp;"[[Dato]]"),INDIRECT("t_"&amp;I$1&amp;"[[Rank]]")),"")</f>
        <v>1</v>
      </c>
      <c r="J4" cm="1">
        <f t="array" aca="1" ref="J4" ca="1">IFERROR(_xlfn.XLOOKUP(_xlfn.SINGLE(t_rang[[Dato]:[Dato]]),INDIRECT("t_"&amp;J$1&amp;"[[Dato]]"),INDIRECT("t_"&amp;J$1&amp;"[[Rank]]")),"")</f>
        <v>1</v>
      </c>
      <c r="K4" cm="1">
        <f t="array" aca="1" ref="K4" ca="1">IFERROR(_xlfn.XLOOKUP(_xlfn.SINGLE(t_rang[[Dato]:[Dato]]),INDIRECT("t_"&amp;K$1&amp;"[[Dato]]"),INDIRECT("t_"&amp;K$1&amp;"[[Rank]]")),"")</f>
        <v>1</v>
      </c>
      <c r="L4" s="381"/>
      <c r="M4" s="381"/>
      <c r="N4" s="381"/>
      <c r="O4" s="361"/>
      <c r="P4" s="383">
        <f>Data!AL3</f>
        <v>46263</v>
      </c>
      <c r="Q4" s="360" cm="1">
        <f t="array" aca="1" ref="Q4" ca="1">IFERROR(INDIRECT("t_"&amp;Q$1&amp;"[@[Totalt]:[Totalt]]"),"")</f>
        <v>780</v>
      </c>
      <c r="R4" s="360" cm="1">
        <f t="array" aca="1" ref="R4" ca="1">IFERROR(INDIRECT("t_"&amp;R$1&amp;"[@[Totalt]:[Totalt]]"),"")</f>
        <v>1850</v>
      </c>
      <c r="S4" s="360" cm="1">
        <f t="array" aca="1" ref="S4" ca="1">IFERROR(INDIRECT("t_"&amp;S$1&amp;"[@[Totalt]:[Totalt]]"),"")</f>
        <v>3410</v>
      </c>
      <c r="T4" s="360" cm="1">
        <f t="array" aca="1" ref="T4" ca="1">IFERROR(INDIRECT("t_"&amp;T$1&amp;"[@[Totalt]:[Totalt]]"),"")</f>
        <v>1850</v>
      </c>
      <c r="U4" s="360" cm="1">
        <f t="array" aca="1" ref="U4" ca="1">IFERROR(INDIRECT("t_"&amp;U$1&amp;"[@[Totalt]:[Totalt]]"),"")</f>
        <v>1850</v>
      </c>
      <c r="V4" s="360" cm="1">
        <f t="array" aca="1" ref="V4" ca="1">IFERROR(INDIRECT("t_"&amp;V$1&amp;"[@[Totalt]:[Totalt]]"),"")</f>
        <v>1850</v>
      </c>
      <c r="W4" s="360" cm="1">
        <f t="array" aca="1" ref="W4" ca="1">IFERROR(INDIRECT("t_"&amp;W$1&amp;"[@[Totalt]:[Totalt]]"),"")</f>
        <v>1850</v>
      </c>
      <c r="X4" s="360" cm="1">
        <f t="array" aca="1" ref="X4" ca="1">IFERROR(INDIRECT("t_"&amp;X$1&amp;"[@[Totalt]:[Totalt]]"),"")</f>
        <v>1850</v>
      </c>
      <c r="Y4" s="360" cm="1">
        <f t="array" aca="1" ref="Y4" ca="1">IFERROR(INDIRECT("t_"&amp;Y$1&amp;"[@[Totalt]:[Totalt]]"),"")</f>
        <v>1850</v>
      </c>
      <c r="AA4" s="557">
        <f>t_tp[[#This Row],[Dato]]</f>
        <v>46263</v>
      </c>
      <c r="AB4" s="558" t="str" cm="1">
        <f t="array" aca="1" ref="AB4" ca="1">IFERROR(_xlfn._xlws.FILTER($Q$1:$Y$1,t_tp[[#This Row],[ahh]:[lev]]=LARGE(t_tp[[#This Row],[ahh]:[lev]],1)),"")</f>
        <v>eb</v>
      </c>
      <c r="AC4" s="558"/>
      <c r="AD4" s="558"/>
      <c r="AE4" s="558"/>
      <c r="AF4" s="558"/>
      <c r="AG4" s="558"/>
      <c r="AH4" s="558"/>
      <c r="AI4" s="558"/>
      <c r="AJ4" s="559"/>
      <c r="AK4" s="20"/>
      <c r="AL4" s="557">
        <f t="shared" si="0"/>
        <v>46263</v>
      </c>
      <c r="AM4" s="558" t="str" cm="1">
        <f t="array" aca="1" ref="AM4" ca="1">IFERROR(_xlfn._xlws.FILTER($Q$1:$Y$1,t_tp[[#This Row],[ahh]:[lev]]=SMALL(t_tp[[#This Row],[ahh]:[lev]],1)),"")</f>
        <v>ahh</v>
      </c>
      <c r="AN4" s="558"/>
      <c r="AO4" s="558"/>
      <c r="AP4" s="558"/>
      <c r="AQ4" s="558"/>
      <c r="AR4" s="558"/>
      <c r="AS4" s="558"/>
      <c r="AT4" s="558"/>
      <c r="AU4" s="559"/>
    </row>
    <row r="5" spans="1:47" ht="14.25" thickTop="1" thickBot="1" x14ac:dyDescent="0.25">
      <c r="A5">
        <v>4</v>
      </c>
      <c r="B5" s="22">
        <f>Data!AL4</f>
        <v>46270</v>
      </c>
      <c r="C5" cm="1">
        <f t="array" aca="1" ref="C5" ca="1">IFERROR(_xlfn.XLOOKUP(_xlfn.SINGLE(t_rang[[Dato]:[Dato]]),INDIRECT("t_"&amp;C$1&amp;"[[Dato]]"),INDIRECT("t_"&amp;C$1&amp;"[[Rank]]")),"")</f>
        <v>1</v>
      </c>
      <c r="D5" cm="1">
        <f t="array" aca="1" ref="D5" ca="1">IFERROR(_xlfn.XLOOKUP(_xlfn.SINGLE(t_rang[[Dato]:[Dato]]),INDIRECT("t_"&amp;D$1&amp;"[[Dato]]"),INDIRECT("t_"&amp;D$1&amp;"[[Rank]]")),"")</f>
        <v>1</v>
      </c>
      <c r="E5" cm="1">
        <f t="array" aca="1" ref="E5" ca="1">IFERROR(_xlfn.XLOOKUP(_xlfn.SINGLE(t_rang[[Dato]:[Dato]]),INDIRECT("t_"&amp;E$1&amp;"[[Dato]]"),INDIRECT("t_"&amp;E$1&amp;"[[Rank]]")),"")</f>
        <v>1</v>
      </c>
      <c r="F5" cm="1">
        <f t="array" aca="1" ref="F5" ca="1">IFERROR(_xlfn.XLOOKUP(_xlfn.SINGLE(t_rang[[Dato]:[Dato]]),INDIRECT("t_"&amp;F$1&amp;"[[Dato]]"),INDIRECT("t_"&amp;F$1&amp;"[[Rank]]")),"")</f>
        <v>1</v>
      </c>
      <c r="G5" cm="1">
        <f t="array" aca="1" ref="G5" ca="1">IFERROR(_xlfn.XLOOKUP(_xlfn.SINGLE(t_rang[[Dato]:[Dato]]),INDIRECT("t_"&amp;G$1&amp;"[[Dato]]"),INDIRECT("t_"&amp;G$1&amp;"[[Rank]]")),"")</f>
        <v>1</v>
      </c>
      <c r="H5" cm="1">
        <f t="array" aca="1" ref="H5" ca="1">IFERROR(_xlfn.XLOOKUP(_xlfn.SINGLE(t_rang[[Dato]:[Dato]]),INDIRECT("t_"&amp;H$1&amp;"[[Dato]]"),INDIRECT("t_"&amp;H$1&amp;"[[Rank]]")),"")</f>
        <v>1</v>
      </c>
      <c r="I5" cm="1">
        <f t="array" aca="1" ref="I5" ca="1">IFERROR(_xlfn.XLOOKUP(_xlfn.SINGLE(t_rang[[Dato]:[Dato]]),INDIRECT("t_"&amp;I$1&amp;"[[Dato]]"),INDIRECT("t_"&amp;I$1&amp;"[[Rank]]")),"")</f>
        <v>1</v>
      </c>
      <c r="J5" cm="1">
        <f t="array" aca="1" ref="J5" ca="1">IFERROR(_xlfn.XLOOKUP(_xlfn.SINGLE(t_rang[[Dato]:[Dato]]),INDIRECT("t_"&amp;J$1&amp;"[[Dato]]"),INDIRECT("t_"&amp;J$1&amp;"[[Rank]]")),"")</f>
        <v>1</v>
      </c>
      <c r="K5" cm="1">
        <f t="array" aca="1" ref="K5" ca="1">IFERROR(_xlfn.XLOOKUP(_xlfn.SINGLE(t_rang[[Dato]:[Dato]]),INDIRECT("t_"&amp;K$1&amp;"[[Dato]]"),INDIRECT("t_"&amp;K$1&amp;"[[Rank]]")),"")</f>
        <v>1</v>
      </c>
      <c r="L5" s="381"/>
      <c r="M5" s="381"/>
      <c r="N5" s="381"/>
      <c r="O5" s="361"/>
      <c r="P5" s="383">
        <f>Data!AL4</f>
        <v>46270</v>
      </c>
      <c r="Q5" s="360" cm="1">
        <f t="array" aca="1" ref="Q5" ca="1">IFERROR(INDIRECT("t_"&amp;Q$1&amp;"[@[Totalt]:[Totalt]]"),"")</f>
        <v>780</v>
      </c>
      <c r="R5" s="360" cm="1">
        <f t="array" aca="1" ref="R5" ca="1">IFERROR(INDIRECT("t_"&amp;R$1&amp;"[@[Totalt]:[Totalt]]"),"")</f>
        <v>1850</v>
      </c>
      <c r="S5" s="360" cm="1">
        <f t="array" aca="1" ref="S5" ca="1">IFERROR(INDIRECT("t_"&amp;S$1&amp;"[@[Totalt]:[Totalt]]"),"")</f>
        <v>3410</v>
      </c>
      <c r="T5" s="360" cm="1">
        <f t="array" aca="1" ref="T5" ca="1">IFERROR(INDIRECT("t_"&amp;T$1&amp;"[@[Totalt]:[Totalt]]"),"")</f>
        <v>1850</v>
      </c>
      <c r="U5" s="360" cm="1">
        <f t="array" aca="1" ref="U5" ca="1">IFERROR(INDIRECT("t_"&amp;U$1&amp;"[@[Totalt]:[Totalt]]"),"")</f>
        <v>1850</v>
      </c>
      <c r="V5" s="360" cm="1">
        <f t="array" aca="1" ref="V5" ca="1">IFERROR(INDIRECT("t_"&amp;V$1&amp;"[@[Totalt]:[Totalt]]"),"")</f>
        <v>1850</v>
      </c>
      <c r="W5" s="360" cm="1">
        <f t="array" aca="1" ref="W5" ca="1">IFERROR(INDIRECT("t_"&amp;W$1&amp;"[@[Totalt]:[Totalt]]"),"")</f>
        <v>1850</v>
      </c>
      <c r="X5" s="360" cm="1">
        <f t="array" aca="1" ref="X5" ca="1">IFERROR(INDIRECT("t_"&amp;X$1&amp;"[@[Totalt]:[Totalt]]"),"")</f>
        <v>1850</v>
      </c>
      <c r="Y5" s="360" cm="1">
        <f t="array" aca="1" ref="Y5" ca="1">IFERROR(INDIRECT("t_"&amp;Y$1&amp;"[@[Totalt]:[Totalt]]"),"")</f>
        <v>1850</v>
      </c>
      <c r="AA5" s="560">
        <f>t_tp[[#This Row],[Dato]]</f>
        <v>46270</v>
      </c>
      <c r="AB5" s="561" t="str" cm="1">
        <f t="array" aca="1" ref="AB5" ca="1">IFERROR(_xlfn._xlws.FILTER($Q$1:$Y$1,t_tp[[#This Row],[ahh]:[lev]]=LARGE(t_tp[[#This Row],[ahh]:[lev]],1)),"")</f>
        <v>eb</v>
      </c>
      <c r="AC5" s="561"/>
      <c r="AD5" s="561"/>
      <c r="AE5" s="561"/>
      <c r="AF5" s="561"/>
      <c r="AG5" s="561"/>
      <c r="AH5" s="561"/>
      <c r="AI5" s="561"/>
      <c r="AJ5" s="562"/>
      <c r="AK5" s="20"/>
      <c r="AL5" s="560">
        <f t="shared" si="0"/>
        <v>46270</v>
      </c>
      <c r="AM5" s="561" t="str" cm="1">
        <f t="array" aca="1" ref="AM5" ca="1">IFERROR(_xlfn._xlws.FILTER($Q$1:$Y$1,t_tp[[#This Row],[ahh]:[lev]]=SMALL(t_tp[[#This Row],[ahh]:[lev]],1)),"")</f>
        <v>ahh</v>
      </c>
      <c r="AN5" s="561"/>
      <c r="AO5" s="561"/>
      <c r="AP5" s="561"/>
      <c r="AQ5" s="561"/>
      <c r="AR5" s="561"/>
      <c r="AS5" s="561"/>
      <c r="AT5" s="561"/>
      <c r="AU5" s="562"/>
    </row>
    <row r="6" spans="1:47" ht="14.25" thickTop="1" thickBot="1" x14ac:dyDescent="0.25">
      <c r="A6">
        <v>5</v>
      </c>
      <c r="B6" s="22">
        <f>Data!AL5</f>
        <v>46277</v>
      </c>
      <c r="C6" t="str" cm="1">
        <f t="array" aca="1" ref="C6" ca="1">IFERROR(_xlfn.XLOOKUP(_xlfn.SINGLE(t_rang[[Dato]:[Dato]]),INDIRECT("t_"&amp;C$1&amp;"[[Dato]]"),INDIRECT("t_"&amp;C$1&amp;"[[Rank]]")),"")</f>
        <v/>
      </c>
      <c r="D6" t="str" cm="1">
        <f t="array" aca="1" ref="D6" ca="1">IFERROR(_xlfn.XLOOKUP(_xlfn.SINGLE(t_rang[[Dato]:[Dato]]),INDIRECT("t_"&amp;D$1&amp;"[[Dato]]"),INDIRECT("t_"&amp;D$1&amp;"[[Rank]]")),"")</f>
        <v/>
      </c>
      <c r="E6" t="str" cm="1">
        <f t="array" aca="1" ref="E6" ca="1">IFERROR(_xlfn.XLOOKUP(_xlfn.SINGLE(t_rang[[Dato]:[Dato]]),INDIRECT("t_"&amp;E$1&amp;"[[Dato]]"),INDIRECT("t_"&amp;E$1&amp;"[[Rank]]")),"")</f>
        <v/>
      </c>
      <c r="F6" t="str" cm="1">
        <f t="array" aca="1" ref="F6" ca="1">IFERROR(_xlfn.XLOOKUP(_xlfn.SINGLE(t_rang[[Dato]:[Dato]]),INDIRECT("t_"&amp;F$1&amp;"[[Dato]]"),INDIRECT("t_"&amp;F$1&amp;"[[Rank]]")),"")</f>
        <v/>
      </c>
      <c r="G6" t="str" cm="1">
        <f t="array" aca="1" ref="G6" ca="1">IFERROR(_xlfn.XLOOKUP(_xlfn.SINGLE(t_rang[[Dato]:[Dato]]),INDIRECT("t_"&amp;G$1&amp;"[[Dato]]"),INDIRECT("t_"&amp;G$1&amp;"[[Rank]]")),"")</f>
        <v/>
      </c>
      <c r="H6" t="str" cm="1">
        <f t="array" aca="1" ref="H6" ca="1">IFERROR(_xlfn.XLOOKUP(_xlfn.SINGLE(t_rang[[Dato]:[Dato]]),INDIRECT("t_"&amp;H$1&amp;"[[Dato]]"),INDIRECT("t_"&amp;H$1&amp;"[[Rank]]")),"")</f>
        <v/>
      </c>
      <c r="I6" t="str" cm="1">
        <f t="array" aca="1" ref="I6" ca="1">IFERROR(_xlfn.XLOOKUP(_xlfn.SINGLE(t_rang[[Dato]:[Dato]]),INDIRECT("t_"&amp;I$1&amp;"[[Dato]]"),INDIRECT("t_"&amp;I$1&amp;"[[Rank]]")),"")</f>
        <v/>
      </c>
      <c r="J6" t="str" cm="1">
        <f t="array" aca="1" ref="J6" ca="1">IFERROR(_xlfn.XLOOKUP(_xlfn.SINGLE(t_rang[[Dato]:[Dato]]),INDIRECT("t_"&amp;J$1&amp;"[[Dato]]"),INDIRECT("t_"&amp;J$1&amp;"[[Rank]]")),"")</f>
        <v/>
      </c>
      <c r="K6" t="str" cm="1">
        <f t="array" aca="1" ref="K6" ca="1">IFERROR(_xlfn.XLOOKUP(_xlfn.SINGLE(t_rang[[Dato]:[Dato]]),INDIRECT("t_"&amp;K$1&amp;"[[Dato]]"),INDIRECT("t_"&amp;K$1&amp;"[[Rank]]")),"")</f>
        <v/>
      </c>
      <c r="L6" s="381"/>
      <c r="M6" s="381"/>
      <c r="N6" s="381"/>
      <c r="O6" s="361"/>
      <c r="P6" s="383">
        <f>Data!AL5</f>
        <v>46277</v>
      </c>
      <c r="Q6" s="360" cm="1">
        <f t="array" aca="1" ref="Q6" ca="1">IFERROR(INDIRECT("t_"&amp;Q$1&amp;"[@[Totalt]:[Totalt]]"),"")</f>
        <v>852</v>
      </c>
      <c r="R6" s="360" cm="1">
        <f t="array" aca="1" ref="R6" ca="1">IFERROR(INDIRECT("t_"&amp;R$1&amp;"[@[Totalt]:[Totalt]]"),"")</f>
        <v>1922</v>
      </c>
      <c r="S6" s="360" cm="1">
        <f t="array" aca="1" ref="S6" ca="1">IFERROR(INDIRECT("t_"&amp;S$1&amp;"[@[Totalt]:[Totalt]]"),"")</f>
        <v>3626</v>
      </c>
      <c r="T6" s="360" cm="1">
        <f t="array" aca="1" ref="T6" ca="1">IFERROR(INDIRECT("t_"&amp;T$1&amp;"[@[Totalt]:[Totalt]]"),"")</f>
        <v>1922</v>
      </c>
      <c r="U6" s="360" cm="1">
        <f t="array" aca="1" ref="U6" ca="1">IFERROR(INDIRECT("t_"&amp;U$1&amp;"[@[Totalt]:[Totalt]]"),"")</f>
        <v>1922</v>
      </c>
      <c r="V6" s="360" cm="1">
        <f t="array" aca="1" ref="V6" ca="1">IFERROR(INDIRECT("t_"&amp;V$1&amp;"[@[Totalt]:[Totalt]]"),"")</f>
        <v>1922</v>
      </c>
      <c r="W6" s="360" cm="1">
        <f t="array" aca="1" ref="W6" ca="1">IFERROR(INDIRECT("t_"&amp;W$1&amp;"[@[Totalt]:[Totalt]]"),"")</f>
        <v>1922</v>
      </c>
      <c r="X6" s="360" cm="1">
        <f t="array" aca="1" ref="X6" ca="1">IFERROR(INDIRECT("t_"&amp;X$1&amp;"[@[Totalt]:[Totalt]]"),"")</f>
        <v>1922</v>
      </c>
      <c r="Y6" s="360" cm="1">
        <f t="array" aca="1" ref="Y6" ca="1">IFERROR(INDIRECT("t_"&amp;Y$1&amp;"[@[Totalt]:[Totalt]]"),"")</f>
        <v>1922</v>
      </c>
      <c r="AA6" s="557">
        <f>t_tp[[#This Row],[Dato]]</f>
        <v>46277</v>
      </c>
      <c r="AB6" s="558" t="str" cm="1">
        <f t="array" aca="1" ref="AB6" ca="1">IFERROR(_xlfn._xlws.FILTER($Q$1:$Y$1,t_tp[[#This Row],[ahh]:[lev]]=LARGE(t_tp[[#This Row],[ahh]:[lev]],1)),"")</f>
        <v>eb</v>
      </c>
      <c r="AC6" s="558"/>
      <c r="AD6" s="558"/>
      <c r="AE6" s="558"/>
      <c r="AF6" s="558"/>
      <c r="AG6" s="558"/>
      <c r="AH6" s="558"/>
      <c r="AI6" s="558"/>
      <c r="AJ6" s="559"/>
      <c r="AK6" s="20"/>
      <c r="AL6" s="557">
        <f t="shared" si="0"/>
        <v>46277</v>
      </c>
      <c r="AM6" s="558" t="str" cm="1">
        <f t="array" aca="1" ref="AM6" ca="1">IFERROR(_xlfn._xlws.FILTER($Q$1:$Y$1,t_tp[[#This Row],[ahh]:[lev]]=SMALL(t_tp[[#This Row],[ahh]:[lev]],1)),"")</f>
        <v>ahh</v>
      </c>
      <c r="AN6" s="558"/>
      <c r="AO6" s="558"/>
      <c r="AP6" s="558"/>
      <c r="AQ6" s="558"/>
      <c r="AR6" s="558"/>
      <c r="AS6" s="558"/>
      <c r="AT6" s="558"/>
      <c r="AU6" s="559"/>
    </row>
    <row r="7" spans="1:47" ht="14.25" thickTop="1" thickBot="1" x14ac:dyDescent="0.25">
      <c r="A7">
        <v>6</v>
      </c>
      <c r="B7" s="22">
        <f>Data!AL6</f>
        <v>46284</v>
      </c>
      <c r="C7" t="str" cm="1">
        <f t="array" aca="1" ref="C7" ca="1">IFERROR(_xlfn.XLOOKUP(_xlfn.SINGLE(t_rang[[Dato]:[Dato]]),INDIRECT("t_"&amp;C$1&amp;"[[Dato]]"),INDIRECT("t_"&amp;C$1&amp;"[[Rank]]")),"")</f>
        <v/>
      </c>
      <c r="D7" t="str" cm="1">
        <f t="array" aca="1" ref="D7" ca="1">IFERROR(_xlfn.XLOOKUP(_xlfn.SINGLE(t_rang[[Dato]:[Dato]]),INDIRECT("t_"&amp;D$1&amp;"[[Dato]]"),INDIRECT("t_"&amp;D$1&amp;"[[Rank]]")),"")</f>
        <v/>
      </c>
      <c r="E7" t="str" cm="1">
        <f t="array" aca="1" ref="E7" ca="1">IFERROR(_xlfn.XLOOKUP(_xlfn.SINGLE(t_rang[[Dato]:[Dato]]),INDIRECT("t_"&amp;E$1&amp;"[[Dato]]"),INDIRECT("t_"&amp;E$1&amp;"[[Rank]]")),"")</f>
        <v/>
      </c>
      <c r="F7" t="str" cm="1">
        <f t="array" aca="1" ref="F7" ca="1">IFERROR(_xlfn.XLOOKUP(_xlfn.SINGLE(t_rang[[Dato]:[Dato]]),INDIRECT("t_"&amp;F$1&amp;"[[Dato]]"),INDIRECT("t_"&amp;F$1&amp;"[[Rank]]")),"")</f>
        <v/>
      </c>
      <c r="G7" t="str" cm="1">
        <f t="array" aca="1" ref="G7" ca="1">IFERROR(_xlfn.XLOOKUP(_xlfn.SINGLE(t_rang[[Dato]:[Dato]]),INDIRECT("t_"&amp;G$1&amp;"[[Dato]]"),INDIRECT("t_"&amp;G$1&amp;"[[Rank]]")),"")</f>
        <v/>
      </c>
      <c r="H7" t="str" cm="1">
        <f t="array" aca="1" ref="H7" ca="1">IFERROR(_xlfn.XLOOKUP(_xlfn.SINGLE(t_rang[[Dato]:[Dato]]),INDIRECT("t_"&amp;H$1&amp;"[[Dato]]"),INDIRECT("t_"&amp;H$1&amp;"[[Rank]]")),"")</f>
        <v/>
      </c>
      <c r="I7" t="str" cm="1">
        <f t="array" aca="1" ref="I7" ca="1">IFERROR(_xlfn.XLOOKUP(_xlfn.SINGLE(t_rang[[Dato]:[Dato]]),INDIRECT("t_"&amp;I$1&amp;"[[Dato]]"),INDIRECT("t_"&amp;I$1&amp;"[[Rank]]")),"")</f>
        <v/>
      </c>
      <c r="J7" t="str" cm="1">
        <f t="array" aca="1" ref="J7" ca="1">IFERROR(_xlfn.XLOOKUP(_xlfn.SINGLE(t_rang[[Dato]:[Dato]]),INDIRECT("t_"&amp;J$1&amp;"[[Dato]]"),INDIRECT("t_"&amp;J$1&amp;"[[Rank]]")),"")</f>
        <v/>
      </c>
      <c r="K7" t="str" cm="1">
        <f t="array" aca="1" ref="K7" ca="1">IFERROR(_xlfn.XLOOKUP(_xlfn.SINGLE(t_rang[[Dato]:[Dato]]),INDIRECT("t_"&amp;K$1&amp;"[[Dato]]"),INDIRECT("t_"&amp;K$1&amp;"[[Rank]]")),"")</f>
        <v/>
      </c>
      <c r="L7" s="381"/>
      <c r="M7" s="381"/>
      <c r="N7" s="381"/>
      <c r="O7" s="361"/>
      <c r="P7" s="383">
        <f>Data!AL6</f>
        <v>46284</v>
      </c>
      <c r="Q7" s="360" cm="1">
        <f t="array" aca="1" ref="Q7" ca="1">IFERROR(INDIRECT("t_"&amp;Q$1&amp;"[@[Totalt]:[Totalt]]"),"")</f>
        <v>852</v>
      </c>
      <c r="R7" s="360" cm="1">
        <f t="array" aca="1" ref="R7" ca="1">IFERROR(INDIRECT("t_"&amp;R$1&amp;"[@[Totalt]:[Totalt]]"),"")</f>
        <v>1922</v>
      </c>
      <c r="S7" s="360" cm="1">
        <f t="array" aca="1" ref="S7" ca="1">IFERROR(INDIRECT("t_"&amp;S$1&amp;"[@[Totalt]:[Totalt]]"),"")</f>
        <v>3626</v>
      </c>
      <c r="T7" s="360" cm="1">
        <f t="array" aca="1" ref="T7" ca="1">IFERROR(INDIRECT("t_"&amp;T$1&amp;"[@[Totalt]:[Totalt]]"),"")</f>
        <v>1922</v>
      </c>
      <c r="U7" s="360" cm="1">
        <f t="array" aca="1" ref="U7" ca="1">IFERROR(INDIRECT("t_"&amp;U$1&amp;"[@[Totalt]:[Totalt]]"),"")</f>
        <v>1922</v>
      </c>
      <c r="V7" s="360" cm="1">
        <f t="array" aca="1" ref="V7" ca="1">IFERROR(INDIRECT("t_"&amp;V$1&amp;"[@[Totalt]:[Totalt]]"),"")</f>
        <v>1922</v>
      </c>
      <c r="W7" s="360" cm="1">
        <f t="array" aca="1" ref="W7" ca="1">IFERROR(INDIRECT("t_"&amp;W$1&amp;"[@[Totalt]:[Totalt]]"),"")</f>
        <v>1922</v>
      </c>
      <c r="X7" s="360" cm="1">
        <f t="array" aca="1" ref="X7" ca="1">IFERROR(INDIRECT("t_"&amp;X$1&amp;"[@[Totalt]:[Totalt]]"),"")</f>
        <v>1922</v>
      </c>
      <c r="Y7" s="360" cm="1">
        <f t="array" aca="1" ref="Y7" ca="1">IFERROR(INDIRECT("t_"&amp;Y$1&amp;"[@[Totalt]:[Totalt]]"),"")</f>
        <v>1922</v>
      </c>
      <c r="AA7" s="560">
        <f>t_tp[[#This Row],[Dato]]</f>
        <v>46284</v>
      </c>
      <c r="AB7" s="561" t="str" cm="1">
        <f t="array" aca="1" ref="AB7" ca="1">IFERROR(_xlfn._xlws.FILTER($Q$1:$Y$1,t_tp[[#This Row],[ahh]:[lev]]=LARGE(t_tp[[#This Row],[ahh]:[lev]],1)),"")</f>
        <v>eb</v>
      </c>
      <c r="AC7" s="561"/>
      <c r="AD7" s="561"/>
      <c r="AE7" s="561"/>
      <c r="AF7" s="561"/>
      <c r="AG7" s="561"/>
      <c r="AH7" s="561"/>
      <c r="AI7" s="561"/>
      <c r="AJ7" s="562"/>
      <c r="AK7" s="20"/>
      <c r="AL7" s="560">
        <f t="shared" si="0"/>
        <v>46284</v>
      </c>
      <c r="AM7" s="561" t="str" cm="1">
        <f t="array" aca="1" ref="AM7" ca="1">IFERROR(_xlfn._xlws.FILTER($Q$1:$Y$1,t_tp[[#This Row],[ahh]:[lev]]=SMALL(t_tp[[#This Row],[ahh]:[lev]],1)),"")</f>
        <v>ahh</v>
      </c>
      <c r="AN7" s="561"/>
      <c r="AO7" s="561"/>
      <c r="AP7" s="561"/>
      <c r="AQ7" s="561"/>
      <c r="AR7" s="561"/>
      <c r="AS7" s="561"/>
      <c r="AT7" s="561"/>
      <c r="AU7" s="562"/>
    </row>
    <row r="8" spans="1:47" ht="14.25" thickTop="1" thickBot="1" x14ac:dyDescent="0.25">
      <c r="A8">
        <v>7</v>
      </c>
      <c r="B8" s="22">
        <f>Data!AL7</f>
        <v>46291</v>
      </c>
      <c r="C8" t="str" cm="1">
        <f t="array" aca="1" ref="C8" ca="1">IFERROR(_xlfn.XLOOKUP(_xlfn.SINGLE(t_rang[[Dato]:[Dato]]),INDIRECT("t_"&amp;C$1&amp;"[[Dato]]"),INDIRECT("t_"&amp;C$1&amp;"[[Rank]]")),"")</f>
        <v/>
      </c>
      <c r="D8" t="str" cm="1">
        <f t="array" aca="1" ref="D8" ca="1">IFERROR(_xlfn.XLOOKUP(_xlfn.SINGLE(t_rang[[Dato]:[Dato]]),INDIRECT("t_"&amp;D$1&amp;"[[Dato]]"),INDIRECT("t_"&amp;D$1&amp;"[[Rank]]")),"")</f>
        <v/>
      </c>
      <c r="E8" t="str" cm="1">
        <f t="array" aca="1" ref="E8" ca="1">IFERROR(_xlfn.XLOOKUP(_xlfn.SINGLE(t_rang[[Dato]:[Dato]]),INDIRECT("t_"&amp;E$1&amp;"[[Dato]]"),INDIRECT("t_"&amp;E$1&amp;"[[Rank]]")),"")</f>
        <v/>
      </c>
      <c r="F8" t="str" cm="1">
        <f t="array" aca="1" ref="F8" ca="1">IFERROR(_xlfn.XLOOKUP(_xlfn.SINGLE(t_rang[[Dato]:[Dato]]),INDIRECT("t_"&amp;F$1&amp;"[[Dato]]"),INDIRECT("t_"&amp;F$1&amp;"[[Rank]]")),"")</f>
        <v/>
      </c>
      <c r="G8" t="str" cm="1">
        <f t="array" aca="1" ref="G8" ca="1">IFERROR(_xlfn.XLOOKUP(_xlfn.SINGLE(t_rang[[Dato]:[Dato]]),INDIRECT("t_"&amp;G$1&amp;"[[Dato]]"),INDIRECT("t_"&amp;G$1&amp;"[[Rank]]")),"")</f>
        <v/>
      </c>
      <c r="H8" t="str" cm="1">
        <f t="array" aca="1" ref="H8" ca="1">IFERROR(_xlfn.XLOOKUP(_xlfn.SINGLE(t_rang[[Dato]:[Dato]]),INDIRECT("t_"&amp;H$1&amp;"[[Dato]]"),INDIRECT("t_"&amp;H$1&amp;"[[Rank]]")),"")</f>
        <v/>
      </c>
      <c r="I8" t="str" cm="1">
        <f t="array" aca="1" ref="I8" ca="1">IFERROR(_xlfn.XLOOKUP(_xlfn.SINGLE(t_rang[[Dato]:[Dato]]),INDIRECT("t_"&amp;I$1&amp;"[[Dato]]"),INDIRECT("t_"&amp;I$1&amp;"[[Rank]]")),"")</f>
        <v/>
      </c>
      <c r="J8" t="str" cm="1">
        <f t="array" aca="1" ref="J8" ca="1">IFERROR(_xlfn.XLOOKUP(_xlfn.SINGLE(t_rang[[Dato]:[Dato]]),INDIRECT("t_"&amp;J$1&amp;"[[Dato]]"),INDIRECT("t_"&amp;J$1&amp;"[[Rank]]")),"")</f>
        <v/>
      </c>
      <c r="K8" t="str" cm="1">
        <f t="array" aca="1" ref="K8" ca="1">IFERROR(_xlfn.XLOOKUP(_xlfn.SINGLE(t_rang[[Dato]:[Dato]]),INDIRECT("t_"&amp;K$1&amp;"[[Dato]]"),INDIRECT("t_"&amp;K$1&amp;"[[Rank]]")),"")</f>
        <v/>
      </c>
      <c r="L8" s="381"/>
      <c r="M8" s="381"/>
      <c r="N8" s="381"/>
      <c r="O8" s="361"/>
      <c r="P8" s="383">
        <f>Data!AL7</f>
        <v>46291</v>
      </c>
      <c r="Q8" s="360" cm="1">
        <f t="array" aca="1" ref="Q8" ca="1">IFERROR(INDIRECT("t_"&amp;Q$1&amp;"[@[Totalt]:[Totalt]]"),"")</f>
        <v>710</v>
      </c>
      <c r="R8" s="360" cm="1">
        <f t="array" aca="1" ref="R8" ca="1">IFERROR(INDIRECT("t_"&amp;R$1&amp;"[@[Totalt]:[Totalt]]"),"")</f>
        <v>710</v>
      </c>
      <c r="S8" s="360" cm="1">
        <f t="array" aca="1" ref="S8" ca="1">IFERROR(INDIRECT("t_"&amp;S$1&amp;"[@[Totalt]:[Totalt]]"),"")</f>
        <v>2188</v>
      </c>
      <c r="T8" s="360" cm="1">
        <f t="array" aca="1" ref="T8" ca="1">IFERROR(INDIRECT("t_"&amp;T$1&amp;"[@[Totalt]:[Totalt]]"),"")</f>
        <v>768</v>
      </c>
      <c r="U8" s="360" cm="1">
        <f t="array" aca="1" ref="U8" ca="1">IFERROR(INDIRECT("t_"&amp;U$1&amp;"[@[Totalt]:[Totalt]]"),"")</f>
        <v>768</v>
      </c>
      <c r="V8" s="360" cm="1">
        <f t="array" aca="1" ref="V8" ca="1">IFERROR(INDIRECT("t_"&amp;V$1&amp;"[@[Totalt]:[Totalt]]"),"")</f>
        <v>768</v>
      </c>
      <c r="W8" s="360" cm="1">
        <f t="array" aca="1" ref="W8" ca="1">IFERROR(INDIRECT("t_"&amp;W$1&amp;"[@[Totalt]:[Totalt]]"),"")</f>
        <v>768</v>
      </c>
      <c r="X8" s="360" cm="1">
        <f t="array" aca="1" ref="X8" ca="1">IFERROR(INDIRECT("t_"&amp;X$1&amp;"[@[Totalt]:[Totalt]]"),"")</f>
        <v>768</v>
      </c>
      <c r="Y8" s="360" cm="1">
        <f t="array" aca="1" ref="Y8" ca="1">IFERROR(INDIRECT("t_"&amp;Y$1&amp;"[@[Totalt]:[Totalt]]"),"")</f>
        <v>768</v>
      </c>
      <c r="AA8" s="557">
        <f>t_tp[[#This Row],[Dato]]</f>
        <v>46291</v>
      </c>
      <c r="AB8" s="558" t="str" cm="1">
        <f t="array" aca="1" ref="AB8" ca="1">IFERROR(_xlfn._xlws.FILTER($Q$1:$Y$1,t_tp[[#This Row],[ahh]:[lev]]=LARGE(t_tp[[#This Row],[ahh]:[lev]],1)),"")</f>
        <v>eb</v>
      </c>
      <c r="AC8" s="558"/>
      <c r="AD8" s="558"/>
      <c r="AE8" s="558"/>
      <c r="AF8" s="558"/>
      <c r="AG8" s="558"/>
      <c r="AH8" s="558"/>
      <c r="AI8" s="558"/>
      <c r="AJ8" s="559"/>
      <c r="AK8" s="20"/>
      <c r="AL8" s="557">
        <f t="shared" si="0"/>
        <v>46291</v>
      </c>
      <c r="AM8" s="558" t="str" cm="1">
        <f t="array" aca="1" ref="AM8:AN8" ca="1">IFERROR(_xlfn._xlws.FILTER($Q$1:$Y$1,t_tp[[#This Row],[ahh]:[lev]]=SMALL(t_tp[[#This Row],[ahh]:[lev]],1)),"")</f>
        <v>ahh</v>
      </c>
      <c r="AN8" s="558" t="str">
        <f ca="1"/>
        <v>rb</v>
      </c>
      <c r="AO8" s="558"/>
      <c r="AP8" s="558"/>
      <c r="AQ8" s="558"/>
      <c r="AR8" s="558"/>
      <c r="AS8" s="558"/>
      <c r="AT8" s="558"/>
      <c r="AU8" s="559"/>
    </row>
    <row r="9" spans="1:47" ht="14.25" thickTop="1" thickBot="1" x14ac:dyDescent="0.25">
      <c r="A9">
        <v>8</v>
      </c>
      <c r="B9" s="22">
        <f>Data!AL8</f>
        <v>46298</v>
      </c>
      <c r="C9" cm="1">
        <f t="array" aca="1" ref="C9" ca="1">IFERROR(_xlfn.XLOOKUP(_xlfn.SINGLE(t_rang[[Dato]:[Dato]]),INDIRECT("t_"&amp;C$1&amp;"[[Dato]]"),INDIRECT("t_"&amp;C$1&amp;"[[Rank]]")),"")</f>
        <v>1</v>
      </c>
      <c r="D9" cm="1">
        <f t="array" aca="1" ref="D9" ca="1">IFERROR(_xlfn.XLOOKUP(_xlfn.SINGLE(t_rang[[Dato]:[Dato]]),INDIRECT("t_"&amp;D$1&amp;"[[Dato]]"),INDIRECT("t_"&amp;D$1&amp;"[[Rank]]")),"")</f>
        <v>1</v>
      </c>
      <c r="E9" cm="1">
        <f t="array" aca="1" ref="E9" ca="1">IFERROR(_xlfn.XLOOKUP(_xlfn.SINGLE(t_rang[[Dato]:[Dato]]),INDIRECT("t_"&amp;E$1&amp;"[[Dato]]"),INDIRECT("t_"&amp;E$1&amp;"[[Rank]]")),"")</f>
        <v>1</v>
      </c>
      <c r="F9" cm="1">
        <f t="array" aca="1" ref="F9" ca="1">IFERROR(_xlfn.XLOOKUP(_xlfn.SINGLE(t_rang[[Dato]:[Dato]]),INDIRECT("t_"&amp;F$1&amp;"[[Dato]]"),INDIRECT("t_"&amp;F$1&amp;"[[Rank]]")),"")</f>
        <v>1</v>
      </c>
      <c r="G9" cm="1">
        <f t="array" aca="1" ref="G9" ca="1">IFERROR(_xlfn.XLOOKUP(_xlfn.SINGLE(t_rang[[Dato]:[Dato]]),INDIRECT("t_"&amp;G$1&amp;"[[Dato]]"),INDIRECT("t_"&amp;G$1&amp;"[[Rank]]")),"")</f>
        <v>1</v>
      </c>
      <c r="H9" cm="1">
        <f t="array" aca="1" ref="H9" ca="1">IFERROR(_xlfn.XLOOKUP(_xlfn.SINGLE(t_rang[[Dato]:[Dato]]),INDIRECT("t_"&amp;H$1&amp;"[[Dato]]"),INDIRECT("t_"&amp;H$1&amp;"[[Rank]]")),"")</f>
        <v>1</v>
      </c>
      <c r="I9" cm="1">
        <f t="array" aca="1" ref="I9" ca="1">IFERROR(_xlfn.XLOOKUP(_xlfn.SINGLE(t_rang[[Dato]:[Dato]]),INDIRECT("t_"&amp;I$1&amp;"[[Dato]]"),INDIRECT("t_"&amp;I$1&amp;"[[Rank]]")),"")</f>
        <v>1</v>
      </c>
      <c r="J9" cm="1">
        <f t="array" aca="1" ref="J9" ca="1">IFERROR(_xlfn.XLOOKUP(_xlfn.SINGLE(t_rang[[Dato]:[Dato]]),INDIRECT("t_"&amp;J$1&amp;"[[Dato]]"),INDIRECT("t_"&amp;J$1&amp;"[[Rank]]")),"")</f>
        <v>1</v>
      </c>
      <c r="K9" cm="1">
        <f t="array" aca="1" ref="K9" ca="1">IFERROR(_xlfn.XLOOKUP(_xlfn.SINGLE(t_rang[[Dato]:[Dato]]),INDIRECT("t_"&amp;K$1&amp;"[[Dato]]"),INDIRECT("t_"&amp;K$1&amp;"[[Rank]]")),"")</f>
        <v>1</v>
      </c>
      <c r="L9" s="381"/>
      <c r="M9" s="381"/>
      <c r="N9" s="381"/>
      <c r="O9" s="361"/>
      <c r="P9" s="383">
        <f>Data!AL8</f>
        <v>46298</v>
      </c>
      <c r="Q9" s="360" cm="1">
        <f t="array" aca="1" ref="Q9" ca="1">IFERROR(INDIRECT("t_"&amp;Q$1&amp;"[@[Totalt]:[Totalt]]"),"")</f>
        <v>814</v>
      </c>
      <c r="R9" s="360" cm="1">
        <f t="array" aca="1" ref="R9" ca="1">IFERROR(INDIRECT("t_"&amp;R$1&amp;"[@[Totalt]:[Totalt]]"),"")</f>
        <v>1136</v>
      </c>
      <c r="S9" s="360" cm="1">
        <f t="array" aca="1" ref="S9" ca="1">IFERROR(INDIRECT("t_"&amp;S$1&amp;"[@[Totalt]:[Totalt]]"),"")</f>
        <v>2603</v>
      </c>
      <c r="T9" s="360" cm="1">
        <f t="array" aca="1" ref="T9" ca="1">IFERROR(INDIRECT("t_"&amp;T$1&amp;"[@[Totalt]:[Totalt]]"),"")</f>
        <v>975</v>
      </c>
      <c r="U9" s="360" cm="1">
        <f t="array" aca="1" ref="U9" ca="1">IFERROR(INDIRECT("t_"&amp;U$1&amp;"[@[Totalt]:[Totalt]]"),"")</f>
        <v>975</v>
      </c>
      <c r="V9" s="360" cm="1">
        <f t="array" aca="1" ref="V9" ca="1">IFERROR(INDIRECT("t_"&amp;V$1&amp;"[@[Totalt]:[Totalt]]"),"")</f>
        <v>975</v>
      </c>
      <c r="W9" s="360" cm="1">
        <f t="array" aca="1" ref="W9" ca="1">IFERROR(INDIRECT("t_"&amp;W$1&amp;"[@[Totalt]:[Totalt]]"),"")</f>
        <v>975</v>
      </c>
      <c r="X9" s="360" cm="1">
        <f t="array" aca="1" ref="X9" ca="1">IFERROR(INDIRECT("t_"&amp;X$1&amp;"[@[Totalt]:[Totalt]]"),"")</f>
        <v>975</v>
      </c>
      <c r="Y9" s="360" cm="1">
        <f t="array" aca="1" ref="Y9" ca="1">IFERROR(INDIRECT("t_"&amp;Y$1&amp;"[@[Totalt]:[Totalt]]"),"")</f>
        <v>975</v>
      </c>
      <c r="AA9" s="560">
        <f>t_tp[[#This Row],[Dato]]</f>
        <v>46298</v>
      </c>
      <c r="AB9" s="561" t="str" cm="1">
        <f t="array" aca="1" ref="AB9" ca="1">IFERROR(_xlfn._xlws.FILTER($Q$1:$Y$1,t_tp[[#This Row],[ahh]:[lev]]=LARGE(t_tp[[#This Row],[ahh]:[lev]],1)),"")</f>
        <v>eb</v>
      </c>
      <c r="AC9" s="561"/>
      <c r="AD9" s="561"/>
      <c r="AE9" s="561"/>
      <c r="AF9" s="561"/>
      <c r="AG9" s="561"/>
      <c r="AH9" s="561"/>
      <c r="AI9" s="561"/>
      <c r="AJ9" s="562"/>
      <c r="AK9" s="20"/>
      <c r="AL9" s="560">
        <f t="shared" si="0"/>
        <v>46298</v>
      </c>
      <c r="AM9" s="561" t="str" cm="1">
        <f t="array" aca="1" ref="AM9" ca="1">IFERROR(_xlfn._xlws.FILTER($Q$1:$Y$1,t_tp[[#This Row],[ahh]:[lev]]=SMALL(t_tp[[#This Row],[ahh]:[lev]],1)),"")</f>
        <v>ahh</v>
      </c>
      <c r="AN9" s="561"/>
      <c r="AO9" s="561"/>
      <c r="AP9" s="561"/>
      <c r="AQ9" s="561"/>
      <c r="AR9" s="561"/>
      <c r="AS9" s="561"/>
      <c r="AT9" s="561"/>
      <c r="AU9" s="562"/>
    </row>
    <row r="10" spans="1:47" ht="14.25" thickTop="1" thickBot="1" x14ac:dyDescent="0.25">
      <c r="A10">
        <v>9</v>
      </c>
      <c r="B10" s="22">
        <f>Data!AL9</f>
        <v>46305</v>
      </c>
      <c r="C10" cm="1">
        <f t="array" aca="1" ref="C10" ca="1">IFERROR(_xlfn.XLOOKUP(_xlfn.SINGLE(t_rang[[Dato]:[Dato]]),INDIRECT("t_"&amp;C$1&amp;"[[Dato]]"),INDIRECT("t_"&amp;C$1&amp;"[[Rank]]")),"")</f>
        <v>1</v>
      </c>
      <c r="D10" cm="1">
        <f t="array" aca="1" ref="D10" ca="1">IFERROR(_xlfn.XLOOKUP(_xlfn.SINGLE(t_rang[[Dato]:[Dato]]),INDIRECT("t_"&amp;D$1&amp;"[[Dato]]"),INDIRECT("t_"&amp;D$1&amp;"[[Rank]]")),"")</f>
        <v>1</v>
      </c>
      <c r="E10" cm="1">
        <f t="array" aca="1" ref="E10" ca="1">IFERROR(_xlfn.XLOOKUP(_xlfn.SINGLE(t_rang[[Dato]:[Dato]]),INDIRECT("t_"&amp;E$1&amp;"[[Dato]]"),INDIRECT("t_"&amp;E$1&amp;"[[Rank]]")),"")</f>
        <v>1</v>
      </c>
      <c r="F10" cm="1">
        <f t="array" aca="1" ref="F10" ca="1">IFERROR(_xlfn.XLOOKUP(_xlfn.SINGLE(t_rang[[Dato]:[Dato]]),INDIRECT("t_"&amp;F$1&amp;"[[Dato]]"),INDIRECT("t_"&amp;F$1&amp;"[[Rank]]")),"")</f>
        <v>1</v>
      </c>
      <c r="G10" cm="1">
        <f t="array" aca="1" ref="G10" ca="1">IFERROR(_xlfn.XLOOKUP(_xlfn.SINGLE(t_rang[[Dato]:[Dato]]),INDIRECT("t_"&amp;G$1&amp;"[[Dato]]"),INDIRECT("t_"&amp;G$1&amp;"[[Rank]]")),"")</f>
        <v>1</v>
      </c>
      <c r="H10" cm="1">
        <f t="array" aca="1" ref="H10" ca="1">IFERROR(_xlfn.XLOOKUP(_xlfn.SINGLE(t_rang[[Dato]:[Dato]]),INDIRECT("t_"&amp;H$1&amp;"[[Dato]]"),INDIRECT("t_"&amp;H$1&amp;"[[Rank]]")),"")</f>
        <v>1</v>
      </c>
      <c r="I10" cm="1">
        <f t="array" aca="1" ref="I10" ca="1">IFERROR(_xlfn.XLOOKUP(_xlfn.SINGLE(t_rang[[Dato]:[Dato]]),INDIRECT("t_"&amp;I$1&amp;"[[Dato]]"),INDIRECT("t_"&amp;I$1&amp;"[[Rank]]")),"")</f>
        <v>1</v>
      </c>
      <c r="J10" cm="1">
        <f t="array" aca="1" ref="J10" ca="1">IFERROR(_xlfn.XLOOKUP(_xlfn.SINGLE(t_rang[[Dato]:[Dato]]),INDIRECT("t_"&amp;J$1&amp;"[[Dato]]"),INDIRECT("t_"&amp;J$1&amp;"[[Rank]]")),"")</f>
        <v>1</v>
      </c>
      <c r="K10" cm="1">
        <f t="array" aca="1" ref="K10" ca="1">IFERROR(_xlfn.XLOOKUP(_xlfn.SINGLE(t_rang[[Dato]:[Dato]]),INDIRECT("t_"&amp;K$1&amp;"[[Dato]]"),INDIRECT("t_"&amp;K$1&amp;"[[Rank]]")),"")</f>
        <v>1</v>
      </c>
      <c r="L10" s="381"/>
      <c r="M10" s="381">
        <f ca="1">COUNTIF(C2:K40,1)</f>
        <v>45</v>
      </c>
      <c r="N10" s="381"/>
      <c r="O10" s="361"/>
      <c r="P10" s="383">
        <f>Data!AL9</f>
        <v>46305</v>
      </c>
      <c r="Q10" s="360" cm="1">
        <f t="array" aca="1" ref="Q10" ca="1">IFERROR(INDIRECT("t_"&amp;Q$1&amp;"[@[Totalt]:[Totalt]]"),"")</f>
        <v>888</v>
      </c>
      <c r="R10" s="360" cm="1">
        <f t="array" aca="1" ref="R10" ca="1">IFERROR(INDIRECT("t_"&amp;R$1&amp;"[@[Totalt]:[Totalt]]"),"")</f>
        <v>1958</v>
      </c>
      <c r="S10" s="360" cm="1">
        <f t="array" aca="1" ref="S10" ca="1">IFERROR(INDIRECT("t_"&amp;S$1&amp;"[@[Totalt]:[Totalt]]"),"")</f>
        <v>3734</v>
      </c>
      <c r="T10" s="360" cm="1">
        <f t="array" aca="1" ref="T10" ca="1">IFERROR(INDIRECT("t_"&amp;T$1&amp;"[@[Totalt]:[Totalt]]"),"")</f>
        <v>1958</v>
      </c>
      <c r="U10" s="360" cm="1">
        <f t="array" aca="1" ref="U10" ca="1">IFERROR(INDIRECT("t_"&amp;U$1&amp;"[@[Totalt]:[Totalt]]"),"")</f>
        <v>1958</v>
      </c>
      <c r="V10" s="360" cm="1">
        <f t="array" aca="1" ref="V10" ca="1">IFERROR(INDIRECT("t_"&amp;V$1&amp;"[@[Totalt]:[Totalt]]"),"")</f>
        <v>1958</v>
      </c>
      <c r="W10" s="360" cm="1">
        <f t="array" aca="1" ref="W10" ca="1">IFERROR(INDIRECT("t_"&amp;W$1&amp;"[@[Totalt]:[Totalt]]"),"")</f>
        <v>1958</v>
      </c>
      <c r="X10" s="360" cm="1">
        <f t="array" aca="1" ref="X10" ca="1">IFERROR(INDIRECT("t_"&amp;X$1&amp;"[@[Totalt]:[Totalt]]"),"")</f>
        <v>1958</v>
      </c>
      <c r="Y10" s="360" cm="1">
        <f t="array" aca="1" ref="Y10" ca="1">IFERROR(INDIRECT("t_"&amp;Y$1&amp;"[@[Totalt]:[Totalt]]"),"")</f>
        <v>1958</v>
      </c>
      <c r="AA10" s="557">
        <f>t_tp[[#This Row],[Dato]]</f>
        <v>46305</v>
      </c>
      <c r="AB10" s="558" t="str" cm="1">
        <f t="array" aca="1" ref="AB10" ca="1">IFERROR(_xlfn._xlws.FILTER($Q$1:$Y$1,t_tp[[#This Row],[ahh]:[lev]]=LARGE(t_tp[[#This Row],[ahh]:[lev]],1)),"")</f>
        <v>eb</v>
      </c>
      <c r="AC10" s="558"/>
      <c r="AD10" s="558"/>
      <c r="AE10" s="558"/>
      <c r="AF10" s="558"/>
      <c r="AG10" s="558"/>
      <c r="AH10" s="558"/>
      <c r="AI10" s="558"/>
      <c r="AJ10" s="559"/>
      <c r="AK10" s="20"/>
      <c r="AL10" s="557">
        <f t="shared" si="0"/>
        <v>46305</v>
      </c>
      <c r="AM10" s="558" t="str" cm="1">
        <f t="array" aca="1" ref="AM10" ca="1">IFERROR(_xlfn._xlws.FILTER($Q$1:$Y$1,t_tp[[#This Row],[ahh]:[lev]]=SMALL(t_tp[[#This Row],[ahh]:[lev]],1)),"")</f>
        <v>ahh</v>
      </c>
      <c r="AN10" s="558"/>
      <c r="AO10" s="558"/>
      <c r="AP10" s="558"/>
      <c r="AQ10" s="558"/>
      <c r="AR10" s="558"/>
      <c r="AS10" s="558"/>
      <c r="AT10" s="558"/>
      <c r="AU10" s="559"/>
    </row>
    <row r="11" spans="1:47" ht="14.25" thickTop="1" thickBot="1" x14ac:dyDescent="0.25">
      <c r="A11">
        <v>10</v>
      </c>
      <c r="B11" s="22">
        <f>Data!AL10</f>
        <v>46312</v>
      </c>
      <c r="C11" t="str" cm="1">
        <f t="array" aca="1" ref="C11" ca="1">IFERROR(_xlfn.XLOOKUP(_xlfn.SINGLE(t_rang[[Dato]:[Dato]]),INDIRECT("t_"&amp;C$1&amp;"[[Dato]]"),INDIRECT("t_"&amp;C$1&amp;"[[Rank]]")),"")</f>
        <v/>
      </c>
      <c r="D11" t="str" cm="1">
        <f t="array" aca="1" ref="D11" ca="1">IFERROR(_xlfn.XLOOKUP(_xlfn.SINGLE(t_rang[[Dato]:[Dato]]),INDIRECT("t_"&amp;D$1&amp;"[[Dato]]"),INDIRECT("t_"&amp;D$1&amp;"[[Rank]]")),"")</f>
        <v/>
      </c>
      <c r="E11" t="str" cm="1">
        <f t="array" aca="1" ref="E11" ca="1">IFERROR(_xlfn.XLOOKUP(_xlfn.SINGLE(t_rang[[Dato]:[Dato]]),INDIRECT("t_"&amp;E$1&amp;"[[Dato]]"),INDIRECT("t_"&amp;E$1&amp;"[[Rank]]")),"")</f>
        <v/>
      </c>
      <c r="F11" t="str" cm="1">
        <f t="array" aca="1" ref="F11" ca="1">IFERROR(_xlfn.XLOOKUP(_xlfn.SINGLE(t_rang[[Dato]:[Dato]]),INDIRECT("t_"&amp;F$1&amp;"[[Dato]]"),INDIRECT("t_"&amp;F$1&amp;"[[Rank]]")),"")</f>
        <v/>
      </c>
      <c r="G11" t="str" cm="1">
        <f t="array" aca="1" ref="G11" ca="1">IFERROR(_xlfn.XLOOKUP(_xlfn.SINGLE(t_rang[[Dato]:[Dato]]),INDIRECT("t_"&amp;G$1&amp;"[[Dato]]"),INDIRECT("t_"&amp;G$1&amp;"[[Rank]]")),"")</f>
        <v/>
      </c>
      <c r="H11" t="str" cm="1">
        <f t="array" aca="1" ref="H11" ca="1">IFERROR(_xlfn.XLOOKUP(_xlfn.SINGLE(t_rang[[Dato]:[Dato]]),INDIRECT("t_"&amp;H$1&amp;"[[Dato]]"),INDIRECT("t_"&amp;H$1&amp;"[[Rank]]")),"")</f>
        <v/>
      </c>
      <c r="I11" t="str" cm="1">
        <f t="array" aca="1" ref="I11" ca="1">IFERROR(_xlfn.XLOOKUP(_xlfn.SINGLE(t_rang[[Dato]:[Dato]]),INDIRECT("t_"&amp;I$1&amp;"[[Dato]]"),INDIRECT("t_"&amp;I$1&amp;"[[Rank]]")),"")</f>
        <v/>
      </c>
      <c r="J11" t="str" cm="1">
        <f t="array" aca="1" ref="J11" ca="1">IFERROR(_xlfn.XLOOKUP(_xlfn.SINGLE(t_rang[[Dato]:[Dato]]),INDIRECT("t_"&amp;J$1&amp;"[[Dato]]"),INDIRECT("t_"&amp;J$1&amp;"[[Rank]]")),"")</f>
        <v/>
      </c>
      <c r="K11" t="str" cm="1">
        <f t="array" aca="1" ref="K11" ca="1">IFERROR(_xlfn.XLOOKUP(_xlfn.SINGLE(t_rang[[Dato]:[Dato]]),INDIRECT("t_"&amp;K$1&amp;"[[Dato]]"),INDIRECT("t_"&amp;K$1&amp;"[[Rank]]")),"")</f>
        <v/>
      </c>
      <c r="L11" s="381"/>
      <c r="M11" s="381"/>
      <c r="N11" s="381"/>
      <c r="O11" s="361"/>
      <c r="P11" s="383">
        <f>Data!AL10</f>
        <v>46312</v>
      </c>
      <c r="Q11" s="360" cm="1">
        <f t="array" aca="1" ref="Q11" ca="1">IFERROR(INDIRECT("t_"&amp;Q$1&amp;"[@[Totalt]:[Totalt]]"),"")</f>
        <v>0</v>
      </c>
      <c r="R11" s="360" cm="1">
        <f t="array" aca="1" ref="R11" ca="1">IFERROR(INDIRECT("t_"&amp;R$1&amp;"[@[Totalt]:[Totalt]]"),"")</f>
        <v>0</v>
      </c>
      <c r="S11" s="360" cm="1">
        <f t="array" aca="1" ref="S11" ca="1">IFERROR(INDIRECT("t_"&amp;S$1&amp;"[@[Totalt]:[Totalt]]"),"")</f>
        <v>0</v>
      </c>
      <c r="T11" s="360" cm="1">
        <f t="array" aca="1" ref="T11" ca="1">IFERROR(INDIRECT("t_"&amp;T$1&amp;"[@[Totalt]:[Totalt]]"),"")</f>
        <v>0</v>
      </c>
      <c r="U11" s="360" cm="1">
        <f t="array" aca="1" ref="U11" ca="1">IFERROR(INDIRECT("t_"&amp;U$1&amp;"[@[Totalt]:[Totalt]]"),"")</f>
        <v>0</v>
      </c>
      <c r="V11" s="360" cm="1">
        <f t="array" aca="1" ref="V11" ca="1">IFERROR(INDIRECT("t_"&amp;V$1&amp;"[@[Totalt]:[Totalt]]"),"")</f>
        <v>0</v>
      </c>
      <c r="W11" s="360" cm="1">
        <f t="array" aca="1" ref="W11" ca="1">IFERROR(INDIRECT("t_"&amp;W$1&amp;"[@[Totalt]:[Totalt]]"),"")</f>
        <v>0</v>
      </c>
      <c r="X11" s="360" cm="1">
        <f t="array" aca="1" ref="X11" ca="1">IFERROR(INDIRECT("t_"&amp;X$1&amp;"[@[Totalt]:[Totalt]]"),"")</f>
        <v>0</v>
      </c>
      <c r="Y11" s="360" cm="1">
        <f t="array" aca="1" ref="Y11" ca="1">IFERROR(INDIRECT("t_"&amp;Y$1&amp;"[@[Totalt]:[Totalt]]"),"")</f>
        <v>0</v>
      </c>
      <c r="AA11" s="560">
        <f>t_tp[[#This Row],[Dato]]</f>
        <v>46312</v>
      </c>
      <c r="AB11" s="561" t="str" cm="1">
        <f t="array" aca="1" ref="AB11:AJ11" ca="1">IFERROR(_xlfn._xlws.FILTER($Q$1:$Y$1,t_tp[[#This Row],[ahh]:[lev]]=LARGE(t_tp[[#This Row],[ahh]:[lev]],1)),"")</f>
        <v>ahh</v>
      </c>
      <c r="AC11" s="561" t="str">
        <f ca="1"/>
        <v>rb</v>
      </c>
      <c r="AD11" s="561" t="str">
        <f ca="1"/>
        <v>eb</v>
      </c>
      <c r="AE11" s="561" t="str">
        <f ca="1"/>
        <v>kaf</v>
      </c>
      <c r="AF11" s="561" t="str">
        <f ca="1"/>
        <v>øg</v>
      </c>
      <c r="AG11" s="561" t="str">
        <f ca="1"/>
        <v>jh</v>
      </c>
      <c r="AH11" s="561" t="str">
        <f ca="1"/>
        <v>toh</v>
      </c>
      <c r="AI11" s="561" t="str">
        <f ca="1"/>
        <v>utg</v>
      </c>
      <c r="AJ11" s="562" t="str">
        <f ca="1"/>
        <v>lev</v>
      </c>
      <c r="AK11" s="20"/>
      <c r="AL11" s="560">
        <f t="shared" si="0"/>
        <v>46312</v>
      </c>
      <c r="AM11" s="561" t="str" cm="1">
        <f t="array" aca="1" ref="AM11:AU11" ca="1">IFERROR(_xlfn._xlws.FILTER($Q$1:$Y$1,t_tp[[#This Row],[ahh]:[lev]]=SMALL(t_tp[[#This Row],[ahh]:[lev]],1)),"")</f>
        <v>ahh</v>
      </c>
      <c r="AN11" s="561" t="str">
        <f ca="1"/>
        <v>rb</v>
      </c>
      <c r="AO11" s="561" t="str">
        <f ca="1"/>
        <v>eb</v>
      </c>
      <c r="AP11" s="561" t="str">
        <f ca="1"/>
        <v>kaf</v>
      </c>
      <c r="AQ11" s="561" t="str">
        <f ca="1"/>
        <v>øg</v>
      </c>
      <c r="AR11" s="561" t="str">
        <f ca="1"/>
        <v>jh</v>
      </c>
      <c r="AS11" s="561" t="str">
        <f ca="1"/>
        <v>toh</v>
      </c>
      <c r="AT11" s="561" t="str">
        <f ca="1"/>
        <v>utg</v>
      </c>
      <c r="AU11" s="562" t="str">
        <f ca="1"/>
        <v>lev</v>
      </c>
    </row>
    <row r="12" spans="1:47" ht="14.25" thickTop="1" thickBot="1" x14ac:dyDescent="0.25">
      <c r="A12">
        <v>11</v>
      </c>
      <c r="B12" s="22">
        <f>Data!AL11</f>
        <v>46319</v>
      </c>
      <c r="C12" t="str" cm="1">
        <f t="array" aca="1" ref="C12" ca="1">IFERROR(_xlfn.XLOOKUP(_xlfn.SINGLE(t_rang[[Dato]:[Dato]]),INDIRECT("t_"&amp;C$1&amp;"[[Dato]]"),INDIRECT("t_"&amp;C$1&amp;"[[Rank]]")),"")</f>
        <v/>
      </c>
      <c r="D12" t="str" cm="1">
        <f t="array" aca="1" ref="D12" ca="1">IFERROR(_xlfn.XLOOKUP(_xlfn.SINGLE(t_rang[[Dato]:[Dato]]),INDIRECT("t_"&amp;D$1&amp;"[[Dato]]"),INDIRECT("t_"&amp;D$1&amp;"[[Rank]]")),"")</f>
        <v/>
      </c>
      <c r="E12" t="str" cm="1">
        <f t="array" aca="1" ref="E12" ca="1">IFERROR(_xlfn.XLOOKUP(_xlfn.SINGLE(t_rang[[Dato]:[Dato]]),INDIRECT("t_"&amp;E$1&amp;"[[Dato]]"),INDIRECT("t_"&amp;E$1&amp;"[[Rank]]")),"")</f>
        <v/>
      </c>
      <c r="F12" t="str" cm="1">
        <f t="array" aca="1" ref="F12" ca="1">IFERROR(_xlfn.XLOOKUP(_xlfn.SINGLE(t_rang[[Dato]:[Dato]]),INDIRECT("t_"&amp;F$1&amp;"[[Dato]]"),INDIRECT("t_"&amp;F$1&amp;"[[Rank]]")),"")</f>
        <v/>
      </c>
      <c r="G12" t="str" cm="1">
        <f t="array" aca="1" ref="G12" ca="1">IFERROR(_xlfn.XLOOKUP(_xlfn.SINGLE(t_rang[[Dato]:[Dato]]),INDIRECT("t_"&amp;G$1&amp;"[[Dato]]"),INDIRECT("t_"&amp;G$1&amp;"[[Rank]]")),"")</f>
        <v/>
      </c>
      <c r="H12" t="str" cm="1">
        <f t="array" aca="1" ref="H12" ca="1">IFERROR(_xlfn.XLOOKUP(_xlfn.SINGLE(t_rang[[Dato]:[Dato]]),INDIRECT("t_"&amp;H$1&amp;"[[Dato]]"),INDIRECT("t_"&amp;H$1&amp;"[[Rank]]")),"")</f>
        <v/>
      </c>
      <c r="I12" t="str" cm="1">
        <f t="array" aca="1" ref="I12" ca="1">IFERROR(_xlfn.XLOOKUP(_xlfn.SINGLE(t_rang[[Dato]:[Dato]]),INDIRECT("t_"&amp;I$1&amp;"[[Dato]]"),INDIRECT("t_"&amp;I$1&amp;"[[Rank]]")),"")</f>
        <v/>
      </c>
      <c r="J12" t="str" cm="1">
        <f t="array" aca="1" ref="J12" ca="1">IFERROR(_xlfn.XLOOKUP(_xlfn.SINGLE(t_rang[[Dato]:[Dato]]),INDIRECT("t_"&amp;J$1&amp;"[[Dato]]"),INDIRECT("t_"&amp;J$1&amp;"[[Rank]]")),"")</f>
        <v/>
      </c>
      <c r="K12" t="str" cm="1">
        <f t="array" aca="1" ref="K12" ca="1">IFERROR(_xlfn.XLOOKUP(_xlfn.SINGLE(t_rang[[Dato]:[Dato]]),INDIRECT("t_"&amp;K$1&amp;"[[Dato]]"),INDIRECT("t_"&amp;K$1&amp;"[[Rank]]")),"")</f>
        <v/>
      </c>
      <c r="L12" s="381"/>
      <c r="M12" s="381"/>
      <c r="N12" s="381"/>
      <c r="O12" s="361"/>
      <c r="P12" s="383">
        <f>Data!AL11</f>
        <v>46319</v>
      </c>
      <c r="Q12" s="360" cm="1">
        <f t="array" aca="1" ref="Q12" ca="1">IFERROR(INDIRECT("t_"&amp;Q$1&amp;"[@[Totalt]:[Totalt]]"),"")</f>
        <v>0</v>
      </c>
      <c r="R12" s="360" cm="1">
        <f t="array" aca="1" ref="R12" ca="1">IFERROR(INDIRECT("t_"&amp;R$1&amp;"[@[Totalt]:[Totalt]]"),"")</f>
        <v>0</v>
      </c>
      <c r="S12" s="360" cm="1">
        <f t="array" aca="1" ref="S12" ca="1">IFERROR(INDIRECT("t_"&amp;S$1&amp;"[@[Totalt]:[Totalt]]"),"")</f>
        <v>0</v>
      </c>
      <c r="T12" s="360" cm="1">
        <f t="array" aca="1" ref="T12" ca="1">IFERROR(INDIRECT("t_"&amp;T$1&amp;"[@[Totalt]:[Totalt]]"),"")</f>
        <v>0</v>
      </c>
      <c r="U12" s="360" cm="1">
        <f t="array" aca="1" ref="U12" ca="1">IFERROR(INDIRECT("t_"&amp;U$1&amp;"[@[Totalt]:[Totalt]]"),"")</f>
        <v>0</v>
      </c>
      <c r="V12" s="360" cm="1">
        <f t="array" aca="1" ref="V12" ca="1">IFERROR(INDIRECT("t_"&amp;V$1&amp;"[@[Totalt]:[Totalt]]"),"")</f>
        <v>0</v>
      </c>
      <c r="W12" s="360" cm="1">
        <f t="array" aca="1" ref="W12" ca="1">IFERROR(INDIRECT("t_"&amp;W$1&amp;"[@[Totalt]:[Totalt]]"),"")</f>
        <v>0</v>
      </c>
      <c r="X12" s="360" cm="1">
        <f t="array" aca="1" ref="X12" ca="1">IFERROR(INDIRECT("t_"&amp;X$1&amp;"[@[Totalt]:[Totalt]]"),"")</f>
        <v>0</v>
      </c>
      <c r="Y12" s="360" cm="1">
        <f t="array" aca="1" ref="Y12" ca="1">IFERROR(INDIRECT("t_"&amp;Y$1&amp;"[@[Totalt]:[Totalt]]"),"")</f>
        <v>0</v>
      </c>
      <c r="AA12" s="557">
        <f>t_tp[[#This Row],[Dato]]</f>
        <v>46319</v>
      </c>
      <c r="AB12" s="558" t="str" cm="1">
        <f t="array" aca="1" ref="AB12:AJ12" ca="1">IFERROR(_xlfn._xlws.FILTER($Q$1:$Y$1,t_tp[[#This Row],[ahh]:[lev]]=LARGE(t_tp[[#This Row],[ahh]:[lev]],1)),"")</f>
        <v>ahh</v>
      </c>
      <c r="AC12" s="558" t="str">
        <f ca="1"/>
        <v>rb</v>
      </c>
      <c r="AD12" s="558" t="str">
        <f ca="1"/>
        <v>eb</v>
      </c>
      <c r="AE12" s="558" t="str">
        <f ca="1"/>
        <v>kaf</v>
      </c>
      <c r="AF12" s="558" t="str">
        <f ca="1"/>
        <v>øg</v>
      </c>
      <c r="AG12" s="558" t="str">
        <f ca="1"/>
        <v>jh</v>
      </c>
      <c r="AH12" s="558" t="str">
        <f ca="1"/>
        <v>toh</v>
      </c>
      <c r="AI12" s="558" t="str">
        <f ca="1"/>
        <v>utg</v>
      </c>
      <c r="AJ12" s="559" t="str">
        <f ca="1"/>
        <v>lev</v>
      </c>
      <c r="AK12" s="20"/>
      <c r="AL12" s="557">
        <f t="shared" si="0"/>
        <v>46319</v>
      </c>
      <c r="AM12" s="558" t="str" cm="1">
        <f t="array" aca="1" ref="AM12:AU12" ca="1">IFERROR(_xlfn._xlws.FILTER($Q$1:$Y$1,t_tp[[#This Row],[ahh]:[lev]]=SMALL(t_tp[[#This Row],[ahh]:[lev]],1)),"")</f>
        <v>ahh</v>
      </c>
      <c r="AN12" s="558" t="str">
        <f ca="1"/>
        <v>rb</v>
      </c>
      <c r="AO12" s="558" t="str">
        <f ca="1"/>
        <v>eb</v>
      </c>
      <c r="AP12" s="558" t="str">
        <f ca="1"/>
        <v>kaf</v>
      </c>
      <c r="AQ12" s="558" t="str">
        <f ca="1"/>
        <v>øg</v>
      </c>
      <c r="AR12" s="558" t="str">
        <f ca="1"/>
        <v>jh</v>
      </c>
      <c r="AS12" s="558" t="str">
        <f ca="1"/>
        <v>toh</v>
      </c>
      <c r="AT12" s="558" t="str">
        <f ca="1"/>
        <v>utg</v>
      </c>
      <c r="AU12" s="559" t="str">
        <f ca="1"/>
        <v>lev</v>
      </c>
    </row>
    <row r="13" spans="1:47" ht="14.25" thickTop="1" thickBot="1" x14ac:dyDescent="0.25">
      <c r="A13">
        <v>12</v>
      </c>
      <c r="B13" s="22">
        <f>Data!AL12</f>
        <v>46326</v>
      </c>
      <c r="C13" t="str" cm="1">
        <f t="array" aca="1" ref="C13" ca="1">IFERROR(_xlfn.XLOOKUP(_xlfn.SINGLE(t_rang[[Dato]:[Dato]]),INDIRECT("t_"&amp;C$1&amp;"[[Dato]]"),INDIRECT("t_"&amp;C$1&amp;"[[Rank]]")),"")</f>
        <v/>
      </c>
      <c r="D13" t="str" cm="1">
        <f t="array" aca="1" ref="D13" ca="1">IFERROR(_xlfn.XLOOKUP(_xlfn.SINGLE(t_rang[[Dato]:[Dato]]),INDIRECT("t_"&amp;D$1&amp;"[[Dato]]"),INDIRECT("t_"&amp;D$1&amp;"[[Rank]]")),"")</f>
        <v/>
      </c>
      <c r="E13" t="str" cm="1">
        <f t="array" aca="1" ref="E13" ca="1">IFERROR(_xlfn.XLOOKUP(_xlfn.SINGLE(t_rang[[Dato]:[Dato]]),INDIRECT("t_"&amp;E$1&amp;"[[Dato]]"),INDIRECT("t_"&amp;E$1&amp;"[[Rank]]")),"")</f>
        <v/>
      </c>
      <c r="F13" t="str" cm="1">
        <f t="array" aca="1" ref="F13" ca="1">IFERROR(_xlfn.XLOOKUP(_xlfn.SINGLE(t_rang[[Dato]:[Dato]]),INDIRECT("t_"&amp;F$1&amp;"[[Dato]]"),INDIRECT("t_"&amp;F$1&amp;"[[Rank]]")),"")</f>
        <v/>
      </c>
      <c r="G13" t="str" cm="1">
        <f t="array" aca="1" ref="G13" ca="1">IFERROR(_xlfn.XLOOKUP(_xlfn.SINGLE(t_rang[[Dato]:[Dato]]),INDIRECT("t_"&amp;G$1&amp;"[[Dato]]"),INDIRECT("t_"&amp;G$1&amp;"[[Rank]]")),"")</f>
        <v/>
      </c>
      <c r="H13" t="str" cm="1">
        <f t="array" aca="1" ref="H13" ca="1">IFERROR(_xlfn.XLOOKUP(_xlfn.SINGLE(t_rang[[Dato]:[Dato]]),INDIRECT("t_"&amp;H$1&amp;"[[Dato]]"),INDIRECT("t_"&amp;H$1&amp;"[[Rank]]")),"")</f>
        <v/>
      </c>
      <c r="I13" t="str" cm="1">
        <f t="array" aca="1" ref="I13" ca="1">IFERROR(_xlfn.XLOOKUP(_xlfn.SINGLE(t_rang[[Dato]:[Dato]]),INDIRECT("t_"&amp;I$1&amp;"[[Dato]]"),INDIRECT("t_"&amp;I$1&amp;"[[Rank]]")),"")</f>
        <v/>
      </c>
      <c r="J13" t="str" cm="1">
        <f t="array" aca="1" ref="J13" ca="1">IFERROR(_xlfn.XLOOKUP(_xlfn.SINGLE(t_rang[[Dato]:[Dato]]),INDIRECT("t_"&amp;J$1&amp;"[[Dato]]"),INDIRECT("t_"&amp;J$1&amp;"[[Rank]]")),"")</f>
        <v/>
      </c>
      <c r="K13" t="str" cm="1">
        <f t="array" aca="1" ref="K13" ca="1">IFERROR(_xlfn.XLOOKUP(_xlfn.SINGLE(t_rang[[Dato]:[Dato]]),INDIRECT("t_"&amp;K$1&amp;"[[Dato]]"),INDIRECT("t_"&amp;K$1&amp;"[[Rank]]")),"")</f>
        <v/>
      </c>
      <c r="L13" s="381"/>
      <c r="M13" s="381"/>
      <c r="N13" s="381"/>
      <c r="O13" s="361"/>
      <c r="P13" s="383">
        <f>Data!AL12</f>
        <v>46326</v>
      </c>
      <c r="Q13" s="360" cm="1">
        <f t="array" aca="1" ref="Q13" ca="1">IFERROR(INDIRECT("t_"&amp;Q$1&amp;"[@[Totalt]:[Totalt]]"),"")</f>
        <v>0</v>
      </c>
      <c r="R13" s="360" cm="1">
        <f t="array" aca="1" ref="R13" ca="1">IFERROR(INDIRECT("t_"&amp;R$1&amp;"[@[Totalt]:[Totalt]]"),"")</f>
        <v>0</v>
      </c>
      <c r="S13" s="360" cm="1">
        <f t="array" aca="1" ref="S13" ca="1">IFERROR(INDIRECT("t_"&amp;S$1&amp;"[@[Totalt]:[Totalt]]"),"")</f>
        <v>0</v>
      </c>
      <c r="T13" s="360" cm="1">
        <f t="array" aca="1" ref="T13" ca="1">IFERROR(INDIRECT("t_"&amp;T$1&amp;"[@[Totalt]:[Totalt]]"),"")</f>
        <v>0</v>
      </c>
      <c r="U13" s="360" cm="1">
        <f t="array" aca="1" ref="U13" ca="1">IFERROR(INDIRECT("t_"&amp;U$1&amp;"[@[Totalt]:[Totalt]]"),"")</f>
        <v>0</v>
      </c>
      <c r="V13" s="360" cm="1">
        <f t="array" aca="1" ref="V13" ca="1">IFERROR(INDIRECT("t_"&amp;V$1&amp;"[@[Totalt]:[Totalt]]"),"")</f>
        <v>0</v>
      </c>
      <c r="W13" s="360" cm="1">
        <f t="array" aca="1" ref="W13" ca="1">IFERROR(INDIRECT("t_"&amp;W$1&amp;"[@[Totalt]:[Totalt]]"),"")</f>
        <v>161</v>
      </c>
      <c r="X13" s="360" cm="1">
        <f t="array" aca="1" ref="X13" ca="1">IFERROR(INDIRECT("t_"&amp;X$1&amp;"[@[Totalt]:[Totalt]]"),"")</f>
        <v>0</v>
      </c>
      <c r="Y13" s="360" cm="1">
        <f t="array" aca="1" ref="Y13" ca="1">IFERROR(INDIRECT("t_"&amp;Y$1&amp;"[@[Totalt]:[Totalt]]"),"")</f>
        <v>0</v>
      </c>
      <c r="AA13" s="560">
        <f>t_tp[[#This Row],[Dato]]</f>
        <v>46326</v>
      </c>
      <c r="AB13" s="561" t="str" cm="1">
        <f t="array" aca="1" ref="AB13" ca="1">IFERROR(_xlfn._xlws.FILTER($Q$1:$Y$1,t_tp[[#This Row],[ahh]:[lev]]=LARGE(t_tp[[#This Row],[ahh]:[lev]],1)),"")</f>
        <v>toh</v>
      </c>
      <c r="AC13" s="561"/>
      <c r="AD13" s="561"/>
      <c r="AE13" s="561"/>
      <c r="AF13" s="561"/>
      <c r="AG13" s="561"/>
      <c r="AH13" s="561"/>
      <c r="AI13" s="561"/>
      <c r="AJ13" s="562"/>
      <c r="AK13" s="20"/>
      <c r="AL13" s="560">
        <f t="shared" si="0"/>
        <v>46326</v>
      </c>
      <c r="AM13" s="561" t="str" cm="1">
        <f t="array" aca="1" ref="AM13:AT13" ca="1">IFERROR(_xlfn._xlws.FILTER($Q$1:$Y$1,t_tp[[#This Row],[ahh]:[lev]]=SMALL(t_tp[[#This Row],[ahh]:[lev]],1)),"")</f>
        <v>ahh</v>
      </c>
      <c r="AN13" s="561" t="str">
        <f ca="1"/>
        <v>rb</v>
      </c>
      <c r="AO13" s="561" t="str">
        <f ca="1"/>
        <v>eb</v>
      </c>
      <c r="AP13" s="561" t="str">
        <f ca="1"/>
        <v>kaf</v>
      </c>
      <c r="AQ13" s="561" t="str">
        <f ca="1"/>
        <v>øg</v>
      </c>
      <c r="AR13" s="561" t="str">
        <f ca="1"/>
        <v>jh</v>
      </c>
      <c r="AS13" s="561" t="str">
        <f ca="1"/>
        <v>utg</v>
      </c>
      <c r="AT13" s="561" t="str">
        <f ca="1"/>
        <v>lev</v>
      </c>
      <c r="AU13" s="562"/>
    </row>
    <row r="14" spans="1:47" ht="14.25" thickTop="1" thickBot="1" x14ac:dyDescent="0.25">
      <c r="A14">
        <v>13</v>
      </c>
      <c r="B14" s="22">
        <f>Data!AL13</f>
        <v>46333</v>
      </c>
      <c r="C14" t="str" cm="1">
        <f t="array" aca="1" ref="C14" ca="1">IFERROR(_xlfn.XLOOKUP(_xlfn.SINGLE(t_rang[[Dato]:[Dato]]),INDIRECT("t_"&amp;C$1&amp;"[[Dato]]"),INDIRECT("t_"&amp;C$1&amp;"[[Rank]]")),"")</f>
        <v/>
      </c>
      <c r="D14" t="str" cm="1">
        <f t="array" aca="1" ref="D14" ca="1">IFERROR(_xlfn.XLOOKUP(_xlfn.SINGLE(t_rang[[Dato]:[Dato]]),INDIRECT("t_"&amp;D$1&amp;"[[Dato]]"),INDIRECT("t_"&amp;D$1&amp;"[[Rank]]")),"")</f>
        <v/>
      </c>
      <c r="E14" t="str" cm="1">
        <f t="array" aca="1" ref="E14" ca="1">IFERROR(_xlfn.XLOOKUP(_xlfn.SINGLE(t_rang[[Dato]:[Dato]]),INDIRECT("t_"&amp;E$1&amp;"[[Dato]]"),INDIRECT("t_"&amp;E$1&amp;"[[Rank]]")),"")</f>
        <v/>
      </c>
      <c r="F14" t="str" cm="1">
        <f t="array" aca="1" ref="F14" ca="1">IFERROR(_xlfn.XLOOKUP(_xlfn.SINGLE(t_rang[[Dato]:[Dato]]),INDIRECT("t_"&amp;F$1&amp;"[[Dato]]"),INDIRECT("t_"&amp;F$1&amp;"[[Rank]]")),"")</f>
        <v/>
      </c>
      <c r="G14" t="str" cm="1">
        <f t="array" aca="1" ref="G14" ca="1">IFERROR(_xlfn.XLOOKUP(_xlfn.SINGLE(t_rang[[Dato]:[Dato]]),INDIRECT("t_"&amp;G$1&amp;"[[Dato]]"),INDIRECT("t_"&amp;G$1&amp;"[[Rank]]")),"")</f>
        <v/>
      </c>
      <c r="H14" t="str" cm="1">
        <f t="array" aca="1" ref="H14" ca="1">IFERROR(_xlfn.XLOOKUP(_xlfn.SINGLE(t_rang[[Dato]:[Dato]]),INDIRECT("t_"&amp;H$1&amp;"[[Dato]]"),INDIRECT("t_"&amp;H$1&amp;"[[Rank]]")),"")</f>
        <v/>
      </c>
      <c r="I14" t="str" cm="1">
        <f t="array" aca="1" ref="I14" ca="1">IFERROR(_xlfn.XLOOKUP(_xlfn.SINGLE(t_rang[[Dato]:[Dato]]),INDIRECT("t_"&amp;I$1&amp;"[[Dato]]"),INDIRECT("t_"&amp;I$1&amp;"[[Rank]]")),"")</f>
        <v/>
      </c>
      <c r="J14" t="str" cm="1">
        <f t="array" aca="1" ref="J14" ca="1">IFERROR(_xlfn.XLOOKUP(_xlfn.SINGLE(t_rang[[Dato]:[Dato]]),INDIRECT("t_"&amp;J$1&amp;"[[Dato]]"),INDIRECT("t_"&amp;J$1&amp;"[[Rank]]")),"")</f>
        <v/>
      </c>
      <c r="K14" t="str" cm="1">
        <f t="array" aca="1" ref="K14" ca="1">IFERROR(_xlfn.XLOOKUP(_xlfn.SINGLE(t_rang[[Dato]:[Dato]]),INDIRECT("t_"&amp;K$1&amp;"[[Dato]]"),INDIRECT("t_"&amp;K$1&amp;"[[Rank]]")),"")</f>
        <v/>
      </c>
      <c r="L14" s="381"/>
      <c r="M14" s="381"/>
      <c r="N14" s="381"/>
      <c r="O14" s="361"/>
      <c r="P14" s="383">
        <f>Data!AL13</f>
        <v>46333</v>
      </c>
      <c r="Q14" s="360" cm="1">
        <f t="array" aca="1" ref="Q14" ca="1">IFERROR(INDIRECT("t_"&amp;Q$1&amp;"[@[Totalt]:[Totalt]]"),"")</f>
        <v>0</v>
      </c>
      <c r="R14" s="360" cm="1">
        <f t="array" aca="1" ref="R14" ca="1">IFERROR(INDIRECT("t_"&amp;R$1&amp;"[@[Totalt]:[Totalt]]"),"")</f>
        <v>0</v>
      </c>
      <c r="S14" s="360" cm="1">
        <f t="array" aca="1" ref="S14" ca="1">IFERROR(INDIRECT("t_"&amp;S$1&amp;"[@[Totalt]:[Totalt]]"),"")</f>
        <v>0</v>
      </c>
      <c r="T14" s="360" cm="1">
        <f t="array" aca="1" ref="T14" ca="1">IFERROR(INDIRECT("t_"&amp;T$1&amp;"[@[Totalt]:[Totalt]]"),"")</f>
        <v>0</v>
      </c>
      <c r="U14" s="360" cm="1">
        <f t="array" aca="1" ref="U14" ca="1">IFERROR(INDIRECT("t_"&amp;U$1&amp;"[@[Totalt]:[Totalt]]"),"")</f>
        <v>0</v>
      </c>
      <c r="V14" s="360" cm="1">
        <f t="array" aca="1" ref="V14" ca="1">IFERROR(INDIRECT("t_"&amp;V$1&amp;"[@[Totalt]:[Totalt]]"),"")</f>
        <v>0</v>
      </c>
      <c r="W14" s="360" cm="1">
        <f t="array" aca="1" ref="W14" ca="1">IFERROR(INDIRECT("t_"&amp;W$1&amp;"[@[Totalt]:[Totalt]]"),"")</f>
        <v>0</v>
      </c>
      <c r="X14" s="360" cm="1">
        <f t="array" aca="1" ref="X14" ca="1">IFERROR(INDIRECT("t_"&amp;X$1&amp;"[@[Totalt]:[Totalt]]"),"")</f>
        <v>0</v>
      </c>
      <c r="Y14" s="360" cm="1">
        <f t="array" aca="1" ref="Y14" ca="1">IFERROR(INDIRECT("t_"&amp;Y$1&amp;"[@[Totalt]:[Totalt]]"),"")</f>
        <v>0</v>
      </c>
      <c r="AA14" s="557">
        <f>t_tp[[#This Row],[Dato]]</f>
        <v>46333</v>
      </c>
      <c r="AB14" s="558" t="str" cm="1">
        <f t="array" aca="1" ref="AB14:AJ14" ca="1">IFERROR(_xlfn._xlws.FILTER($Q$1:$Y$1,t_tp[[#This Row],[ahh]:[lev]]=LARGE(t_tp[[#This Row],[ahh]:[lev]],1)),"")</f>
        <v>ahh</v>
      </c>
      <c r="AC14" s="558" t="str">
        <f ca="1"/>
        <v>rb</v>
      </c>
      <c r="AD14" s="558" t="str">
        <f ca="1"/>
        <v>eb</v>
      </c>
      <c r="AE14" s="558" t="str">
        <f ca="1"/>
        <v>kaf</v>
      </c>
      <c r="AF14" s="558" t="str">
        <f ca="1"/>
        <v>øg</v>
      </c>
      <c r="AG14" s="558" t="str">
        <f ca="1"/>
        <v>jh</v>
      </c>
      <c r="AH14" s="558" t="str">
        <f ca="1"/>
        <v>toh</v>
      </c>
      <c r="AI14" s="558" t="str">
        <f ca="1"/>
        <v>utg</v>
      </c>
      <c r="AJ14" s="559" t="str">
        <f ca="1"/>
        <v>lev</v>
      </c>
      <c r="AK14" s="20"/>
      <c r="AL14" s="557">
        <f t="shared" si="0"/>
        <v>46333</v>
      </c>
      <c r="AM14" s="558" t="str" cm="1">
        <f t="array" aca="1" ref="AM14:AU14" ca="1">IFERROR(_xlfn._xlws.FILTER($Q$1:$Y$1,t_tp[[#This Row],[ahh]:[lev]]=SMALL(t_tp[[#This Row],[ahh]:[lev]],1)),"")</f>
        <v>ahh</v>
      </c>
      <c r="AN14" s="558" t="str">
        <f ca="1"/>
        <v>rb</v>
      </c>
      <c r="AO14" s="558" t="str">
        <f ca="1"/>
        <v>eb</v>
      </c>
      <c r="AP14" s="558" t="str">
        <f ca="1"/>
        <v>kaf</v>
      </c>
      <c r="AQ14" s="558" t="str">
        <f ca="1"/>
        <v>øg</v>
      </c>
      <c r="AR14" s="558" t="str">
        <f ca="1"/>
        <v>jh</v>
      </c>
      <c r="AS14" s="558" t="str">
        <f ca="1"/>
        <v>toh</v>
      </c>
      <c r="AT14" s="558" t="str">
        <f ca="1"/>
        <v>utg</v>
      </c>
      <c r="AU14" s="559" t="str">
        <f ca="1"/>
        <v>lev</v>
      </c>
    </row>
    <row r="15" spans="1:47" ht="14.25" thickTop="1" thickBot="1" x14ac:dyDescent="0.25">
      <c r="A15">
        <v>14</v>
      </c>
      <c r="B15" s="22">
        <f>Data!AL14</f>
        <v>46340</v>
      </c>
      <c r="C15" t="str" cm="1">
        <f t="array" aca="1" ref="C15" ca="1">IFERROR(_xlfn.XLOOKUP(_xlfn.SINGLE(t_rang[[Dato]:[Dato]]),INDIRECT("t_"&amp;C$1&amp;"[[Dato]]"),INDIRECT("t_"&amp;C$1&amp;"[[Rank]]")),"")</f>
        <v/>
      </c>
      <c r="D15" t="str" cm="1">
        <f t="array" aca="1" ref="D15" ca="1">IFERROR(_xlfn.XLOOKUP(_xlfn.SINGLE(t_rang[[Dato]:[Dato]]),INDIRECT("t_"&amp;D$1&amp;"[[Dato]]"),INDIRECT("t_"&amp;D$1&amp;"[[Rank]]")),"")</f>
        <v/>
      </c>
      <c r="E15" t="str" cm="1">
        <f t="array" aca="1" ref="E15" ca="1">IFERROR(_xlfn.XLOOKUP(_xlfn.SINGLE(t_rang[[Dato]:[Dato]]),INDIRECT("t_"&amp;E$1&amp;"[[Dato]]"),INDIRECT("t_"&amp;E$1&amp;"[[Rank]]")),"")</f>
        <v/>
      </c>
      <c r="F15" t="str" cm="1">
        <f t="array" aca="1" ref="F15" ca="1">IFERROR(_xlfn.XLOOKUP(_xlfn.SINGLE(t_rang[[Dato]:[Dato]]),INDIRECT("t_"&amp;F$1&amp;"[[Dato]]"),INDIRECT("t_"&amp;F$1&amp;"[[Rank]]")),"")</f>
        <v/>
      </c>
      <c r="G15" t="str" cm="1">
        <f t="array" aca="1" ref="G15" ca="1">IFERROR(_xlfn.XLOOKUP(_xlfn.SINGLE(t_rang[[Dato]:[Dato]]),INDIRECT("t_"&amp;G$1&amp;"[[Dato]]"),INDIRECT("t_"&amp;G$1&amp;"[[Rank]]")),"")</f>
        <v/>
      </c>
      <c r="H15" t="str" cm="1">
        <f t="array" aca="1" ref="H15" ca="1">IFERROR(_xlfn.XLOOKUP(_xlfn.SINGLE(t_rang[[Dato]:[Dato]]),INDIRECT("t_"&amp;H$1&amp;"[[Dato]]"),INDIRECT("t_"&amp;H$1&amp;"[[Rank]]")),"")</f>
        <v/>
      </c>
      <c r="I15" t="str" cm="1">
        <f t="array" aca="1" ref="I15" ca="1">IFERROR(_xlfn.XLOOKUP(_xlfn.SINGLE(t_rang[[Dato]:[Dato]]),INDIRECT("t_"&amp;I$1&amp;"[[Dato]]"),INDIRECT("t_"&amp;I$1&amp;"[[Rank]]")),"")</f>
        <v/>
      </c>
      <c r="J15" t="str" cm="1">
        <f t="array" aca="1" ref="J15" ca="1">IFERROR(_xlfn.XLOOKUP(_xlfn.SINGLE(t_rang[[Dato]:[Dato]]),INDIRECT("t_"&amp;J$1&amp;"[[Dato]]"),INDIRECT("t_"&amp;J$1&amp;"[[Rank]]")),"")</f>
        <v/>
      </c>
      <c r="K15" t="str" cm="1">
        <f t="array" aca="1" ref="K15" ca="1">IFERROR(_xlfn.XLOOKUP(_xlfn.SINGLE(t_rang[[Dato]:[Dato]]),INDIRECT("t_"&amp;K$1&amp;"[[Dato]]"),INDIRECT("t_"&amp;K$1&amp;"[[Rank]]")),"")</f>
        <v/>
      </c>
      <c r="L15" s="381"/>
      <c r="M15" s="381"/>
      <c r="N15" s="381"/>
      <c r="O15" s="361"/>
      <c r="P15" s="383">
        <f>Data!AL14</f>
        <v>46340</v>
      </c>
      <c r="Q15" s="360" cm="1">
        <f t="array" aca="1" ref="Q15" ca="1">IFERROR(INDIRECT("t_"&amp;Q$1&amp;"[@[Totalt]:[Totalt]]"),"")</f>
        <v>0</v>
      </c>
      <c r="R15" s="360" cm="1">
        <f t="array" aca="1" ref="R15" ca="1">IFERROR(INDIRECT("t_"&amp;R$1&amp;"[@[Totalt]:[Totalt]]"),"")</f>
        <v>0</v>
      </c>
      <c r="S15" s="360" cm="1">
        <f t="array" aca="1" ref="S15" ca="1">IFERROR(INDIRECT("t_"&amp;S$1&amp;"[@[Totalt]:[Totalt]]"),"")</f>
        <v>483</v>
      </c>
      <c r="T15" s="360" cm="1">
        <f t="array" aca="1" ref="T15" ca="1">IFERROR(INDIRECT("t_"&amp;T$1&amp;"[@[Totalt]:[Totalt]]"),"")</f>
        <v>0</v>
      </c>
      <c r="U15" s="360" cm="1">
        <f t="array" aca="1" ref="U15" ca="1">IFERROR(INDIRECT("t_"&amp;U$1&amp;"[@[Totalt]:[Totalt]]"),"")</f>
        <v>0</v>
      </c>
      <c r="V15" s="360" cm="1">
        <f t="array" aca="1" ref="V15" ca="1">IFERROR(INDIRECT("t_"&amp;V$1&amp;"[@[Totalt]:[Totalt]]"),"")</f>
        <v>0</v>
      </c>
      <c r="W15" s="360" cm="1">
        <f t="array" aca="1" ref="W15" ca="1">IFERROR(INDIRECT("t_"&amp;W$1&amp;"[@[Totalt]:[Totalt]]"),"")</f>
        <v>0</v>
      </c>
      <c r="X15" s="360" cm="1">
        <f t="array" aca="1" ref="X15" ca="1">IFERROR(INDIRECT("t_"&amp;X$1&amp;"[@[Totalt]:[Totalt]]"),"")</f>
        <v>0</v>
      </c>
      <c r="Y15" s="360" cm="1">
        <f t="array" aca="1" ref="Y15" ca="1">IFERROR(INDIRECT("t_"&amp;Y$1&amp;"[@[Totalt]:[Totalt]]"),"")</f>
        <v>0</v>
      </c>
      <c r="AA15" s="560">
        <f>t_tp[[#This Row],[Dato]]</f>
        <v>46340</v>
      </c>
      <c r="AB15" s="561" t="str" cm="1">
        <f t="array" aca="1" ref="AB15" ca="1">IFERROR(_xlfn._xlws.FILTER($Q$1:$Y$1,t_tp[[#This Row],[ahh]:[lev]]=LARGE(t_tp[[#This Row],[ahh]:[lev]],1)),"")</f>
        <v>eb</v>
      </c>
      <c r="AC15" s="561"/>
      <c r="AD15" s="561"/>
      <c r="AE15" s="561"/>
      <c r="AF15" s="561"/>
      <c r="AG15" s="561"/>
      <c r="AH15" s="561"/>
      <c r="AI15" s="561"/>
      <c r="AJ15" s="562"/>
      <c r="AK15" s="20"/>
      <c r="AL15" s="560">
        <f t="shared" si="0"/>
        <v>46340</v>
      </c>
      <c r="AM15" s="561" t="str" cm="1">
        <f t="array" aca="1" ref="AM15:AT15" ca="1">IFERROR(_xlfn._xlws.FILTER($Q$1:$Y$1,t_tp[[#This Row],[ahh]:[lev]]=SMALL(t_tp[[#This Row],[ahh]:[lev]],1)),"")</f>
        <v>ahh</v>
      </c>
      <c r="AN15" s="561" t="str">
        <f ca="1"/>
        <v>rb</v>
      </c>
      <c r="AO15" s="561" t="str">
        <f ca="1"/>
        <v>kaf</v>
      </c>
      <c r="AP15" s="561" t="str">
        <f ca="1"/>
        <v>øg</v>
      </c>
      <c r="AQ15" s="561" t="str">
        <f ca="1"/>
        <v>jh</v>
      </c>
      <c r="AR15" s="561" t="str">
        <f ca="1"/>
        <v>toh</v>
      </c>
      <c r="AS15" s="561" t="str">
        <f ca="1"/>
        <v>utg</v>
      </c>
      <c r="AT15" s="561" t="str">
        <f ca="1"/>
        <v>lev</v>
      </c>
      <c r="AU15" s="562"/>
    </row>
    <row r="16" spans="1:47" ht="14.25" thickTop="1" thickBot="1" x14ac:dyDescent="0.25">
      <c r="A16">
        <v>15</v>
      </c>
      <c r="B16" s="22">
        <f>Data!AL15</f>
        <v>46347</v>
      </c>
      <c r="C16" t="str" cm="1">
        <f t="array" aca="1" ref="C16" ca="1">IFERROR(_xlfn.XLOOKUP(_xlfn.SINGLE(t_rang[[Dato]:[Dato]]),INDIRECT("t_"&amp;C$1&amp;"[[Dato]]"),INDIRECT("t_"&amp;C$1&amp;"[[Rank]]")),"")</f>
        <v/>
      </c>
      <c r="D16" t="str" cm="1">
        <f t="array" aca="1" ref="D16" ca="1">IFERROR(_xlfn.XLOOKUP(_xlfn.SINGLE(t_rang[[Dato]:[Dato]]),INDIRECT("t_"&amp;D$1&amp;"[[Dato]]"),INDIRECT("t_"&amp;D$1&amp;"[[Rank]]")),"")</f>
        <v/>
      </c>
      <c r="E16" t="str" cm="1">
        <f t="array" aca="1" ref="E16" ca="1">IFERROR(_xlfn.XLOOKUP(_xlfn.SINGLE(t_rang[[Dato]:[Dato]]),INDIRECT("t_"&amp;E$1&amp;"[[Dato]]"),INDIRECT("t_"&amp;E$1&amp;"[[Rank]]")),"")</f>
        <v/>
      </c>
      <c r="F16" t="str" cm="1">
        <f t="array" aca="1" ref="F16" ca="1">IFERROR(_xlfn.XLOOKUP(_xlfn.SINGLE(t_rang[[Dato]:[Dato]]),INDIRECT("t_"&amp;F$1&amp;"[[Dato]]"),INDIRECT("t_"&amp;F$1&amp;"[[Rank]]")),"")</f>
        <v/>
      </c>
      <c r="G16" t="str" cm="1">
        <f t="array" aca="1" ref="G16" ca="1">IFERROR(_xlfn.XLOOKUP(_xlfn.SINGLE(t_rang[[Dato]:[Dato]]),INDIRECT("t_"&amp;G$1&amp;"[[Dato]]"),INDIRECT("t_"&amp;G$1&amp;"[[Rank]]")),"")</f>
        <v/>
      </c>
      <c r="H16" t="str" cm="1">
        <f t="array" aca="1" ref="H16" ca="1">IFERROR(_xlfn.XLOOKUP(_xlfn.SINGLE(t_rang[[Dato]:[Dato]]),INDIRECT("t_"&amp;H$1&amp;"[[Dato]]"),INDIRECT("t_"&amp;H$1&amp;"[[Rank]]")),"")</f>
        <v/>
      </c>
      <c r="I16" t="str" cm="1">
        <f t="array" aca="1" ref="I16" ca="1">IFERROR(_xlfn.XLOOKUP(_xlfn.SINGLE(t_rang[[Dato]:[Dato]]),INDIRECT("t_"&amp;I$1&amp;"[[Dato]]"),INDIRECT("t_"&amp;I$1&amp;"[[Rank]]")),"")</f>
        <v/>
      </c>
      <c r="J16" t="str" cm="1">
        <f t="array" aca="1" ref="J16" ca="1">IFERROR(_xlfn.XLOOKUP(_xlfn.SINGLE(t_rang[[Dato]:[Dato]]),INDIRECT("t_"&amp;J$1&amp;"[[Dato]]"),INDIRECT("t_"&amp;J$1&amp;"[[Rank]]")),"")</f>
        <v/>
      </c>
      <c r="K16" t="str" cm="1">
        <f t="array" aca="1" ref="K16" ca="1">IFERROR(_xlfn.XLOOKUP(_xlfn.SINGLE(t_rang[[Dato]:[Dato]]),INDIRECT("t_"&amp;K$1&amp;"[[Dato]]"),INDIRECT("t_"&amp;K$1&amp;"[[Rank]]")),"")</f>
        <v/>
      </c>
      <c r="L16" s="381"/>
      <c r="M16" s="381"/>
      <c r="N16" s="381"/>
      <c r="O16" s="361"/>
      <c r="P16" s="383">
        <f>Data!AL15</f>
        <v>46347</v>
      </c>
      <c r="Q16" s="360" cm="1">
        <f t="array" aca="1" ref="Q16" ca="1">IFERROR(INDIRECT("t_"&amp;Q$1&amp;"[@[Totalt]:[Totalt]]"),"")</f>
        <v>0</v>
      </c>
      <c r="R16" s="360" cm="1">
        <f t="array" aca="1" ref="R16" ca="1">IFERROR(INDIRECT("t_"&amp;R$1&amp;"[@[Totalt]:[Totalt]]"),"")</f>
        <v>0</v>
      </c>
      <c r="S16" s="360" cm="1">
        <f t="array" aca="1" ref="S16" ca="1">IFERROR(INDIRECT("t_"&amp;S$1&amp;"[@[Totalt]:[Totalt]]"),"")</f>
        <v>0</v>
      </c>
      <c r="T16" s="360" cm="1">
        <f t="array" aca="1" ref="T16" ca="1">IFERROR(INDIRECT("t_"&amp;T$1&amp;"[@[Totalt]:[Totalt]]"),"")</f>
        <v>0</v>
      </c>
      <c r="U16" s="360" cm="1">
        <f t="array" aca="1" ref="U16" ca="1">IFERROR(INDIRECT("t_"&amp;U$1&amp;"[@[Totalt]:[Totalt]]"),"")</f>
        <v>0</v>
      </c>
      <c r="V16" s="360" cm="1">
        <f t="array" aca="1" ref="V16" ca="1">IFERROR(INDIRECT("t_"&amp;V$1&amp;"[@[Totalt]:[Totalt]]"),"")</f>
        <v>0</v>
      </c>
      <c r="W16" s="360" cm="1">
        <f t="array" aca="1" ref="W16" ca="1">IFERROR(INDIRECT("t_"&amp;W$1&amp;"[@[Totalt]:[Totalt]]"),"")</f>
        <v>0</v>
      </c>
      <c r="X16" s="360" cm="1">
        <f t="array" aca="1" ref="X16" ca="1">IFERROR(INDIRECT("t_"&amp;X$1&amp;"[@[Totalt]:[Totalt]]"),"")</f>
        <v>0</v>
      </c>
      <c r="Y16" s="360" cm="1">
        <f t="array" aca="1" ref="Y16" ca="1">IFERROR(INDIRECT("t_"&amp;Y$1&amp;"[@[Totalt]:[Totalt]]"),"")</f>
        <v>0</v>
      </c>
      <c r="AA16" s="557">
        <f>t_tp[[#This Row],[Dato]]</f>
        <v>46347</v>
      </c>
      <c r="AB16" s="558" t="str" cm="1">
        <f t="array" aca="1" ref="AB16:AJ16" ca="1">IFERROR(_xlfn._xlws.FILTER($Q$1:$Y$1,t_tp[[#This Row],[ahh]:[lev]]=LARGE(t_tp[[#This Row],[ahh]:[lev]],1)),"")</f>
        <v>ahh</v>
      </c>
      <c r="AC16" s="558" t="str">
        <f ca="1"/>
        <v>rb</v>
      </c>
      <c r="AD16" s="558" t="str">
        <f ca="1"/>
        <v>eb</v>
      </c>
      <c r="AE16" s="558" t="str">
        <f ca="1"/>
        <v>kaf</v>
      </c>
      <c r="AF16" s="558" t="str">
        <f ca="1"/>
        <v>øg</v>
      </c>
      <c r="AG16" s="558" t="str">
        <f ca="1"/>
        <v>jh</v>
      </c>
      <c r="AH16" s="558" t="str">
        <f ca="1"/>
        <v>toh</v>
      </c>
      <c r="AI16" s="558" t="str">
        <f ca="1"/>
        <v>utg</v>
      </c>
      <c r="AJ16" s="559" t="str">
        <f ca="1"/>
        <v>lev</v>
      </c>
      <c r="AK16" s="20"/>
      <c r="AL16" s="557">
        <f t="shared" si="0"/>
        <v>46347</v>
      </c>
      <c r="AM16" s="558" t="str" cm="1">
        <f t="array" aca="1" ref="AM16:AU16" ca="1">IFERROR(_xlfn._xlws.FILTER($Q$1:$Y$1,t_tp[[#This Row],[ahh]:[lev]]=SMALL(t_tp[[#This Row],[ahh]:[lev]],1)),"")</f>
        <v>ahh</v>
      </c>
      <c r="AN16" s="558" t="str">
        <f ca="1"/>
        <v>rb</v>
      </c>
      <c r="AO16" s="558" t="str">
        <f ca="1"/>
        <v>eb</v>
      </c>
      <c r="AP16" s="558" t="str">
        <f ca="1"/>
        <v>kaf</v>
      </c>
      <c r="AQ16" s="558" t="str">
        <f ca="1"/>
        <v>øg</v>
      </c>
      <c r="AR16" s="558" t="str">
        <f ca="1"/>
        <v>jh</v>
      </c>
      <c r="AS16" s="558" t="str">
        <f ca="1"/>
        <v>toh</v>
      </c>
      <c r="AT16" s="558" t="str">
        <f ca="1"/>
        <v>utg</v>
      </c>
      <c r="AU16" s="559" t="str">
        <f ca="1"/>
        <v>lev</v>
      </c>
    </row>
    <row r="17" spans="1:47" ht="14.25" thickTop="1" thickBot="1" x14ac:dyDescent="0.25">
      <c r="A17">
        <v>16</v>
      </c>
      <c r="B17" s="22">
        <f>Data!AL16</f>
        <v>46354</v>
      </c>
      <c r="C17" t="str" cm="1">
        <f t="array" aca="1" ref="C17" ca="1">IFERROR(_xlfn.XLOOKUP(_xlfn.SINGLE(t_rang[[Dato]:[Dato]]),INDIRECT("t_"&amp;C$1&amp;"[[Dato]]"),INDIRECT("t_"&amp;C$1&amp;"[[Rank]]")),"")</f>
        <v/>
      </c>
      <c r="D17" t="str" cm="1">
        <f t="array" aca="1" ref="D17" ca="1">IFERROR(_xlfn.XLOOKUP(_xlfn.SINGLE(t_rang[[Dato]:[Dato]]),INDIRECT("t_"&amp;D$1&amp;"[[Dato]]"),INDIRECT("t_"&amp;D$1&amp;"[[Rank]]")),"")</f>
        <v/>
      </c>
      <c r="E17" t="str" cm="1">
        <f t="array" aca="1" ref="E17" ca="1">IFERROR(_xlfn.XLOOKUP(_xlfn.SINGLE(t_rang[[Dato]:[Dato]]),INDIRECT("t_"&amp;E$1&amp;"[[Dato]]"),INDIRECT("t_"&amp;E$1&amp;"[[Rank]]")),"")</f>
        <v/>
      </c>
      <c r="F17" t="str" cm="1">
        <f t="array" aca="1" ref="F17" ca="1">IFERROR(_xlfn.XLOOKUP(_xlfn.SINGLE(t_rang[[Dato]:[Dato]]),INDIRECT("t_"&amp;F$1&amp;"[[Dato]]"),INDIRECT("t_"&amp;F$1&amp;"[[Rank]]")),"")</f>
        <v/>
      </c>
      <c r="G17" t="str" cm="1">
        <f t="array" aca="1" ref="G17" ca="1">IFERROR(_xlfn.XLOOKUP(_xlfn.SINGLE(t_rang[[Dato]:[Dato]]),INDIRECT("t_"&amp;G$1&amp;"[[Dato]]"),INDIRECT("t_"&amp;G$1&amp;"[[Rank]]")),"")</f>
        <v/>
      </c>
      <c r="H17" t="str" cm="1">
        <f t="array" aca="1" ref="H17" ca="1">IFERROR(_xlfn.XLOOKUP(_xlfn.SINGLE(t_rang[[Dato]:[Dato]]),INDIRECT("t_"&amp;H$1&amp;"[[Dato]]"),INDIRECT("t_"&amp;H$1&amp;"[[Rank]]")),"")</f>
        <v/>
      </c>
      <c r="I17" t="str" cm="1">
        <f t="array" aca="1" ref="I17" ca="1">IFERROR(_xlfn.XLOOKUP(_xlfn.SINGLE(t_rang[[Dato]:[Dato]]),INDIRECT("t_"&amp;I$1&amp;"[[Dato]]"),INDIRECT("t_"&amp;I$1&amp;"[[Rank]]")),"")</f>
        <v/>
      </c>
      <c r="J17" t="str" cm="1">
        <f t="array" aca="1" ref="J17" ca="1">IFERROR(_xlfn.XLOOKUP(_xlfn.SINGLE(t_rang[[Dato]:[Dato]]),INDIRECT("t_"&amp;J$1&amp;"[[Dato]]"),INDIRECT("t_"&amp;J$1&amp;"[[Rank]]")),"")</f>
        <v/>
      </c>
      <c r="K17" t="str" cm="1">
        <f t="array" aca="1" ref="K17" ca="1">IFERROR(_xlfn.XLOOKUP(_xlfn.SINGLE(t_rang[[Dato]:[Dato]]),INDIRECT("t_"&amp;K$1&amp;"[[Dato]]"),INDIRECT("t_"&amp;K$1&amp;"[[Rank]]")),"")</f>
        <v/>
      </c>
      <c r="L17" s="381"/>
      <c r="M17" s="381"/>
      <c r="N17" s="381"/>
      <c r="O17" s="361"/>
      <c r="P17" s="383">
        <f>Data!AL16</f>
        <v>46354</v>
      </c>
      <c r="Q17" s="360" cm="1">
        <f t="array" aca="1" ref="Q17" ca="1">IFERROR(INDIRECT("t_"&amp;Q$1&amp;"[@[Totalt]:[Totalt]]"),"")</f>
        <v>0</v>
      </c>
      <c r="R17" s="360" cm="1">
        <f t="array" aca="1" ref="R17" ca="1">IFERROR(INDIRECT("t_"&amp;R$1&amp;"[@[Totalt]:[Totalt]]"),"")</f>
        <v>0</v>
      </c>
      <c r="S17" s="360" cm="1">
        <f t="array" aca="1" ref="S17" ca="1">IFERROR(INDIRECT("t_"&amp;S$1&amp;"[@[Totalt]:[Totalt]]"),"")</f>
        <v>0</v>
      </c>
      <c r="T17" s="360" cm="1">
        <f t="array" aca="1" ref="T17" ca="1">IFERROR(INDIRECT("t_"&amp;T$1&amp;"[@[Totalt]:[Totalt]]"),"")</f>
        <v>0</v>
      </c>
      <c r="U17" s="360" cm="1">
        <f t="array" aca="1" ref="U17" ca="1">IFERROR(INDIRECT("t_"&amp;U$1&amp;"[@[Totalt]:[Totalt]]"),"")</f>
        <v>0</v>
      </c>
      <c r="V17" s="360" cm="1">
        <f t="array" aca="1" ref="V17" ca="1">IFERROR(INDIRECT("t_"&amp;V$1&amp;"[@[Totalt]:[Totalt]]"),"")</f>
        <v>0</v>
      </c>
      <c r="W17" s="360" cm="1">
        <f t="array" aca="1" ref="W17" ca="1">IFERROR(INDIRECT("t_"&amp;W$1&amp;"[@[Totalt]:[Totalt]]"),"")</f>
        <v>0</v>
      </c>
      <c r="X17" s="360" cm="1">
        <f t="array" aca="1" ref="X17" ca="1">IFERROR(INDIRECT("t_"&amp;X$1&amp;"[@[Totalt]:[Totalt]]"),"")</f>
        <v>0</v>
      </c>
      <c r="Y17" s="360" cm="1">
        <f t="array" aca="1" ref="Y17" ca="1">IFERROR(INDIRECT("t_"&amp;Y$1&amp;"[@[Totalt]:[Totalt]]"),"")</f>
        <v>0</v>
      </c>
      <c r="AA17" s="560">
        <f>t_tp[[#This Row],[Dato]]</f>
        <v>46354</v>
      </c>
      <c r="AB17" s="561" t="str" cm="1">
        <f t="array" aca="1" ref="AB17:AJ17" ca="1">IFERROR(_xlfn._xlws.FILTER($Q$1:$Y$1,t_tp[[#This Row],[ahh]:[lev]]=LARGE(t_tp[[#This Row],[ahh]:[lev]],1)),"")</f>
        <v>ahh</v>
      </c>
      <c r="AC17" s="561" t="str">
        <f ca="1"/>
        <v>rb</v>
      </c>
      <c r="AD17" s="561" t="str">
        <f ca="1"/>
        <v>eb</v>
      </c>
      <c r="AE17" s="561" t="str">
        <f ca="1"/>
        <v>kaf</v>
      </c>
      <c r="AF17" s="561" t="str">
        <f ca="1"/>
        <v>øg</v>
      </c>
      <c r="AG17" s="561" t="str">
        <f ca="1"/>
        <v>jh</v>
      </c>
      <c r="AH17" s="561" t="str">
        <f ca="1"/>
        <v>toh</v>
      </c>
      <c r="AI17" s="561" t="str">
        <f ca="1"/>
        <v>utg</v>
      </c>
      <c r="AJ17" s="562" t="str">
        <f ca="1"/>
        <v>lev</v>
      </c>
      <c r="AK17" s="20"/>
      <c r="AL17" s="560">
        <f t="shared" si="0"/>
        <v>46354</v>
      </c>
      <c r="AM17" s="561" t="str" cm="1">
        <f t="array" aca="1" ref="AM17:AU17" ca="1">IFERROR(_xlfn._xlws.FILTER($Q$1:$Y$1,t_tp[[#This Row],[ahh]:[lev]]=SMALL(t_tp[[#This Row],[ahh]:[lev]],1)),"")</f>
        <v>ahh</v>
      </c>
      <c r="AN17" s="561" t="str">
        <f ca="1"/>
        <v>rb</v>
      </c>
      <c r="AO17" s="561" t="str">
        <f ca="1"/>
        <v>eb</v>
      </c>
      <c r="AP17" s="561" t="str">
        <f ca="1"/>
        <v>kaf</v>
      </c>
      <c r="AQ17" s="561" t="str">
        <f ca="1"/>
        <v>øg</v>
      </c>
      <c r="AR17" s="561" t="str">
        <f ca="1"/>
        <v>jh</v>
      </c>
      <c r="AS17" s="561" t="str">
        <f ca="1"/>
        <v>toh</v>
      </c>
      <c r="AT17" s="561" t="str">
        <f ca="1"/>
        <v>utg</v>
      </c>
      <c r="AU17" s="562" t="str">
        <f ca="1"/>
        <v>lev</v>
      </c>
    </row>
    <row r="18" spans="1:47" ht="14.25" thickTop="1" thickBot="1" x14ac:dyDescent="0.25">
      <c r="A18">
        <v>17</v>
      </c>
      <c r="B18" s="22">
        <f>Data!AL17</f>
        <v>46361</v>
      </c>
      <c r="C18" t="str" cm="1">
        <f t="array" aca="1" ref="C18" ca="1">IFERROR(_xlfn.XLOOKUP(_xlfn.SINGLE(t_rang[[Dato]:[Dato]]),INDIRECT("t_"&amp;C$1&amp;"[[Dato]]"),INDIRECT("t_"&amp;C$1&amp;"[[Rank]]")),"")</f>
        <v/>
      </c>
      <c r="D18" t="str" cm="1">
        <f t="array" aca="1" ref="D18" ca="1">IFERROR(_xlfn.XLOOKUP(_xlfn.SINGLE(t_rang[[Dato]:[Dato]]),INDIRECT("t_"&amp;D$1&amp;"[[Dato]]"),INDIRECT("t_"&amp;D$1&amp;"[[Rank]]")),"")</f>
        <v/>
      </c>
      <c r="E18" t="str" cm="1">
        <f t="array" aca="1" ref="E18" ca="1">IFERROR(_xlfn.XLOOKUP(_xlfn.SINGLE(t_rang[[Dato]:[Dato]]),INDIRECT("t_"&amp;E$1&amp;"[[Dato]]"),INDIRECT("t_"&amp;E$1&amp;"[[Rank]]")),"")</f>
        <v/>
      </c>
      <c r="F18" t="str" cm="1">
        <f t="array" aca="1" ref="F18" ca="1">IFERROR(_xlfn.XLOOKUP(_xlfn.SINGLE(t_rang[[Dato]:[Dato]]),INDIRECT("t_"&amp;F$1&amp;"[[Dato]]"),INDIRECT("t_"&amp;F$1&amp;"[[Rank]]")),"")</f>
        <v/>
      </c>
      <c r="G18" t="str" cm="1">
        <f t="array" aca="1" ref="G18" ca="1">IFERROR(_xlfn.XLOOKUP(_xlfn.SINGLE(t_rang[[Dato]:[Dato]]),INDIRECT("t_"&amp;G$1&amp;"[[Dato]]"),INDIRECT("t_"&amp;G$1&amp;"[[Rank]]")),"")</f>
        <v/>
      </c>
      <c r="H18" t="str" cm="1">
        <f t="array" aca="1" ref="H18" ca="1">IFERROR(_xlfn.XLOOKUP(_xlfn.SINGLE(t_rang[[Dato]:[Dato]]),INDIRECT("t_"&amp;H$1&amp;"[[Dato]]"),INDIRECT("t_"&amp;H$1&amp;"[[Rank]]")),"")</f>
        <v/>
      </c>
      <c r="I18" t="str" cm="1">
        <f t="array" aca="1" ref="I18" ca="1">IFERROR(_xlfn.XLOOKUP(_xlfn.SINGLE(t_rang[[Dato]:[Dato]]),INDIRECT("t_"&amp;I$1&amp;"[[Dato]]"),INDIRECT("t_"&amp;I$1&amp;"[[Rank]]")),"")</f>
        <v/>
      </c>
      <c r="J18" t="str" cm="1">
        <f t="array" aca="1" ref="J18" ca="1">IFERROR(_xlfn.XLOOKUP(_xlfn.SINGLE(t_rang[[Dato]:[Dato]]),INDIRECT("t_"&amp;J$1&amp;"[[Dato]]"),INDIRECT("t_"&amp;J$1&amp;"[[Rank]]")),"")</f>
        <v/>
      </c>
      <c r="K18" t="str" cm="1">
        <f t="array" aca="1" ref="K18" ca="1">IFERROR(_xlfn.XLOOKUP(_xlfn.SINGLE(t_rang[[Dato]:[Dato]]),INDIRECT("t_"&amp;K$1&amp;"[[Dato]]"),INDIRECT("t_"&amp;K$1&amp;"[[Rank]]")),"")</f>
        <v/>
      </c>
      <c r="L18" s="381"/>
      <c r="M18" s="381"/>
      <c r="N18" s="381"/>
      <c r="O18" s="361"/>
      <c r="P18" s="383">
        <f>Data!AL17</f>
        <v>46361</v>
      </c>
      <c r="Q18" s="360" cm="1">
        <f t="array" aca="1" ref="Q18" ca="1">IFERROR(INDIRECT("t_"&amp;Q$1&amp;"[@[Totalt]:[Totalt]]"),"")</f>
        <v>0</v>
      </c>
      <c r="R18" s="360" cm="1">
        <f t="array" aca="1" ref="R18" ca="1">IFERROR(INDIRECT("t_"&amp;R$1&amp;"[@[Totalt]:[Totalt]]"),"")</f>
        <v>0</v>
      </c>
      <c r="S18" s="360" cm="1">
        <f t="array" aca="1" ref="S18" ca="1">IFERROR(INDIRECT("t_"&amp;S$1&amp;"[@[Totalt]:[Totalt]]"),"")</f>
        <v>0</v>
      </c>
      <c r="T18" s="360" cm="1">
        <f t="array" aca="1" ref="T18" ca="1">IFERROR(INDIRECT("t_"&amp;T$1&amp;"[@[Totalt]:[Totalt]]"),"")</f>
        <v>0</v>
      </c>
      <c r="U18" s="360" cm="1">
        <f t="array" aca="1" ref="U18" ca="1">IFERROR(INDIRECT("t_"&amp;U$1&amp;"[@[Totalt]:[Totalt]]"),"")</f>
        <v>0</v>
      </c>
      <c r="V18" s="360" cm="1">
        <f t="array" aca="1" ref="V18" ca="1">IFERROR(INDIRECT("t_"&amp;V$1&amp;"[@[Totalt]:[Totalt]]"),"")</f>
        <v>0</v>
      </c>
      <c r="W18" s="360" cm="1">
        <f t="array" aca="1" ref="W18" ca="1">IFERROR(INDIRECT("t_"&amp;W$1&amp;"[@[Totalt]:[Totalt]]"),"")</f>
        <v>0</v>
      </c>
      <c r="X18" s="360" cm="1">
        <f t="array" aca="1" ref="X18" ca="1">IFERROR(INDIRECT("t_"&amp;X$1&amp;"[@[Totalt]:[Totalt]]"),"")</f>
        <v>0</v>
      </c>
      <c r="Y18" s="360" cm="1">
        <f t="array" aca="1" ref="Y18" ca="1">IFERROR(INDIRECT("t_"&amp;Y$1&amp;"[@[Totalt]:[Totalt]]"),"")</f>
        <v>0</v>
      </c>
      <c r="AA18" s="557">
        <f>t_tp[[#This Row],[Dato]]</f>
        <v>46361</v>
      </c>
      <c r="AB18" s="558" t="str" cm="1">
        <f t="array" aca="1" ref="AB18:AJ18" ca="1">IFERROR(_xlfn._xlws.FILTER($Q$1:$Y$1,t_tp[[#This Row],[ahh]:[lev]]=LARGE(t_tp[[#This Row],[ahh]:[lev]],1)),"")</f>
        <v>ahh</v>
      </c>
      <c r="AC18" s="558" t="str">
        <f ca="1"/>
        <v>rb</v>
      </c>
      <c r="AD18" s="558" t="str">
        <f ca="1"/>
        <v>eb</v>
      </c>
      <c r="AE18" s="558" t="str">
        <f ca="1"/>
        <v>kaf</v>
      </c>
      <c r="AF18" s="558" t="str">
        <f ca="1"/>
        <v>øg</v>
      </c>
      <c r="AG18" s="558" t="str">
        <f ca="1"/>
        <v>jh</v>
      </c>
      <c r="AH18" s="558" t="str">
        <f ca="1"/>
        <v>toh</v>
      </c>
      <c r="AI18" s="558" t="str">
        <f ca="1"/>
        <v>utg</v>
      </c>
      <c r="AJ18" s="559" t="str">
        <f ca="1"/>
        <v>lev</v>
      </c>
      <c r="AK18" s="20"/>
      <c r="AL18" s="557">
        <f t="shared" si="0"/>
        <v>46361</v>
      </c>
      <c r="AM18" s="558" t="str" cm="1">
        <f t="array" aca="1" ref="AM18:AU18" ca="1">IFERROR(_xlfn._xlws.FILTER($Q$1:$Y$1,t_tp[[#This Row],[ahh]:[lev]]=SMALL(t_tp[[#This Row],[ahh]:[lev]],1)),"")</f>
        <v>ahh</v>
      </c>
      <c r="AN18" s="558" t="str">
        <f ca="1"/>
        <v>rb</v>
      </c>
      <c r="AO18" s="558" t="str">
        <f ca="1"/>
        <v>eb</v>
      </c>
      <c r="AP18" s="558" t="str">
        <f ca="1"/>
        <v>kaf</v>
      </c>
      <c r="AQ18" s="558" t="str">
        <f ca="1"/>
        <v>øg</v>
      </c>
      <c r="AR18" s="558" t="str">
        <f ca="1"/>
        <v>jh</v>
      </c>
      <c r="AS18" s="558" t="str">
        <f ca="1"/>
        <v>toh</v>
      </c>
      <c r="AT18" s="558" t="str">
        <f ca="1"/>
        <v>utg</v>
      </c>
      <c r="AU18" s="559" t="str">
        <f ca="1"/>
        <v>lev</v>
      </c>
    </row>
    <row r="19" spans="1:47" ht="14.25" thickTop="1" thickBot="1" x14ac:dyDescent="0.25">
      <c r="A19">
        <v>18</v>
      </c>
      <c r="B19" s="22">
        <f>Data!AL18</f>
        <v>46368</v>
      </c>
      <c r="C19" t="str" cm="1">
        <f t="array" aca="1" ref="C19" ca="1">IFERROR(_xlfn.XLOOKUP(_xlfn.SINGLE(t_rang[[Dato]:[Dato]]),INDIRECT("t_"&amp;C$1&amp;"[[Dato]]"),INDIRECT("t_"&amp;C$1&amp;"[[Rank]]")),"")</f>
        <v/>
      </c>
      <c r="D19" t="str" cm="1">
        <f t="array" aca="1" ref="D19" ca="1">IFERROR(_xlfn.XLOOKUP(_xlfn.SINGLE(t_rang[[Dato]:[Dato]]),INDIRECT("t_"&amp;D$1&amp;"[[Dato]]"),INDIRECT("t_"&amp;D$1&amp;"[[Rank]]")),"")</f>
        <v/>
      </c>
      <c r="E19" t="str" cm="1">
        <f t="array" aca="1" ref="E19" ca="1">IFERROR(_xlfn.XLOOKUP(_xlfn.SINGLE(t_rang[[Dato]:[Dato]]),INDIRECT("t_"&amp;E$1&amp;"[[Dato]]"),INDIRECT("t_"&amp;E$1&amp;"[[Rank]]")),"")</f>
        <v/>
      </c>
      <c r="F19" t="str" cm="1">
        <f t="array" aca="1" ref="F19" ca="1">IFERROR(_xlfn.XLOOKUP(_xlfn.SINGLE(t_rang[[Dato]:[Dato]]),INDIRECT("t_"&amp;F$1&amp;"[[Dato]]"),INDIRECT("t_"&amp;F$1&amp;"[[Rank]]")),"")</f>
        <v/>
      </c>
      <c r="G19" t="str" cm="1">
        <f t="array" aca="1" ref="G19" ca="1">IFERROR(_xlfn.XLOOKUP(_xlfn.SINGLE(t_rang[[Dato]:[Dato]]),INDIRECT("t_"&amp;G$1&amp;"[[Dato]]"),INDIRECT("t_"&amp;G$1&amp;"[[Rank]]")),"")</f>
        <v/>
      </c>
      <c r="H19" t="str" cm="1">
        <f t="array" aca="1" ref="H19" ca="1">IFERROR(_xlfn.XLOOKUP(_xlfn.SINGLE(t_rang[[Dato]:[Dato]]),INDIRECT("t_"&amp;H$1&amp;"[[Dato]]"),INDIRECT("t_"&amp;H$1&amp;"[[Rank]]")),"")</f>
        <v/>
      </c>
      <c r="I19" t="str" cm="1">
        <f t="array" aca="1" ref="I19" ca="1">IFERROR(_xlfn.XLOOKUP(_xlfn.SINGLE(t_rang[[Dato]:[Dato]]),INDIRECT("t_"&amp;I$1&amp;"[[Dato]]"),INDIRECT("t_"&amp;I$1&amp;"[[Rank]]")),"")</f>
        <v/>
      </c>
      <c r="J19" t="str" cm="1">
        <f t="array" aca="1" ref="J19" ca="1">IFERROR(_xlfn.XLOOKUP(_xlfn.SINGLE(t_rang[[Dato]:[Dato]]),INDIRECT("t_"&amp;J$1&amp;"[[Dato]]"),INDIRECT("t_"&amp;J$1&amp;"[[Rank]]")),"")</f>
        <v/>
      </c>
      <c r="K19" t="str" cm="1">
        <f t="array" aca="1" ref="K19" ca="1">IFERROR(_xlfn.XLOOKUP(_xlfn.SINGLE(t_rang[[Dato]:[Dato]]),INDIRECT("t_"&amp;K$1&amp;"[[Dato]]"),INDIRECT("t_"&amp;K$1&amp;"[[Rank]]")),"")</f>
        <v/>
      </c>
      <c r="L19" s="381"/>
      <c r="M19" s="381"/>
      <c r="N19" s="381"/>
      <c r="O19" s="361"/>
      <c r="P19" s="383">
        <f>Data!AL18</f>
        <v>46368</v>
      </c>
      <c r="Q19" s="360" cm="1">
        <f t="array" aca="1" ref="Q19" ca="1">IFERROR(INDIRECT("t_"&amp;Q$1&amp;"[@[Totalt]:[Totalt]]"),"")</f>
        <v>0</v>
      </c>
      <c r="R19" s="360" cm="1">
        <f t="array" aca="1" ref="R19" ca="1">IFERROR(INDIRECT("t_"&amp;R$1&amp;"[@[Totalt]:[Totalt]]"),"")</f>
        <v>0</v>
      </c>
      <c r="S19" s="360" cm="1">
        <f t="array" aca="1" ref="S19" ca="1">IFERROR(INDIRECT("t_"&amp;S$1&amp;"[@[Totalt]:[Totalt]]"),"")</f>
        <v>0</v>
      </c>
      <c r="T19" s="360" cm="1">
        <f t="array" aca="1" ref="T19" ca="1">IFERROR(INDIRECT("t_"&amp;T$1&amp;"[@[Totalt]:[Totalt]]"),"")</f>
        <v>0</v>
      </c>
      <c r="U19" s="360" cm="1">
        <f t="array" aca="1" ref="U19" ca="1">IFERROR(INDIRECT("t_"&amp;U$1&amp;"[@[Totalt]:[Totalt]]"),"")</f>
        <v>0</v>
      </c>
      <c r="V19" s="360" cm="1">
        <f t="array" aca="1" ref="V19" ca="1">IFERROR(INDIRECT("t_"&amp;V$1&amp;"[@[Totalt]:[Totalt]]"),"")</f>
        <v>0</v>
      </c>
      <c r="W19" s="360" cm="1">
        <f t="array" aca="1" ref="W19" ca="1">IFERROR(INDIRECT("t_"&amp;W$1&amp;"[@[Totalt]:[Totalt]]"),"")</f>
        <v>0</v>
      </c>
      <c r="X19" s="360" cm="1">
        <f t="array" aca="1" ref="X19" ca="1">IFERROR(INDIRECT("t_"&amp;X$1&amp;"[@[Totalt]:[Totalt]]"),"")</f>
        <v>0</v>
      </c>
      <c r="Y19" s="360" cm="1">
        <f t="array" aca="1" ref="Y19" ca="1">IFERROR(INDIRECT("t_"&amp;Y$1&amp;"[@[Totalt]:[Totalt]]"),"")</f>
        <v>0</v>
      </c>
      <c r="AA19" s="560">
        <f>t_tp[[#This Row],[Dato]]</f>
        <v>46368</v>
      </c>
      <c r="AB19" s="561" t="str" cm="1">
        <f t="array" aca="1" ref="AB19:AJ19" ca="1">IFERROR(_xlfn._xlws.FILTER($Q$1:$Y$1,t_tp[[#This Row],[ahh]:[lev]]=LARGE(t_tp[[#This Row],[ahh]:[lev]],1)),"")</f>
        <v>ahh</v>
      </c>
      <c r="AC19" s="561" t="str">
        <f ca="1"/>
        <v>rb</v>
      </c>
      <c r="AD19" s="561" t="str">
        <f ca="1"/>
        <v>eb</v>
      </c>
      <c r="AE19" s="561" t="str">
        <f ca="1"/>
        <v>kaf</v>
      </c>
      <c r="AF19" s="561" t="str">
        <f ca="1"/>
        <v>øg</v>
      </c>
      <c r="AG19" s="561" t="str">
        <f ca="1"/>
        <v>jh</v>
      </c>
      <c r="AH19" s="561" t="str">
        <f ca="1"/>
        <v>toh</v>
      </c>
      <c r="AI19" s="561" t="str">
        <f ca="1"/>
        <v>utg</v>
      </c>
      <c r="AJ19" s="562" t="str">
        <f ca="1"/>
        <v>lev</v>
      </c>
      <c r="AK19" s="20"/>
      <c r="AL19" s="560">
        <f t="shared" si="0"/>
        <v>46368</v>
      </c>
      <c r="AM19" s="561" t="str" cm="1">
        <f t="array" aca="1" ref="AM19:AU19" ca="1">IFERROR(_xlfn._xlws.FILTER($Q$1:$Y$1,t_tp[[#This Row],[ahh]:[lev]]=SMALL(t_tp[[#This Row],[ahh]:[lev]],1)),"")</f>
        <v>ahh</v>
      </c>
      <c r="AN19" s="561" t="str">
        <f ca="1"/>
        <v>rb</v>
      </c>
      <c r="AO19" s="561" t="str">
        <f ca="1"/>
        <v>eb</v>
      </c>
      <c r="AP19" s="561" t="str">
        <f ca="1"/>
        <v>kaf</v>
      </c>
      <c r="AQ19" s="561" t="str">
        <f ca="1"/>
        <v>øg</v>
      </c>
      <c r="AR19" s="561" t="str">
        <f ca="1"/>
        <v>jh</v>
      </c>
      <c r="AS19" s="561" t="str">
        <f ca="1"/>
        <v>toh</v>
      </c>
      <c r="AT19" s="561" t="str">
        <f ca="1"/>
        <v>utg</v>
      </c>
      <c r="AU19" s="562" t="str">
        <f ca="1"/>
        <v>lev</v>
      </c>
    </row>
    <row r="20" spans="1:47" ht="14.25" thickTop="1" thickBot="1" x14ac:dyDescent="0.25">
      <c r="A20">
        <v>19</v>
      </c>
      <c r="B20" s="22">
        <f>Data!AL19</f>
        <v>46375</v>
      </c>
      <c r="C20" t="str" cm="1">
        <f t="array" aca="1" ref="C20" ca="1">IFERROR(_xlfn.XLOOKUP(_xlfn.SINGLE(t_rang[[Dato]:[Dato]]),INDIRECT("t_"&amp;C$1&amp;"[[Dato]]"),INDIRECT("t_"&amp;C$1&amp;"[[Rank]]")),"")</f>
        <v/>
      </c>
      <c r="D20" t="str" cm="1">
        <f t="array" aca="1" ref="D20" ca="1">IFERROR(_xlfn.XLOOKUP(_xlfn.SINGLE(t_rang[[Dato]:[Dato]]),INDIRECT("t_"&amp;D$1&amp;"[[Dato]]"),INDIRECT("t_"&amp;D$1&amp;"[[Rank]]")),"")</f>
        <v/>
      </c>
      <c r="E20" t="str" cm="1">
        <f t="array" aca="1" ref="E20" ca="1">IFERROR(_xlfn.XLOOKUP(_xlfn.SINGLE(t_rang[[Dato]:[Dato]]),INDIRECT("t_"&amp;E$1&amp;"[[Dato]]"),INDIRECT("t_"&amp;E$1&amp;"[[Rank]]")),"")</f>
        <v/>
      </c>
      <c r="F20" t="str" cm="1">
        <f t="array" aca="1" ref="F20" ca="1">IFERROR(_xlfn.XLOOKUP(_xlfn.SINGLE(t_rang[[Dato]:[Dato]]),INDIRECT("t_"&amp;F$1&amp;"[[Dato]]"),INDIRECT("t_"&amp;F$1&amp;"[[Rank]]")),"")</f>
        <v/>
      </c>
      <c r="G20" t="str" cm="1">
        <f t="array" aca="1" ref="G20" ca="1">IFERROR(_xlfn.XLOOKUP(_xlfn.SINGLE(t_rang[[Dato]:[Dato]]),INDIRECT("t_"&amp;G$1&amp;"[[Dato]]"),INDIRECT("t_"&amp;G$1&amp;"[[Rank]]")),"")</f>
        <v/>
      </c>
      <c r="H20" t="str" cm="1">
        <f t="array" aca="1" ref="H20" ca="1">IFERROR(_xlfn.XLOOKUP(_xlfn.SINGLE(t_rang[[Dato]:[Dato]]),INDIRECT("t_"&amp;H$1&amp;"[[Dato]]"),INDIRECT("t_"&amp;H$1&amp;"[[Rank]]")),"")</f>
        <v/>
      </c>
      <c r="I20" t="str" cm="1">
        <f t="array" aca="1" ref="I20" ca="1">IFERROR(_xlfn.XLOOKUP(_xlfn.SINGLE(t_rang[[Dato]:[Dato]]),INDIRECT("t_"&amp;I$1&amp;"[[Dato]]"),INDIRECT("t_"&amp;I$1&amp;"[[Rank]]")),"")</f>
        <v/>
      </c>
      <c r="J20" t="str" cm="1">
        <f t="array" aca="1" ref="J20" ca="1">IFERROR(_xlfn.XLOOKUP(_xlfn.SINGLE(t_rang[[Dato]:[Dato]]),INDIRECT("t_"&amp;J$1&amp;"[[Dato]]"),INDIRECT("t_"&amp;J$1&amp;"[[Rank]]")),"")</f>
        <v/>
      </c>
      <c r="K20" t="str" cm="1">
        <f t="array" aca="1" ref="K20" ca="1">IFERROR(_xlfn.XLOOKUP(_xlfn.SINGLE(t_rang[[Dato]:[Dato]]),INDIRECT("t_"&amp;K$1&amp;"[[Dato]]"),INDIRECT("t_"&amp;K$1&amp;"[[Rank]]")),"")</f>
        <v/>
      </c>
      <c r="L20" s="381"/>
      <c r="M20" s="381"/>
      <c r="N20" s="381"/>
      <c r="O20" s="361"/>
      <c r="P20" s="383">
        <f>Data!AL19</f>
        <v>46375</v>
      </c>
      <c r="Q20" s="360" cm="1">
        <f t="array" aca="1" ref="Q20" ca="1">IFERROR(INDIRECT("t_"&amp;Q$1&amp;"[@[Totalt]:[Totalt]]"),"")</f>
        <v>0</v>
      </c>
      <c r="R20" s="360" cm="1">
        <f t="array" aca="1" ref="R20" ca="1">IFERROR(INDIRECT("t_"&amp;R$1&amp;"[@[Totalt]:[Totalt]]"),"")</f>
        <v>0</v>
      </c>
      <c r="S20" s="360" cm="1">
        <f t="array" aca="1" ref="S20" ca="1">IFERROR(INDIRECT("t_"&amp;S$1&amp;"[@[Totalt]:[Totalt]]"),"")</f>
        <v>0</v>
      </c>
      <c r="T20" s="360" cm="1">
        <f t="array" aca="1" ref="T20" ca="1">IFERROR(INDIRECT("t_"&amp;T$1&amp;"[@[Totalt]:[Totalt]]"),"")</f>
        <v>0</v>
      </c>
      <c r="U20" s="360" cm="1">
        <f t="array" aca="1" ref="U20" ca="1">IFERROR(INDIRECT("t_"&amp;U$1&amp;"[@[Totalt]:[Totalt]]"),"")</f>
        <v>0</v>
      </c>
      <c r="V20" s="360" cm="1">
        <f t="array" aca="1" ref="V20" ca="1">IFERROR(INDIRECT("t_"&amp;V$1&amp;"[@[Totalt]:[Totalt]]"),"")</f>
        <v>0</v>
      </c>
      <c r="W20" s="360" cm="1">
        <f t="array" aca="1" ref="W20" ca="1">IFERROR(INDIRECT("t_"&amp;W$1&amp;"[@[Totalt]:[Totalt]]"),"")</f>
        <v>0</v>
      </c>
      <c r="X20" s="360" cm="1">
        <f t="array" aca="1" ref="X20" ca="1">IFERROR(INDIRECT("t_"&amp;X$1&amp;"[@[Totalt]:[Totalt]]"),"")</f>
        <v>0</v>
      </c>
      <c r="Y20" s="360" cm="1">
        <f t="array" aca="1" ref="Y20" ca="1">IFERROR(INDIRECT("t_"&amp;Y$1&amp;"[@[Totalt]:[Totalt]]"),"")</f>
        <v>0</v>
      </c>
      <c r="AA20" s="557">
        <f>t_tp[[#This Row],[Dato]]</f>
        <v>46375</v>
      </c>
      <c r="AB20" s="558" t="str" cm="1">
        <f t="array" aca="1" ref="AB20:AJ20" ca="1">IFERROR(_xlfn._xlws.FILTER($Q$1:$Y$1,t_tp[[#This Row],[ahh]:[lev]]=LARGE(t_tp[[#This Row],[ahh]:[lev]],1)),"")</f>
        <v>ahh</v>
      </c>
      <c r="AC20" s="558" t="str">
        <f ca="1"/>
        <v>rb</v>
      </c>
      <c r="AD20" s="558" t="str">
        <f ca="1"/>
        <v>eb</v>
      </c>
      <c r="AE20" s="558" t="str">
        <f ca="1"/>
        <v>kaf</v>
      </c>
      <c r="AF20" s="558" t="str">
        <f ca="1"/>
        <v>øg</v>
      </c>
      <c r="AG20" s="558" t="str">
        <f ca="1"/>
        <v>jh</v>
      </c>
      <c r="AH20" s="558" t="str">
        <f ca="1"/>
        <v>toh</v>
      </c>
      <c r="AI20" s="558" t="str">
        <f ca="1"/>
        <v>utg</v>
      </c>
      <c r="AJ20" s="559" t="str">
        <f ca="1"/>
        <v>lev</v>
      </c>
      <c r="AK20" s="20"/>
      <c r="AL20" s="557">
        <f t="shared" si="0"/>
        <v>46375</v>
      </c>
      <c r="AM20" s="558" t="str" cm="1">
        <f t="array" aca="1" ref="AM20:AU20" ca="1">IFERROR(_xlfn._xlws.FILTER($Q$1:$Y$1,t_tp[[#This Row],[ahh]:[lev]]=SMALL(t_tp[[#This Row],[ahh]:[lev]],1)),"")</f>
        <v>ahh</v>
      </c>
      <c r="AN20" s="558" t="str">
        <f ca="1"/>
        <v>rb</v>
      </c>
      <c r="AO20" s="558" t="str">
        <f ca="1"/>
        <v>eb</v>
      </c>
      <c r="AP20" s="558" t="str">
        <f ca="1"/>
        <v>kaf</v>
      </c>
      <c r="AQ20" s="558" t="str">
        <f ca="1"/>
        <v>øg</v>
      </c>
      <c r="AR20" s="558" t="str">
        <f ca="1"/>
        <v>jh</v>
      </c>
      <c r="AS20" s="558" t="str">
        <f ca="1"/>
        <v>toh</v>
      </c>
      <c r="AT20" s="558" t="str">
        <f ca="1"/>
        <v>utg</v>
      </c>
      <c r="AU20" s="559" t="str">
        <f ca="1"/>
        <v>lev</v>
      </c>
    </row>
    <row r="21" spans="1:47" ht="14.25" thickTop="1" thickBot="1" x14ac:dyDescent="0.25">
      <c r="A21">
        <v>20</v>
      </c>
      <c r="B21" s="22">
        <f>Data!AL20</f>
        <v>46382</v>
      </c>
      <c r="C21" t="str" cm="1">
        <f t="array" aca="1" ref="C21" ca="1">IFERROR(_xlfn.XLOOKUP(_xlfn.SINGLE(t_rang[[Dato]:[Dato]]),INDIRECT("t_"&amp;C$1&amp;"[[Dato]]"),INDIRECT("t_"&amp;C$1&amp;"[[Rank]]")),"")</f>
        <v/>
      </c>
      <c r="D21" t="str" cm="1">
        <f t="array" aca="1" ref="D21" ca="1">IFERROR(_xlfn.XLOOKUP(_xlfn.SINGLE(t_rang[[Dato]:[Dato]]),INDIRECT("t_"&amp;D$1&amp;"[[Dato]]"),INDIRECT("t_"&amp;D$1&amp;"[[Rank]]")),"")</f>
        <v/>
      </c>
      <c r="E21" t="str" cm="1">
        <f t="array" aca="1" ref="E21" ca="1">IFERROR(_xlfn.XLOOKUP(_xlfn.SINGLE(t_rang[[Dato]:[Dato]]),INDIRECT("t_"&amp;E$1&amp;"[[Dato]]"),INDIRECT("t_"&amp;E$1&amp;"[[Rank]]")),"")</f>
        <v/>
      </c>
      <c r="F21" t="str" cm="1">
        <f t="array" aca="1" ref="F21" ca="1">IFERROR(_xlfn.XLOOKUP(_xlfn.SINGLE(t_rang[[Dato]:[Dato]]),INDIRECT("t_"&amp;F$1&amp;"[[Dato]]"),INDIRECT("t_"&amp;F$1&amp;"[[Rank]]")),"")</f>
        <v/>
      </c>
      <c r="G21" t="str" cm="1">
        <f t="array" aca="1" ref="G21" ca="1">IFERROR(_xlfn.XLOOKUP(_xlfn.SINGLE(t_rang[[Dato]:[Dato]]),INDIRECT("t_"&amp;G$1&amp;"[[Dato]]"),INDIRECT("t_"&amp;G$1&amp;"[[Rank]]")),"")</f>
        <v/>
      </c>
      <c r="H21" t="str" cm="1">
        <f t="array" aca="1" ref="H21" ca="1">IFERROR(_xlfn.XLOOKUP(_xlfn.SINGLE(t_rang[[Dato]:[Dato]]),INDIRECT("t_"&amp;H$1&amp;"[[Dato]]"),INDIRECT("t_"&amp;H$1&amp;"[[Rank]]")),"")</f>
        <v/>
      </c>
      <c r="I21" t="str" cm="1">
        <f t="array" aca="1" ref="I21" ca="1">IFERROR(_xlfn.XLOOKUP(_xlfn.SINGLE(t_rang[[Dato]:[Dato]]),INDIRECT("t_"&amp;I$1&amp;"[[Dato]]"),INDIRECT("t_"&amp;I$1&amp;"[[Rank]]")),"")</f>
        <v/>
      </c>
      <c r="J21" t="str" cm="1">
        <f t="array" aca="1" ref="J21" ca="1">IFERROR(_xlfn.XLOOKUP(_xlfn.SINGLE(t_rang[[Dato]:[Dato]]),INDIRECT("t_"&amp;J$1&amp;"[[Dato]]"),INDIRECT("t_"&amp;J$1&amp;"[[Rank]]")),"")</f>
        <v/>
      </c>
      <c r="K21" t="str" cm="1">
        <f t="array" aca="1" ref="K21" ca="1">IFERROR(_xlfn.XLOOKUP(_xlfn.SINGLE(t_rang[[Dato]:[Dato]]),INDIRECT("t_"&amp;K$1&amp;"[[Dato]]"),INDIRECT("t_"&amp;K$1&amp;"[[Rank]]")),"")</f>
        <v/>
      </c>
      <c r="L21" s="381"/>
      <c r="M21" s="381"/>
      <c r="N21" s="381"/>
      <c r="O21" s="361"/>
      <c r="P21" s="383">
        <f>Data!AL20</f>
        <v>46382</v>
      </c>
      <c r="Q21" s="360" cm="1">
        <f t="array" aca="1" ref="Q21" ca="1">IFERROR(INDIRECT("t_"&amp;Q$1&amp;"[@[Totalt]:[Totalt]]"),"")</f>
        <v>0</v>
      </c>
      <c r="R21" s="360" cm="1">
        <f t="array" aca="1" ref="R21" ca="1">IFERROR(INDIRECT("t_"&amp;R$1&amp;"[@[Totalt]:[Totalt]]"),"")</f>
        <v>0</v>
      </c>
      <c r="S21" s="360" cm="1">
        <f t="array" aca="1" ref="S21" ca="1">IFERROR(INDIRECT("t_"&amp;S$1&amp;"[@[Totalt]:[Totalt]]"),"")</f>
        <v>0</v>
      </c>
      <c r="T21" s="360" cm="1">
        <f t="array" aca="1" ref="T21" ca="1">IFERROR(INDIRECT("t_"&amp;T$1&amp;"[@[Totalt]:[Totalt]]"),"")</f>
        <v>0</v>
      </c>
      <c r="U21" s="360" cm="1">
        <f t="array" aca="1" ref="U21" ca="1">IFERROR(INDIRECT("t_"&amp;U$1&amp;"[@[Totalt]:[Totalt]]"),"")</f>
        <v>0</v>
      </c>
      <c r="V21" s="360" cm="1">
        <f t="array" aca="1" ref="V21" ca="1">IFERROR(INDIRECT("t_"&amp;V$1&amp;"[@[Totalt]:[Totalt]]"),"")</f>
        <v>0</v>
      </c>
      <c r="W21" s="360" cm="1">
        <f t="array" aca="1" ref="W21" ca="1">IFERROR(INDIRECT("t_"&amp;W$1&amp;"[@[Totalt]:[Totalt]]"),"")</f>
        <v>0</v>
      </c>
      <c r="X21" s="360" cm="1">
        <f t="array" aca="1" ref="X21" ca="1">IFERROR(INDIRECT("t_"&amp;X$1&amp;"[@[Totalt]:[Totalt]]"),"")</f>
        <v>0</v>
      </c>
      <c r="Y21" s="360" cm="1">
        <f t="array" aca="1" ref="Y21" ca="1">IFERROR(INDIRECT("t_"&amp;Y$1&amp;"[@[Totalt]:[Totalt]]"),"")</f>
        <v>0</v>
      </c>
      <c r="AA21" s="560">
        <f>t_tp[[#This Row],[Dato]]</f>
        <v>46382</v>
      </c>
      <c r="AB21" s="561" t="str" cm="1">
        <f t="array" aca="1" ref="AB21:AJ21" ca="1">IFERROR(_xlfn._xlws.FILTER($Q$1:$Y$1,t_tp[[#This Row],[ahh]:[lev]]=LARGE(t_tp[[#This Row],[ahh]:[lev]],1)),"")</f>
        <v>ahh</v>
      </c>
      <c r="AC21" s="561" t="str">
        <f ca="1"/>
        <v>rb</v>
      </c>
      <c r="AD21" s="561" t="str">
        <f ca="1"/>
        <v>eb</v>
      </c>
      <c r="AE21" s="561" t="str">
        <f ca="1"/>
        <v>kaf</v>
      </c>
      <c r="AF21" s="561" t="str">
        <f ca="1"/>
        <v>øg</v>
      </c>
      <c r="AG21" s="561" t="str">
        <f ca="1"/>
        <v>jh</v>
      </c>
      <c r="AH21" s="561" t="str">
        <f ca="1"/>
        <v>toh</v>
      </c>
      <c r="AI21" s="561" t="str">
        <f ca="1"/>
        <v>utg</v>
      </c>
      <c r="AJ21" s="562" t="str">
        <f ca="1"/>
        <v>lev</v>
      </c>
      <c r="AK21" s="20"/>
      <c r="AL21" s="560">
        <f t="shared" si="0"/>
        <v>46382</v>
      </c>
      <c r="AM21" s="561" t="str" cm="1">
        <f t="array" aca="1" ref="AM21:AU21" ca="1">IFERROR(_xlfn._xlws.FILTER($Q$1:$Y$1,t_tp[[#This Row],[ahh]:[lev]]=SMALL(t_tp[[#This Row],[ahh]:[lev]],1)),"")</f>
        <v>ahh</v>
      </c>
      <c r="AN21" s="561" t="str">
        <f ca="1"/>
        <v>rb</v>
      </c>
      <c r="AO21" s="561" t="str">
        <f ca="1"/>
        <v>eb</v>
      </c>
      <c r="AP21" s="561" t="str">
        <f ca="1"/>
        <v>kaf</v>
      </c>
      <c r="AQ21" s="561" t="str">
        <f ca="1"/>
        <v>øg</v>
      </c>
      <c r="AR21" s="561" t="str">
        <f ca="1"/>
        <v>jh</v>
      </c>
      <c r="AS21" s="561" t="str">
        <f ca="1"/>
        <v>toh</v>
      </c>
      <c r="AT21" s="561" t="str">
        <f ca="1"/>
        <v>utg</v>
      </c>
      <c r="AU21" s="562" t="str">
        <f ca="1"/>
        <v>lev</v>
      </c>
    </row>
    <row r="22" spans="1:47" ht="14.25" thickTop="1" thickBot="1" x14ac:dyDescent="0.25">
      <c r="A22">
        <v>21</v>
      </c>
      <c r="B22" s="22">
        <f>Data!AL21</f>
        <v>46389</v>
      </c>
      <c r="C22" t="str" cm="1">
        <f t="array" aca="1" ref="C22" ca="1">IFERROR(_xlfn.XLOOKUP(_xlfn.SINGLE(t_rang[[Dato]:[Dato]]),INDIRECT("t_"&amp;C$1&amp;"[[Dato]]"),INDIRECT("t_"&amp;C$1&amp;"[[Rank]]")),"")</f>
        <v/>
      </c>
      <c r="D22" t="str" cm="1">
        <f t="array" aca="1" ref="D22" ca="1">IFERROR(_xlfn.XLOOKUP(_xlfn.SINGLE(t_rang[[Dato]:[Dato]]),INDIRECT("t_"&amp;D$1&amp;"[[Dato]]"),INDIRECT("t_"&amp;D$1&amp;"[[Rank]]")),"")</f>
        <v/>
      </c>
      <c r="E22" t="str" cm="1">
        <f t="array" aca="1" ref="E22" ca="1">IFERROR(_xlfn.XLOOKUP(_xlfn.SINGLE(t_rang[[Dato]:[Dato]]),INDIRECT("t_"&amp;E$1&amp;"[[Dato]]"),INDIRECT("t_"&amp;E$1&amp;"[[Rank]]")),"")</f>
        <v/>
      </c>
      <c r="F22" t="str" cm="1">
        <f t="array" aca="1" ref="F22" ca="1">IFERROR(_xlfn.XLOOKUP(_xlfn.SINGLE(t_rang[[Dato]:[Dato]]),INDIRECT("t_"&amp;F$1&amp;"[[Dato]]"),INDIRECT("t_"&amp;F$1&amp;"[[Rank]]")),"")</f>
        <v/>
      </c>
      <c r="G22" t="str" cm="1">
        <f t="array" aca="1" ref="G22" ca="1">IFERROR(_xlfn.XLOOKUP(_xlfn.SINGLE(t_rang[[Dato]:[Dato]]),INDIRECT("t_"&amp;G$1&amp;"[[Dato]]"),INDIRECT("t_"&amp;G$1&amp;"[[Rank]]")),"")</f>
        <v/>
      </c>
      <c r="H22" t="str" cm="1">
        <f t="array" aca="1" ref="H22" ca="1">IFERROR(_xlfn.XLOOKUP(_xlfn.SINGLE(t_rang[[Dato]:[Dato]]),INDIRECT("t_"&amp;H$1&amp;"[[Dato]]"),INDIRECT("t_"&amp;H$1&amp;"[[Rank]]")),"")</f>
        <v/>
      </c>
      <c r="I22" t="str" cm="1">
        <f t="array" aca="1" ref="I22" ca="1">IFERROR(_xlfn.XLOOKUP(_xlfn.SINGLE(t_rang[[Dato]:[Dato]]),INDIRECT("t_"&amp;I$1&amp;"[[Dato]]"),INDIRECT("t_"&amp;I$1&amp;"[[Rank]]")),"")</f>
        <v/>
      </c>
      <c r="J22" t="str" cm="1">
        <f t="array" aca="1" ref="J22" ca="1">IFERROR(_xlfn.XLOOKUP(_xlfn.SINGLE(t_rang[[Dato]:[Dato]]),INDIRECT("t_"&amp;J$1&amp;"[[Dato]]"),INDIRECT("t_"&amp;J$1&amp;"[[Rank]]")),"")</f>
        <v/>
      </c>
      <c r="K22" t="str" cm="1">
        <f t="array" aca="1" ref="K22" ca="1">IFERROR(_xlfn.XLOOKUP(_xlfn.SINGLE(t_rang[[Dato]:[Dato]]),INDIRECT("t_"&amp;K$1&amp;"[[Dato]]"),INDIRECT("t_"&amp;K$1&amp;"[[Rank]]")),"")</f>
        <v/>
      </c>
      <c r="L22" s="381"/>
      <c r="M22" s="381"/>
      <c r="N22" s="381"/>
      <c r="O22" s="361"/>
      <c r="P22" s="383">
        <f>Data!AL21</f>
        <v>46389</v>
      </c>
      <c r="Q22" s="360" cm="1">
        <f t="array" aca="1" ref="Q22" ca="1">IFERROR(INDIRECT("t_"&amp;Q$1&amp;"[@[Totalt]:[Totalt]]"),"")</f>
        <v>0</v>
      </c>
      <c r="R22" s="360" cm="1">
        <f t="array" aca="1" ref="R22" ca="1">IFERROR(INDIRECT("t_"&amp;R$1&amp;"[@[Totalt]:[Totalt]]"),"")</f>
        <v>0</v>
      </c>
      <c r="S22" s="360" cm="1">
        <f t="array" aca="1" ref="S22" ca="1">IFERROR(INDIRECT("t_"&amp;S$1&amp;"[@[Totalt]:[Totalt]]"),"")</f>
        <v>0</v>
      </c>
      <c r="T22" s="360" cm="1">
        <f t="array" aca="1" ref="T22" ca="1">IFERROR(INDIRECT("t_"&amp;T$1&amp;"[@[Totalt]:[Totalt]]"),"")</f>
        <v>0</v>
      </c>
      <c r="U22" s="360" cm="1">
        <f t="array" aca="1" ref="U22" ca="1">IFERROR(INDIRECT("t_"&amp;U$1&amp;"[@[Totalt]:[Totalt]]"),"")</f>
        <v>0</v>
      </c>
      <c r="V22" s="360" cm="1">
        <f t="array" aca="1" ref="V22" ca="1">IFERROR(INDIRECT("t_"&amp;V$1&amp;"[@[Totalt]:[Totalt]]"),"")</f>
        <v>0</v>
      </c>
      <c r="W22" s="360" cm="1">
        <f t="array" aca="1" ref="W22" ca="1">IFERROR(INDIRECT("t_"&amp;W$1&amp;"[@[Totalt]:[Totalt]]"),"")</f>
        <v>0</v>
      </c>
      <c r="X22" s="360" cm="1">
        <f t="array" aca="1" ref="X22" ca="1">IFERROR(INDIRECT("t_"&amp;X$1&amp;"[@[Totalt]:[Totalt]]"),"")</f>
        <v>0</v>
      </c>
      <c r="Y22" s="360" cm="1">
        <f t="array" aca="1" ref="Y22" ca="1">IFERROR(INDIRECT("t_"&amp;Y$1&amp;"[@[Totalt]:[Totalt]]"),"")</f>
        <v>0</v>
      </c>
      <c r="AA22" s="557">
        <f>t_tp[[#This Row],[Dato]]</f>
        <v>46389</v>
      </c>
      <c r="AB22" s="558" t="str" cm="1">
        <f t="array" aca="1" ref="AB22:AJ22" ca="1">IFERROR(_xlfn._xlws.FILTER($Q$1:$Y$1,t_tp[[#This Row],[ahh]:[lev]]=LARGE(t_tp[[#This Row],[ahh]:[lev]],1)),"")</f>
        <v>ahh</v>
      </c>
      <c r="AC22" s="558" t="str">
        <f ca="1"/>
        <v>rb</v>
      </c>
      <c r="AD22" s="558" t="str">
        <f ca="1"/>
        <v>eb</v>
      </c>
      <c r="AE22" s="558" t="str">
        <f ca="1"/>
        <v>kaf</v>
      </c>
      <c r="AF22" s="558" t="str">
        <f ca="1"/>
        <v>øg</v>
      </c>
      <c r="AG22" s="558" t="str">
        <f ca="1"/>
        <v>jh</v>
      </c>
      <c r="AH22" s="558" t="str">
        <f ca="1"/>
        <v>toh</v>
      </c>
      <c r="AI22" s="558" t="str">
        <f ca="1"/>
        <v>utg</v>
      </c>
      <c r="AJ22" s="559" t="str">
        <f ca="1"/>
        <v>lev</v>
      </c>
      <c r="AK22" s="20"/>
      <c r="AL22" s="557">
        <f t="shared" si="0"/>
        <v>46389</v>
      </c>
      <c r="AM22" s="558" t="str" cm="1">
        <f t="array" aca="1" ref="AM22:AU22" ca="1">IFERROR(_xlfn._xlws.FILTER($Q$1:$Y$1,t_tp[[#This Row],[ahh]:[lev]]=SMALL(t_tp[[#This Row],[ahh]:[lev]],1)),"")</f>
        <v>ahh</v>
      </c>
      <c r="AN22" s="558" t="str">
        <f ca="1"/>
        <v>rb</v>
      </c>
      <c r="AO22" s="558" t="str">
        <f ca="1"/>
        <v>eb</v>
      </c>
      <c r="AP22" s="558" t="str">
        <f ca="1"/>
        <v>kaf</v>
      </c>
      <c r="AQ22" s="558" t="str">
        <f ca="1"/>
        <v>øg</v>
      </c>
      <c r="AR22" s="558" t="str">
        <f ca="1"/>
        <v>jh</v>
      </c>
      <c r="AS22" s="558" t="str">
        <f ca="1"/>
        <v>toh</v>
      </c>
      <c r="AT22" s="558" t="str">
        <f ca="1"/>
        <v>utg</v>
      </c>
      <c r="AU22" s="559" t="str">
        <f ca="1"/>
        <v>lev</v>
      </c>
    </row>
    <row r="23" spans="1:47" ht="14.25" thickTop="1" thickBot="1" x14ac:dyDescent="0.25">
      <c r="A23">
        <v>22</v>
      </c>
      <c r="B23" s="22">
        <f>Data!AL22</f>
        <v>46396</v>
      </c>
      <c r="C23" t="str" cm="1">
        <f t="array" aca="1" ref="C23" ca="1">IFERROR(_xlfn.XLOOKUP(_xlfn.SINGLE(t_rang[[Dato]:[Dato]]),INDIRECT("t_"&amp;C$1&amp;"[[Dato]]"),INDIRECT("t_"&amp;C$1&amp;"[[Rank]]")),"")</f>
        <v/>
      </c>
      <c r="D23" t="str" cm="1">
        <f t="array" aca="1" ref="D23" ca="1">IFERROR(_xlfn.XLOOKUP(_xlfn.SINGLE(t_rang[[Dato]:[Dato]]),INDIRECT("t_"&amp;D$1&amp;"[[Dato]]"),INDIRECT("t_"&amp;D$1&amp;"[[Rank]]")),"")</f>
        <v/>
      </c>
      <c r="E23" t="str" cm="1">
        <f t="array" aca="1" ref="E23" ca="1">IFERROR(_xlfn.XLOOKUP(_xlfn.SINGLE(t_rang[[Dato]:[Dato]]),INDIRECT("t_"&amp;E$1&amp;"[[Dato]]"),INDIRECT("t_"&amp;E$1&amp;"[[Rank]]")),"")</f>
        <v/>
      </c>
      <c r="F23" t="str" cm="1">
        <f t="array" aca="1" ref="F23" ca="1">IFERROR(_xlfn.XLOOKUP(_xlfn.SINGLE(t_rang[[Dato]:[Dato]]),INDIRECT("t_"&amp;F$1&amp;"[[Dato]]"),INDIRECT("t_"&amp;F$1&amp;"[[Rank]]")),"")</f>
        <v/>
      </c>
      <c r="G23" t="str" cm="1">
        <f t="array" aca="1" ref="G23" ca="1">IFERROR(_xlfn.XLOOKUP(_xlfn.SINGLE(t_rang[[Dato]:[Dato]]),INDIRECT("t_"&amp;G$1&amp;"[[Dato]]"),INDIRECT("t_"&amp;G$1&amp;"[[Rank]]")),"")</f>
        <v/>
      </c>
      <c r="H23" t="str" cm="1">
        <f t="array" aca="1" ref="H23" ca="1">IFERROR(_xlfn.XLOOKUP(_xlfn.SINGLE(t_rang[[Dato]:[Dato]]),INDIRECT("t_"&amp;H$1&amp;"[[Dato]]"),INDIRECT("t_"&amp;H$1&amp;"[[Rank]]")),"")</f>
        <v/>
      </c>
      <c r="I23" t="str" cm="1">
        <f t="array" aca="1" ref="I23" ca="1">IFERROR(_xlfn.XLOOKUP(_xlfn.SINGLE(t_rang[[Dato]:[Dato]]),INDIRECT("t_"&amp;I$1&amp;"[[Dato]]"),INDIRECT("t_"&amp;I$1&amp;"[[Rank]]")),"")</f>
        <v/>
      </c>
      <c r="J23" t="str" cm="1">
        <f t="array" aca="1" ref="J23" ca="1">IFERROR(_xlfn.XLOOKUP(_xlfn.SINGLE(t_rang[[Dato]:[Dato]]),INDIRECT("t_"&amp;J$1&amp;"[[Dato]]"),INDIRECT("t_"&amp;J$1&amp;"[[Rank]]")),"")</f>
        <v/>
      </c>
      <c r="K23" t="str" cm="1">
        <f t="array" aca="1" ref="K23" ca="1">IFERROR(_xlfn.XLOOKUP(_xlfn.SINGLE(t_rang[[Dato]:[Dato]]),INDIRECT("t_"&amp;K$1&amp;"[[Dato]]"),INDIRECT("t_"&amp;K$1&amp;"[[Rank]]")),"")</f>
        <v/>
      </c>
      <c r="L23" s="381"/>
      <c r="M23" s="381"/>
      <c r="N23" s="381"/>
      <c r="O23" s="361"/>
      <c r="P23" s="383">
        <f>Data!AL22</f>
        <v>46396</v>
      </c>
      <c r="Q23" s="360" cm="1">
        <f t="array" aca="1" ref="Q23" ca="1">IFERROR(INDIRECT("t_"&amp;Q$1&amp;"[@[Totalt]:[Totalt]]"),"")</f>
        <v>0</v>
      </c>
      <c r="R23" s="360" cm="1">
        <f t="array" aca="1" ref="R23" ca="1">IFERROR(INDIRECT("t_"&amp;R$1&amp;"[@[Totalt]:[Totalt]]"),"")</f>
        <v>0</v>
      </c>
      <c r="S23" s="360" cm="1">
        <f t="array" aca="1" ref="S23" ca="1">IFERROR(INDIRECT("t_"&amp;S$1&amp;"[@[Totalt]:[Totalt]]"),"")</f>
        <v>0</v>
      </c>
      <c r="T23" s="360" cm="1">
        <f t="array" aca="1" ref="T23" ca="1">IFERROR(INDIRECT("t_"&amp;T$1&amp;"[@[Totalt]:[Totalt]]"),"")</f>
        <v>0</v>
      </c>
      <c r="U23" s="360" cm="1">
        <f t="array" aca="1" ref="U23" ca="1">IFERROR(INDIRECT("t_"&amp;U$1&amp;"[@[Totalt]:[Totalt]]"),"")</f>
        <v>0</v>
      </c>
      <c r="V23" s="360" cm="1">
        <f t="array" aca="1" ref="V23" ca="1">IFERROR(INDIRECT("t_"&amp;V$1&amp;"[@[Totalt]:[Totalt]]"),"")</f>
        <v>0</v>
      </c>
      <c r="W23" s="360" cm="1">
        <f t="array" aca="1" ref="W23" ca="1">IFERROR(INDIRECT("t_"&amp;W$1&amp;"[@[Totalt]:[Totalt]]"),"")</f>
        <v>0</v>
      </c>
      <c r="X23" s="360" cm="1">
        <f t="array" aca="1" ref="X23" ca="1">IFERROR(INDIRECT("t_"&amp;X$1&amp;"[@[Totalt]:[Totalt]]"),"")</f>
        <v>0</v>
      </c>
      <c r="Y23" s="360" cm="1">
        <f t="array" aca="1" ref="Y23" ca="1">IFERROR(INDIRECT("t_"&amp;Y$1&amp;"[@[Totalt]:[Totalt]]"),"")</f>
        <v>0</v>
      </c>
      <c r="AA23" s="560">
        <f>t_tp[[#This Row],[Dato]]</f>
        <v>46396</v>
      </c>
      <c r="AB23" s="561" t="str" cm="1">
        <f t="array" aca="1" ref="AB23:AJ23" ca="1">IFERROR(_xlfn._xlws.FILTER($Q$1:$Y$1,t_tp[[#This Row],[ahh]:[lev]]=LARGE(t_tp[[#This Row],[ahh]:[lev]],1)),"")</f>
        <v>ahh</v>
      </c>
      <c r="AC23" s="561" t="str">
        <f ca="1"/>
        <v>rb</v>
      </c>
      <c r="AD23" s="561" t="str">
        <f ca="1"/>
        <v>eb</v>
      </c>
      <c r="AE23" s="561" t="str">
        <f ca="1"/>
        <v>kaf</v>
      </c>
      <c r="AF23" s="561" t="str">
        <f ca="1"/>
        <v>øg</v>
      </c>
      <c r="AG23" s="561" t="str">
        <f ca="1"/>
        <v>jh</v>
      </c>
      <c r="AH23" s="561" t="str">
        <f ca="1"/>
        <v>toh</v>
      </c>
      <c r="AI23" s="561" t="str">
        <f ca="1"/>
        <v>utg</v>
      </c>
      <c r="AJ23" s="562" t="str">
        <f ca="1"/>
        <v>lev</v>
      </c>
      <c r="AK23" s="20"/>
      <c r="AL23" s="560">
        <f t="shared" si="0"/>
        <v>46396</v>
      </c>
      <c r="AM23" s="561" t="str" cm="1">
        <f t="array" aca="1" ref="AM23:AU23" ca="1">IFERROR(_xlfn._xlws.FILTER($Q$1:$Y$1,t_tp[[#This Row],[ahh]:[lev]]=SMALL(t_tp[[#This Row],[ahh]:[lev]],1)),"")</f>
        <v>ahh</v>
      </c>
      <c r="AN23" s="561" t="str">
        <f ca="1"/>
        <v>rb</v>
      </c>
      <c r="AO23" s="561" t="str">
        <f ca="1"/>
        <v>eb</v>
      </c>
      <c r="AP23" s="561" t="str">
        <f ca="1"/>
        <v>kaf</v>
      </c>
      <c r="AQ23" s="561" t="str">
        <f ca="1"/>
        <v>øg</v>
      </c>
      <c r="AR23" s="561" t="str">
        <f ca="1"/>
        <v>jh</v>
      </c>
      <c r="AS23" s="561" t="str">
        <f ca="1"/>
        <v>toh</v>
      </c>
      <c r="AT23" s="561" t="str">
        <f ca="1"/>
        <v>utg</v>
      </c>
      <c r="AU23" s="562" t="str">
        <f ca="1"/>
        <v>lev</v>
      </c>
    </row>
    <row r="24" spans="1:47" ht="14.25" thickTop="1" thickBot="1" x14ac:dyDescent="0.25">
      <c r="A24">
        <v>23</v>
      </c>
      <c r="B24" s="22">
        <f>Data!AL23</f>
        <v>46403</v>
      </c>
      <c r="C24" t="str" cm="1">
        <f t="array" aca="1" ref="C24" ca="1">IFERROR(_xlfn.XLOOKUP(_xlfn.SINGLE(t_rang[[Dato]:[Dato]]),INDIRECT("t_"&amp;C$1&amp;"[[Dato]]"),INDIRECT("t_"&amp;C$1&amp;"[[Rank]]")),"")</f>
        <v/>
      </c>
      <c r="D24" t="str" cm="1">
        <f t="array" aca="1" ref="D24" ca="1">IFERROR(_xlfn.XLOOKUP(_xlfn.SINGLE(t_rang[[Dato]:[Dato]]),INDIRECT("t_"&amp;D$1&amp;"[[Dato]]"),INDIRECT("t_"&amp;D$1&amp;"[[Rank]]")),"")</f>
        <v/>
      </c>
      <c r="E24" t="str" cm="1">
        <f t="array" aca="1" ref="E24" ca="1">IFERROR(_xlfn.XLOOKUP(_xlfn.SINGLE(t_rang[[Dato]:[Dato]]),INDIRECT("t_"&amp;E$1&amp;"[[Dato]]"),INDIRECT("t_"&amp;E$1&amp;"[[Rank]]")),"")</f>
        <v/>
      </c>
      <c r="F24" t="str" cm="1">
        <f t="array" aca="1" ref="F24" ca="1">IFERROR(_xlfn.XLOOKUP(_xlfn.SINGLE(t_rang[[Dato]:[Dato]]),INDIRECT("t_"&amp;F$1&amp;"[[Dato]]"),INDIRECT("t_"&amp;F$1&amp;"[[Rank]]")),"")</f>
        <v/>
      </c>
      <c r="G24" t="str" cm="1">
        <f t="array" aca="1" ref="G24" ca="1">IFERROR(_xlfn.XLOOKUP(_xlfn.SINGLE(t_rang[[Dato]:[Dato]]),INDIRECT("t_"&amp;G$1&amp;"[[Dato]]"),INDIRECT("t_"&amp;G$1&amp;"[[Rank]]")),"")</f>
        <v/>
      </c>
      <c r="H24" t="str" cm="1">
        <f t="array" aca="1" ref="H24" ca="1">IFERROR(_xlfn.XLOOKUP(_xlfn.SINGLE(t_rang[[Dato]:[Dato]]),INDIRECT("t_"&amp;H$1&amp;"[[Dato]]"),INDIRECT("t_"&amp;H$1&amp;"[[Rank]]")),"")</f>
        <v/>
      </c>
      <c r="I24" t="str" cm="1">
        <f t="array" aca="1" ref="I24" ca="1">IFERROR(_xlfn.XLOOKUP(_xlfn.SINGLE(t_rang[[Dato]:[Dato]]),INDIRECT("t_"&amp;I$1&amp;"[[Dato]]"),INDIRECT("t_"&amp;I$1&amp;"[[Rank]]")),"")</f>
        <v/>
      </c>
      <c r="J24" t="str" cm="1">
        <f t="array" aca="1" ref="J24" ca="1">IFERROR(_xlfn.XLOOKUP(_xlfn.SINGLE(t_rang[[Dato]:[Dato]]),INDIRECT("t_"&amp;J$1&amp;"[[Dato]]"),INDIRECT("t_"&amp;J$1&amp;"[[Rank]]")),"")</f>
        <v/>
      </c>
      <c r="K24" t="str" cm="1">
        <f t="array" aca="1" ref="K24" ca="1">IFERROR(_xlfn.XLOOKUP(_xlfn.SINGLE(t_rang[[Dato]:[Dato]]),INDIRECT("t_"&amp;K$1&amp;"[[Dato]]"),INDIRECT("t_"&amp;K$1&amp;"[[Rank]]")),"")</f>
        <v/>
      </c>
      <c r="L24" s="381"/>
      <c r="M24" s="381"/>
      <c r="N24" s="381"/>
      <c r="O24" s="361"/>
      <c r="P24" s="383">
        <f>Data!AL23</f>
        <v>46403</v>
      </c>
      <c r="Q24" s="360" cm="1">
        <f t="array" aca="1" ref="Q24" ca="1">IFERROR(INDIRECT("t_"&amp;Q$1&amp;"[@[Totalt]:[Totalt]]"),"")</f>
        <v>0</v>
      </c>
      <c r="R24" s="360" cm="1">
        <f t="array" aca="1" ref="R24" ca="1">IFERROR(INDIRECT("t_"&amp;R$1&amp;"[@[Totalt]:[Totalt]]"),"")</f>
        <v>0</v>
      </c>
      <c r="S24" s="360" cm="1">
        <f t="array" aca="1" ref="S24" ca="1">IFERROR(INDIRECT("t_"&amp;S$1&amp;"[@[Totalt]:[Totalt]]"),"")</f>
        <v>0</v>
      </c>
      <c r="T24" s="360" cm="1">
        <f t="array" aca="1" ref="T24" ca="1">IFERROR(INDIRECT("t_"&amp;T$1&amp;"[@[Totalt]:[Totalt]]"),"")</f>
        <v>0</v>
      </c>
      <c r="U24" s="360" cm="1">
        <f t="array" aca="1" ref="U24" ca="1">IFERROR(INDIRECT("t_"&amp;U$1&amp;"[@[Totalt]:[Totalt]]"),"")</f>
        <v>0</v>
      </c>
      <c r="V24" s="360" cm="1">
        <f t="array" aca="1" ref="V24" ca="1">IFERROR(INDIRECT("t_"&amp;V$1&amp;"[@[Totalt]:[Totalt]]"),"")</f>
        <v>0</v>
      </c>
      <c r="W24" s="360" cm="1">
        <f t="array" aca="1" ref="W24" ca="1">IFERROR(INDIRECT("t_"&amp;W$1&amp;"[@[Totalt]:[Totalt]]"),"")</f>
        <v>0</v>
      </c>
      <c r="X24" s="360" cm="1">
        <f t="array" aca="1" ref="X24" ca="1">IFERROR(INDIRECT("t_"&amp;X$1&amp;"[@[Totalt]:[Totalt]]"),"")</f>
        <v>0</v>
      </c>
      <c r="Y24" s="360" cm="1">
        <f t="array" aca="1" ref="Y24" ca="1">IFERROR(INDIRECT("t_"&amp;Y$1&amp;"[@[Totalt]:[Totalt]]"),"")</f>
        <v>0</v>
      </c>
      <c r="AA24" s="557">
        <f>t_tp[[#This Row],[Dato]]</f>
        <v>46403</v>
      </c>
      <c r="AB24" s="558" t="str" cm="1">
        <f t="array" aca="1" ref="AB24:AJ24" ca="1">IFERROR(_xlfn._xlws.FILTER($Q$1:$Y$1,t_tp[[#This Row],[ahh]:[lev]]=LARGE(t_tp[[#This Row],[ahh]:[lev]],1)),"")</f>
        <v>ahh</v>
      </c>
      <c r="AC24" s="558" t="str">
        <f ca="1"/>
        <v>rb</v>
      </c>
      <c r="AD24" s="558" t="str">
        <f ca="1"/>
        <v>eb</v>
      </c>
      <c r="AE24" s="558" t="str">
        <f ca="1"/>
        <v>kaf</v>
      </c>
      <c r="AF24" s="558" t="str">
        <f ca="1"/>
        <v>øg</v>
      </c>
      <c r="AG24" s="558" t="str">
        <f ca="1"/>
        <v>jh</v>
      </c>
      <c r="AH24" s="558" t="str">
        <f ca="1"/>
        <v>toh</v>
      </c>
      <c r="AI24" s="558" t="str">
        <f ca="1"/>
        <v>utg</v>
      </c>
      <c r="AJ24" s="559" t="str">
        <f ca="1"/>
        <v>lev</v>
      </c>
      <c r="AK24" s="20"/>
      <c r="AL24" s="557">
        <f t="shared" si="0"/>
        <v>46403</v>
      </c>
      <c r="AM24" s="558" t="str" cm="1">
        <f t="array" aca="1" ref="AM24:AU24" ca="1">IFERROR(_xlfn._xlws.FILTER($Q$1:$Y$1,t_tp[[#This Row],[ahh]:[lev]]=SMALL(t_tp[[#This Row],[ahh]:[lev]],1)),"")</f>
        <v>ahh</v>
      </c>
      <c r="AN24" s="558" t="str">
        <f ca="1"/>
        <v>rb</v>
      </c>
      <c r="AO24" s="558" t="str">
        <f ca="1"/>
        <v>eb</v>
      </c>
      <c r="AP24" s="558" t="str">
        <f ca="1"/>
        <v>kaf</v>
      </c>
      <c r="AQ24" s="558" t="str">
        <f ca="1"/>
        <v>øg</v>
      </c>
      <c r="AR24" s="558" t="str">
        <f ca="1"/>
        <v>jh</v>
      </c>
      <c r="AS24" s="558" t="str">
        <f ca="1"/>
        <v>toh</v>
      </c>
      <c r="AT24" s="558" t="str">
        <f ca="1"/>
        <v>utg</v>
      </c>
      <c r="AU24" s="559" t="str">
        <f ca="1"/>
        <v>lev</v>
      </c>
    </row>
    <row r="25" spans="1:47" ht="14.25" thickTop="1" thickBot="1" x14ac:dyDescent="0.25">
      <c r="A25">
        <v>24</v>
      </c>
      <c r="B25" s="22">
        <f>Data!AL24</f>
        <v>46410</v>
      </c>
      <c r="C25" t="str" cm="1">
        <f t="array" aca="1" ref="C25" ca="1">IFERROR(_xlfn.XLOOKUP(_xlfn.SINGLE(t_rang[[Dato]:[Dato]]),INDIRECT("t_"&amp;C$1&amp;"[[Dato]]"),INDIRECT("t_"&amp;C$1&amp;"[[Rank]]")),"")</f>
        <v/>
      </c>
      <c r="D25" t="str" cm="1">
        <f t="array" aca="1" ref="D25" ca="1">IFERROR(_xlfn.XLOOKUP(_xlfn.SINGLE(t_rang[[Dato]:[Dato]]),INDIRECT("t_"&amp;D$1&amp;"[[Dato]]"),INDIRECT("t_"&amp;D$1&amp;"[[Rank]]")),"")</f>
        <v/>
      </c>
      <c r="E25" t="str" cm="1">
        <f t="array" aca="1" ref="E25" ca="1">IFERROR(_xlfn.XLOOKUP(_xlfn.SINGLE(t_rang[[Dato]:[Dato]]),INDIRECT("t_"&amp;E$1&amp;"[[Dato]]"),INDIRECT("t_"&amp;E$1&amp;"[[Rank]]")),"")</f>
        <v/>
      </c>
      <c r="F25" t="str" cm="1">
        <f t="array" aca="1" ref="F25" ca="1">IFERROR(_xlfn.XLOOKUP(_xlfn.SINGLE(t_rang[[Dato]:[Dato]]),INDIRECT("t_"&amp;F$1&amp;"[[Dato]]"),INDIRECT("t_"&amp;F$1&amp;"[[Rank]]")),"")</f>
        <v/>
      </c>
      <c r="G25" t="str" cm="1">
        <f t="array" aca="1" ref="G25" ca="1">IFERROR(_xlfn.XLOOKUP(_xlfn.SINGLE(t_rang[[Dato]:[Dato]]),INDIRECT("t_"&amp;G$1&amp;"[[Dato]]"),INDIRECT("t_"&amp;G$1&amp;"[[Rank]]")),"")</f>
        <v/>
      </c>
      <c r="H25" t="str" cm="1">
        <f t="array" aca="1" ref="H25" ca="1">IFERROR(_xlfn.XLOOKUP(_xlfn.SINGLE(t_rang[[Dato]:[Dato]]),INDIRECT("t_"&amp;H$1&amp;"[[Dato]]"),INDIRECT("t_"&amp;H$1&amp;"[[Rank]]")),"")</f>
        <v/>
      </c>
      <c r="I25" t="str" cm="1">
        <f t="array" aca="1" ref="I25" ca="1">IFERROR(_xlfn.XLOOKUP(_xlfn.SINGLE(t_rang[[Dato]:[Dato]]),INDIRECT("t_"&amp;I$1&amp;"[[Dato]]"),INDIRECT("t_"&amp;I$1&amp;"[[Rank]]")),"")</f>
        <v/>
      </c>
      <c r="J25" t="str" cm="1">
        <f t="array" aca="1" ref="J25" ca="1">IFERROR(_xlfn.XLOOKUP(_xlfn.SINGLE(t_rang[[Dato]:[Dato]]),INDIRECT("t_"&amp;J$1&amp;"[[Dato]]"),INDIRECT("t_"&amp;J$1&amp;"[[Rank]]")),"")</f>
        <v/>
      </c>
      <c r="K25" t="str" cm="1">
        <f t="array" aca="1" ref="K25" ca="1">IFERROR(_xlfn.XLOOKUP(_xlfn.SINGLE(t_rang[[Dato]:[Dato]]),INDIRECT("t_"&amp;K$1&amp;"[[Dato]]"),INDIRECT("t_"&amp;K$1&amp;"[[Rank]]")),"")</f>
        <v/>
      </c>
      <c r="L25" s="381"/>
      <c r="M25" s="381"/>
      <c r="N25" s="381"/>
      <c r="O25" s="361"/>
      <c r="P25" s="383">
        <f>Data!AL24</f>
        <v>46410</v>
      </c>
      <c r="Q25" s="360" cm="1">
        <f t="array" aca="1" ref="Q25" ca="1">IFERROR(INDIRECT("t_"&amp;Q$1&amp;"[@[Totalt]:[Totalt]]"),"")</f>
        <v>0</v>
      </c>
      <c r="R25" s="360" cm="1">
        <f t="array" aca="1" ref="R25" ca="1">IFERROR(INDIRECT("t_"&amp;R$1&amp;"[@[Totalt]:[Totalt]]"),"")</f>
        <v>0</v>
      </c>
      <c r="S25" s="360" cm="1">
        <f t="array" aca="1" ref="S25" ca="1">IFERROR(INDIRECT("t_"&amp;S$1&amp;"[@[Totalt]:[Totalt]]"),"")</f>
        <v>0</v>
      </c>
      <c r="T25" s="360" cm="1">
        <f t="array" aca="1" ref="T25" ca="1">IFERROR(INDIRECT("t_"&amp;T$1&amp;"[@[Totalt]:[Totalt]]"),"")</f>
        <v>0</v>
      </c>
      <c r="U25" s="360" cm="1">
        <f t="array" aca="1" ref="U25" ca="1">IFERROR(INDIRECT("t_"&amp;U$1&amp;"[@[Totalt]:[Totalt]]"),"")</f>
        <v>0</v>
      </c>
      <c r="V25" s="360" cm="1">
        <f t="array" aca="1" ref="V25" ca="1">IFERROR(INDIRECT("t_"&amp;V$1&amp;"[@[Totalt]:[Totalt]]"),"")</f>
        <v>0</v>
      </c>
      <c r="W25" s="360" cm="1">
        <f t="array" aca="1" ref="W25" ca="1">IFERROR(INDIRECT("t_"&amp;W$1&amp;"[@[Totalt]:[Totalt]]"),"")</f>
        <v>0</v>
      </c>
      <c r="X25" s="360" cm="1">
        <f t="array" aca="1" ref="X25" ca="1">IFERROR(INDIRECT("t_"&amp;X$1&amp;"[@[Totalt]:[Totalt]]"),"")</f>
        <v>0</v>
      </c>
      <c r="Y25" s="360" cm="1">
        <f t="array" aca="1" ref="Y25" ca="1">IFERROR(INDIRECT("t_"&amp;Y$1&amp;"[@[Totalt]:[Totalt]]"),"")</f>
        <v>0</v>
      </c>
      <c r="AA25" s="560">
        <f>t_tp[[#This Row],[Dato]]</f>
        <v>46410</v>
      </c>
      <c r="AB25" s="561" t="str" cm="1">
        <f t="array" aca="1" ref="AB25:AJ25" ca="1">IFERROR(_xlfn._xlws.FILTER($Q$1:$Y$1,t_tp[[#This Row],[ahh]:[lev]]=LARGE(t_tp[[#This Row],[ahh]:[lev]],1)),"")</f>
        <v>ahh</v>
      </c>
      <c r="AC25" s="561" t="str">
        <f ca="1"/>
        <v>rb</v>
      </c>
      <c r="AD25" s="561" t="str">
        <f ca="1"/>
        <v>eb</v>
      </c>
      <c r="AE25" s="561" t="str">
        <f ca="1"/>
        <v>kaf</v>
      </c>
      <c r="AF25" s="561" t="str">
        <f ca="1"/>
        <v>øg</v>
      </c>
      <c r="AG25" s="561" t="str">
        <f ca="1"/>
        <v>jh</v>
      </c>
      <c r="AH25" s="561" t="str">
        <f ca="1"/>
        <v>toh</v>
      </c>
      <c r="AI25" s="561" t="str">
        <f ca="1"/>
        <v>utg</v>
      </c>
      <c r="AJ25" s="562" t="str">
        <f ca="1"/>
        <v>lev</v>
      </c>
      <c r="AK25" s="20"/>
      <c r="AL25" s="560">
        <f t="shared" si="0"/>
        <v>46410</v>
      </c>
      <c r="AM25" s="561" t="str" cm="1">
        <f t="array" aca="1" ref="AM25:AU25" ca="1">IFERROR(_xlfn._xlws.FILTER($Q$1:$Y$1,t_tp[[#This Row],[ahh]:[lev]]=SMALL(t_tp[[#This Row],[ahh]:[lev]],1)),"")</f>
        <v>ahh</v>
      </c>
      <c r="AN25" s="561" t="str">
        <f ca="1"/>
        <v>rb</v>
      </c>
      <c r="AO25" s="561" t="str">
        <f ca="1"/>
        <v>eb</v>
      </c>
      <c r="AP25" s="561" t="str">
        <f ca="1"/>
        <v>kaf</v>
      </c>
      <c r="AQ25" s="561" t="str">
        <f ca="1"/>
        <v>øg</v>
      </c>
      <c r="AR25" s="561" t="str">
        <f ca="1"/>
        <v>jh</v>
      </c>
      <c r="AS25" s="561" t="str">
        <f ca="1"/>
        <v>toh</v>
      </c>
      <c r="AT25" s="561" t="str">
        <f ca="1"/>
        <v>utg</v>
      </c>
      <c r="AU25" s="562" t="str">
        <f ca="1"/>
        <v>lev</v>
      </c>
    </row>
    <row r="26" spans="1:47" ht="14.25" thickTop="1" thickBot="1" x14ac:dyDescent="0.25">
      <c r="A26">
        <v>25</v>
      </c>
      <c r="B26" s="22">
        <f>Data!AL25</f>
        <v>46417</v>
      </c>
      <c r="C26" t="str" cm="1">
        <f t="array" aca="1" ref="C26" ca="1">IFERROR(_xlfn.XLOOKUP(_xlfn.SINGLE(t_rang[[Dato]:[Dato]]),INDIRECT("t_"&amp;C$1&amp;"[[Dato]]"),INDIRECT("t_"&amp;C$1&amp;"[[Rank]]")),"")</f>
        <v/>
      </c>
      <c r="D26" t="str" cm="1">
        <f t="array" aca="1" ref="D26" ca="1">IFERROR(_xlfn.XLOOKUP(_xlfn.SINGLE(t_rang[[Dato]:[Dato]]),INDIRECT("t_"&amp;D$1&amp;"[[Dato]]"),INDIRECT("t_"&amp;D$1&amp;"[[Rank]]")),"")</f>
        <v/>
      </c>
      <c r="E26" t="str" cm="1">
        <f t="array" aca="1" ref="E26" ca="1">IFERROR(_xlfn.XLOOKUP(_xlfn.SINGLE(t_rang[[Dato]:[Dato]]),INDIRECT("t_"&amp;E$1&amp;"[[Dato]]"),INDIRECT("t_"&amp;E$1&amp;"[[Rank]]")),"")</f>
        <v/>
      </c>
      <c r="F26" t="str" cm="1">
        <f t="array" aca="1" ref="F26" ca="1">IFERROR(_xlfn.XLOOKUP(_xlfn.SINGLE(t_rang[[Dato]:[Dato]]),INDIRECT("t_"&amp;F$1&amp;"[[Dato]]"),INDIRECT("t_"&amp;F$1&amp;"[[Rank]]")),"")</f>
        <v/>
      </c>
      <c r="G26" t="str" cm="1">
        <f t="array" aca="1" ref="G26" ca="1">IFERROR(_xlfn.XLOOKUP(_xlfn.SINGLE(t_rang[[Dato]:[Dato]]),INDIRECT("t_"&amp;G$1&amp;"[[Dato]]"),INDIRECT("t_"&amp;G$1&amp;"[[Rank]]")),"")</f>
        <v/>
      </c>
      <c r="H26" t="str" cm="1">
        <f t="array" aca="1" ref="H26" ca="1">IFERROR(_xlfn.XLOOKUP(_xlfn.SINGLE(t_rang[[Dato]:[Dato]]),INDIRECT("t_"&amp;H$1&amp;"[[Dato]]"),INDIRECT("t_"&amp;H$1&amp;"[[Rank]]")),"")</f>
        <v/>
      </c>
      <c r="I26" t="str" cm="1">
        <f t="array" aca="1" ref="I26" ca="1">IFERROR(_xlfn.XLOOKUP(_xlfn.SINGLE(t_rang[[Dato]:[Dato]]),INDIRECT("t_"&amp;I$1&amp;"[[Dato]]"),INDIRECT("t_"&amp;I$1&amp;"[[Rank]]")),"")</f>
        <v/>
      </c>
      <c r="J26" t="str" cm="1">
        <f t="array" aca="1" ref="J26" ca="1">IFERROR(_xlfn.XLOOKUP(_xlfn.SINGLE(t_rang[[Dato]:[Dato]]),INDIRECT("t_"&amp;J$1&amp;"[[Dato]]"),INDIRECT("t_"&amp;J$1&amp;"[[Rank]]")),"")</f>
        <v/>
      </c>
      <c r="K26" t="str" cm="1">
        <f t="array" aca="1" ref="K26" ca="1">IFERROR(_xlfn.XLOOKUP(_xlfn.SINGLE(t_rang[[Dato]:[Dato]]),INDIRECT("t_"&amp;K$1&amp;"[[Dato]]"),INDIRECT("t_"&amp;K$1&amp;"[[Rank]]")),"")</f>
        <v/>
      </c>
      <c r="L26" s="381"/>
      <c r="M26" s="381"/>
      <c r="N26" s="381"/>
      <c r="O26" s="361"/>
      <c r="P26" s="383">
        <f>Data!AL25</f>
        <v>46417</v>
      </c>
      <c r="Q26" s="360" cm="1">
        <f t="array" aca="1" ref="Q26" ca="1">IFERROR(INDIRECT("t_"&amp;Q$1&amp;"[@[Totalt]:[Totalt]]"),"")</f>
        <v>0</v>
      </c>
      <c r="R26" s="360" cm="1">
        <f t="array" aca="1" ref="R26" ca="1">IFERROR(INDIRECT("t_"&amp;R$1&amp;"[@[Totalt]:[Totalt]]"),"")</f>
        <v>0</v>
      </c>
      <c r="S26" s="360" cm="1">
        <f t="array" aca="1" ref="S26" ca="1">IFERROR(INDIRECT("t_"&amp;S$1&amp;"[@[Totalt]:[Totalt]]"),"")</f>
        <v>0</v>
      </c>
      <c r="T26" s="360" cm="1">
        <f t="array" aca="1" ref="T26" ca="1">IFERROR(INDIRECT("t_"&amp;T$1&amp;"[@[Totalt]:[Totalt]]"),"")</f>
        <v>0</v>
      </c>
      <c r="U26" s="360" cm="1">
        <f t="array" aca="1" ref="U26" ca="1">IFERROR(INDIRECT("t_"&amp;U$1&amp;"[@[Totalt]:[Totalt]]"),"")</f>
        <v>0</v>
      </c>
      <c r="V26" s="360" cm="1">
        <f t="array" aca="1" ref="V26" ca="1">IFERROR(INDIRECT("t_"&amp;V$1&amp;"[@[Totalt]:[Totalt]]"),"")</f>
        <v>0</v>
      </c>
      <c r="W26" s="360" cm="1">
        <f t="array" aca="1" ref="W26" ca="1">IFERROR(INDIRECT("t_"&amp;W$1&amp;"[@[Totalt]:[Totalt]]"),"")</f>
        <v>0</v>
      </c>
      <c r="X26" s="360" cm="1">
        <f t="array" aca="1" ref="X26" ca="1">IFERROR(INDIRECT("t_"&amp;X$1&amp;"[@[Totalt]:[Totalt]]"),"")</f>
        <v>0</v>
      </c>
      <c r="Y26" s="360" cm="1">
        <f t="array" aca="1" ref="Y26" ca="1">IFERROR(INDIRECT("t_"&amp;Y$1&amp;"[@[Totalt]:[Totalt]]"),"")</f>
        <v>0</v>
      </c>
      <c r="AA26" s="557">
        <f>t_tp[[#This Row],[Dato]]</f>
        <v>46417</v>
      </c>
      <c r="AB26" s="558" t="str" cm="1">
        <f t="array" aca="1" ref="AB26:AJ26" ca="1">IFERROR(_xlfn._xlws.FILTER($Q$1:$Y$1,t_tp[[#This Row],[ahh]:[lev]]=LARGE(t_tp[[#This Row],[ahh]:[lev]],1)),"")</f>
        <v>ahh</v>
      </c>
      <c r="AC26" s="558" t="str">
        <f ca="1"/>
        <v>rb</v>
      </c>
      <c r="AD26" s="558" t="str">
        <f ca="1"/>
        <v>eb</v>
      </c>
      <c r="AE26" s="558" t="str">
        <f ca="1"/>
        <v>kaf</v>
      </c>
      <c r="AF26" s="558" t="str">
        <f ca="1"/>
        <v>øg</v>
      </c>
      <c r="AG26" s="558" t="str">
        <f ca="1"/>
        <v>jh</v>
      </c>
      <c r="AH26" s="558" t="str">
        <f ca="1"/>
        <v>toh</v>
      </c>
      <c r="AI26" s="558" t="str">
        <f ca="1"/>
        <v>utg</v>
      </c>
      <c r="AJ26" s="559" t="str">
        <f ca="1"/>
        <v>lev</v>
      </c>
      <c r="AK26" s="20"/>
      <c r="AL26" s="557">
        <f t="shared" si="0"/>
        <v>46417</v>
      </c>
      <c r="AM26" s="558" t="str" cm="1">
        <f t="array" aca="1" ref="AM26:AU26" ca="1">IFERROR(_xlfn._xlws.FILTER($Q$1:$Y$1,t_tp[[#This Row],[ahh]:[lev]]=SMALL(t_tp[[#This Row],[ahh]:[lev]],1)),"")</f>
        <v>ahh</v>
      </c>
      <c r="AN26" s="558" t="str">
        <f ca="1"/>
        <v>rb</v>
      </c>
      <c r="AO26" s="558" t="str">
        <f ca="1"/>
        <v>eb</v>
      </c>
      <c r="AP26" s="558" t="str">
        <f ca="1"/>
        <v>kaf</v>
      </c>
      <c r="AQ26" s="558" t="str">
        <f ca="1"/>
        <v>øg</v>
      </c>
      <c r="AR26" s="558" t="str">
        <f ca="1"/>
        <v>jh</v>
      </c>
      <c r="AS26" s="558" t="str">
        <f ca="1"/>
        <v>toh</v>
      </c>
      <c r="AT26" s="558" t="str">
        <f ca="1"/>
        <v>utg</v>
      </c>
      <c r="AU26" s="559" t="str">
        <f ca="1"/>
        <v>lev</v>
      </c>
    </row>
    <row r="27" spans="1:47" ht="14.25" thickTop="1" thickBot="1" x14ac:dyDescent="0.25">
      <c r="A27">
        <v>26</v>
      </c>
      <c r="B27" s="22">
        <f>Data!AL26</f>
        <v>46424</v>
      </c>
      <c r="C27" t="str" cm="1">
        <f t="array" aca="1" ref="C27" ca="1">IFERROR(_xlfn.XLOOKUP(_xlfn.SINGLE(t_rang[[Dato]:[Dato]]),INDIRECT("t_"&amp;C$1&amp;"[[Dato]]"),INDIRECT("t_"&amp;C$1&amp;"[[Rank]]")),"")</f>
        <v/>
      </c>
      <c r="D27" t="str" cm="1">
        <f t="array" aca="1" ref="D27" ca="1">IFERROR(_xlfn.XLOOKUP(_xlfn.SINGLE(t_rang[[Dato]:[Dato]]),INDIRECT("t_"&amp;D$1&amp;"[[Dato]]"),INDIRECT("t_"&amp;D$1&amp;"[[Rank]]")),"")</f>
        <v/>
      </c>
      <c r="E27" t="str" cm="1">
        <f t="array" aca="1" ref="E27" ca="1">IFERROR(_xlfn.XLOOKUP(_xlfn.SINGLE(t_rang[[Dato]:[Dato]]),INDIRECT("t_"&amp;E$1&amp;"[[Dato]]"),INDIRECT("t_"&amp;E$1&amp;"[[Rank]]")),"")</f>
        <v/>
      </c>
      <c r="F27" t="str" cm="1">
        <f t="array" aca="1" ref="F27" ca="1">IFERROR(_xlfn.XLOOKUP(_xlfn.SINGLE(t_rang[[Dato]:[Dato]]),INDIRECT("t_"&amp;F$1&amp;"[[Dato]]"),INDIRECT("t_"&amp;F$1&amp;"[[Rank]]")),"")</f>
        <v/>
      </c>
      <c r="G27" t="str" cm="1">
        <f t="array" aca="1" ref="G27" ca="1">IFERROR(_xlfn.XLOOKUP(_xlfn.SINGLE(t_rang[[Dato]:[Dato]]),INDIRECT("t_"&amp;G$1&amp;"[[Dato]]"),INDIRECT("t_"&amp;G$1&amp;"[[Rank]]")),"")</f>
        <v/>
      </c>
      <c r="H27" t="str" cm="1">
        <f t="array" aca="1" ref="H27" ca="1">IFERROR(_xlfn.XLOOKUP(_xlfn.SINGLE(t_rang[[Dato]:[Dato]]),INDIRECT("t_"&amp;H$1&amp;"[[Dato]]"),INDIRECT("t_"&amp;H$1&amp;"[[Rank]]")),"")</f>
        <v/>
      </c>
      <c r="I27" t="str" cm="1">
        <f t="array" aca="1" ref="I27" ca="1">IFERROR(_xlfn.XLOOKUP(_xlfn.SINGLE(t_rang[[Dato]:[Dato]]),INDIRECT("t_"&amp;I$1&amp;"[[Dato]]"),INDIRECT("t_"&amp;I$1&amp;"[[Rank]]")),"")</f>
        <v/>
      </c>
      <c r="J27" t="str" cm="1">
        <f t="array" aca="1" ref="J27" ca="1">IFERROR(_xlfn.XLOOKUP(_xlfn.SINGLE(t_rang[[Dato]:[Dato]]),INDIRECT("t_"&amp;J$1&amp;"[[Dato]]"),INDIRECT("t_"&amp;J$1&amp;"[[Rank]]")),"")</f>
        <v/>
      </c>
      <c r="K27" t="str" cm="1">
        <f t="array" aca="1" ref="K27" ca="1">IFERROR(_xlfn.XLOOKUP(_xlfn.SINGLE(t_rang[[Dato]:[Dato]]),INDIRECT("t_"&amp;K$1&amp;"[[Dato]]"),INDIRECT("t_"&amp;K$1&amp;"[[Rank]]")),"")</f>
        <v/>
      </c>
      <c r="L27" s="381"/>
      <c r="M27" s="381"/>
      <c r="N27" s="381"/>
      <c r="O27" s="361"/>
      <c r="P27" s="383">
        <f>Data!AL26</f>
        <v>46424</v>
      </c>
      <c r="Q27" s="360" cm="1">
        <f t="array" aca="1" ref="Q27" ca="1">IFERROR(INDIRECT("t_"&amp;Q$1&amp;"[@[Totalt]:[Totalt]]"),"")</f>
        <v>0</v>
      </c>
      <c r="R27" s="360" cm="1">
        <f t="array" aca="1" ref="R27" ca="1">IFERROR(INDIRECT("t_"&amp;R$1&amp;"[@[Totalt]:[Totalt]]"),"")</f>
        <v>0</v>
      </c>
      <c r="S27" s="360" cm="1">
        <f t="array" aca="1" ref="S27" ca="1">IFERROR(INDIRECT("t_"&amp;S$1&amp;"[@[Totalt]:[Totalt]]"),"")</f>
        <v>0</v>
      </c>
      <c r="T27" s="360" cm="1">
        <f t="array" aca="1" ref="T27" ca="1">IFERROR(INDIRECT("t_"&amp;T$1&amp;"[@[Totalt]:[Totalt]]"),"")</f>
        <v>0</v>
      </c>
      <c r="U27" s="360" cm="1">
        <f t="array" aca="1" ref="U27" ca="1">IFERROR(INDIRECT("t_"&amp;U$1&amp;"[@[Totalt]:[Totalt]]"),"")</f>
        <v>0</v>
      </c>
      <c r="V27" s="360" cm="1">
        <f t="array" aca="1" ref="V27" ca="1">IFERROR(INDIRECT("t_"&amp;V$1&amp;"[@[Totalt]:[Totalt]]"),"")</f>
        <v>0</v>
      </c>
      <c r="W27" s="360" cm="1">
        <f t="array" aca="1" ref="W27" ca="1">IFERROR(INDIRECT("t_"&amp;W$1&amp;"[@[Totalt]:[Totalt]]"),"")</f>
        <v>0</v>
      </c>
      <c r="X27" s="360" cm="1">
        <f t="array" aca="1" ref="X27" ca="1">IFERROR(INDIRECT("t_"&amp;X$1&amp;"[@[Totalt]:[Totalt]]"),"")</f>
        <v>0</v>
      </c>
      <c r="Y27" s="360" cm="1">
        <f t="array" aca="1" ref="Y27" ca="1">IFERROR(INDIRECT("t_"&amp;Y$1&amp;"[@[Totalt]:[Totalt]]"),"")</f>
        <v>0</v>
      </c>
      <c r="AA27" s="560">
        <f>t_tp[[#This Row],[Dato]]</f>
        <v>46424</v>
      </c>
      <c r="AB27" s="561" t="str" cm="1">
        <f t="array" aca="1" ref="AB27:AJ27" ca="1">IFERROR(_xlfn._xlws.FILTER($Q$1:$Y$1,t_tp[[#This Row],[ahh]:[lev]]=LARGE(t_tp[[#This Row],[ahh]:[lev]],1)),"")</f>
        <v>ahh</v>
      </c>
      <c r="AC27" s="561" t="str">
        <f ca="1"/>
        <v>rb</v>
      </c>
      <c r="AD27" s="561" t="str">
        <f ca="1"/>
        <v>eb</v>
      </c>
      <c r="AE27" s="561" t="str">
        <f ca="1"/>
        <v>kaf</v>
      </c>
      <c r="AF27" s="561" t="str">
        <f ca="1"/>
        <v>øg</v>
      </c>
      <c r="AG27" s="561" t="str">
        <f ca="1"/>
        <v>jh</v>
      </c>
      <c r="AH27" s="561" t="str">
        <f ca="1"/>
        <v>toh</v>
      </c>
      <c r="AI27" s="561" t="str">
        <f ca="1"/>
        <v>utg</v>
      </c>
      <c r="AJ27" s="562" t="str">
        <f ca="1"/>
        <v>lev</v>
      </c>
      <c r="AK27" s="20"/>
      <c r="AL27" s="560">
        <f t="shared" si="0"/>
        <v>46424</v>
      </c>
      <c r="AM27" s="561" t="str" cm="1">
        <f t="array" aca="1" ref="AM27:AU27" ca="1">IFERROR(_xlfn._xlws.FILTER($Q$1:$Y$1,t_tp[[#This Row],[ahh]:[lev]]=SMALL(t_tp[[#This Row],[ahh]:[lev]],1)),"")</f>
        <v>ahh</v>
      </c>
      <c r="AN27" s="561" t="str">
        <f ca="1"/>
        <v>rb</v>
      </c>
      <c r="AO27" s="561" t="str">
        <f ca="1"/>
        <v>eb</v>
      </c>
      <c r="AP27" s="561" t="str">
        <f ca="1"/>
        <v>kaf</v>
      </c>
      <c r="AQ27" s="561" t="str">
        <f ca="1"/>
        <v>øg</v>
      </c>
      <c r="AR27" s="561" t="str">
        <f ca="1"/>
        <v>jh</v>
      </c>
      <c r="AS27" s="561" t="str">
        <f ca="1"/>
        <v>toh</v>
      </c>
      <c r="AT27" s="561" t="str">
        <f ca="1"/>
        <v>utg</v>
      </c>
      <c r="AU27" s="562" t="str">
        <f ca="1"/>
        <v>lev</v>
      </c>
    </row>
    <row r="28" spans="1:47" ht="14.25" thickTop="1" thickBot="1" x14ac:dyDescent="0.25">
      <c r="A28">
        <v>27</v>
      </c>
      <c r="B28" s="22">
        <f>Data!AL27</f>
        <v>46431</v>
      </c>
      <c r="C28" t="str" cm="1">
        <f t="array" aca="1" ref="C28" ca="1">IFERROR(_xlfn.XLOOKUP(_xlfn.SINGLE(t_rang[[Dato]:[Dato]]),INDIRECT("t_"&amp;C$1&amp;"[[Dato]]"),INDIRECT("t_"&amp;C$1&amp;"[[Rank]]")),"")</f>
        <v/>
      </c>
      <c r="D28" t="str" cm="1">
        <f t="array" aca="1" ref="D28" ca="1">IFERROR(_xlfn.XLOOKUP(_xlfn.SINGLE(t_rang[[Dato]:[Dato]]),INDIRECT("t_"&amp;D$1&amp;"[[Dato]]"),INDIRECT("t_"&amp;D$1&amp;"[[Rank]]")),"")</f>
        <v/>
      </c>
      <c r="E28" t="str" cm="1">
        <f t="array" aca="1" ref="E28" ca="1">IFERROR(_xlfn.XLOOKUP(_xlfn.SINGLE(t_rang[[Dato]:[Dato]]),INDIRECT("t_"&amp;E$1&amp;"[[Dato]]"),INDIRECT("t_"&amp;E$1&amp;"[[Rank]]")),"")</f>
        <v/>
      </c>
      <c r="F28" t="str" cm="1">
        <f t="array" aca="1" ref="F28" ca="1">IFERROR(_xlfn.XLOOKUP(_xlfn.SINGLE(t_rang[[Dato]:[Dato]]),INDIRECT("t_"&amp;F$1&amp;"[[Dato]]"),INDIRECT("t_"&amp;F$1&amp;"[[Rank]]")),"")</f>
        <v/>
      </c>
      <c r="G28" t="str" cm="1">
        <f t="array" aca="1" ref="G28" ca="1">IFERROR(_xlfn.XLOOKUP(_xlfn.SINGLE(t_rang[[Dato]:[Dato]]),INDIRECT("t_"&amp;G$1&amp;"[[Dato]]"),INDIRECT("t_"&amp;G$1&amp;"[[Rank]]")),"")</f>
        <v/>
      </c>
      <c r="H28" t="str" cm="1">
        <f t="array" aca="1" ref="H28" ca="1">IFERROR(_xlfn.XLOOKUP(_xlfn.SINGLE(t_rang[[Dato]:[Dato]]),INDIRECT("t_"&amp;H$1&amp;"[[Dato]]"),INDIRECT("t_"&amp;H$1&amp;"[[Rank]]")),"")</f>
        <v/>
      </c>
      <c r="I28" t="str" cm="1">
        <f t="array" aca="1" ref="I28" ca="1">IFERROR(_xlfn.XLOOKUP(_xlfn.SINGLE(t_rang[[Dato]:[Dato]]),INDIRECT("t_"&amp;I$1&amp;"[[Dato]]"),INDIRECT("t_"&amp;I$1&amp;"[[Rank]]")),"")</f>
        <v/>
      </c>
      <c r="J28" t="str" cm="1">
        <f t="array" aca="1" ref="J28" ca="1">IFERROR(_xlfn.XLOOKUP(_xlfn.SINGLE(t_rang[[Dato]:[Dato]]),INDIRECT("t_"&amp;J$1&amp;"[[Dato]]"),INDIRECT("t_"&amp;J$1&amp;"[[Rank]]")),"")</f>
        <v/>
      </c>
      <c r="K28" t="str" cm="1">
        <f t="array" aca="1" ref="K28" ca="1">IFERROR(_xlfn.XLOOKUP(_xlfn.SINGLE(t_rang[[Dato]:[Dato]]),INDIRECT("t_"&amp;K$1&amp;"[[Dato]]"),INDIRECT("t_"&amp;K$1&amp;"[[Rank]]")),"")</f>
        <v/>
      </c>
      <c r="L28" s="381"/>
      <c r="M28" s="381"/>
      <c r="N28" s="381"/>
      <c r="O28" s="361"/>
      <c r="P28" s="383">
        <f>Data!AL27</f>
        <v>46431</v>
      </c>
      <c r="Q28" s="360" cm="1">
        <f t="array" aca="1" ref="Q28" ca="1">IFERROR(INDIRECT("t_"&amp;Q$1&amp;"[@[Totalt]:[Totalt]]"),"")</f>
        <v>0</v>
      </c>
      <c r="R28" s="360" cm="1">
        <f t="array" aca="1" ref="R28" ca="1">IFERROR(INDIRECT("t_"&amp;R$1&amp;"[@[Totalt]:[Totalt]]"),"")</f>
        <v>0</v>
      </c>
      <c r="S28" s="360" cm="1">
        <f t="array" aca="1" ref="S28" ca="1">IFERROR(INDIRECT("t_"&amp;S$1&amp;"[@[Totalt]:[Totalt]]"),"")</f>
        <v>0</v>
      </c>
      <c r="T28" s="360" cm="1">
        <f t="array" aca="1" ref="T28" ca="1">IFERROR(INDIRECT("t_"&amp;T$1&amp;"[@[Totalt]:[Totalt]]"),"")</f>
        <v>0</v>
      </c>
      <c r="U28" s="360" cm="1">
        <f t="array" aca="1" ref="U28" ca="1">IFERROR(INDIRECT("t_"&amp;U$1&amp;"[@[Totalt]:[Totalt]]"),"")</f>
        <v>0</v>
      </c>
      <c r="V28" s="360" cm="1">
        <f t="array" aca="1" ref="V28" ca="1">IFERROR(INDIRECT("t_"&amp;V$1&amp;"[@[Totalt]:[Totalt]]"),"")</f>
        <v>0</v>
      </c>
      <c r="W28" s="360" cm="1">
        <f t="array" aca="1" ref="W28" ca="1">IFERROR(INDIRECT("t_"&amp;W$1&amp;"[@[Totalt]:[Totalt]]"),"")</f>
        <v>0</v>
      </c>
      <c r="X28" s="360" cm="1">
        <f t="array" aca="1" ref="X28" ca="1">IFERROR(INDIRECT("t_"&amp;X$1&amp;"[@[Totalt]:[Totalt]]"),"")</f>
        <v>0</v>
      </c>
      <c r="Y28" s="360" cm="1">
        <f t="array" aca="1" ref="Y28" ca="1">IFERROR(INDIRECT("t_"&amp;Y$1&amp;"[@[Totalt]:[Totalt]]"),"")</f>
        <v>0</v>
      </c>
      <c r="AA28" s="557">
        <f>t_tp[[#This Row],[Dato]]</f>
        <v>46431</v>
      </c>
      <c r="AB28" s="558" t="str" cm="1">
        <f t="array" aca="1" ref="AB28:AJ28" ca="1">IFERROR(_xlfn._xlws.FILTER($Q$1:$Y$1,t_tp[[#This Row],[ahh]:[lev]]=LARGE(t_tp[[#This Row],[ahh]:[lev]],1)),"")</f>
        <v>ahh</v>
      </c>
      <c r="AC28" s="558" t="str">
        <f ca="1"/>
        <v>rb</v>
      </c>
      <c r="AD28" s="558" t="str">
        <f ca="1"/>
        <v>eb</v>
      </c>
      <c r="AE28" s="558" t="str">
        <f ca="1"/>
        <v>kaf</v>
      </c>
      <c r="AF28" s="558" t="str">
        <f ca="1"/>
        <v>øg</v>
      </c>
      <c r="AG28" s="558" t="str">
        <f ca="1"/>
        <v>jh</v>
      </c>
      <c r="AH28" s="558" t="str">
        <f ca="1"/>
        <v>toh</v>
      </c>
      <c r="AI28" s="558" t="str">
        <f ca="1"/>
        <v>utg</v>
      </c>
      <c r="AJ28" s="559" t="str">
        <f ca="1"/>
        <v>lev</v>
      </c>
      <c r="AK28" s="20"/>
      <c r="AL28" s="557">
        <f t="shared" si="0"/>
        <v>46431</v>
      </c>
      <c r="AM28" s="558" t="str" cm="1">
        <f t="array" aca="1" ref="AM28:AU28" ca="1">IFERROR(_xlfn._xlws.FILTER($Q$1:$Y$1,t_tp[[#This Row],[ahh]:[lev]]=SMALL(t_tp[[#This Row],[ahh]:[lev]],1)),"")</f>
        <v>ahh</v>
      </c>
      <c r="AN28" s="558" t="str">
        <f ca="1"/>
        <v>rb</v>
      </c>
      <c r="AO28" s="558" t="str">
        <f ca="1"/>
        <v>eb</v>
      </c>
      <c r="AP28" s="558" t="str">
        <f ca="1"/>
        <v>kaf</v>
      </c>
      <c r="AQ28" s="558" t="str">
        <f ca="1"/>
        <v>øg</v>
      </c>
      <c r="AR28" s="558" t="str">
        <f ca="1"/>
        <v>jh</v>
      </c>
      <c r="AS28" s="558" t="str">
        <f ca="1"/>
        <v>toh</v>
      </c>
      <c r="AT28" s="558" t="str">
        <f ca="1"/>
        <v>utg</v>
      </c>
      <c r="AU28" s="559" t="str">
        <f ca="1"/>
        <v>lev</v>
      </c>
    </row>
    <row r="29" spans="1:47" ht="14.25" thickTop="1" thickBot="1" x14ac:dyDescent="0.25">
      <c r="A29">
        <v>28</v>
      </c>
      <c r="B29" s="22">
        <f>Data!AL28</f>
        <v>46438</v>
      </c>
      <c r="C29" t="str" cm="1">
        <f t="array" aca="1" ref="C29" ca="1">IFERROR(_xlfn.XLOOKUP(_xlfn.SINGLE(t_rang[[Dato]:[Dato]]),INDIRECT("t_"&amp;C$1&amp;"[[Dato]]"),INDIRECT("t_"&amp;C$1&amp;"[[Rank]]")),"")</f>
        <v/>
      </c>
      <c r="D29" t="str" cm="1">
        <f t="array" aca="1" ref="D29" ca="1">IFERROR(_xlfn.XLOOKUP(_xlfn.SINGLE(t_rang[[Dato]:[Dato]]),INDIRECT("t_"&amp;D$1&amp;"[[Dato]]"),INDIRECT("t_"&amp;D$1&amp;"[[Rank]]")),"")</f>
        <v/>
      </c>
      <c r="E29" t="str" cm="1">
        <f t="array" aca="1" ref="E29" ca="1">IFERROR(_xlfn.XLOOKUP(_xlfn.SINGLE(t_rang[[Dato]:[Dato]]),INDIRECT("t_"&amp;E$1&amp;"[[Dato]]"),INDIRECT("t_"&amp;E$1&amp;"[[Rank]]")),"")</f>
        <v/>
      </c>
      <c r="F29" t="str" cm="1">
        <f t="array" aca="1" ref="F29" ca="1">IFERROR(_xlfn.XLOOKUP(_xlfn.SINGLE(t_rang[[Dato]:[Dato]]),INDIRECT("t_"&amp;F$1&amp;"[[Dato]]"),INDIRECT("t_"&amp;F$1&amp;"[[Rank]]")),"")</f>
        <v/>
      </c>
      <c r="G29" t="str" cm="1">
        <f t="array" aca="1" ref="G29" ca="1">IFERROR(_xlfn.XLOOKUP(_xlfn.SINGLE(t_rang[[Dato]:[Dato]]),INDIRECT("t_"&amp;G$1&amp;"[[Dato]]"),INDIRECT("t_"&amp;G$1&amp;"[[Rank]]")),"")</f>
        <v/>
      </c>
      <c r="H29" t="str" cm="1">
        <f t="array" aca="1" ref="H29" ca="1">IFERROR(_xlfn.XLOOKUP(_xlfn.SINGLE(t_rang[[Dato]:[Dato]]),INDIRECT("t_"&amp;H$1&amp;"[[Dato]]"),INDIRECT("t_"&amp;H$1&amp;"[[Rank]]")),"")</f>
        <v/>
      </c>
      <c r="I29" t="str" cm="1">
        <f t="array" aca="1" ref="I29" ca="1">IFERROR(_xlfn.XLOOKUP(_xlfn.SINGLE(t_rang[[Dato]:[Dato]]),INDIRECT("t_"&amp;I$1&amp;"[[Dato]]"),INDIRECT("t_"&amp;I$1&amp;"[[Rank]]")),"")</f>
        <v/>
      </c>
      <c r="J29" t="str" cm="1">
        <f t="array" aca="1" ref="J29" ca="1">IFERROR(_xlfn.XLOOKUP(_xlfn.SINGLE(t_rang[[Dato]:[Dato]]),INDIRECT("t_"&amp;J$1&amp;"[[Dato]]"),INDIRECT("t_"&amp;J$1&amp;"[[Rank]]")),"")</f>
        <v/>
      </c>
      <c r="K29" t="str" cm="1">
        <f t="array" aca="1" ref="K29" ca="1">IFERROR(_xlfn.XLOOKUP(_xlfn.SINGLE(t_rang[[Dato]:[Dato]]),INDIRECT("t_"&amp;K$1&amp;"[[Dato]]"),INDIRECT("t_"&amp;K$1&amp;"[[Rank]]")),"")</f>
        <v/>
      </c>
      <c r="L29" s="381"/>
      <c r="M29" s="381"/>
      <c r="N29" s="381"/>
      <c r="O29" s="361"/>
      <c r="P29" s="383">
        <f>Data!AL28</f>
        <v>46438</v>
      </c>
      <c r="Q29" s="360" cm="1">
        <f t="array" aca="1" ref="Q29" ca="1">IFERROR(INDIRECT("t_"&amp;Q$1&amp;"[@[Totalt]:[Totalt]]"),"")</f>
        <v>0</v>
      </c>
      <c r="R29" s="360" cm="1">
        <f t="array" aca="1" ref="R29" ca="1">IFERROR(INDIRECT("t_"&amp;R$1&amp;"[@[Totalt]:[Totalt]]"),"")</f>
        <v>0</v>
      </c>
      <c r="S29" s="360" cm="1">
        <f t="array" aca="1" ref="S29" ca="1">IFERROR(INDIRECT("t_"&amp;S$1&amp;"[@[Totalt]:[Totalt]]"),"")</f>
        <v>0</v>
      </c>
      <c r="T29" s="360" cm="1">
        <f t="array" aca="1" ref="T29" ca="1">IFERROR(INDIRECT("t_"&amp;T$1&amp;"[@[Totalt]:[Totalt]]"),"")</f>
        <v>0</v>
      </c>
      <c r="U29" s="360" cm="1">
        <f t="array" aca="1" ref="U29" ca="1">IFERROR(INDIRECT("t_"&amp;U$1&amp;"[@[Totalt]:[Totalt]]"),"")</f>
        <v>0</v>
      </c>
      <c r="V29" s="360" cm="1">
        <f t="array" aca="1" ref="V29" ca="1">IFERROR(INDIRECT("t_"&amp;V$1&amp;"[@[Totalt]:[Totalt]]"),"")</f>
        <v>0</v>
      </c>
      <c r="W29" s="360" cm="1">
        <f t="array" aca="1" ref="W29" ca="1">IFERROR(INDIRECT("t_"&amp;W$1&amp;"[@[Totalt]:[Totalt]]"),"")</f>
        <v>0</v>
      </c>
      <c r="X29" s="360" cm="1">
        <f t="array" aca="1" ref="X29" ca="1">IFERROR(INDIRECT("t_"&amp;X$1&amp;"[@[Totalt]:[Totalt]]"),"")</f>
        <v>0</v>
      </c>
      <c r="Y29" s="360" cm="1">
        <f t="array" aca="1" ref="Y29" ca="1">IFERROR(INDIRECT("t_"&amp;Y$1&amp;"[@[Totalt]:[Totalt]]"),"")</f>
        <v>0</v>
      </c>
      <c r="AA29" s="560">
        <f>t_tp[[#This Row],[Dato]]</f>
        <v>46438</v>
      </c>
      <c r="AB29" s="561" t="str" cm="1">
        <f t="array" aca="1" ref="AB29:AJ29" ca="1">IFERROR(_xlfn._xlws.FILTER($Q$1:$Y$1,t_tp[[#This Row],[ahh]:[lev]]=LARGE(t_tp[[#This Row],[ahh]:[lev]],1)),"")</f>
        <v>ahh</v>
      </c>
      <c r="AC29" s="561" t="str">
        <f ca="1"/>
        <v>rb</v>
      </c>
      <c r="AD29" s="561" t="str">
        <f ca="1"/>
        <v>eb</v>
      </c>
      <c r="AE29" s="561" t="str">
        <f ca="1"/>
        <v>kaf</v>
      </c>
      <c r="AF29" s="561" t="str">
        <f ca="1"/>
        <v>øg</v>
      </c>
      <c r="AG29" s="561" t="str">
        <f ca="1"/>
        <v>jh</v>
      </c>
      <c r="AH29" s="561" t="str">
        <f ca="1"/>
        <v>toh</v>
      </c>
      <c r="AI29" s="561" t="str">
        <f ca="1"/>
        <v>utg</v>
      </c>
      <c r="AJ29" s="562" t="str">
        <f ca="1"/>
        <v>lev</v>
      </c>
      <c r="AK29" s="20"/>
      <c r="AL29" s="560">
        <f t="shared" si="0"/>
        <v>46438</v>
      </c>
      <c r="AM29" s="561" t="str" cm="1">
        <f t="array" aca="1" ref="AM29:AU29" ca="1">IFERROR(_xlfn._xlws.FILTER($Q$1:$Y$1,t_tp[[#This Row],[ahh]:[lev]]=SMALL(t_tp[[#This Row],[ahh]:[lev]],1)),"")</f>
        <v>ahh</v>
      </c>
      <c r="AN29" s="561" t="str">
        <f ca="1"/>
        <v>rb</v>
      </c>
      <c r="AO29" s="561" t="str">
        <f ca="1"/>
        <v>eb</v>
      </c>
      <c r="AP29" s="561" t="str">
        <f ca="1"/>
        <v>kaf</v>
      </c>
      <c r="AQ29" s="561" t="str">
        <f ca="1"/>
        <v>øg</v>
      </c>
      <c r="AR29" s="561" t="str">
        <f ca="1"/>
        <v>jh</v>
      </c>
      <c r="AS29" s="561" t="str">
        <f ca="1"/>
        <v>toh</v>
      </c>
      <c r="AT29" s="561" t="str">
        <f ca="1"/>
        <v>utg</v>
      </c>
      <c r="AU29" s="562" t="str">
        <f ca="1"/>
        <v>lev</v>
      </c>
    </row>
    <row r="30" spans="1:47" ht="14.25" thickTop="1" thickBot="1" x14ac:dyDescent="0.25">
      <c r="A30">
        <v>29</v>
      </c>
      <c r="B30" s="22">
        <f>Data!AL29</f>
        <v>46445</v>
      </c>
      <c r="C30" t="str" cm="1">
        <f t="array" aca="1" ref="C30" ca="1">IFERROR(_xlfn.XLOOKUP(_xlfn.SINGLE(t_rang[[Dato]:[Dato]]),INDIRECT("t_"&amp;C$1&amp;"[[Dato]]"),INDIRECT("t_"&amp;C$1&amp;"[[Rank]]")),"")</f>
        <v/>
      </c>
      <c r="D30" t="str" cm="1">
        <f t="array" aca="1" ref="D30" ca="1">IFERROR(_xlfn.XLOOKUP(_xlfn.SINGLE(t_rang[[Dato]:[Dato]]),INDIRECT("t_"&amp;D$1&amp;"[[Dato]]"),INDIRECT("t_"&amp;D$1&amp;"[[Rank]]")),"")</f>
        <v/>
      </c>
      <c r="E30" t="str" cm="1">
        <f t="array" aca="1" ref="E30" ca="1">IFERROR(_xlfn.XLOOKUP(_xlfn.SINGLE(t_rang[[Dato]:[Dato]]),INDIRECT("t_"&amp;E$1&amp;"[[Dato]]"),INDIRECT("t_"&amp;E$1&amp;"[[Rank]]")),"")</f>
        <v/>
      </c>
      <c r="F30" t="str" cm="1">
        <f t="array" aca="1" ref="F30" ca="1">IFERROR(_xlfn.XLOOKUP(_xlfn.SINGLE(t_rang[[Dato]:[Dato]]),INDIRECT("t_"&amp;F$1&amp;"[[Dato]]"),INDIRECT("t_"&amp;F$1&amp;"[[Rank]]")),"")</f>
        <v/>
      </c>
      <c r="G30" t="str" cm="1">
        <f t="array" aca="1" ref="G30" ca="1">IFERROR(_xlfn.XLOOKUP(_xlfn.SINGLE(t_rang[[Dato]:[Dato]]),INDIRECT("t_"&amp;G$1&amp;"[[Dato]]"),INDIRECT("t_"&amp;G$1&amp;"[[Rank]]")),"")</f>
        <v/>
      </c>
      <c r="H30" t="str" cm="1">
        <f t="array" aca="1" ref="H30" ca="1">IFERROR(_xlfn.XLOOKUP(_xlfn.SINGLE(t_rang[[Dato]:[Dato]]),INDIRECT("t_"&amp;H$1&amp;"[[Dato]]"),INDIRECT("t_"&amp;H$1&amp;"[[Rank]]")),"")</f>
        <v/>
      </c>
      <c r="I30" t="str" cm="1">
        <f t="array" aca="1" ref="I30" ca="1">IFERROR(_xlfn.XLOOKUP(_xlfn.SINGLE(t_rang[[Dato]:[Dato]]),INDIRECT("t_"&amp;I$1&amp;"[[Dato]]"),INDIRECT("t_"&amp;I$1&amp;"[[Rank]]")),"")</f>
        <v/>
      </c>
      <c r="J30" t="str" cm="1">
        <f t="array" aca="1" ref="J30" ca="1">IFERROR(_xlfn.XLOOKUP(_xlfn.SINGLE(t_rang[[Dato]:[Dato]]),INDIRECT("t_"&amp;J$1&amp;"[[Dato]]"),INDIRECT("t_"&amp;J$1&amp;"[[Rank]]")),"")</f>
        <v/>
      </c>
      <c r="K30" t="str" cm="1">
        <f t="array" aca="1" ref="K30" ca="1">IFERROR(_xlfn.XLOOKUP(_xlfn.SINGLE(t_rang[[Dato]:[Dato]]),INDIRECT("t_"&amp;K$1&amp;"[[Dato]]"),INDIRECT("t_"&amp;K$1&amp;"[[Rank]]")),"")</f>
        <v/>
      </c>
      <c r="L30" s="381"/>
      <c r="M30" s="381"/>
      <c r="N30" s="381"/>
      <c r="O30" s="361"/>
      <c r="P30" s="383">
        <f>Data!AL29</f>
        <v>46445</v>
      </c>
      <c r="Q30" s="360" cm="1">
        <f t="array" aca="1" ref="Q30" ca="1">IFERROR(INDIRECT("t_"&amp;Q$1&amp;"[@[Totalt]:[Totalt]]"),"")</f>
        <v>0</v>
      </c>
      <c r="R30" s="360" cm="1">
        <f t="array" aca="1" ref="R30" ca="1">IFERROR(INDIRECT("t_"&amp;R$1&amp;"[@[Totalt]:[Totalt]]"),"")</f>
        <v>0</v>
      </c>
      <c r="S30" s="360" cm="1">
        <f t="array" aca="1" ref="S30" ca="1">IFERROR(INDIRECT("t_"&amp;S$1&amp;"[@[Totalt]:[Totalt]]"),"")</f>
        <v>0</v>
      </c>
      <c r="T30" s="360" cm="1">
        <f t="array" aca="1" ref="T30" ca="1">IFERROR(INDIRECT("t_"&amp;T$1&amp;"[@[Totalt]:[Totalt]]"),"")</f>
        <v>0</v>
      </c>
      <c r="U30" s="360" cm="1">
        <f t="array" aca="1" ref="U30" ca="1">IFERROR(INDIRECT("t_"&amp;U$1&amp;"[@[Totalt]:[Totalt]]"),"")</f>
        <v>0</v>
      </c>
      <c r="V30" s="360" cm="1">
        <f t="array" aca="1" ref="V30" ca="1">IFERROR(INDIRECT("t_"&amp;V$1&amp;"[@[Totalt]:[Totalt]]"),"")</f>
        <v>0</v>
      </c>
      <c r="W30" s="360" cm="1">
        <f t="array" aca="1" ref="W30" ca="1">IFERROR(INDIRECT("t_"&amp;W$1&amp;"[@[Totalt]:[Totalt]]"),"")</f>
        <v>0</v>
      </c>
      <c r="X30" s="360" cm="1">
        <f t="array" aca="1" ref="X30" ca="1">IFERROR(INDIRECT("t_"&amp;X$1&amp;"[@[Totalt]:[Totalt]]"),"")</f>
        <v>0</v>
      </c>
      <c r="Y30" s="360" cm="1">
        <f t="array" aca="1" ref="Y30" ca="1">IFERROR(INDIRECT("t_"&amp;Y$1&amp;"[@[Totalt]:[Totalt]]"),"")</f>
        <v>0</v>
      </c>
      <c r="AA30" s="557">
        <f>t_tp[[#This Row],[Dato]]</f>
        <v>46445</v>
      </c>
      <c r="AB30" s="558" t="str" cm="1">
        <f t="array" aca="1" ref="AB30:AJ30" ca="1">IFERROR(_xlfn._xlws.FILTER($Q$1:$Y$1,t_tp[[#This Row],[ahh]:[lev]]=LARGE(t_tp[[#This Row],[ahh]:[lev]],1)),"")</f>
        <v>ahh</v>
      </c>
      <c r="AC30" s="558" t="str">
        <f ca="1"/>
        <v>rb</v>
      </c>
      <c r="AD30" s="558" t="str">
        <f ca="1"/>
        <v>eb</v>
      </c>
      <c r="AE30" s="558" t="str">
        <f ca="1"/>
        <v>kaf</v>
      </c>
      <c r="AF30" s="558" t="str">
        <f ca="1"/>
        <v>øg</v>
      </c>
      <c r="AG30" s="558" t="str">
        <f ca="1"/>
        <v>jh</v>
      </c>
      <c r="AH30" s="558" t="str">
        <f ca="1"/>
        <v>toh</v>
      </c>
      <c r="AI30" s="558" t="str">
        <f ca="1"/>
        <v>utg</v>
      </c>
      <c r="AJ30" s="559" t="str">
        <f ca="1"/>
        <v>lev</v>
      </c>
      <c r="AK30" s="20"/>
      <c r="AL30" s="557">
        <f t="shared" si="0"/>
        <v>46445</v>
      </c>
      <c r="AM30" s="558" t="str" cm="1">
        <f t="array" aca="1" ref="AM30:AU30" ca="1">IFERROR(_xlfn._xlws.FILTER($Q$1:$Y$1,t_tp[[#This Row],[ahh]:[lev]]=SMALL(t_tp[[#This Row],[ahh]:[lev]],1)),"")</f>
        <v>ahh</v>
      </c>
      <c r="AN30" s="558" t="str">
        <f ca="1"/>
        <v>rb</v>
      </c>
      <c r="AO30" s="558" t="str">
        <f ca="1"/>
        <v>eb</v>
      </c>
      <c r="AP30" s="558" t="str">
        <f ca="1"/>
        <v>kaf</v>
      </c>
      <c r="AQ30" s="558" t="str">
        <f ca="1"/>
        <v>øg</v>
      </c>
      <c r="AR30" s="558" t="str">
        <f ca="1"/>
        <v>jh</v>
      </c>
      <c r="AS30" s="558" t="str">
        <f ca="1"/>
        <v>toh</v>
      </c>
      <c r="AT30" s="558" t="str">
        <f ca="1"/>
        <v>utg</v>
      </c>
      <c r="AU30" s="559" t="str">
        <f ca="1"/>
        <v>lev</v>
      </c>
    </row>
    <row r="31" spans="1:47" ht="14.25" thickTop="1" thickBot="1" x14ac:dyDescent="0.25">
      <c r="A31">
        <v>30</v>
      </c>
      <c r="B31" s="22">
        <f>Data!AL30</f>
        <v>46452</v>
      </c>
      <c r="C31" t="str" cm="1">
        <f t="array" aca="1" ref="C31" ca="1">IFERROR(_xlfn.XLOOKUP(_xlfn.SINGLE(t_rang[[Dato]:[Dato]]),INDIRECT("t_"&amp;C$1&amp;"[[Dato]]"),INDIRECT("t_"&amp;C$1&amp;"[[Rank]]")),"")</f>
        <v/>
      </c>
      <c r="D31" t="str" cm="1">
        <f t="array" aca="1" ref="D31" ca="1">IFERROR(_xlfn.XLOOKUP(_xlfn.SINGLE(t_rang[[Dato]:[Dato]]),INDIRECT("t_"&amp;D$1&amp;"[[Dato]]"),INDIRECT("t_"&amp;D$1&amp;"[[Rank]]")),"")</f>
        <v/>
      </c>
      <c r="E31" t="str" cm="1">
        <f t="array" aca="1" ref="E31" ca="1">IFERROR(_xlfn.XLOOKUP(_xlfn.SINGLE(t_rang[[Dato]:[Dato]]),INDIRECT("t_"&amp;E$1&amp;"[[Dato]]"),INDIRECT("t_"&amp;E$1&amp;"[[Rank]]")),"")</f>
        <v/>
      </c>
      <c r="F31" t="str" cm="1">
        <f t="array" aca="1" ref="F31" ca="1">IFERROR(_xlfn.XLOOKUP(_xlfn.SINGLE(t_rang[[Dato]:[Dato]]),INDIRECT("t_"&amp;F$1&amp;"[[Dato]]"),INDIRECT("t_"&amp;F$1&amp;"[[Rank]]")),"")</f>
        <v/>
      </c>
      <c r="G31" t="str" cm="1">
        <f t="array" aca="1" ref="G31" ca="1">IFERROR(_xlfn.XLOOKUP(_xlfn.SINGLE(t_rang[[Dato]:[Dato]]),INDIRECT("t_"&amp;G$1&amp;"[[Dato]]"),INDIRECT("t_"&amp;G$1&amp;"[[Rank]]")),"")</f>
        <v/>
      </c>
      <c r="H31" t="str" cm="1">
        <f t="array" aca="1" ref="H31" ca="1">IFERROR(_xlfn.XLOOKUP(_xlfn.SINGLE(t_rang[[Dato]:[Dato]]),INDIRECT("t_"&amp;H$1&amp;"[[Dato]]"),INDIRECT("t_"&amp;H$1&amp;"[[Rank]]")),"")</f>
        <v/>
      </c>
      <c r="I31" t="str" cm="1">
        <f t="array" aca="1" ref="I31" ca="1">IFERROR(_xlfn.XLOOKUP(_xlfn.SINGLE(t_rang[[Dato]:[Dato]]),INDIRECT("t_"&amp;I$1&amp;"[[Dato]]"),INDIRECT("t_"&amp;I$1&amp;"[[Rank]]")),"")</f>
        <v/>
      </c>
      <c r="J31" t="str" cm="1">
        <f t="array" aca="1" ref="J31" ca="1">IFERROR(_xlfn.XLOOKUP(_xlfn.SINGLE(t_rang[[Dato]:[Dato]]),INDIRECT("t_"&amp;J$1&amp;"[[Dato]]"),INDIRECT("t_"&amp;J$1&amp;"[[Rank]]")),"")</f>
        <v/>
      </c>
      <c r="K31" t="str" cm="1">
        <f t="array" aca="1" ref="K31" ca="1">IFERROR(_xlfn.XLOOKUP(_xlfn.SINGLE(t_rang[[Dato]:[Dato]]),INDIRECT("t_"&amp;K$1&amp;"[[Dato]]"),INDIRECT("t_"&amp;K$1&amp;"[[Rank]]")),"")</f>
        <v/>
      </c>
      <c r="L31" s="381"/>
      <c r="M31" s="381"/>
      <c r="N31" s="381"/>
      <c r="O31" s="361"/>
      <c r="P31" s="383">
        <f>Data!AL30</f>
        <v>46452</v>
      </c>
      <c r="Q31" s="360" cm="1">
        <f t="array" aca="1" ref="Q31" ca="1">IFERROR(INDIRECT("t_"&amp;Q$1&amp;"[@[Totalt]:[Totalt]]"),"")</f>
        <v>0</v>
      </c>
      <c r="R31" s="360" cm="1">
        <f t="array" aca="1" ref="R31" ca="1">IFERROR(INDIRECT("t_"&amp;R$1&amp;"[@[Totalt]:[Totalt]]"),"")</f>
        <v>0</v>
      </c>
      <c r="S31" s="360" cm="1">
        <f t="array" aca="1" ref="S31" ca="1">IFERROR(INDIRECT("t_"&amp;S$1&amp;"[@[Totalt]:[Totalt]]"),"")</f>
        <v>0</v>
      </c>
      <c r="T31" s="360" cm="1">
        <f t="array" aca="1" ref="T31" ca="1">IFERROR(INDIRECT("t_"&amp;T$1&amp;"[@[Totalt]:[Totalt]]"),"")</f>
        <v>0</v>
      </c>
      <c r="U31" s="360" cm="1">
        <f t="array" aca="1" ref="U31" ca="1">IFERROR(INDIRECT("t_"&amp;U$1&amp;"[@[Totalt]:[Totalt]]"),"")</f>
        <v>0</v>
      </c>
      <c r="V31" s="360" cm="1">
        <f t="array" aca="1" ref="V31" ca="1">IFERROR(INDIRECT("t_"&amp;V$1&amp;"[@[Totalt]:[Totalt]]"),"")</f>
        <v>0</v>
      </c>
      <c r="W31" s="360" cm="1">
        <f t="array" aca="1" ref="W31" ca="1">IFERROR(INDIRECT("t_"&amp;W$1&amp;"[@[Totalt]:[Totalt]]"),"")</f>
        <v>0</v>
      </c>
      <c r="X31" s="360" cm="1">
        <f t="array" aca="1" ref="X31" ca="1">IFERROR(INDIRECT("t_"&amp;X$1&amp;"[@[Totalt]:[Totalt]]"),"")</f>
        <v>0</v>
      </c>
      <c r="Y31" s="360" cm="1">
        <f t="array" aca="1" ref="Y31" ca="1">IFERROR(INDIRECT("t_"&amp;Y$1&amp;"[@[Totalt]:[Totalt]]"),"")</f>
        <v>0</v>
      </c>
      <c r="AA31" s="560">
        <f>t_tp[[#This Row],[Dato]]</f>
        <v>46452</v>
      </c>
      <c r="AB31" s="561" t="str" cm="1">
        <f t="array" aca="1" ref="AB31:AJ31" ca="1">IFERROR(_xlfn._xlws.FILTER($Q$1:$Y$1,t_tp[[#This Row],[ahh]:[lev]]=LARGE(t_tp[[#This Row],[ahh]:[lev]],1)),"")</f>
        <v>ahh</v>
      </c>
      <c r="AC31" s="561" t="str">
        <f ca="1"/>
        <v>rb</v>
      </c>
      <c r="AD31" s="561" t="str">
        <f ca="1"/>
        <v>eb</v>
      </c>
      <c r="AE31" s="561" t="str">
        <f ca="1"/>
        <v>kaf</v>
      </c>
      <c r="AF31" s="561" t="str">
        <f ca="1"/>
        <v>øg</v>
      </c>
      <c r="AG31" s="561" t="str">
        <f ca="1"/>
        <v>jh</v>
      </c>
      <c r="AH31" s="561" t="str">
        <f ca="1"/>
        <v>toh</v>
      </c>
      <c r="AI31" s="561" t="str">
        <f ca="1"/>
        <v>utg</v>
      </c>
      <c r="AJ31" s="562" t="str">
        <f ca="1"/>
        <v>lev</v>
      </c>
      <c r="AK31" s="20"/>
      <c r="AL31" s="560">
        <f t="shared" si="0"/>
        <v>46452</v>
      </c>
      <c r="AM31" s="561" t="str" cm="1">
        <f t="array" aca="1" ref="AM31:AU31" ca="1">IFERROR(_xlfn._xlws.FILTER($Q$1:$Y$1,t_tp[[#This Row],[ahh]:[lev]]=SMALL(t_tp[[#This Row],[ahh]:[lev]],1)),"")</f>
        <v>ahh</v>
      </c>
      <c r="AN31" s="561" t="str">
        <f ca="1"/>
        <v>rb</v>
      </c>
      <c r="AO31" s="561" t="str">
        <f ca="1"/>
        <v>eb</v>
      </c>
      <c r="AP31" s="561" t="str">
        <f ca="1"/>
        <v>kaf</v>
      </c>
      <c r="AQ31" s="561" t="str">
        <f ca="1"/>
        <v>øg</v>
      </c>
      <c r="AR31" s="561" t="str">
        <f ca="1"/>
        <v>jh</v>
      </c>
      <c r="AS31" s="561" t="str">
        <f ca="1"/>
        <v>toh</v>
      </c>
      <c r="AT31" s="561" t="str">
        <f ca="1"/>
        <v>utg</v>
      </c>
      <c r="AU31" s="562" t="str">
        <f ca="1"/>
        <v>lev</v>
      </c>
    </row>
    <row r="32" spans="1:47" ht="14.25" thickTop="1" thickBot="1" x14ac:dyDescent="0.25">
      <c r="A32">
        <v>31</v>
      </c>
      <c r="B32" s="22">
        <f>Data!AL31</f>
        <v>46459</v>
      </c>
      <c r="C32" t="str" cm="1">
        <f t="array" aca="1" ref="C32" ca="1">IFERROR(_xlfn.XLOOKUP(_xlfn.SINGLE(t_rang[[Dato]:[Dato]]),INDIRECT("t_"&amp;C$1&amp;"[[Dato]]"),INDIRECT("t_"&amp;C$1&amp;"[[Rank]]")),"")</f>
        <v/>
      </c>
      <c r="D32" t="str" cm="1">
        <f t="array" aca="1" ref="D32" ca="1">IFERROR(_xlfn.XLOOKUP(_xlfn.SINGLE(t_rang[[Dato]:[Dato]]),INDIRECT("t_"&amp;D$1&amp;"[[Dato]]"),INDIRECT("t_"&amp;D$1&amp;"[[Rank]]")),"")</f>
        <v/>
      </c>
      <c r="E32" t="str" cm="1">
        <f t="array" aca="1" ref="E32" ca="1">IFERROR(_xlfn.XLOOKUP(_xlfn.SINGLE(t_rang[[Dato]:[Dato]]),INDIRECT("t_"&amp;E$1&amp;"[[Dato]]"),INDIRECT("t_"&amp;E$1&amp;"[[Rank]]")),"")</f>
        <v/>
      </c>
      <c r="F32" t="str" cm="1">
        <f t="array" aca="1" ref="F32" ca="1">IFERROR(_xlfn.XLOOKUP(_xlfn.SINGLE(t_rang[[Dato]:[Dato]]),INDIRECT("t_"&amp;F$1&amp;"[[Dato]]"),INDIRECT("t_"&amp;F$1&amp;"[[Rank]]")),"")</f>
        <v/>
      </c>
      <c r="G32" t="str" cm="1">
        <f t="array" aca="1" ref="G32" ca="1">IFERROR(_xlfn.XLOOKUP(_xlfn.SINGLE(t_rang[[Dato]:[Dato]]),INDIRECT("t_"&amp;G$1&amp;"[[Dato]]"),INDIRECT("t_"&amp;G$1&amp;"[[Rank]]")),"")</f>
        <v/>
      </c>
      <c r="H32" t="str" cm="1">
        <f t="array" aca="1" ref="H32" ca="1">IFERROR(_xlfn.XLOOKUP(_xlfn.SINGLE(t_rang[[Dato]:[Dato]]),INDIRECT("t_"&amp;H$1&amp;"[[Dato]]"),INDIRECT("t_"&amp;H$1&amp;"[[Rank]]")),"")</f>
        <v/>
      </c>
      <c r="I32" t="str" cm="1">
        <f t="array" aca="1" ref="I32" ca="1">IFERROR(_xlfn.XLOOKUP(_xlfn.SINGLE(t_rang[[Dato]:[Dato]]),INDIRECT("t_"&amp;I$1&amp;"[[Dato]]"),INDIRECT("t_"&amp;I$1&amp;"[[Rank]]")),"")</f>
        <v/>
      </c>
      <c r="J32" t="str" cm="1">
        <f t="array" aca="1" ref="J32" ca="1">IFERROR(_xlfn.XLOOKUP(_xlfn.SINGLE(t_rang[[Dato]:[Dato]]),INDIRECT("t_"&amp;J$1&amp;"[[Dato]]"),INDIRECT("t_"&amp;J$1&amp;"[[Rank]]")),"")</f>
        <v/>
      </c>
      <c r="K32" t="str" cm="1">
        <f t="array" aca="1" ref="K32" ca="1">IFERROR(_xlfn.XLOOKUP(_xlfn.SINGLE(t_rang[[Dato]:[Dato]]),INDIRECT("t_"&amp;K$1&amp;"[[Dato]]"),INDIRECT("t_"&amp;K$1&amp;"[[Rank]]")),"")</f>
        <v/>
      </c>
      <c r="L32" s="381"/>
      <c r="M32" s="381"/>
      <c r="N32" s="381"/>
      <c r="O32" s="361"/>
      <c r="P32" s="383">
        <f>Data!AL31</f>
        <v>46459</v>
      </c>
      <c r="Q32" s="360" cm="1">
        <f t="array" aca="1" ref="Q32" ca="1">IFERROR(INDIRECT("t_"&amp;Q$1&amp;"[@[Totalt]:[Totalt]]"),"")</f>
        <v>0</v>
      </c>
      <c r="R32" s="360" cm="1">
        <f t="array" aca="1" ref="R32" ca="1">IFERROR(INDIRECT("t_"&amp;R$1&amp;"[@[Totalt]:[Totalt]]"),"")</f>
        <v>0</v>
      </c>
      <c r="S32" s="360" cm="1">
        <f t="array" aca="1" ref="S32" ca="1">IFERROR(INDIRECT("t_"&amp;S$1&amp;"[@[Totalt]:[Totalt]]"),"")</f>
        <v>0</v>
      </c>
      <c r="T32" s="360" cm="1">
        <f t="array" aca="1" ref="T32" ca="1">IFERROR(INDIRECT("t_"&amp;T$1&amp;"[@[Totalt]:[Totalt]]"),"")</f>
        <v>0</v>
      </c>
      <c r="U32" s="360" cm="1">
        <f t="array" aca="1" ref="U32" ca="1">IFERROR(INDIRECT("t_"&amp;U$1&amp;"[@[Totalt]:[Totalt]]"),"")</f>
        <v>0</v>
      </c>
      <c r="V32" s="360" cm="1">
        <f t="array" aca="1" ref="V32" ca="1">IFERROR(INDIRECT("t_"&amp;V$1&amp;"[@[Totalt]:[Totalt]]"),"")</f>
        <v>0</v>
      </c>
      <c r="W32" s="360" cm="1">
        <f t="array" aca="1" ref="W32" ca="1">IFERROR(INDIRECT("t_"&amp;W$1&amp;"[@[Totalt]:[Totalt]]"),"")</f>
        <v>0</v>
      </c>
      <c r="X32" s="360" cm="1">
        <f t="array" aca="1" ref="X32" ca="1">IFERROR(INDIRECT("t_"&amp;X$1&amp;"[@[Totalt]:[Totalt]]"),"")</f>
        <v>0</v>
      </c>
      <c r="Y32" s="360" cm="1">
        <f t="array" aca="1" ref="Y32" ca="1">IFERROR(INDIRECT("t_"&amp;Y$1&amp;"[@[Totalt]:[Totalt]]"),"")</f>
        <v>0</v>
      </c>
      <c r="AA32" s="557">
        <f>t_tp[[#This Row],[Dato]]</f>
        <v>46459</v>
      </c>
      <c r="AB32" s="558" t="str" cm="1">
        <f t="array" aca="1" ref="AB32:AJ32" ca="1">IFERROR(_xlfn._xlws.FILTER($Q$1:$Y$1,t_tp[[#This Row],[ahh]:[lev]]=LARGE(t_tp[[#This Row],[ahh]:[lev]],1)),"")</f>
        <v>ahh</v>
      </c>
      <c r="AC32" s="558" t="str">
        <f ca="1"/>
        <v>rb</v>
      </c>
      <c r="AD32" s="558" t="str">
        <f ca="1"/>
        <v>eb</v>
      </c>
      <c r="AE32" s="558" t="str">
        <f ca="1"/>
        <v>kaf</v>
      </c>
      <c r="AF32" s="558" t="str">
        <f ca="1"/>
        <v>øg</v>
      </c>
      <c r="AG32" s="558" t="str">
        <f ca="1"/>
        <v>jh</v>
      </c>
      <c r="AH32" s="558" t="str">
        <f ca="1"/>
        <v>toh</v>
      </c>
      <c r="AI32" s="558" t="str">
        <f ca="1"/>
        <v>utg</v>
      </c>
      <c r="AJ32" s="559" t="str">
        <f ca="1"/>
        <v>lev</v>
      </c>
      <c r="AK32" s="20"/>
      <c r="AL32" s="557">
        <f t="shared" si="0"/>
        <v>46459</v>
      </c>
      <c r="AM32" s="558" t="str" cm="1">
        <f t="array" aca="1" ref="AM32:AU32" ca="1">IFERROR(_xlfn._xlws.FILTER($Q$1:$Y$1,t_tp[[#This Row],[ahh]:[lev]]=SMALL(t_tp[[#This Row],[ahh]:[lev]],1)),"")</f>
        <v>ahh</v>
      </c>
      <c r="AN32" s="558" t="str">
        <f ca="1"/>
        <v>rb</v>
      </c>
      <c r="AO32" s="558" t="str">
        <f ca="1"/>
        <v>eb</v>
      </c>
      <c r="AP32" s="558" t="str">
        <f ca="1"/>
        <v>kaf</v>
      </c>
      <c r="AQ32" s="558" t="str">
        <f ca="1"/>
        <v>øg</v>
      </c>
      <c r="AR32" s="558" t="str">
        <f ca="1"/>
        <v>jh</v>
      </c>
      <c r="AS32" s="558" t="str">
        <f ca="1"/>
        <v>toh</v>
      </c>
      <c r="AT32" s="558" t="str">
        <f ca="1"/>
        <v>utg</v>
      </c>
      <c r="AU32" s="559" t="str">
        <f ca="1"/>
        <v>lev</v>
      </c>
    </row>
    <row r="33" spans="1:47" ht="14.25" thickTop="1" thickBot="1" x14ac:dyDescent="0.25">
      <c r="A33">
        <v>32</v>
      </c>
      <c r="B33" s="22">
        <f>Data!AL32</f>
        <v>46466</v>
      </c>
      <c r="C33" t="str" cm="1">
        <f t="array" aca="1" ref="C33" ca="1">IFERROR(_xlfn.XLOOKUP(_xlfn.SINGLE(t_rang[[Dato]:[Dato]]),INDIRECT("t_"&amp;C$1&amp;"[[Dato]]"),INDIRECT("t_"&amp;C$1&amp;"[[Rank]]")),"")</f>
        <v/>
      </c>
      <c r="D33" t="str" cm="1">
        <f t="array" aca="1" ref="D33" ca="1">IFERROR(_xlfn.XLOOKUP(_xlfn.SINGLE(t_rang[[Dato]:[Dato]]),INDIRECT("t_"&amp;D$1&amp;"[[Dato]]"),INDIRECT("t_"&amp;D$1&amp;"[[Rank]]")),"")</f>
        <v/>
      </c>
      <c r="E33" t="str" cm="1">
        <f t="array" aca="1" ref="E33" ca="1">IFERROR(_xlfn.XLOOKUP(_xlfn.SINGLE(t_rang[[Dato]:[Dato]]),INDIRECT("t_"&amp;E$1&amp;"[[Dato]]"),INDIRECT("t_"&amp;E$1&amp;"[[Rank]]")),"")</f>
        <v/>
      </c>
      <c r="F33" t="str" cm="1">
        <f t="array" aca="1" ref="F33" ca="1">IFERROR(_xlfn.XLOOKUP(_xlfn.SINGLE(t_rang[[Dato]:[Dato]]),INDIRECT("t_"&amp;F$1&amp;"[[Dato]]"),INDIRECT("t_"&amp;F$1&amp;"[[Rank]]")),"")</f>
        <v/>
      </c>
      <c r="G33" t="str" cm="1">
        <f t="array" aca="1" ref="G33" ca="1">IFERROR(_xlfn.XLOOKUP(_xlfn.SINGLE(t_rang[[Dato]:[Dato]]),INDIRECT("t_"&amp;G$1&amp;"[[Dato]]"),INDIRECT("t_"&amp;G$1&amp;"[[Rank]]")),"")</f>
        <v/>
      </c>
      <c r="H33" t="str" cm="1">
        <f t="array" aca="1" ref="H33" ca="1">IFERROR(_xlfn.XLOOKUP(_xlfn.SINGLE(t_rang[[Dato]:[Dato]]),INDIRECT("t_"&amp;H$1&amp;"[[Dato]]"),INDIRECT("t_"&amp;H$1&amp;"[[Rank]]")),"")</f>
        <v/>
      </c>
      <c r="I33" t="str" cm="1">
        <f t="array" aca="1" ref="I33" ca="1">IFERROR(_xlfn.XLOOKUP(_xlfn.SINGLE(t_rang[[Dato]:[Dato]]),INDIRECT("t_"&amp;I$1&amp;"[[Dato]]"),INDIRECT("t_"&amp;I$1&amp;"[[Rank]]")),"")</f>
        <v/>
      </c>
      <c r="J33" t="str" cm="1">
        <f t="array" aca="1" ref="J33" ca="1">IFERROR(_xlfn.XLOOKUP(_xlfn.SINGLE(t_rang[[Dato]:[Dato]]),INDIRECT("t_"&amp;J$1&amp;"[[Dato]]"),INDIRECT("t_"&amp;J$1&amp;"[[Rank]]")),"")</f>
        <v/>
      </c>
      <c r="K33" t="str" cm="1">
        <f t="array" aca="1" ref="K33" ca="1">IFERROR(_xlfn.XLOOKUP(_xlfn.SINGLE(t_rang[[Dato]:[Dato]]),INDIRECT("t_"&amp;K$1&amp;"[[Dato]]"),INDIRECT("t_"&amp;K$1&amp;"[[Rank]]")),"")</f>
        <v/>
      </c>
      <c r="L33" s="381"/>
      <c r="M33" s="381"/>
      <c r="N33" s="381"/>
      <c r="O33" s="361"/>
      <c r="P33" s="383">
        <f>Data!AL32</f>
        <v>46466</v>
      </c>
      <c r="Q33" s="360" cm="1">
        <f t="array" aca="1" ref="Q33" ca="1">IFERROR(INDIRECT("t_"&amp;Q$1&amp;"[@[Totalt]:[Totalt]]"),"")</f>
        <v>0</v>
      </c>
      <c r="R33" s="360" cm="1">
        <f t="array" aca="1" ref="R33" ca="1">IFERROR(INDIRECT("t_"&amp;R$1&amp;"[@[Totalt]:[Totalt]]"),"")</f>
        <v>0</v>
      </c>
      <c r="S33" s="360" cm="1">
        <f t="array" aca="1" ref="S33" ca="1">IFERROR(INDIRECT("t_"&amp;S$1&amp;"[@[Totalt]:[Totalt]]"),"")</f>
        <v>0</v>
      </c>
      <c r="T33" s="360" cm="1">
        <f t="array" aca="1" ref="T33" ca="1">IFERROR(INDIRECT("t_"&amp;T$1&amp;"[@[Totalt]:[Totalt]]"),"")</f>
        <v>0</v>
      </c>
      <c r="U33" s="360" cm="1">
        <f t="array" aca="1" ref="U33" ca="1">IFERROR(INDIRECT("t_"&amp;U$1&amp;"[@[Totalt]:[Totalt]]"),"")</f>
        <v>0</v>
      </c>
      <c r="V33" s="360" cm="1">
        <f t="array" aca="1" ref="V33" ca="1">IFERROR(INDIRECT("t_"&amp;V$1&amp;"[@[Totalt]:[Totalt]]"),"")</f>
        <v>0</v>
      </c>
      <c r="W33" s="360" cm="1">
        <f t="array" aca="1" ref="W33" ca="1">IFERROR(INDIRECT("t_"&amp;W$1&amp;"[@[Totalt]:[Totalt]]"),"")</f>
        <v>0</v>
      </c>
      <c r="X33" s="360" cm="1">
        <f t="array" aca="1" ref="X33" ca="1">IFERROR(INDIRECT("t_"&amp;X$1&amp;"[@[Totalt]:[Totalt]]"),"")</f>
        <v>0</v>
      </c>
      <c r="Y33" s="360" cm="1">
        <f t="array" aca="1" ref="Y33" ca="1">IFERROR(INDIRECT("t_"&amp;Y$1&amp;"[@[Totalt]:[Totalt]]"),"")</f>
        <v>0</v>
      </c>
      <c r="AA33" s="560">
        <f>t_tp[[#This Row],[Dato]]</f>
        <v>46466</v>
      </c>
      <c r="AB33" s="561" t="str" cm="1">
        <f t="array" aca="1" ref="AB33:AJ33" ca="1">IFERROR(_xlfn._xlws.FILTER($Q$1:$Y$1,t_tp[[#This Row],[ahh]:[lev]]=LARGE(t_tp[[#This Row],[ahh]:[lev]],1)),"")</f>
        <v>ahh</v>
      </c>
      <c r="AC33" s="561" t="str">
        <f ca="1"/>
        <v>rb</v>
      </c>
      <c r="AD33" s="561" t="str">
        <f ca="1"/>
        <v>eb</v>
      </c>
      <c r="AE33" s="561" t="str">
        <f ca="1"/>
        <v>kaf</v>
      </c>
      <c r="AF33" s="561" t="str">
        <f ca="1"/>
        <v>øg</v>
      </c>
      <c r="AG33" s="561" t="str">
        <f ca="1"/>
        <v>jh</v>
      </c>
      <c r="AH33" s="561" t="str">
        <f ca="1"/>
        <v>toh</v>
      </c>
      <c r="AI33" s="561" t="str">
        <f ca="1"/>
        <v>utg</v>
      </c>
      <c r="AJ33" s="562" t="str">
        <f ca="1"/>
        <v>lev</v>
      </c>
      <c r="AK33" s="20"/>
      <c r="AL33" s="560">
        <f t="shared" si="0"/>
        <v>46466</v>
      </c>
      <c r="AM33" s="561" t="str" cm="1">
        <f t="array" aca="1" ref="AM33:AU33" ca="1">IFERROR(_xlfn._xlws.FILTER($Q$1:$Y$1,t_tp[[#This Row],[ahh]:[lev]]=SMALL(t_tp[[#This Row],[ahh]:[lev]],1)),"")</f>
        <v>ahh</v>
      </c>
      <c r="AN33" s="561" t="str">
        <f ca="1"/>
        <v>rb</v>
      </c>
      <c r="AO33" s="561" t="str">
        <f ca="1"/>
        <v>eb</v>
      </c>
      <c r="AP33" s="561" t="str">
        <f ca="1"/>
        <v>kaf</v>
      </c>
      <c r="AQ33" s="561" t="str">
        <f ca="1"/>
        <v>øg</v>
      </c>
      <c r="AR33" s="561" t="str">
        <f ca="1"/>
        <v>jh</v>
      </c>
      <c r="AS33" s="561" t="str">
        <f ca="1"/>
        <v>toh</v>
      </c>
      <c r="AT33" s="561" t="str">
        <f ca="1"/>
        <v>utg</v>
      </c>
      <c r="AU33" s="562" t="str">
        <f ca="1"/>
        <v>lev</v>
      </c>
    </row>
    <row r="34" spans="1:47" ht="14.25" thickTop="1" thickBot="1" x14ac:dyDescent="0.25">
      <c r="A34">
        <v>33</v>
      </c>
      <c r="B34" s="22">
        <f>Data!AL33</f>
        <v>46473</v>
      </c>
      <c r="C34" t="str" cm="1">
        <f t="array" aca="1" ref="C34" ca="1">IFERROR(_xlfn.XLOOKUP(_xlfn.SINGLE(t_rang[[Dato]:[Dato]]),INDIRECT("t_"&amp;C$1&amp;"[[Dato]]"),INDIRECT("t_"&amp;C$1&amp;"[[Rank]]")),"")</f>
        <v/>
      </c>
      <c r="D34" t="str" cm="1">
        <f t="array" aca="1" ref="D34" ca="1">IFERROR(_xlfn.XLOOKUP(_xlfn.SINGLE(t_rang[[Dato]:[Dato]]),INDIRECT("t_"&amp;D$1&amp;"[[Dato]]"),INDIRECT("t_"&amp;D$1&amp;"[[Rank]]")),"")</f>
        <v/>
      </c>
      <c r="E34" t="str" cm="1">
        <f t="array" aca="1" ref="E34" ca="1">IFERROR(_xlfn.XLOOKUP(_xlfn.SINGLE(t_rang[[Dato]:[Dato]]),INDIRECT("t_"&amp;E$1&amp;"[[Dato]]"),INDIRECT("t_"&amp;E$1&amp;"[[Rank]]")),"")</f>
        <v/>
      </c>
      <c r="F34" t="str" cm="1">
        <f t="array" aca="1" ref="F34" ca="1">IFERROR(_xlfn.XLOOKUP(_xlfn.SINGLE(t_rang[[Dato]:[Dato]]),INDIRECT("t_"&amp;F$1&amp;"[[Dato]]"),INDIRECT("t_"&amp;F$1&amp;"[[Rank]]")),"")</f>
        <v/>
      </c>
      <c r="G34" t="str" cm="1">
        <f t="array" aca="1" ref="G34" ca="1">IFERROR(_xlfn.XLOOKUP(_xlfn.SINGLE(t_rang[[Dato]:[Dato]]),INDIRECT("t_"&amp;G$1&amp;"[[Dato]]"),INDIRECT("t_"&amp;G$1&amp;"[[Rank]]")),"")</f>
        <v/>
      </c>
      <c r="H34" t="str" cm="1">
        <f t="array" aca="1" ref="H34" ca="1">IFERROR(_xlfn.XLOOKUP(_xlfn.SINGLE(t_rang[[Dato]:[Dato]]),INDIRECT("t_"&amp;H$1&amp;"[[Dato]]"),INDIRECT("t_"&amp;H$1&amp;"[[Rank]]")),"")</f>
        <v/>
      </c>
      <c r="I34" t="str" cm="1">
        <f t="array" aca="1" ref="I34" ca="1">IFERROR(_xlfn.XLOOKUP(_xlfn.SINGLE(t_rang[[Dato]:[Dato]]),INDIRECT("t_"&amp;I$1&amp;"[[Dato]]"),INDIRECT("t_"&amp;I$1&amp;"[[Rank]]")),"")</f>
        <v/>
      </c>
      <c r="J34" t="str" cm="1">
        <f t="array" aca="1" ref="J34" ca="1">IFERROR(_xlfn.XLOOKUP(_xlfn.SINGLE(t_rang[[Dato]:[Dato]]),INDIRECT("t_"&amp;J$1&amp;"[[Dato]]"),INDIRECT("t_"&amp;J$1&amp;"[[Rank]]")),"")</f>
        <v/>
      </c>
      <c r="K34" t="str" cm="1">
        <f t="array" aca="1" ref="K34" ca="1">IFERROR(_xlfn.XLOOKUP(_xlfn.SINGLE(t_rang[[Dato]:[Dato]]),INDIRECT("t_"&amp;K$1&amp;"[[Dato]]"),INDIRECT("t_"&amp;K$1&amp;"[[Rank]]")),"")</f>
        <v/>
      </c>
      <c r="L34" s="381"/>
      <c r="M34" s="381"/>
      <c r="N34" s="381"/>
      <c r="O34" s="361"/>
      <c r="P34" s="383">
        <f>Data!AL33</f>
        <v>46473</v>
      </c>
      <c r="Q34" s="360" t="str" cm="1">
        <f t="array" aca="1" ref="Q34" ca="1">IFERROR(INDIRECT("t_"&amp;Q$1&amp;"[@[Totalt]:[Totalt]]"),"")</f>
        <v/>
      </c>
      <c r="R34" s="360" t="str" cm="1">
        <f t="array" aca="1" ref="R34" ca="1">IFERROR(INDIRECT("t_"&amp;R$1&amp;"[@[Totalt]:[Totalt]]"),"")</f>
        <v/>
      </c>
      <c r="S34" s="360" cm="1">
        <f t="array" aca="1" ref="S34" ca="1">IFERROR(INDIRECT("t_"&amp;S$1&amp;"[@[Totalt]:[Totalt]]"),"")</f>
        <v>0</v>
      </c>
      <c r="T34" s="360" t="str" cm="1">
        <f t="array" aca="1" ref="T34" ca="1">IFERROR(INDIRECT("t_"&amp;T$1&amp;"[@[Totalt]:[Totalt]]"),"")</f>
        <v/>
      </c>
      <c r="U34" s="360" t="str" cm="1">
        <f t="array" aca="1" ref="U34" ca="1">IFERROR(INDIRECT("t_"&amp;U$1&amp;"[@[Totalt]:[Totalt]]"),"")</f>
        <v/>
      </c>
      <c r="V34" s="360" t="str" cm="1">
        <f t="array" aca="1" ref="V34" ca="1">IFERROR(INDIRECT("t_"&amp;V$1&amp;"[@[Totalt]:[Totalt]]"),"")</f>
        <v/>
      </c>
      <c r="W34" s="360" t="str" cm="1">
        <f t="array" aca="1" ref="W34" ca="1">IFERROR(INDIRECT("t_"&amp;W$1&amp;"[@[Totalt]:[Totalt]]"),"")</f>
        <v/>
      </c>
      <c r="X34" s="360" cm="1">
        <f t="array" aca="1" ref="X34" ca="1">IFERROR(INDIRECT("t_"&amp;X$1&amp;"[@[Totalt]:[Totalt]]"),"")</f>
        <v>0</v>
      </c>
      <c r="Y34" s="360" t="str" cm="1">
        <f t="array" aca="1" ref="Y34" ca="1">IFERROR(INDIRECT("t_"&amp;Y$1&amp;"[@[Totalt]:[Totalt]]"),"")</f>
        <v/>
      </c>
      <c r="AA34" s="557">
        <f>t_tp[[#This Row],[Dato]]</f>
        <v>46473</v>
      </c>
      <c r="AB34" s="558" t="str" cm="1">
        <f t="array" aca="1" ref="AB34:AC34" ca="1">IFERROR(_xlfn._xlws.FILTER($Q$1:$Y$1,t_tp[[#This Row],[ahh]:[lev]]=LARGE(t_tp[[#This Row],[ahh]:[lev]],1)),"")</f>
        <v>eb</v>
      </c>
      <c r="AC34" s="558" t="str">
        <f ca="1"/>
        <v>utg</v>
      </c>
      <c r="AD34" s="558"/>
      <c r="AE34" s="558"/>
      <c r="AF34" s="558"/>
      <c r="AG34" s="558"/>
      <c r="AH34" s="558"/>
      <c r="AI34" s="558"/>
      <c r="AJ34" s="559"/>
      <c r="AK34" s="20"/>
      <c r="AL34" s="557">
        <f t="shared" si="0"/>
        <v>46473</v>
      </c>
      <c r="AM34" s="558" t="str" cm="1">
        <f t="array" aca="1" ref="AM34:AN34" ca="1">IFERROR(_xlfn._xlws.FILTER($Q$1:$Y$1,t_tp[[#This Row],[ahh]:[lev]]=SMALL(t_tp[[#This Row],[ahh]:[lev]],1)),"")</f>
        <v>eb</v>
      </c>
      <c r="AN34" s="558" t="str">
        <f ca="1"/>
        <v>utg</v>
      </c>
      <c r="AO34" s="558"/>
      <c r="AP34" s="558"/>
      <c r="AQ34" s="558"/>
      <c r="AR34" s="558"/>
      <c r="AS34" s="558"/>
      <c r="AT34" s="558"/>
      <c r="AU34" s="559"/>
    </row>
    <row r="35" spans="1:47" ht="14.25" thickTop="1" thickBot="1" x14ac:dyDescent="0.25">
      <c r="A35">
        <v>34</v>
      </c>
      <c r="B35" s="22">
        <f>Data!AL34</f>
        <v>46480</v>
      </c>
      <c r="C35" t="str" cm="1">
        <f t="array" aca="1" ref="C35" ca="1">IFERROR(_xlfn.XLOOKUP(_xlfn.SINGLE(t_rang[[Dato]:[Dato]]),INDIRECT("t_"&amp;C$1&amp;"[[Dato]]"),INDIRECT("t_"&amp;C$1&amp;"[[Rank]]")),"")</f>
        <v/>
      </c>
      <c r="D35" t="str" cm="1">
        <f t="array" aca="1" ref="D35" ca="1">IFERROR(_xlfn.XLOOKUP(_xlfn.SINGLE(t_rang[[Dato]:[Dato]]),INDIRECT("t_"&amp;D$1&amp;"[[Dato]]"),INDIRECT("t_"&amp;D$1&amp;"[[Rank]]")),"")</f>
        <v/>
      </c>
      <c r="E35" t="str" cm="1">
        <f t="array" aca="1" ref="E35" ca="1">IFERROR(_xlfn.XLOOKUP(_xlfn.SINGLE(t_rang[[Dato]:[Dato]]),INDIRECT("t_"&amp;E$1&amp;"[[Dato]]"),INDIRECT("t_"&amp;E$1&amp;"[[Rank]]")),"")</f>
        <v/>
      </c>
      <c r="F35" t="str" cm="1">
        <f t="array" aca="1" ref="F35" ca="1">IFERROR(_xlfn.XLOOKUP(_xlfn.SINGLE(t_rang[[Dato]:[Dato]]),INDIRECT("t_"&amp;F$1&amp;"[[Dato]]"),INDIRECT("t_"&amp;F$1&amp;"[[Rank]]")),"")</f>
        <v/>
      </c>
      <c r="G35" t="str" cm="1">
        <f t="array" aca="1" ref="G35" ca="1">IFERROR(_xlfn.XLOOKUP(_xlfn.SINGLE(t_rang[[Dato]:[Dato]]),INDIRECT("t_"&amp;G$1&amp;"[[Dato]]"),INDIRECT("t_"&amp;G$1&amp;"[[Rank]]")),"")</f>
        <v/>
      </c>
      <c r="H35" t="str" cm="1">
        <f t="array" aca="1" ref="H35" ca="1">IFERROR(_xlfn.XLOOKUP(_xlfn.SINGLE(t_rang[[Dato]:[Dato]]),INDIRECT("t_"&amp;H$1&amp;"[[Dato]]"),INDIRECT("t_"&amp;H$1&amp;"[[Rank]]")),"")</f>
        <v/>
      </c>
      <c r="I35" t="str" cm="1">
        <f t="array" aca="1" ref="I35" ca="1">IFERROR(_xlfn.XLOOKUP(_xlfn.SINGLE(t_rang[[Dato]:[Dato]]),INDIRECT("t_"&amp;I$1&amp;"[[Dato]]"),INDIRECT("t_"&amp;I$1&amp;"[[Rank]]")),"")</f>
        <v/>
      </c>
      <c r="J35" t="str" cm="1">
        <f t="array" aca="1" ref="J35" ca="1">IFERROR(_xlfn.XLOOKUP(_xlfn.SINGLE(t_rang[[Dato]:[Dato]]),INDIRECT("t_"&amp;J$1&amp;"[[Dato]]"),INDIRECT("t_"&amp;J$1&amp;"[[Rank]]")),"")</f>
        <v/>
      </c>
      <c r="K35" t="str" cm="1">
        <f t="array" aca="1" ref="K35" ca="1">IFERROR(_xlfn.XLOOKUP(_xlfn.SINGLE(t_rang[[Dato]:[Dato]]),INDIRECT("t_"&amp;K$1&amp;"[[Dato]]"),INDIRECT("t_"&amp;K$1&amp;"[[Rank]]")),"")</f>
        <v/>
      </c>
      <c r="L35" s="381"/>
      <c r="M35" s="381"/>
      <c r="N35" s="381"/>
      <c r="O35" s="361"/>
      <c r="P35" s="383">
        <f>Data!AL34</f>
        <v>46480</v>
      </c>
      <c r="Q35" s="360" t="str" cm="1">
        <f t="array" aca="1" ref="Q35" ca="1">IFERROR(INDIRECT("t_"&amp;Q$1&amp;"[@[Totalt]:[Totalt]]"),"")</f>
        <v/>
      </c>
      <c r="R35" s="360" t="str" cm="1">
        <f t="array" aca="1" ref="R35" ca="1">IFERROR(INDIRECT("t_"&amp;R$1&amp;"[@[Totalt]:[Totalt]]"),"")</f>
        <v/>
      </c>
      <c r="S35" s="360" t="str" cm="1">
        <f t="array" aca="1" ref="S35" ca="1">IFERROR(INDIRECT("t_"&amp;S$1&amp;"[@[Totalt]:[Totalt]]"),"")</f>
        <v/>
      </c>
      <c r="T35" s="360" t="str" cm="1">
        <f t="array" aca="1" ref="T35" ca="1">IFERROR(INDIRECT("t_"&amp;T$1&amp;"[@[Totalt]:[Totalt]]"),"")</f>
        <v/>
      </c>
      <c r="U35" s="360" t="str" cm="1">
        <f t="array" aca="1" ref="U35" ca="1">IFERROR(INDIRECT("t_"&amp;U$1&amp;"[@[Totalt]:[Totalt]]"),"")</f>
        <v/>
      </c>
      <c r="V35" s="360" t="str" cm="1">
        <f t="array" aca="1" ref="V35" ca="1">IFERROR(INDIRECT("t_"&amp;V$1&amp;"[@[Totalt]:[Totalt]]"),"")</f>
        <v/>
      </c>
      <c r="W35" s="360" t="str" cm="1">
        <f t="array" aca="1" ref="W35" ca="1">IFERROR(INDIRECT("t_"&amp;W$1&amp;"[@[Totalt]:[Totalt]]"),"")</f>
        <v/>
      </c>
      <c r="X35" s="360" cm="1">
        <f t="array" aca="1" ref="X35" ca="1">IFERROR(INDIRECT("t_"&amp;X$1&amp;"[@[Totalt]:[Totalt]]"),"")</f>
        <v>0</v>
      </c>
      <c r="Y35" s="360" t="str" cm="1">
        <f t="array" aca="1" ref="Y35" ca="1">IFERROR(INDIRECT("t_"&amp;Y$1&amp;"[@[Totalt]:[Totalt]]"),"")</f>
        <v/>
      </c>
      <c r="AA35" s="560">
        <f>t_tp[[#This Row],[Dato]]</f>
        <v>46480</v>
      </c>
      <c r="AB35" s="561" t="str" cm="1">
        <f t="array" aca="1" ref="AB35" ca="1">IFERROR(_xlfn._xlws.FILTER($Q$1:$Y$1,t_tp[[#This Row],[ahh]:[lev]]=LARGE(t_tp[[#This Row],[ahh]:[lev]],1)),"")</f>
        <v>utg</v>
      </c>
      <c r="AC35" s="561"/>
      <c r="AD35" s="561"/>
      <c r="AE35" s="561"/>
      <c r="AF35" s="561"/>
      <c r="AG35" s="561"/>
      <c r="AH35" s="561"/>
      <c r="AI35" s="561"/>
      <c r="AJ35" s="562"/>
      <c r="AK35" s="20"/>
      <c r="AL35" s="560">
        <f t="shared" si="0"/>
        <v>46480</v>
      </c>
      <c r="AM35" s="561" t="str" cm="1">
        <f t="array" aca="1" ref="AM35" ca="1">IFERROR(_xlfn._xlws.FILTER($Q$1:$Y$1,t_tp[[#This Row],[ahh]:[lev]]=SMALL(t_tp[[#This Row],[ahh]:[lev]],1)),"")</f>
        <v>utg</v>
      </c>
      <c r="AN35" s="561"/>
      <c r="AO35" s="561"/>
      <c r="AP35" s="561"/>
      <c r="AQ35" s="561"/>
      <c r="AR35" s="561"/>
      <c r="AS35" s="561"/>
      <c r="AT35" s="561"/>
      <c r="AU35" s="562"/>
    </row>
    <row r="36" spans="1:47" ht="14.25" thickTop="1" thickBot="1" x14ac:dyDescent="0.25">
      <c r="A36">
        <v>35</v>
      </c>
      <c r="B36" s="22">
        <f>Data!AL35</f>
        <v>46487</v>
      </c>
      <c r="C36" t="str" cm="1">
        <f t="array" aca="1" ref="C36" ca="1">IFERROR(_xlfn.XLOOKUP(_xlfn.SINGLE(t_rang[[Dato]:[Dato]]),INDIRECT("t_"&amp;C$1&amp;"[[Dato]]"),INDIRECT("t_"&amp;C$1&amp;"[[Rank]]")),"")</f>
        <v/>
      </c>
      <c r="D36" t="str" cm="1">
        <f t="array" aca="1" ref="D36" ca="1">IFERROR(_xlfn.XLOOKUP(_xlfn.SINGLE(t_rang[[Dato]:[Dato]]),INDIRECT("t_"&amp;D$1&amp;"[[Dato]]"),INDIRECT("t_"&amp;D$1&amp;"[[Rank]]")),"")</f>
        <v/>
      </c>
      <c r="E36" t="str" cm="1">
        <f t="array" aca="1" ref="E36" ca="1">IFERROR(_xlfn.XLOOKUP(_xlfn.SINGLE(t_rang[[Dato]:[Dato]]),INDIRECT("t_"&amp;E$1&amp;"[[Dato]]"),INDIRECT("t_"&amp;E$1&amp;"[[Rank]]")),"")</f>
        <v/>
      </c>
      <c r="F36" t="str" cm="1">
        <f t="array" aca="1" ref="F36" ca="1">IFERROR(_xlfn.XLOOKUP(_xlfn.SINGLE(t_rang[[Dato]:[Dato]]),INDIRECT("t_"&amp;F$1&amp;"[[Dato]]"),INDIRECT("t_"&amp;F$1&amp;"[[Rank]]")),"")</f>
        <v/>
      </c>
      <c r="G36" t="str" cm="1">
        <f t="array" aca="1" ref="G36" ca="1">IFERROR(_xlfn.XLOOKUP(_xlfn.SINGLE(t_rang[[Dato]:[Dato]]),INDIRECT("t_"&amp;G$1&amp;"[[Dato]]"),INDIRECT("t_"&amp;G$1&amp;"[[Rank]]")),"")</f>
        <v/>
      </c>
      <c r="H36" t="str" cm="1">
        <f t="array" aca="1" ref="H36" ca="1">IFERROR(_xlfn.XLOOKUP(_xlfn.SINGLE(t_rang[[Dato]:[Dato]]),INDIRECT("t_"&amp;H$1&amp;"[[Dato]]"),INDIRECT("t_"&amp;H$1&amp;"[[Rank]]")),"")</f>
        <v/>
      </c>
      <c r="I36" t="str" cm="1">
        <f t="array" aca="1" ref="I36" ca="1">IFERROR(_xlfn.XLOOKUP(_xlfn.SINGLE(t_rang[[Dato]:[Dato]]),INDIRECT("t_"&amp;I$1&amp;"[[Dato]]"),INDIRECT("t_"&amp;I$1&amp;"[[Rank]]")),"")</f>
        <v/>
      </c>
      <c r="J36" t="str" cm="1">
        <f t="array" aca="1" ref="J36" ca="1">IFERROR(_xlfn.XLOOKUP(_xlfn.SINGLE(t_rang[[Dato]:[Dato]]),INDIRECT("t_"&amp;J$1&amp;"[[Dato]]"),INDIRECT("t_"&amp;J$1&amp;"[[Rank]]")),"")</f>
        <v/>
      </c>
      <c r="K36" t="str" cm="1">
        <f t="array" aca="1" ref="K36" ca="1">IFERROR(_xlfn.XLOOKUP(_xlfn.SINGLE(t_rang[[Dato]:[Dato]]),INDIRECT("t_"&amp;K$1&amp;"[[Dato]]"),INDIRECT("t_"&amp;K$1&amp;"[[Rank]]")),"")</f>
        <v/>
      </c>
      <c r="L36" s="381"/>
      <c r="M36" s="381"/>
      <c r="N36" s="381"/>
      <c r="O36" s="361"/>
      <c r="P36" s="383">
        <f>Data!AL35</f>
        <v>46487</v>
      </c>
      <c r="Q36" s="360" t="str" cm="1">
        <f t="array" aca="1" ref="Q36" ca="1">IFERROR(INDIRECT("t_"&amp;Q$1&amp;"[@[Totalt]:[Totalt]]"),"")</f>
        <v/>
      </c>
      <c r="R36" s="360" t="str" cm="1">
        <f t="array" aca="1" ref="R36" ca="1">IFERROR(INDIRECT("t_"&amp;R$1&amp;"[@[Totalt]:[Totalt]]"),"")</f>
        <v/>
      </c>
      <c r="S36" s="360" t="str" cm="1">
        <f t="array" aca="1" ref="S36" ca="1">IFERROR(INDIRECT("t_"&amp;S$1&amp;"[@[Totalt]:[Totalt]]"),"")</f>
        <v/>
      </c>
      <c r="T36" s="360" t="str" cm="1">
        <f t="array" aca="1" ref="T36" ca="1">IFERROR(INDIRECT("t_"&amp;T$1&amp;"[@[Totalt]:[Totalt]]"),"")</f>
        <v/>
      </c>
      <c r="U36" s="360" t="str" cm="1">
        <f t="array" aca="1" ref="U36" ca="1">IFERROR(INDIRECT("t_"&amp;U$1&amp;"[@[Totalt]:[Totalt]]"),"")</f>
        <v/>
      </c>
      <c r="V36" s="360" t="str" cm="1">
        <f t="array" aca="1" ref="V36" ca="1">IFERROR(INDIRECT("t_"&amp;V$1&amp;"[@[Totalt]:[Totalt]]"),"")</f>
        <v/>
      </c>
      <c r="W36" s="360" t="str" cm="1">
        <f t="array" aca="1" ref="W36" ca="1">IFERROR(INDIRECT("t_"&amp;W$1&amp;"[@[Totalt]:[Totalt]]"),"")</f>
        <v/>
      </c>
      <c r="X36" s="360" cm="1">
        <f t="array" aca="1" ref="X36" ca="1">IFERROR(INDIRECT("t_"&amp;X$1&amp;"[@[Totalt]:[Totalt]]"),"")</f>
        <v>0</v>
      </c>
      <c r="Y36" s="360" t="str" cm="1">
        <f t="array" aca="1" ref="Y36" ca="1">IFERROR(INDIRECT("t_"&amp;Y$1&amp;"[@[Totalt]:[Totalt]]"),"")</f>
        <v/>
      </c>
      <c r="AA36" s="557">
        <f>t_tp[[#This Row],[Dato]]</f>
        <v>46487</v>
      </c>
      <c r="AB36" s="558" t="str" cm="1">
        <f t="array" aca="1" ref="AB36" ca="1">IFERROR(_xlfn._xlws.FILTER($Q$1:$Y$1,t_tp[[#This Row],[ahh]:[lev]]=LARGE(t_tp[[#This Row],[ahh]:[lev]],1)),"")</f>
        <v>utg</v>
      </c>
      <c r="AC36" s="558"/>
      <c r="AD36" s="558"/>
      <c r="AE36" s="558"/>
      <c r="AF36" s="558"/>
      <c r="AG36" s="558"/>
      <c r="AH36" s="558"/>
      <c r="AI36" s="558"/>
      <c r="AJ36" s="559"/>
      <c r="AK36" s="20"/>
      <c r="AL36" s="557">
        <f t="shared" si="0"/>
        <v>46487</v>
      </c>
      <c r="AM36" s="558" t="str" cm="1">
        <f t="array" aca="1" ref="AM36" ca="1">IFERROR(_xlfn._xlws.FILTER($Q$1:$Y$1,t_tp[[#This Row],[ahh]:[lev]]=SMALL(t_tp[[#This Row],[ahh]:[lev]],1)),"")</f>
        <v>utg</v>
      </c>
      <c r="AN36" s="558"/>
      <c r="AO36" s="558"/>
      <c r="AP36" s="558"/>
      <c r="AQ36" s="558"/>
      <c r="AR36" s="558"/>
      <c r="AS36" s="558"/>
      <c r="AT36" s="558"/>
      <c r="AU36" s="559"/>
    </row>
    <row r="37" spans="1:47" ht="14.25" thickTop="1" thickBot="1" x14ac:dyDescent="0.25">
      <c r="A37">
        <v>36</v>
      </c>
      <c r="B37" s="22">
        <f>Data!AL36</f>
        <v>46494</v>
      </c>
      <c r="C37" t="str" cm="1">
        <f t="array" aca="1" ref="C37" ca="1">IFERROR(_xlfn.XLOOKUP(_xlfn.SINGLE(t_rang[[Dato]:[Dato]]),INDIRECT("t_"&amp;C$1&amp;"[[Dato]]"),INDIRECT("t_"&amp;C$1&amp;"[[Rank]]")),"")</f>
        <v/>
      </c>
      <c r="D37" t="str" cm="1">
        <f t="array" aca="1" ref="D37" ca="1">IFERROR(_xlfn.XLOOKUP(_xlfn.SINGLE(t_rang[[Dato]:[Dato]]),INDIRECT("t_"&amp;D$1&amp;"[[Dato]]"),INDIRECT("t_"&amp;D$1&amp;"[[Rank]]")),"")</f>
        <v/>
      </c>
      <c r="E37" t="str" cm="1">
        <f t="array" aca="1" ref="E37" ca="1">IFERROR(_xlfn.XLOOKUP(_xlfn.SINGLE(t_rang[[Dato]:[Dato]]),INDIRECT("t_"&amp;E$1&amp;"[[Dato]]"),INDIRECT("t_"&amp;E$1&amp;"[[Rank]]")),"")</f>
        <v/>
      </c>
      <c r="F37" t="str" cm="1">
        <f t="array" aca="1" ref="F37" ca="1">IFERROR(_xlfn.XLOOKUP(_xlfn.SINGLE(t_rang[[Dato]:[Dato]]),INDIRECT("t_"&amp;F$1&amp;"[[Dato]]"),INDIRECT("t_"&amp;F$1&amp;"[[Rank]]")),"")</f>
        <v/>
      </c>
      <c r="G37" t="str" cm="1">
        <f t="array" aca="1" ref="G37" ca="1">IFERROR(_xlfn.XLOOKUP(_xlfn.SINGLE(t_rang[[Dato]:[Dato]]),INDIRECT("t_"&amp;G$1&amp;"[[Dato]]"),INDIRECT("t_"&amp;G$1&amp;"[[Rank]]")),"")</f>
        <v/>
      </c>
      <c r="H37" t="str" cm="1">
        <f t="array" aca="1" ref="H37" ca="1">IFERROR(_xlfn.XLOOKUP(_xlfn.SINGLE(t_rang[[Dato]:[Dato]]),INDIRECT("t_"&amp;H$1&amp;"[[Dato]]"),INDIRECT("t_"&amp;H$1&amp;"[[Rank]]")),"")</f>
        <v/>
      </c>
      <c r="I37" t="str" cm="1">
        <f t="array" aca="1" ref="I37" ca="1">IFERROR(_xlfn.XLOOKUP(_xlfn.SINGLE(t_rang[[Dato]:[Dato]]),INDIRECT("t_"&amp;I$1&amp;"[[Dato]]"),INDIRECT("t_"&amp;I$1&amp;"[[Rank]]")),"")</f>
        <v/>
      </c>
      <c r="J37" t="str" cm="1">
        <f t="array" aca="1" ref="J37" ca="1">IFERROR(_xlfn.XLOOKUP(_xlfn.SINGLE(t_rang[[Dato]:[Dato]]),INDIRECT("t_"&amp;J$1&amp;"[[Dato]]"),INDIRECT("t_"&amp;J$1&amp;"[[Rank]]")),"")</f>
        <v/>
      </c>
      <c r="K37" t="str" cm="1">
        <f t="array" aca="1" ref="K37" ca="1">IFERROR(_xlfn.XLOOKUP(_xlfn.SINGLE(t_rang[[Dato]:[Dato]]),INDIRECT("t_"&amp;K$1&amp;"[[Dato]]"),INDIRECT("t_"&amp;K$1&amp;"[[Rank]]")),"")</f>
        <v/>
      </c>
      <c r="L37" s="381"/>
      <c r="M37" s="381"/>
      <c r="N37" s="381"/>
      <c r="O37" s="361"/>
      <c r="P37" s="383">
        <f>Data!AL36</f>
        <v>46494</v>
      </c>
      <c r="Q37" s="360" t="str" cm="1">
        <f t="array" aca="1" ref="Q37" ca="1">IFERROR(INDIRECT("t_"&amp;Q$1&amp;"[@[Totalt]:[Totalt]]"),"")</f>
        <v/>
      </c>
      <c r="R37" s="360" t="str" cm="1">
        <f t="array" aca="1" ref="R37" ca="1">IFERROR(INDIRECT("t_"&amp;R$1&amp;"[@[Totalt]:[Totalt]]"),"")</f>
        <v/>
      </c>
      <c r="S37" s="360" t="str" cm="1">
        <f t="array" aca="1" ref="S37" ca="1">IFERROR(INDIRECT("t_"&amp;S$1&amp;"[@[Totalt]:[Totalt]]"),"")</f>
        <v/>
      </c>
      <c r="T37" s="360" t="str" cm="1">
        <f t="array" aca="1" ref="T37" ca="1">IFERROR(INDIRECT("t_"&amp;T$1&amp;"[@[Totalt]:[Totalt]]"),"")</f>
        <v/>
      </c>
      <c r="U37" s="360" t="str" cm="1">
        <f t="array" aca="1" ref="U37" ca="1">IFERROR(INDIRECT("t_"&amp;U$1&amp;"[@[Totalt]:[Totalt]]"),"")</f>
        <v/>
      </c>
      <c r="V37" s="360" t="str" cm="1">
        <f t="array" aca="1" ref="V37" ca="1">IFERROR(INDIRECT("t_"&amp;V$1&amp;"[@[Totalt]:[Totalt]]"),"")</f>
        <v/>
      </c>
      <c r="W37" s="360" t="str" cm="1">
        <f t="array" aca="1" ref="W37" ca="1">IFERROR(INDIRECT("t_"&amp;W$1&amp;"[@[Totalt]:[Totalt]]"),"")</f>
        <v/>
      </c>
      <c r="X37" s="360" cm="1">
        <f t="array" aca="1" ref="X37" ca="1">IFERROR(INDIRECT("t_"&amp;X$1&amp;"[@[Totalt]:[Totalt]]"),"")</f>
        <v>0</v>
      </c>
      <c r="Y37" s="360" t="str" cm="1">
        <f t="array" aca="1" ref="Y37" ca="1">IFERROR(INDIRECT("t_"&amp;Y$1&amp;"[@[Totalt]:[Totalt]]"),"")</f>
        <v/>
      </c>
      <c r="AA37" s="560">
        <f>t_tp[[#This Row],[Dato]]</f>
        <v>46494</v>
      </c>
      <c r="AB37" s="561" t="str" cm="1">
        <f t="array" aca="1" ref="AB37" ca="1">IFERROR(_xlfn._xlws.FILTER($Q$1:$Y$1,t_tp[[#This Row],[ahh]:[lev]]=LARGE(t_tp[[#This Row],[ahh]:[lev]],1)),"")</f>
        <v>utg</v>
      </c>
      <c r="AC37" s="561"/>
      <c r="AD37" s="561"/>
      <c r="AE37" s="561"/>
      <c r="AF37" s="561"/>
      <c r="AG37" s="561"/>
      <c r="AH37" s="561"/>
      <c r="AI37" s="561"/>
      <c r="AJ37" s="562"/>
      <c r="AK37" s="20"/>
      <c r="AL37" s="560">
        <f t="shared" si="0"/>
        <v>46494</v>
      </c>
      <c r="AM37" s="561" t="str" cm="1">
        <f t="array" aca="1" ref="AM37" ca="1">IFERROR(_xlfn._xlws.FILTER($Q$1:$Y$1,t_tp[[#This Row],[ahh]:[lev]]=SMALL(t_tp[[#This Row],[ahh]:[lev]],1)),"")</f>
        <v>utg</v>
      </c>
      <c r="AN37" s="561"/>
      <c r="AO37" s="561"/>
      <c r="AP37" s="561"/>
      <c r="AQ37" s="561"/>
      <c r="AR37" s="561"/>
      <c r="AS37" s="561"/>
      <c r="AT37" s="561"/>
      <c r="AU37" s="562"/>
    </row>
    <row r="38" spans="1:47" ht="14.25" thickTop="1" thickBot="1" x14ac:dyDescent="0.25">
      <c r="A38">
        <v>37</v>
      </c>
      <c r="B38" s="22">
        <f>Data!AL37</f>
        <v>46501</v>
      </c>
      <c r="C38" t="str" cm="1">
        <f t="array" aca="1" ref="C38" ca="1">IFERROR(_xlfn.XLOOKUP(_xlfn.SINGLE(t_rang[[Dato]:[Dato]]),INDIRECT("t_"&amp;C$1&amp;"[[Dato]]"),INDIRECT("t_"&amp;C$1&amp;"[[Rank]]")),"")</f>
        <v/>
      </c>
      <c r="D38" t="str" cm="1">
        <f t="array" aca="1" ref="D38" ca="1">IFERROR(_xlfn.XLOOKUP(_xlfn.SINGLE(t_rang[[Dato]:[Dato]]),INDIRECT("t_"&amp;D$1&amp;"[[Dato]]"),INDIRECT("t_"&amp;D$1&amp;"[[Rank]]")),"")</f>
        <v/>
      </c>
      <c r="E38" t="str" cm="1">
        <f t="array" aca="1" ref="E38" ca="1">IFERROR(_xlfn.XLOOKUP(_xlfn.SINGLE(t_rang[[Dato]:[Dato]]),INDIRECT("t_"&amp;E$1&amp;"[[Dato]]"),INDIRECT("t_"&amp;E$1&amp;"[[Rank]]")),"")</f>
        <v/>
      </c>
      <c r="F38" t="str" cm="1">
        <f t="array" aca="1" ref="F38" ca="1">IFERROR(_xlfn.XLOOKUP(_xlfn.SINGLE(t_rang[[Dato]:[Dato]]),INDIRECT("t_"&amp;F$1&amp;"[[Dato]]"),INDIRECT("t_"&amp;F$1&amp;"[[Rank]]")),"")</f>
        <v/>
      </c>
      <c r="G38" t="str" cm="1">
        <f t="array" aca="1" ref="G38" ca="1">IFERROR(_xlfn.XLOOKUP(_xlfn.SINGLE(t_rang[[Dato]:[Dato]]),INDIRECT("t_"&amp;G$1&amp;"[[Dato]]"),INDIRECT("t_"&amp;G$1&amp;"[[Rank]]")),"")</f>
        <v/>
      </c>
      <c r="H38" t="str" cm="1">
        <f t="array" aca="1" ref="H38" ca="1">IFERROR(_xlfn.XLOOKUP(_xlfn.SINGLE(t_rang[[Dato]:[Dato]]),INDIRECT("t_"&amp;H$1&amp;"[[Dato]]"),INDIRECT("t_"&amp;H$1&amp;"[[Rank]]")),"")</f>
        <v/>
      </c>
      <c r="I38" t="str" cm="1">
        <f t="array" aca="1" ref="I38" ca="1">IFERROR(_xlfn.XLOOKUP(_xlfn.SINGLE(t_rang[[Dato]:[Dato]]),INDIRECT("t_"&amp;I$1&amp;"[[Dato]]"),INDIRECT("t_"&amp;I$1&amp;"[[Rank]]")),"")</f>
        <v/>
      </c>
      <c r="J38" t="str" cm="1">
        <f t="array" aca="1" ref="J38" ca="1">IFERROR(_xlfn.XLOOKUP(_xlfn.SINGLE(t_rang[[Dato]:[Dato]]),INDIRECT("t_"&amp;J$1&amp;"[[Dato]]"),INDIRECT("t_"&amp;J$1&amp;"[[Rank]]")),"")</f>
        <v/>
      </c>
      <c r="K38" t="str" cm="1">
        <f t="array" aca="1" ref="K38" ca="1">IFERROR(_xlfn.XLOOKUP(_xlfn.SINGLE(t_rang[[Dato]:[Dato]]),INDIRECT("t_"&amp;K$1&amp;"[[Dato]]"),INDIRECT("t_"&amp;K$1&amp;"[[Rank]]")),"")</f>
        <v/>
      </c>
      <c r="L38" s="381"/>
      <c r="M38" s="381"/>
      <c r="N38" s="381"/>
      <c r="O38" s="361"/>
      <c r="P38" s="383">
        <f>Data!AL37</f>
        <v>46501</v>
      </c>
      <c r="Q38" s="360" t="str" cm="1">
        <f t="array" aca="1" ref="Q38" ca="1">IFERROR(INDIRECT("t_"&amp;Q$1&amp;"[@[Totalt]:[Totalt]]"),"")</f>
        <v/>
      </c>
      <c r="R38" s="360" t="str" cm="1">
        <f t="array" aca="1" ref="R38" ca="1">IFERROR(INDIRECT("t_"&amp;R$1&amp;"[@[Totalt]:[Totalt]]"),"")</f>
        <v/>
      </c>
      <c r="S38" s="360" t="str" cm="1">
        <f t="array" aca="1" ref="S38" ca="1">IFERROR(INDIRECT("t_"&amp;S$1&amp;"[@[Totalt]:[Totalt]]"),"")</f>
        <v/>
      </c>
      <c r="T38" s="360" t="str" cm="1">
        <f t="array" aca="1" ref="T38" ca="1">IFERROR(INDIRECT("t_"&amp;T$1&amp;"[@[Totalt]:[Totalt]]"),"")</f>
        <v/>
      </c>
      <c r="U38" s="360" t="str" cm="1">
        <f t="array" aca="1" ref="U38" ca="1">IFERROR(INDIRECT("t_"&amp;U$1&amp;"[@[Totalt]:[Totalt]]"),"")</f>
        <v/>
      </c>
      <c r="V38" s="360" t="str" cm="1">
        <f t="array" aca="1" ref="V38" ca="1">IFERROR(INDIRECT("t_"&amp;V$1&amp;"[@[Totalt]:[Totalt]]"),"")</f>
        <v/>
      </c>
      <c r="W38" s="360" t="str" cm="1">
        <f t="array" aca="1" ref="W38" ca="1">IFERROR(INDIRECT("t_"&amp;W$1&amp;"[@[Totalt]:[Totalt]]"),"")</f>
        <v/>
      </c>
      <c r="X38" s="360" cm="1">
        <f t="array" aca="1" ref="X38" ca="1">IFERROR(INDIRECT("t_"&amp;X$1&amp;"[@[Totalt]:[Totalt]]"),"")</f>
        <v>0</v>
      </c>
      <c r="Y38" s="360" t="str" cm="1">
        <f t="array" aca="1" ref="Y38" ca="1">IFERROR(INDIRECT("t_"&amp;Y$1&amp;"[@[Totalt]:[Totalt]]"),"")</f>
        <v/>
      </c>
      <c r="AA38" s="557">
        <f>t_tp[[#This Row],[Dato]]</f>
        <v>46501</v>
      </c>
      <c r="AB38" s="558" t="str" cm="1">
        <f t="array" aca="1" ref="AB38" ca="1">IFERROR(_xlfn._xlws.FILTER($Q$1:$Y$1,t_tp[[#This Row],[ahh]:[lev]]=LARGE(t_tp[[#This Row],[ahh]:[lev]],1)),"")</f>
        <v>utg</v>
      </c>
      <c r="AC38" s="558"/>
      <c r="AD38" s="558"/>
      <c r="AE38" s="558"/>
      <c r="AF38" s="558"/>
      <c r="AG38" s="558"/>
      <c r="AH38" s="558"/>
      <c r="AI38" s="558"/>
      <c r="AJ38" s="559"/>
      <c r="AK38" s="20"/>
      <c r="AL38" s="557">
        <f t="shared" si="0"/>
        <v>46501</v>
      </c>
      <c r="AM38" s="558" t="str" cm="1">
        <f t="array" aca="1" ref="AM38" ca="1">IFERROR(_xlfn._xlws.FILTER($Q$1:$Y$1,t_tp[[#This Row],[ahh]:[lev]]=SMALL(t_tp[[#This Row],[ahh]:[lev]],1)),"")</f>
        <v>utg</v>
      </c>
      <c r="AN38" s="558"/>
      <c r="AO38" s="558"/>
      <c r="AP38" s="558"/>
      <c r="AQ38" s="558"/>
      <c r="AR38" s="558"/>
      <c r="AS38" s="558"/>
      <c r="AT38" s="558"/>
      <c r="AU38" s="559"/>
    </row>
    <row r="39" spans="1:47" ht="14.25" thickTop="1" thickBot="1" x14ac:dyDescent="0.25">
      <c r="A39">
        <v>38</v>
      </c>
      <c r="B39" s="22">
        <f>Data!AL38</f>
        <v>46508</v>
      </c>
      <c r="C39" t="str" cm="1">
        <f t="array" aca="1" ref="C39" ca="1">IFERROR(_xlfn.XLOOKUP(_xlfn.SINGLE(t_rang[[Dato]:[Dato]]),INDIRECT("t_"&amp;C$1&amp;"[[Dato]]"),INDIRECT("t_"&amp;C$1&amp;"[[Rank]]")),"")</f>
        <v/>
      </c>
      <c r="D39" t="str" cm="1">
        <f t="array" aca="1" ref="D39" ca="1">IFERROR(_xlfn.XLOOKUP(_xlfn.SINGLE(t_rang[[Dato]:[Dato]]),INDIRECT("t_"&amp;D$1&amp;"[[Dato]]"),INDIRECT("t_"&amp;D$1&amp;"[[Rank]]")),"")</f>
        <v/>
      </c>
      <c r="E39" t="str" cm="1">
        <f t="array" aca="1" ref="E39" ca="1">IFERROR(_xlfn.XLOOKUP(_xlfn.SINGLE(t_rang[[Dato]:[Dato]]),INDIRECT("t_"&amp;E$1&amp;"[[Dato]]"),INDIRECT("t_"&amp;E$1&amp;"[[Rank]]")),"")</f>
        <v/>
      </c>
      <c r="F39" t="str" cm="1">
        <f t="array" aca="1" ref="F39" ca="1">IFERROR(_xlfn.XLOOKUP(_xlfn.SINGLE(t_rang[[Dato]:[Dato]]),INDIRECT("t_"&amp;F$1&amp;"[[Dato]]"),INDIRECT("t_"&amp;F$1&amp;"[[Rank]]")),"")</f>
        <v/>
      </c>
      <c r="G39" t="str" cm="1">
        <f t="array" aca="1" ref="G39" ca="1">IFERROR(_xlfn.XLOOKUP(_xlfn.SINGLE(t_rang[[Dato]:[Dato]]),INDIRECT("t_"&amp;G$1&amp;"[[Dato]]"),INDIRECT("t_"&amp;G$1&amp;"[[Rank]]")),"")</f>
        <v/>
      </c>
      <c r="H39" t="str" cm="1">
        <f t="array" aca="1" ref="H39" ca="1">IFERROR(_xlfn.XLOOKUP(_xlfn.SINGLE(t_rang[[Dato]:[Dato]]),INDIRECT("t_"&amp;H$1&amp;"[[Dato]]"),INDIRECT("t_"&amp;H$1&amp;"[[Rank]]")),"")</f>
        <v/>
      </c>
      <c r="I39" t="str" cm="1">
        <f t="array" aca="1" ref="I39" ca="1">IFERROR(_xlfn.XLOOKUP(_xlfn.SINGLE(t_rang[[Dato]:[Dato]]),INDIRECT("t_"&amp;I$1&amp;"[[Dato]]"),INDIRECT("t_"&amp;I$1&amp;"[[Rank]]")),"")</f>
        <v/>
      </c>
      <c r="J39" t="str" cm="1">
        <f t="array" aca="1" ref="J39" ca="1">IFERROR(_xlfn.XLOOKUP(_xlfn.SINGLE(t_rang[[Dato]:[Dato]]),INDIRECT("t_"&amp;J$1&amp;"[[Dato]]"),INDIRECT("t_"&amp;J$1&amp;"[[Rank]]")),"")</f>
        <v/>
      </c>
      <c r="K39" t="str" cm="1">
        <f t="array" aca="1" ref="K39" ca="1">IFERROR(_xlfn.XLOOKUP(_xlfn.SINGLE(t_rang[[Dato]:[Dato]]),INDIRECT("t_"&amp;K$1&amp;"[[Dato]]"),INDIRECT("t_"&amp;K$1&amp;"[[Rank]]")),"")</f>
        <v/>
      </c>
      <c r="L39" s="381"/>
      <c r="M39" s="381"/>
      <c r="N39" s="381"/>
      <c r="O39" s="361"/>
      <c r="P39" s="383">
        <f>Data!AL38</f>
        <v>46508</v>
      </c>
      <c r="Q39" s="360" t="str" cm="1">
        <f t="array" aca="1" ref="Q39" ca="1">IFERROR(INDIRECT("t_"&amp;Q$1&amp;"[@[Totalt]:[Totalt]]"),"")</f>
        <v/>
      </c>
      <c r="R39" s="360" t="str" cm="1">
        <f t="array" aca="1" ref="R39" ca="1">IFERROR(INDIRECT("t_"&amp;R$1&amp;"[@[Totalt]:[Totalt]]"),"")</f>
        <v/>
      </c>
      <c r="S39" s="360" t="str" cm="1">
        <f t="array" aca="1" ref="S39" ca="1">IFERROR(INDIRECT("t_"&amp;S$1&amp;"[@[Totalt]:[Totalt]]"),"")</f>
        <v/>
      </c>
      <c r="T39" s="360" t="str" cm="1">
        <f t="array" aca="1" ref="T39" ca="1">IFERROR(INDIRECT("t_"&amp;T$1&amp;"[@[Totalt]:[Totalt]]"),"")</f>
        <v/>
      </c>
      <c r="U39" s="360" t="str" cm="1">
        <f t="array" aca="1" ref="U39" ca="1">IFERROR(INDIRECT("t_"&amp;U$1&amp;"[@[Totalt]:[Totalt]]"),"")</f>
        <v/>
      </c>
      <c r="V39" s="360" t="str" cm="1">
        <f t="array" aca="1" ref="V39" ca="1">IFERROR(INDIRECT("t_"&amp;V$1&amp;"[@[Totalt]:[Totalt]]"),"")</f>
        <v/>
      </c>
      <c r="W39" s="360" t="str" cm="1">
        <f t="array" aca="1" ref="W39" ca="1">IFERROR(INDIRECT("t_"&amp;W$1&amp;"[@[Totalt]:[Totalt]]"),"")</f>
        <v/>
      </c>
      <c r="X39" s="360" cm="1">
        <f t="array" aca="1" ref="X39" ca="1">IFERROR(INDIRECT("t_"&amp;X$1&amp;"[@[Totalt]:[Totalt]]"),"")</f>
        <v>0</v>
      </c>
      <c r="Y39" s="360" t="str" cm="1">
        <f t="array" aca="1" ref="Y39" ca="1">IFERROR(INDIRECT("t_"&amp;Y$1&amp;"[@[Totalt]:[Totalt]]"),"")</f>
        <v/>
      </c>
      <c r="AA39" s="560">
        <f>t_tp[[#This Row],[Dato]]</f>
        <v>46508</v>
      </c>
      <c r="AB39" s="561" t="str" cm="1">
        <f t="array" aca="1" ref="AB39" ca="1">IFERROR(_xlfn._xlws.FILTER($Q$1:$Y$1,t_tp[[#This Row],[ahh]:[lev]]=LARGE(t_tp[[#This Row],[ahh]:[lev]],1)),"")</f>
        <v>utg</v>
      </c>
      <c r="AC39" s="561"/>
      <c r="AD39" s="561"/>
      <c r="AE39" s="561"/>
      <c r="AF39" s="561"/>
      <c r="AG39" s="561"/>
      <c r="AH39" s="561"/>
      <c r="AI39" s="561"/>
      <c r="AJ39" s="562"/>
      <c r="AK39" s="20"/>
      <c r="AL39" s="560">
        <f t="shared" si="0"/>
        <v>46508</v>
      </c>
      <c r="AM39" s="561" t="str" cm="1">
        <f t="array" aca="1" ref="AM39" ca="1">IFERROR(_xlfn._xlws.FILTER($Q$1:$Y$1,t_tp[[#This Row],[ahh]:[lev]]=SMALL(t_tp[[#This Row],[ahh]:[lev]],1)),"")</f>
        <v>utg</v>
      </c>
      <c r="AN39" s="561"/>
      <c r="AO39" s="561"/>
      <c r="AP39" s="561"/>
      <c r="AQ39" s="561"/>
      <c r="AR39" s="561"/>
      <c r="AS39" s="561"/>
      <c r="AT39" s="561"/>
      <c r="AU39" s="562"/>
    </row>
    <row r="40" spans="1:47" ht="14.25" thickTop="1" thickBot="1" x14ac:dyDescent="0.25">
      <c r="A40">
        <v>39</v>
      </c>
      <c r="B40" s="22">
        <f>Data!AL39</f>
        <v>46515</v>
      </c>
      <c r="C40" t="str" cm="1">
        <f t="array" aca="1" ref="C40" ca="1">IFERROR(_xlfn.XLOOKUP(_xlfn.SINGLE(t_rang[[Dato]:[Dato]]),INDIRECT("t_"&amp;C$1&amp;"[[Dato]]"),INDIRECT("t_"&amp;C$1&amp;"[[Rank]]")),"")</f>
        <v/>
      </c>
      <c r="D40" t="str" cm="1">
        <f t="array" aca="1" ref="D40" ca="1">IFERROR(_xlfn.XLOOKUP(_xlfn.SINGLE(t_rang[[Dato]:[Dato]]),INDIRECT("t_"&amp;D$1&amp;"[[Dato]]"),INDIRECT("t_"&amp;D$1&amp;"[[Rank]]")),"")</f>
        <v/>
      </c>
      <c r="E40" t="str" cm="1">
        <f t="array" aca="1" ref="E40" ca="1">IFERROR(_xlfn.XLOOKUP(_xlfn.SINGLE(t_rang[[Dato]:[Dato]]),INDIRECT("t_"&amp;E$1&amp;"[[Dato]]"),INDIRECT("t_"&amp;E$1&amp;"[[Rank]]")),"")</f>
        <v/>
      </c>
      <c r="F40" t="str" cm="1">
        <f t="array" aca="1" ref="F40" ca="1">IFERROR(_xlfn.XLOOKUP(_xlfn.SINGLE(t_rang[[Dato]:[Dato]]),INDIRECT("t_"&amp;F$1&amp;"[[Dato]]"),INDIRECT("t_"&amp;F$1&amp;"[[Rank]]")),"")</f>
        <v/>
      </c>
      <c r="G40" t="str" cm="1">
        <f t="array" aca="1" ref="G40" ca="1">IFERROR(_xlfn.XLOOKUP(_xlfn.SINGLE(t_rang[[Dato]:[Dato]]),INDIRECT("t_"&amp;G$1&amp;"[[Dato]]"),INDIRECT("t_"&amp;G$1&amp;"[[Rank]]")),"")</f>
        <v/>
      </c>
      <c r="H40" t="str" cm="1">
        <f t="array" aca="1" ref="H40" ca="1">IFERROR(_xlfn.XLOOKUP(_xlfn.SINGLE(t_rang[[Dato]:[Dato]]),INDIRECT("t_"&amp;H$1&amp;"[[Dato]]"),INDIRECT("t_"&amp;H$1&amp;"[[Rank]]")),"")</f>
        <v/>
      </c>
      <c r="I40" t="str" cm="1">
        <f t="array" aca="1" ref="I40" ca="1">IFERROR(_xlfn.XLOOKUP(_xlfn.SINGLE(t_rang[[Dato]:[Dato]]),INDIRECT("t_"&amp;I$1&amp;"[[Dato]]"),INDIRECT("t_"&amp;I$1&amp;"[[Rank]]")),"")</f>
        <v/>
      </c>
      <c r="J40" t="str" cm="1">
        <f t="array" aca="1" ref="J40" ca="1">IFERROR(_xlfn.XLOOKUP(_xlfn.SINGLE(t_rang[[Dato]:[Dato]]),INDIRECT("t_"&amp;J$1&amp;"[[Dato]]"),INDIRECT("t_"&amp;J$1&amp;"[[Rank]]")),"")</f>
        <v/>
      </c>
      <c r="K40" t="str" cm="1">
        <f t="array" aca="1" ref="K40" ca="1">IFERROR(_xlfn.XLOOKUP(_xlfn.SINGLE(t_rang[[Dato]:[Dato]]),INDIRECT("t_"&amp;K$1&amp;"[[Dato]]"),INDIRECT("t_"&amp;K$1&amp;"[[Rank]]")),"")</f>
        <v/>
      </c>
      <c r="L40" s="381"/>
      <c r="M40" s="381"/>
      <c r="N40" s="381"/>
      <c r="O40" s="361"/>
      <c r="P40" s="383">
        <f>Data!AL39</f>
        <v>46515</v>
      </c>
      <c r="Q40" s="360" t="str" cm="1">
        <f t="array" aca="1" ref="Q40" ca="1">IFERROR(INDIRECT("t_"&amp;Q$1&amp;"[@[Totalt]:[Totalt]]"),"")</f>
        <v/>
      </c>
      <c r="R40" s="360" t="str" cm="1">
        <f t="array" aca="1" ref="R40" ca="1">IFERROR(INDIRECT("t_"&amp;R$1&amp;"[@[Totalt]:[Totalt]]"),"")</f>
        <v/>
      </c>
      <c r="S40" s="360" t="str" cm="1">
        <f t="array" aca="1" ref="S40" ca="1">IFERROR(INDIRECT("t_"&amp;S$1&amp;"[@[Totalt]:[Totalt]]"),"")</f>
        <v/>
      </c>
      <c r="T40" s="360" t="str" cm="1">
        <f t="array" aca="1" ref="T40" ca="1">IFERROR(INDIRECT("t_"&amp;T$1&amp;"[@[Totalt]:[Totalt]]"),"")</f>
        <v/>
      </c>
      <c r="U40" s="360" t="str" cm="1">
        <f t="array" aca="1" ref="U40" ca="1">IFERROR(INDIRECT("t_"&amp;U$1&amp;"[@[Totalt]:[Totalt]]"),"")</f>
        <v/>
      </c>
      <c r="V40" s="360" t="str" cm="1">
        <f t="array" aca="1" ref="V40" ca="1">IFERROR(INDIRECT("t_"&amp;V$1&amp;"[@[Totalt]:[Totalt]]"),"")</f>
        <v/>
      </c>
      <c r="W40" s="360" t="str" cm="1">
        <f t="array" aca="1" ref="W40" ca="1">IFERROR(INDIRECT("t_"&amp;W$1&amp;"[@[Totalt]:[Totalt]]"),"")</f>
        <v/>
      </c>
      <c r="X40" s="360" cm="1">
        <f t="array" aca="1" ref="X40" ca="1">IFERROR(INDIRECT("t_"&amp;X$1&amp;"[@[Totalt]:[Totalt]]"),"")</f>
        <v>0</v>
      </c>
      <c r="Y40" s="360" t="str" cm="1">
        <f t="array" aca="1" ref="Y40" ca="1">IFERROR(INDIRECT("t_"&amp;Y$1&amp;"[@[Totalt]:[Totalt]]"),"")</f>
        <v/>
      </c>
      <c r="AA40" s="557">
        <f>t_tp[[#This Row],[Dato]]</f>
        <v>46515</v>
      </c>
      <c r="AB40" s="558" t="str" cm="1">
        <f t="array" aca="1" ref="AB40" ca="1">IFERROR(_xlfn._xlws.FILTER($Q$1:$Y$1,t_tp[[#This Row],[ahh]:[lev]]=LARGE(t_tp[[#This Row],[ahh]:[lev]],1)),"")</f>
        <v>utg</v>
      </c>
      <c r="AC40" s="558"/>
      <c r="AD40" s="558"/>
      <c r="AE40" s="558"/>
      <c r="AF40" s="558"/>
      <c r="AG40" s="558"/>
      <c r="AH40" s="558"/>
      <c r="AI40" s="558"/>
      <c r="AJ40" s="559"/>
      <c r="AK40" s="20"/>
      <c r="AL40" s="557">
        <f t="shared" si="0"/>
        <v>46515</v>
      </c>
      <c r="AM40" s="558" t="str" cm="1">
        <f t="array" aca="1" ref="AM40" ca="1">IFERROR(_xlfn._xlws.FILTER($Q$1:$Y$1,t_tp[[#This Row],[ahh]:[lev]]=SMALL(t_tp[[#This Row],[ahh]:[lev]],1)),"")</f>
        <v>utg</v>
      </c>
      <c r="AN40" s="558"/>
      <c r="AO40" s="558"/>
      <c r="AP40" s="558"/>
      <c r="AQ40" s="558"/>
      <c r="AR40" s="558"/>
      <c r="AS40" s="558"/>
      <c r="AT40" s="558"/>
      <c r="AU40" s="559"/>
    </row>
    <row r="41" spans="1:47" ht="14.25" thickTop="1" thickBot="1" x14ac:dyDescent="0.25">
      <c r="A41">
        <v>40</v>
      </c>
      <c r="B41" s="22">
        <f>Data!AL40</f>
        <v>46522</v>
      </c>
      <c r="C41" t="str" cm="1">
        <f t="array" aca="1" ref="C41" ca="1">IFERROR(_xlfn.XLOOKUP(_xlfn.SINGLE(t_rang[[Dato]:[Dato]]),INDIRECT("t_"&amp;C$1&amp;"[[Dato]]"),INDIRECT("t_"&amp;C$1&amp;"[[Rank]]")),"")</f>
        <v/>
      </c>
      <c r="D41" t="str" cm="1">
        <f t="array" aca="1" ref="D41" ca="1">IFERROR(_xlfn.XLOOKUP(_xlfn.SINGLE(t_rang[[Dato]:[Dato]]),INDIRECT("t_"&amp;D$1&amp;"[[Dato]]"),INDIRECT("t_"&amp;D$1&amp;"[[Rank]]")),"")</f>
        <v/>
      </c>
      <c r="E41" t="str" cm="1">
        <f t="array" aca="1" ref="E41" ca="1">IFERROR(_xlfn.XLOOKUP(_xlfn.SINGLE(t_rang[[Dato]:[Dato]]),INDIRECT("t_"&amp;E$1&amp;"[[Dato]]"),INDIRECT("t_"&amp;E$1&amp;"[[Rank]]")),"")</f>
        <v/>
      </c>
      <c r="F41" t="str" cm="1">
        <f t="array" aca="1" ref="F41" ca="1">IFERROR(_xlfn.XLOOKUP(_xlfn.SINGLE(t_rang[[Dato]:[Dato]]),INDIRECT("t_"&amp;F$1&amp;"[[Dato]]"),INDIRECT("t_"&amp;F$1&amp;"[[Rank]]")),"")</f>
        <v/>
      </c>
      <c r="G41" t="str" cm="1">
        <f t="array" aca="1" ref="G41" ca="1">IFERROR(_xlfn.XLOOKUP(_xlfn.SINGLE(t_rang[[Dato]:[Dato]]),INDIRECT("t_"&amp;G$1&amp;"[[Dato]]"),INDIRECT("t_"&amp;G$1&amp;"[[Rank]]")),"")</f>
        <v/>
      </c>
      <c r="H41" t="str" cm="1">
        <f t="array" aca="1" ref="H41" ca="1">IFERROR(_xlfn.XLOOKUP(_xlfn.SINGLE(t_rang[[Dato]:[Dato]]),INDIRECT("t_"&amp;H$1&amp;"[[Dato]]"),INDIRECT("t_"&amp;H$1&amp;"[[Rank]]")),"")</f>
        <v/>
      </c>
      <c r="I41" t="str" cm="1">
        <f t="array" aca="1" ref="I41" ca="1">IFERROR(_xlfn.XLOOKUP(_xlfn.SINGLE(t_rang[[Dato]:[Dato]]),INDIRECT("t_"&amp;I$1&amp;"[[Dato]]"),INDIRECT("t_"&amp;I$1&amp;"[[Rank]]")),"")</f>
        <v/>
      </c>
      <c r="J41" t="str" cm="1">
        <f t="array" aca="1" ref="J41" ca="1">IFERROR(_xlfn.XLOOKUP(_xlfn.SINGLE(t_rang[[Dato]:[Dato]]),INDIRECT("t_"&amp;J$1&amp;"[[Dato]]"),INDIRECT("t_"&amp;J$1&amp;"[[Rank]]")),"")</f>
        <v/>
      </c>
      <c r="K41" t="str" cm="1">
        <f t="array" aca="1" ref="K41" ca="1">IFERROR(_xlfn.XLOOKUP(_xlfn.SINGLE(t_rang[[Dato]:[Dato]]),INDIRECT("t_"&amp;K$1&amp;"[[Dato]]"),INDIRECT("t_"&amp;K$1&amp;"[[Rank]]")),"")</f>
        <v/>
      </c>
      <c r="L41" s="381"/>
      <c r="M41" s="381"/>
      <c r="N41" s="381"/>
      <c r="O41" s="361"/>
      <c r="P41" s="383">
        <f>Data!AL40</f>
        <v>46522</v>
      </c>
      <c r="Q41" s="360" t="str" cm="1">
        <f t="array" aca="1" ref="Q41" ca="1">IFERROR(INDIRECT("t_"&amp;Q$1&amp;"[@[Totalt]:[Totalt]]"),"")</f>
        <v/>
      </c>
      <c r="R41" s="360" t="str" cm="1">
        <f t="array" aca="1" ref="R41" ca="1">IFERROR(INDIRECT("t_"&amp;R$1&amp;"[@[Totalt]:[Totalt]]"),"")</f>
        <v/>
      </c>
      <c r="S41" s="360" t="str" cm="1">
        <f t="array" aca="1" ref="S41" ca="1">IFERROR(INDIRECT("t_"&amp;S$1&amp;"[@[Totalt]:[Totalt]]"),"")</f>
        <v/>
      </c>
      <c r="T41" s="360" t="str" cm="1">
        <f t="array" aca="1" ref="T41" ca="1">IFERROR(INDIRECT("t_"&amp;T$1&amp;"[@[Totalt]:[Totalt]]"),"")</f>
        <v/>
      </c>
      <c r="U41" s="360" t="str" cm="1">
        <f t="array" aca="1" ref="U41" ca="1">IFERROR(INDIRECT("t_"&amp;U$1&amp;"[@[Totalt]:[Totalt]]"),"")</f>
        <v/>
      </c>
      <c r="V41" s="360" t="str" cm="1">
        <f t="array" aca="1" ref="V41" ca="1">IFERROR(INDIRECT("t_"&amp;V$1&amp;"[@[Totalt]:[Totalt]]"),"")</f>
        <v/>
      </c>
      <c r="W41" s="360" t="str" cm="1">
        <f t="array" aca="1" ref="W41" ca="1">IFERROR(INDIRECT("t_"&amp;W$1&amp;"[@[Totalt]:[Totalt]]"),"")</f>
        <v/>
      </c>
      <c r="X41" s="360" cm="1">
        <f t="array" aca="1" ref="X41" ca="1">IFERROR(INDIRECT("t_"&amp;X$1&amp;"[@[Totalt]:[Totalt]]"),"")</f>
        <v>0</v>
      </c>
      <c r="Y41" s="360" t="str" cm="1">
        <f t="array" aca="1" ref="Y41" ca="1">IFERROR(INDIRECT("t_"&amp;Y$1&amp;"[@[Totalt]:[Totalt]]"),"")</f>
        <v/>
      </c>
      <c r="AA41" s="560">
        <f>t_tp[[#This Row],[Dato]]</f>
        <v>46522</v>
      </c>
      <c r="AB41" s="561" t="str" cm="1">
        <f t="array" aca="1" ref="AB41" ca="1">IFERROR(_xlfn._xlws.FILTER($Q$1:$Y$1,t_tp[[#This Row],[ahh]:[lev]]=LARGE(t_tp[[#This Row],[ahh]:[lev]],1)),"")</f>
        <v>utg</v>
      </c>
      <c r="AC41" s="561"/>
      <c r="AD41" s="561"/>
      <c r="AE41" s="561"/>
      <c r="AF41" s="561"/>
      <c r="AG41" s="561"/>
      <c r="AH41" s="561"/>
      <c r="AI41" s="561"/>
      <c r="AJ41" s="562"/>
      <c r="AK41" s="20"/>
      <c r="AL41" s="560">
        <f t="shared" si="0"/>
        <v>46522</v>
      </c>
      <c r="AM41" s="561" t="str" cm="1">
        <f t="array" aca="1" ref="AM41" ca="1">IFERROR(_xlfn._xlws.FILTER($Q$1:$Y$1,t_tp[[#This Row],[ahh]:[lev]]=SMALL(t_tp[[#This Row],[ahh]:[lev]],1)),"")</f>
        <v>utg</v>
      </c>
      <c r="AN41" s="561"/>
      <c r="AO41" s="561"/>
      <c r="AP41" s="561"/>
      <c r="AQ41" s="561"/>
      <c r="AR41" s="561"/>
      <c r="AS41" s="561"/>
      <c r="AT41" s="561"/>
      <c r="AU41" s="562"/>
    </row>
    <row r="42" spans="1:47" ht="13.5" thickTop="1" x14ac:dyDescent="0.2">
      <c r="A42">
        <v>41</v>
      </c>
      <c r="B42" s="22">
        <f>Data!AL41</f>
        <v>0</v>
      </c>
      <c r="C42" t="str" cm="1">
        <f t="array" aca="1" ref="C42" ca="1">IFERROR(_xlfn.XLOOKUP(_xlfn.SINGLE(t_rang[[Dato]:[Dato]]),INDIRECT("t_"&amp;C$1&amp;"[[Dato]]"),INDIRECT("t_"&amp;C$1&amp;"[[Rank]]")),"")</f>
        <v/>
      </c>
      <c r="D42" t="str" cm="1">
        <f t="array" aca="1" ref="D42" ca="1">IFERROR(_xlfn.XLOOKUP(_xlfn.SINGLE(t_rang[[Dato]:[Dato]]),INDIRECT("t_"&amp;D$1&amp;"[[Dato]]"),INDIRECT("t_"&amp;D$1&amp;"[[Rank]]")),"")</f>
        <v/>
      </c>
      <c r="E42" t="str" cm="1">
        <f t="array" aca="1" ref="E42" ca="1">IFERROR(_xlfn.XLOOKUP(_xlfn.SINGLE(t_rang[[Dato]:[Dato]]),INDIRECT("t_"&amp;E$1&amp;"[[Dato]]"),INDIRECT("t_"&amp;E$1&amp;"[[Rank]]")),"")</f>
        <v/>
      </c>
      <c r="F42" t="str" cm="1">
        <f t="array" aca="1" ref="F42" ca="1">IFERROR(_xlfn.XLOOKUP(_xlfn.SINGLE(t_rang[[Dato]:[Dato]]),INDIRECT("t_"&amp;F$1&amp;"[[Dato]]"),INDIRECT("t_"&amp;F$1&amp;"[[Rank]]")),"")</f>
        <v/>
      </c>
      <c r="G42" t="str" cm="1">
        <f t="array" aca="1" ref="G42" ca="1">IFERROR(_xlfn.XLOOKUP(_xlfn.SINGLE(t_rang[[Dato]:[Dato]]),INDIRECT("t_"&amp;G$1&amp;"[[Dato]]"),INDIRECT("t_"&amp;G$1&amp;"[[Rank]]")),"")</f>
        <v/>
      </c>
      <c r="H42" t="str" cm="1">
        <f t="array" aca="1" ref="H42" ca="1">IFERROR(_xlfn.XLOOKUP(_xlfn.SINGLE(t_rang[[Dato]:[Dato]]),INDIRECT("t_"&amp;H$1&amp;"[[Dato]]"),INDIRECT("t_"&amp;H$1&amp;"[[Rank]]")),"")</f>
        <v/>
      </c>
      <c r="I42" t="str" cm="1">
        <f t="array" aca="1" ref="I42" ca="1">IFERROR(_xlfn.XLOOKUP(_xlfn.SINGLE(t_rang[[Dato]:[Dato]]),INDIRECT("t_"&amp;I$1&amp;"[[Dato]]"),INDIRECT("t_"&amp;I$1&amp;"[[Rank]]")),"")</f>
        <v/>
      </c>
      <c r="J42" t="str" cm="1">
        <f t="array" aca="1" ref="J42" ca="1">IFERROR(_xlfn.XLOOKUP(_xlfn.SINGLE(t_rang[[Dato]:[Dato]]),INDIRECT("t_"&amp;J$1&amp;"[[Dato]]"),INDIRECT("t_"&amp;J$1&amp;"[[Rank]]")),"")</f>
        <v/>
      </c>
      <c r="K42" t="str" cm="1">
        <f t="array" aca="1" ref="K42" ca="1">IFERROR(_xlfn.XLOOKUP(_xlfn.SINGLE(t_rang[[Dato]:[Dato]]),INDIRECT("t_"&amp;K$1&amp;"[[Dato]]"),INDIRECT("t_"&amp;K$1&amp;"[[Rank]]")),"")</f>
        <v/>
      </c>
      <c r="L42" s="381"/>
      <c r="M42" s="381"/>
      <c r="N42" s="381"/>
      <c r="O42" s="361"/>
      <c r="P42" s="383">
        <f>Data!AL41</f>
        <v>0</v>
      </c>
      <c r="Q42" s="360" t="str" cm="1">
        <f t="array" aca="1" ref="Q42" ca="1">IFERROR(INDIRECT("t_"&amp;Q$1&amp;"[@[Totalt]:[Totalt]]"),"")</f>
        <v/>
      </c>
      <c r="R42" s="360" t="str" cm="1">
        <f t="array" aca="1" ref="R42" ca="1">IFERROR(INDIRECT("t_"&amp;R$1&amp;"[@[Totalt]:[Totalt]]"),"")</f>
        <v/>
      </c>
      <c r="S42" s="360" t="str" cm="1">
        <f t="array" aca="1" ref="S42" ca="1">IFERROR(INDIRECT("t_"&amp;S$1&amp;"[@[Totalt]:[Totalt]]"),"")</f>
        <v/>
      </c>
      <c r="T42" s="360" t="str" cm="1">
        <f t="array" aca="1" ref="T42" ca="1">IFERROR(INDIRECT("t_"&amp;T$1&amp;"[@[Totalt]:[Totalt]]"),"")</f>
        <v/>
      </c>
      <c r="U42" s="360" t="str" cm="1">
        <f t="array" aca="1" ref="U42" ca="1">IFERROR(INDIRECT("t_"&amp;U$1&amp;"[@[Totalt]:[Totalt]]"),"")</f>
        <v/>
      </c>
      <c r="V42" s="360" t="str" cm="1">
        <f t="array" aca="1" ref="V42" ca="1">IFERROR(INDIRECT("t_"&amp;V$1&amp;"[@[Totalt]:[Totalt]]"),"")</f>
        <v/>
      </c>
      <c r="W42" s="360" t="str" cm="1">
        <f t="array" aca="1" ref="W42" ca="1">IFERROR(INDIRECT("t_"&amp;W$1&amp;"[@[Totalt]:[Totalt]]"),"")</f>
        <v/>
      </c>
      <c r="X42" s="360" t="str" cm="1">
        <f t="array" aca="1" ref="X42" ca="1">IFERROR(INDIRECT("t_"&amp;X$1&amp;"[@[Totalt]:[Totalt]]"),"")</f>
        <v/>
      </c>
      <c r="Y42" s="360" t="str" cm="1">
        <f t="array" aca="1" ref="Y42" ca="1">IFERROR(INDIRECT("t_"&amp;Y$1&amp;"[@[Totalt]:[Totalt]]"),"")</f>
        <v/>
      </c>
      <c r="AA42" s="563">
        <f>t_tp[[#This Row],[Dato]]</f>
        <v>0</v>
      </c>
      <c r="AB42" s="564" t="str" cm="1">
        <f t="array" aca="1" ref="AB42" ca="1">IFERROR(_xlfn._xlws.FILTER($Q$1:$Y$1,t_tp[[#This Row],[ahh]:[lev]]=LARGE(t_tp[[#This Row],[ahh]:[lev]],1)),"")</f>
        <v/>
      </c>
      <c r="AC42" s="564"/>
      <c r="AD42" s="564"/>
      <c r="AE42" s="564"/>
      <c r="AF42" s="564"/>
      <c r="AG42" s="564"/>
      <c r="AH42" s="564"/>
      <c r="AI42" s="564"/>
      <c r="AJ42" s="565"/>
      <c r="AK42" s="20"/>
      <c r="AL42" s="563">
        <f t="shared" si="0"/>
        <v>0</v>
      </c>
      <c r="AM42" s="564" t="str" cm="1">
        <f t="array" aca="1" ref="AM42" ca="1">IFERROR(_xlfn._xlws.FILTER($Q$1:$Y$1,t_tp[[#This Row],[ahh]:[lev]]=SMALL(t_tp[[#This Row],[ahh]:[lev]],1)),"")</f>
        <v/>
      </c>
      <c r="AN42" s="564"/>
      <c r="AO42" s="564"/>
      <c r="AP42" s="564"/>
      <c r="AQ42" s="564"/>
      <c r="AR42" s="564"/>
      <c r="AS42" s="564"/>
      <c r="AT42" s="564"/>
      <c r="AU42" s="565"/>
    </row>
    <row r="43" spans="1:47" x14ac:dyDescent="0.2">
      <c r="R43" s="361"/>
    </row>
    <row r="44" spans="1:47" x14ac:dyDescent="0.2">
      <c r="R44" s="361"/>
    </row>
    <row r="45" spans="1:47" x14ac:dyDescent="0.2">
      <c r="R45" s="361"/>
    </row>
    <row r="46" spans="1:47" x14ac:dyDescent="0.2">
      <c r="R46" s="361"/>
    </row>
    <row r="47" spans="1:47" x14ac:dyDescent="0.2">
      <c r="R47" s="361"/>
    </row>
    <row r="48" spans="1:47" x14ac:dyDescent="0.2">
      <c r="R48" s="361"/>
    </row>
    <row r="49" spans="18:18" x14ac:dyDescent="0.2">
      <c r="R49" s="361"/>
    </row>
    <row r="50" spans="18:18" x14ac:dyDescent="0.2">
      <c r="R50" s="361"/>
    </row>
    <row r="51" spans="18:18" x14ac:dyDescent="0.2">
      <c r="R51" s="361"/>
    </row>
    <row r="52" spans="18:18" x14ac:dyDescent="0.2">
      <c r="R52" s="361"/>
    </row>
    <row r="53" spans="18:18" x14ac:dyDescent="0.2">
      <c r="R53" s="361"/>
    </row>
    <row r="54" spans="18:18" x14ac:dyDescent="0.2">
      <c r="R54" s="22"/>
    </row>
    <row r="55" spans="18:18" x14ac:dyDescent="0.2">
      <c r="R55" s="22"/>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L3" sqref="L3"/>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65"/>
  </cols>
  <sheetData>
    <row r="1" spans="1:16" x14ac:dyDescent="0.2">
      <c r="A1" s="378" t="str">
        <f>Dashboard!$B$12</f>
        <v>Utgangsrekka</v>
      </c>
      <c r="B1" s="122"/>
      <c r="I1" t="s">
        <v>913</v>
      </c>
      <c r="K1" s="265" t="s">
        <v>914</v>
      </c>
      <c r="M1">
        <v>22</v>
      </c>
      <c r="O1" t="s">
        <v>915</v>
      </c>
      <c r="P1" t="s">
        <v>916</v>
      </c>
    </row>
    <row r="2" spans="1:16" x14ac:dyDescent="0.2">
      <c r="A2" s="22">
        <f>Data!AL1</f>
        <v>46249</v>
      </c>
      <c r="D2" s="115"/>
      <c r="H2" s="22" t="str">
        <f ca="1">IFERROR(IF(I2="","",Data!AL1),"")</f>
        <v/>
      </c>
      <c r="I2" t="str" cm="1">
        <f t="array" aca="1" ref="I2:I41"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
      </c>
      <c r="J2" s="22" t="str">
        <f ca="1">H2</f>
        <v/>
      </c>
      <c r="K2" s="780"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0</v>
      </c>
      <c r="O2" t="str">
        <f ca="1">IFERROR(IF(I2="",#N/A,K2),"")</f>
        <v/>
      </c>
      <c r="P2" t="str">
        <f ca="1">IFERROR(IF(I2="","",I2),"")</f>
        <v/>
      </c>
    </row>
    <row r="3" spans="1:16" x14ac:dyDescent="0.2">
      <c r="A3" s="22">
        <f>Data!AL2</f>
        <v>46256</v>
      </c>
      <c r="B3" s="113" t="s">
        <v>917</v>
      </c>
      <c r="D3" s="115"/>
      <c r="H3" s="22">
        <f ca="1">IFERROR(IF(I3="","",Data!AL2),"")</f>
        <v>46256</v>
      </c>
      <c r="I3">
        <f ca="1"/>
        <v>780</v>
      </c>
      <c r="J3" s="22">
        <f t="shared" ref="J3:J66" ca="1" si="0">H3</f>
        <v>46256</v>
      </c>
      <c r="L3">
        <f>L2+$M$1</f>
        <v>22</v>
      </c>
      <c r="O3">
        <f t="shared" ref="O3:O42" ca="1" si="1">IFERROR(IF(I3="",#N/A,K3),"")</f>
        <v>0</v>
      </c>
      <c r="P3">
        <f t="shared" ref="P3:P42" ca="1" si="2">IFERROR(IF(I3="","",I3),"")</f>
        <v>780</v>
      </c>
    </row>
    <row r="4" spans="1:16" x14ac:dyDescent="0.2">
      <c r="A4" s="22">
        <f>Data!AL3</f>
        <v>46263</v>
      </c>
      <c r="B4" s="113" t="s">
        <v>863</v>
      </c>
      <c r="D4" s="115"/>
      <c r="H4" s="22">
        <f ca="1">IFERROR(IF(I4="","",Data!AL3),"")</f>
        <v>46263</v>
      </c>
      <c r="I4">
        <f ca="1"/>
        <v>780</v>
      </c>
      <c r="J4" s="22">
        <f t="shared" ca="1" si="0"/>
        <v>46263</v>
      </c>
      <c r="L4">
        <f t="shared" ref="L4:L42" si="3">L3+$M$1</f>
        <v>44</v>
      </c>
      <c r="O4">
        <f t="shared" ca="1" si="1"/>
        <v>0</v>
      </c>
      <c r="P4">
        <f t="shared" ca="1" si="2"/>
        <v>780</v>
      </c>
    </row>
    <row r="5" spans="1:16" x14ac:dyDescent="0.2">
      <c r="A5" s="22">
        <f>Data!AL4</f>
        <v>46270</v>
      </c>
      <c r="B5" s="113" t="s">
        <v>867</v>
      </c>
      <c r="D5" s="115"/>
      <c r="H5" s="22">
        <f ca="1">IFERROR(IF(I5="","",Data!AL4),"")</f>
        <v>46270</v>
      </c>
      <c r="I5">
        <f ca="1"/>
        <v>780</v>
      </c>
      <c r="J5" s="22">
        <f t="shared" ca="1" si="0"/>
        <v>46270</v>
      </c>
      <c r="L5">
        <f t="shared" si="3"/>
        <v>66</v>
      </c>
      <c r="O5">
        <f t="shared" ca="1" si="1"/>
        <v>0</v>
      </c>
      <c r="P5">
        <f t="shared" ca="1" si="2"/>
        <v>780</v>
      </c>
    </row>
    <row r="6" spans="1:16" x14ac:dyDescent="0.2">
      <c r="A6" s="22">
        <f>Data!AL5</f>
        <v>46277</v>
      </c>
      <c r="B6" s="113" t="s">
        <v>871</v>
      </c>
      <c r="D6" s="115"/>
      <c r="H6" s="22">
        <f ca="1">IFERROR(IF(I6="","",Data!AL5),"")</f>
        <v>46277</v>
      </c>
      <c r="I6">
        <f ca="1"/>
        <v>852</v>
      </c>
      <c r="J6" s="22">
        <f t="shared" ca="1" si="0"/>
        <v>46277</v>
      </c>
      <c r="L6">
        <f t="shared" si="3"/>
        <v>88</v>
      </c>
      <c r="O6">
        <f t="shared" ca="1" si="1"/>
        <v>0</v>
      </c>
      <c r="P6">
        <f t="shared" ca="1" si="2"/>
        <v>852</v>
      </c>
    </row>
    <row r="7" spans="1:16" x14ac:dyDescent="0.2">
      <c r="A7" s="22">
        <f>Data!AL6</f>
        <v>46284</v>
      </c>
      <c r="B7" s="113" t="s">
        <v>876</v>
      </c>
      <c r="D7" s="115"/>
      <c r="H7" s="22">
        <f ca="1">IFERROR(IF(I7="","",Data!AL6),"")</f>
        <v>46284</v>
      </c>
      <c r="I7">
        <f ca="1"/>
        <v>852</v>
      </c>
      <c r="J7" s="22">
        <f t="shared" ca="1" si="0"/>
        <v>46284</v>
      </c>
      <c r="L7">
        <f t="shared" si="3"/>
        <v>110</v>
      </c>
      <c r="O7">
        <f t="shared" ca="1" si="1"/>
        <v>0</v>
      </c>
      <c r="P7">
        <f t="shared" ca="1" si="2"/>
        <v>852</v>
      </c>
    </row>
    <row r="8" spans="1:16" x14ac:dyDescent="0.2">
      <c r="A8" s="22">
        <f>Data!AL7</f>
        <v>46291</v>
      </c>
      <c r="B8" s="113" t="s">
        <v>878</v>
      </c>
      <c r="D8" s="115"/>
      <c r="H8" s="22">
        <f ca="1">IFERROR(IF(I8="","",Data!AL7),"")</f>
        <v>46291</v>
      </c>
      <c r="I8">
        <f ca="1"/>
        <v>710</v>
      </c>
      <c r="J8" s="22">
        <f t="shared" ca="1" si="0"/>
        <v>46291</v>
      </c>
      <c r="L8">
        <f t="shared" si="3"/>
        <v>132</v>
      </c>
      <c r="O8">
        <f t="shared" ca="1" si="1"/>
        <v>0</v>
      </c>
      <c r="P8">
        <f t="shared" ca="1" si="2"/>
        <v>710</v>
      </c>
    </row>
    <row r="9" spans="1:16" x14ac:dyDescent="0.2">
      <c r="A9" s="22">
        <f>Data!AL8</f>
        <v>46298</v>
      </c>
      <c r="B9" s="113" t="s">
        <v>882</v>
      </c>
      <c r="D9" s="115"/>
      <c r="H9" s="22">
        <f ca="1">IFERROR(IF(I9="","",Data!AL8),"")</f>
        <v>46298</v>
      </c>
      <c r="I9">
        <f ca="1"/>
        <v>814</v>
      </c>
      <c r="J9" s="22">
        <f t="shared" ca="1" si="0"/>
        <v>46298</v>
      </c>
      <c r="L9">
        <f t="shared" si="3"/>
        <v>154</v>
      </c>
      <c r="O9">
        <f t="shared" ca="1" si="1"/>
        <v>0</v>
      </c>
      <c r="P9">
        <f t="shared" ca="1" si="2"/>
        <v>814</v>
      </c>
    </row>
    <row r="10" spans="1:16" x14ac:dyDescent="0.2">
      <c r="A10" s="22">
        <f>Data!AL9</f>
        <v>46305</v>
      </c>
      <c r="B10" s="113" t="s">
        <v>886</v>
      </c>
      <c r="D10" s="115"/>
      <c r="H10" s="22">
        <f ca="1">IFERROR(IF(I10="","",Data!AL9),"")</f>
        <v>46305</v>
      </c>
      <c r="I10">
        <f ca="1"/>
        <v>888</v>
      </c>
      <c r="J10" s="22">
        <f t="shared" ca="1" si="0"/>
        <v>46305</v>
      </c>
      <c r="L10">
        <f t="shared" si="3"/>
        <v>176</v>
      </c>
      <c r="O10">
        <f t="shared" ca="1" si="1"/>
        <v>0</v>
      </c>
      <c r="P10">
        <f t="shared" ca="1" si="2"/>
        <v>888</v>
      </c>
    </row>
    <row r="11" spans="1:16" x14ac:dyDescent="0.2">
      <c r="A11" s="22">
        <f>Data!AL10</f>
        <v>46312</v>
      </c>
      <c r="B11" s="113" t="s">
        <v>889</v>
      </c>
      <c r="D11" s="115"/>
      <c r="G11" s="4"/>
      <c r="H11" s="22" t="str">
        <f ca="1">IFERROR(IF(I11="","",Data!AL10),"")</f>
        <v/>
      </c>
      <c r="I11" t="str">
        <f ca="1"/>
        <v/>
      </c>
      <c r="J11" s="22" t="str">
        <f t="shared" ca="1" si="0"/>
        <v/>
      </c>
      <c r="L11">
        <f t="shared" si="3"/>
        <v>198</v>
      </c>
      <c r="O11" t="str">
        <f t="shared" ca="1" si="1"/>
        <v/>
      </c>
      <c r="P11" t="str">
        <f t="shared" ca="1" si="2"/>
        <v/>
      </c>
    </row>
    <row r="12" spans="1:16" x14ac:dyDescent="0.2">
      <c r="A12" s="22">
        <f>Data!AL11</f>
        <v>46319</v>
      </c>
      <c r="B12" s="113" t="s">
        <v>892</v>
      </c>
      <c r="D12" s="115"/>
      <c r="H12" s="22" t="str">
        <f ca="1">IFERROR(IF(I12="","",Data!AL11),"")</f>
        <v/>
      </c>
      <c r="I12" t="str">
        <f ca="1"/>
        <v/>
      </c>
      <c r="J12" s="22" t="str">
        <f t="shared" ca="1" si="0"/>
        <v/>
      </c>
      <c r="L12">
        <f t="shared" si="3"/>
        <v>220</v>
      </c>
      <c r="O12" t="str">
        <f t="shared" ca="1" si="1"/>
        <v/>
      </c>
      <c r="P12" t="str">
        <f t="shared" ca="1" si="2"/>
        <v/>
      </c>
    </row>
    <row r="13" spans="1:16" x14ac:dyDescent="0.2">
      <c r="A13" s="22">
        <f>Data!AL12</f>
        <v>46326</v>
      </c>
      <c r="D13" s="115"/>
      <c r="H13" s="22" t="str">
        <f ca="1">IFERROR(IF(I13="","",Data!AL12),"")</f>
        <v/>
      </c>
      <c r="I13" t="str">
        <f ca="1"/>
        <v/>
      </c>
      <c r="J13" s="22" t="str">
        <f t="shared" ca="1" si="0"/>
        <v/>
      </c>
      <c r="L13">
        <f t="shared" si="3"/>
        <v>242</v>
      </c>
      <c r="O13" t="str">
        <f t="shared" ca="1" si="1"/>
        <v/>
      </c>
      <c r="P13" t="str">
        <f t="shared" ca="1" si="2"/>
        <v/>
      </c>
    </row>
    <row r="14" spans="1:16" x14ac:dyDescent="0.2">
      <c r="A14" s="22">
        <f>Data!AL13</f>
        <v>46333</v>
      </c>
      <c r="D14" s="115"/>
      <c r="H14" s="22" t="str">
        <f ca="1">IFERROR(IF(I14="","",Data!AL13),"")</f>
        <v/>
      </c>
      <c r="I14" t="str">
        <f ca="1"/>
        <v/>
      </c>
      <c r="J14" s="22" t="str">
        <f t="shared" ca="1" si="0"/>
        <v/>
      </c>
      <c r="L14">
        <f t="shared" si="3"/>
        <v>264</v>
      </c>
      <c r="O14" t="str">
        <f t="shared" ca="1" si="1"/>
        <v/>
      </c>
      <c r="P14" t="str">
        <f t="shared" ca="1" si="2"/>
        <v/>
      </c>
    </row>
    <row r="15" spans="1:16" x14ac:dyDescent="0.2">
      <c r="A15" s="22">
        <f>Data!AL14</f>
        <v>46340</v>
      </c>
      <c r="D15" s="115"/>
      <c r="H15" s="22" t="str">
        <f ca="1">IFERROR(IF(I15="","",Data!AL14),"")</f>
        <v/>
      </c>
      <c r="I15" t="str">
        <f ca="1"/>
        <v/>
      </c>
      <c r="J15" s="22" t="str">
        <f t="shared" ca="1" si="0"/>
        <v/>
      </c>
      <c r="L15">
        <f t="shared" si="3"/>
        <v>286</v>
      </c>
      <c r="O15" t="str">
        <f t="shared" ca="1" si="1"/>
        <v/>
      </c>
      <c r="P15" t="str">
        <f t="shared" ca="1" si="2"/>
        <v/>
      </c>
    </row>
    <row r="16" spans="1:16" x14ac:dyDescent="0.2">
      <c r="A16" s="22">
        <f>Data!AL15</f>
        <v>46347</v>
      </c>
      <c r="D16" s="115"/>
      <c r="H16" s="22" t="str">
        <f ca="1">IFERROR(IF(I16="","",Data!AL15),"")</f>
        <v/>
      </c>
      <c r="I16" t="str">
        <f ca="1"/>
        <v/>
      </c>
      <c r="J16" s="22" t="str">
        <f t="shared" ca="1" si="0"/>
        <v/>
      </c>
      <c r="L16">
        <f t="shared" si="3"/>
        <v>308</v>
      </c>
      <c r="O16" t="str">
        <f t="shared" ca="1" si="1"/>
        <v/>
      </c>
      <c r="P16" t="str">
        <f t="shared" ca="1" si="2"/>
        <v/>
      </c>
    </row>
    <row r="17" spans="1:16" x14ac:dyDescent="0.2">
      <c r="A17" s="22">
        <f>Data!AL16</f>
        <v>46354</v>
      </c>
      <c r="D17" s="115"/>
      <c r="H17" s="22" t="str">
        <f ca="1">IFERROR(IF(I17="","",Data!AL16),"")</f>
        <v/>
      </c>
      <c r="I17" t="str">
        <f ca="1"/>
        <v/>
      </c>
      <c r="J17" s="22" t="str">
        <f t="shared" ca="1" si="0"/>
        <v/>
      </c>
      <c r="L17">
        <f t="shared" si="3"/>
        <v>330</v>
      </c>
      <c r="O17" t="str">
        <f t="shared" ca="1" si="1"/>
        <v/>
      </c>
      <c r="P17" t="str">
        <f t="shared" ca="1" si="2"/>
        <v/>
      </c>
    </row>
    <row r="18" spans="1:16" x14ac:dyDescent="0.2">
      <c r="A18" s="22">
        <f>Data!AL17</f>
        <v>46361</v>
      </c>
      <c r="D18" s="115"/>
      <c r="H18" s="22" t="str">
        <f ca="1">IFERROR(IF(I18="","",Data!AL17),"")</f>
        <v/>
      </c>
      <c r="I18" t="str">
        <f ca="1"/>
        <v/>
      </c>
      <c r="J18" s="22" t="str">
        <f t="shared" ca="1" si="0"/>
        <v/>
      </c>
      <c r="L18">
        <f t="shared" si="3"/>
        <v>352</v>
      </c>
      <c r="O18" t="str">
        <f t="shared" ca="1" si="1"/>
        <v/>
      </c>
      <c r="P18" t="str">
        <f t="shared" ca="1" si="2"/>
        <v/>
      </c>
    </row>
    <row r="19" spans="1:16" x14ac:dyDescent="0.2">
      <c r="A19" s="22">
        <f>Data!AL18</f>
        <v>46368</v>
      </c>
      <c r="D19" s="115"/>
      <c r="H19" s="22" t="str">
        <f ca="1">IFERROR(IF(I19="","",Data!AL18),"")</f>
        <v/>
      </c>
      <c r="I19" t="str">
        <f ca="1"/>
        <v/>
      </c>
      <c r="J19" s="22" t="str">
        <f t="shared" ca="1" si="0"/>
        <v/>
      </c>
      <c r="L19">
        <f t="shared" si="3"/>
        <v>374</v>
      </c>
      <c r="O19" t="str">
        <f t="shared" ca="1" si="1"/>
        <v/>
      </c>
      <c r="P19" t="str">
        <f t="shared" ca="1" si="2"/>
        <v/>
      </c>
    </row>
    <row r="20" spans="1:16" x14ac:dyDescent="0.2">
      <c r="A20" s="22">
        <f>Data!AL19</f>
        <v>46375</v>
      </c>
      <c r="D20" s="115"/>
      <c r="H20" s="22" t="str">
        <f ca="1">IFERROR(IF(I20="","",Data!AL19),"")</f>
        <v/>
      </c>
      <c r="I20" t="str">
        <f ca="1"/>
        <v/>
      </c>
      <c r="J20" s="22" t="str">
        <f t="shared" ca="1" si="0"/>
        <v/>
      </c>
      <c r="L20">
        <f t="shared" si="3"/>
        <v>396</v>
      </c>
      <c r="O20" t="str">
        <f t="shared" ca="1" si="1"/>
        <v/>
      </c>
      <c r="P20" t="str">
        <f t="shared" ca="1" si="2"/>
        <v/>
      </c>
    </row>
    <row r="21" spans="1:16" x14ac:dyDescent="0.2">
      <c r="A21" s="22">
        <f>Data!AL20</f>
        <v>46382</v>
      </c>
      <c r="D21" s="115"/>
      <c r="H21" s="22" t="str">
        <f ca="1">IFERROR(IF(I21="","",Data!AL20),"")</f>
        <v/>
      </c>
      <c r="I21" t="str">
        <f ca="1"/>
        <v/>
      </c>
      <c r="J21" s="22" t="str">
        <f t="shared" ca="1" si="0"/>
        <v/>
      </c>
      <c r="L21">
        <f t="shared" si="3"/>
        <v>418</v>
      </c>
      <c r="O21" t="str">
        <f t="shared" ca="1" si="1"/>
        <v/>
      </c>
      <c r="P21" t="str">
        <f t="shared" ca="1" si="2"/>
        <v/>
      </c>
    </row>
    <row r="22" spans="1:16" x14ac:dyDescent="0.2">
      <c r="A22" s="22">
        <f>Data!AL21</f>
        <v>46389</v>
      </c>
      <c r="D22" s="115"/>
      <c r="H22" s="22" t="str">
        <f ca="1">IFERROR(IF(I22="","",Data!AL21),"")</f>
        <v/>
      </c>
      <c r="I22" t="str">
        <f ca="1"/>
        <v/>
      </c>
      <c r="J22" s="22" t="str">
        <f t="shared" ca="1" si="0"/>
        <v/>
      </c>
      <c r="L22">
        <f t="shared" si="3"/>
        <v>440</v>
      </c>
      <c r="O22" t="str">
        <f t="shared" ca="1" si="1"/>
        <v/>
      </c>
      <c r="P22" t="str">
        <f t="shared" ca="1" si="2"/>
        <v/>
      </c>
    </row>
    <row r="23" spans="1:16" x14ac:dyDescent="0.2">
      <c r="A23" s="22">
        <f>Data!AL22</f>
        <v>46396</v>
      </c>
      <c r="D23" s="115"/>
      <c r="H23" s="22" t="str">
        <f ca="1">IFERROR(IF(I23="","",Data!AL22),"")</f>
        <v/>
      </c>
      <c r="I23" t="str">
        <f ca="1"/>
        <v/>
      </c>
      <c r="J23" s="22" t="str">
        <f t="shared" ca="1" si="0"/>
        <v/>
      </c>
      <c r="L23">
        <f t="shared" si="3"/>
        <v>462</v>
      </c>
      <c r="O23" t="str">
        <f t="shared" ca="1" si="1"/>
        <v/>
      </c>
      <c r="P23" t="str">
        <f t="shared" ca="1" si="2"/>
        <v/>
      </c>
    </row>
    <row r="24" spans="1:16" x14ac:dyDescent="0.2">
      <c r="A24" s="22">
        <f>Data!AL23</f>
        <v>46403</v>
      </c>
      <c r="D24" s="115"/>
      <c r="H24" s="22" t="str">
        <f ca="1">IFERROR(IF(I24="","",Data!AL23),"")</f>
        <v/>
      </c>
      <c r="I24" t="str">
        <f ca="1"/>
        <v/>
      </c>
      <c r="J24" s="22" t="str">
        <f t="shared" ca="1" si="0"/>
        <v/>
      </c>
      <c r="L24">
        <f t="shared" si="3"/>
        <v>484</v>
      </c>
      <c r="O24" t="str">
        <f t="shared" ca="1" si="1"/>
        <v/>
      </c>
      <c r="P24" t="str">
        <f t="shared" ca="1" si="2"/>
        <v/>
      </c>
    </row>
    <row r="25" spans="1:16" x14ac:dyDescent="0.2">
      <c r="A25" s="22">
        <f>Data!AL24</f>
        <v>46410</v>
      </c>
      <c r="D25" s="115"/>
      <c r="H25" s="22" t="str">
        <f ca="1">IFERROR(IF(I25="","",Data!AL24),"")</f>
        <v/>
      </c>
      <c r="I25" t="str">
        <f ca="1"/>
        <v/>
      </c>
      <c r="J25" s="22" t="str">
        <f t="shared" ca="1" si="0"/>
        <v/>
      </c>
      <c r="L25">
        <f t="shared" si="3"/>
        <v>506</v>
      </c>
      <c r="O25" t="str">
        <f t="shared" ca="1" si="1"/>
        <v/>
      </c>
      <c r="P25" t="str">
        <f t="shared" ca="1" si="2"/>
        <v/>
      </c>
    </row>
    <row r="26" spans="1:16" x14ac:dyDescent="0.2">
      <c r="A26" s="22">
        <f>Data!AL25</f>
        <v>46417</v>
      </c>
      <c r="D26" s="115"/>
      <c r="H26" s="22" t="str">
        <f ca="1">IFERROR(IF(I26="","",Data!AL25),"")</f>
        <v/>
      </c>
      <c r="I26" t="str">
        <f ca="1"/>
        <v/>
      </c>
      <c r="J26" s="22" t="str">
        <f t="shared" ca="1" si="0"/>
        <v/>
      </c>
      <c r="L26">
        <f t="shared" si="3"/>
        <v>528</v>
      </c>
      <c r="O26" t="str">
        <f t="shared" ca="1" si="1"/>
        <v/>
      </c>
      <c r="P26" t="str">
        <f t="shared" ca="1" si="2"/>
        <v/>
      </c>
    </row>
    <row r="27" spans="1:16" x14ac:dyDescent="0.2">
      <c r="A27" s="22">
        <f>Data!AL26</f>
        <v>46424</v>
      </c>
      <c r="D27" s="115"/>
      <c r="H27" s="22" t="str">
        <f ca="1">IFERROR(IF(I27="","",Data!AL26),"")</f>
        <v/>
      </c>
      <c r="I27" t="str">
        <f ca="1"/>
        <v/>
      </c>
      <c r="J27" s="22" t="str">
        <f t="shared" ca="1" si="0"/>
        <v/>
      </c>
      <c r="L27">
        <f t="shared" si="3"/>
        <v>550</v>
      </c>
      <c r="O27" t="str">
        <f t="shared" ca="1" si="1"/>
        <v/>
      </c>
      <c r="P27" t="str">
        <f t="shared" ca="1" si="2"/>
        <v/>
      </c>
    </row>
    <row r="28" spans="1:16" x14ac:dyDescent="0.2">
      <c r="A28" s="22">
        <f>Data!AL27</f>
        <v>46431</v>
      </c>
      <c r="D28" s="115"/>
      <c r="H28" s="22" t="str">
        <f ca="1">IFERROR(IF(I28="","",Data!AL27),"")</f>
        <v/>
      </c>
      <c r="I28" t="str">
        <f ca="1"/>
        <v/>
      </c>
      <c r="J28" s="22" t="str">
        <f t="shared" ca="1" si="0"/>
        <v/>
      </c>
      <c r="L28">
        <f t="shared" si="3"/>
        <v>572</v>
      </c>
      <c r="O28" t="str">
        <f t="shared" ca="1" si="1"/>
        <v/>
      </c>
      <c r="P28" t="str">
        <f t="shared" ca="1" si="2"/>
        <v/>
      </c>
    </row>
    <row r="29" spans="1:16" x14ac:dyDescent="0.2">
      <c r="A29" s="22">
        <f>Data!AL28</f>
        <v>46438</v>
      </c>
      <c r="D29" s="115"/>
      <c r="H29" s="22" t="str">
        <f ca="1">IFERROR(IF(I29="","",Data!AL28),"")</f>
        <v/>
      </c>
      <c r="I29" t="str">
        <f ca="1"/>
        <v/>
      </c>
      <c r="J29" s="22" t="str">
        <f t="shared" ca="1" si="0"/>
        <v/>
      </c>
      <c r="L29">
        <f t="shared" si="3"/>
        <v>594</v>
      </c>
      <c r="O29" t="str">
        <f t="shared" ca="1" si="1"/>
        <v/>
      </c>
      <c r="P29" t="str">
        <f t="shared" ca="1" si="2"/>
        <v/>
      </c>
    </row>
    <row r="30" spans="1:16" x14ac:dyDescent="0.2">
      <c r="A30" s="22">
        <f>Data!AL29</f>
        <v>46445</v>
      </c>
      <c r="D30" s="115"/>
      <c r="H30" s="22" t="str">
        <f ca="1">IFERROR(IF(I30="","",Data!AL29),"")</f>
        <v/>
      </c>
      <c r="I30" t="str">
        <f ca="1"/>
        <v/>
      </c>
      <c r="J30" s="22" t="str">
        <f t="shared" ca="1" si="0"/>
        <v/>
      </c>
      <c r="L30">
        <f t="shared" si="3"/>
        <v>616</v>
      </c>
      <c r="O30" t="str">
        <f t="shared" ca="1" si="1"/>
        <v/>
      </c>
      <c r="P30" t="str">
        <f t="shared" ca="1" si="2"/>
        <v/>
      </c>
    </row>
    <row r="31" spans="1:16" x14ac:dyDescent="0.2">
      <c r="A31" s="22">
        <f>Data!AL30</f>
        <v>46452</v>
      </c>
      <c r="D31" s="115"/>
      <c r="H31" s="22" t="str">
        <f ca="1">IFERROR(IF(I31="","",Data!AL30),"")</f>
        <v/>
      </c>
      <c r="I31" t="str">
        <f ca="1"/>
        <v/>
      </c>
      <c r="J31" s="22" t="str">
        <f t="shared" ca="1" si="0"/>
        <v/>
      </c>
      <c r="L31">
        <f t="shared" si="3"/>
        <v>638</v>
      </c>
      <c r="O31" t="str">
        <f t="shared" ca="1" si="1"/>
        <v/>
      </c>
      <c r="P31" t="str">
        <f t="shared" ca="1" si="2"/>
        <v/>
      </c>
    </row>
    <row r="32" spans="1:16" x14ac:dyDescent="0.2">
      <c r="A32" s="22">
        <f>Data!AL31</f>
        <v>46459</v>
      </c>
      <c r="D32" s="115"/>
      <c r="H32" s="22" t="str">
        <f ca="1">IFERROR(IF(I32="","",Data!AL31),"")</f>
        <v/>
      </c>
      <c r="I32" t="str">
        <f ca="1"/>
        <v/>
      </c>
      <c r="J32" s="22" t="str">
        <f t="shared" ca="1" si="0"/>
        <v/>
      </c>
      <c r="L32">
        <f t="shared" si="3"/>
        <v>660</v>
      </c>
      <c r="O32" t="str">
        <f t="shared" ca="1" si="1"/>
        <v/>
      </c>
      <c r="P32" t="str">
        <f t="shared" ca="1" si="2"/>
        <v/>
      </c>
    </row>
    <row r="33" spans="1:16" x14ac:dyDescent="0.2">
      <c r="A33" s="22">
        <f>Data!AL32</f>
        <v>46466</v>
      </c>
      <c r="D33" s="115"/>
      <c r="H33" s="22" t="str">
        <f ca="1">IFERROR(IF(I33="","",Data!AL32),"")</f>
        <v/>
      </c>
      <c r="I33" t="str">
        <f ca="1"/>
        <v/>
      </c>
      <c r="J33" s="22" t="str">
        <f t="shared" ca="1" si="0"/>
        <v/>
      </c>
      <c r="L33">
        <f t="shared" si="3"/>
        <v>682</v>
      </c>
      <c r="O33" t="str">
        <f t="shared" ca="1" si="1"/>
        <v/>
      </c>
      <c r="P33" t="str">
        <f t="shared" ca="1" si="2"/>
        <v/>
      </c>
    </row>
    <row r="34" spans="1:16" x14ac:dyDescent="0.2">
      <c r="A34" s="22">
        <f>Data!AL33</f>
        <v>46473</v>
      </c>
      <c r="D34" s="115"/>
      <c r="H34" s="22" t="str">
        <f ca="1">IFERROR(IF(I34="","",Data!AL33),"")</f>
        <v/>
      </c>
      <c r="I34" t="str">
        <f ca="1"/>
        <v/>
      </c>
      <c r="J34" s="22" t="str">
        <f t="shared" ca="1" si="0"/>
        <v/>
      </c>
      <c r="L34">
        <f t="shared" si="3"/>
        <v>704</v>
      </c>
      <c r="O34" t="str">
        <f t="shared" ca="1" si="1"/>
        <v/>
      </c>
      <c r="P34" t="str">
        <f t="shared" ca="1" si="2"/>
        <v/>
      </c>
    </row>
    <row r="35" spans="1:16" x14ac:dyDescent="0.2">
      <c r="A35" s="22">
        <f>Data!AL34</f>
        <v>46480</v>
      </c>
      <c r="D35" s="115"/>
      <c r="H35" s="22" t="str">
        <f ca="1">IFERROR(IF(I35="","",Data!AL34),"")</f>
        <v/>
      </c>
      <c r="I35" t="str">
        <f ca="1"/>
        <v/>
      </c>
      <c r="J35" s="22" t="str">
        <f t="shared" ca="1" si="0"/>
        <v/>
      </c>
      <c r="L35">
        <f t="shared" si="3"/>
        <v>726</v>
      </c>
      <c r="O35" t="str">
        <f t="shared" ca="1" si="1"/>
        <v/>
      </c>
      <c r="P35" t="str">
        <f t="shared" ca="1" si="2"/>
        <v/>
      </c>
    </row>
    <row r="36" spans="1:16" x14ac:dyDescent="0.2">
      <c r="A36" s="22">
        <f>Data!AL35</f>
        <v>46487</v>
      </c>
      <c r="D36" s="115"/>
      <c r="H36" s="22" t="str">
        <f ca="1">IFERROR(IF(I36="","",Data!AL35),"")</f>
        <v/>
      </c>
      <c r="I36" t="str">
        <f ca="1"/>
        <v/>
      </c>
      <c r="J36" s="22" t="str">
        <f t="shared" ca="1" si="0"/>
        <v/>
      </c>
      <c r="L36">
        <f t="shared" si="3"/>
        <v>748</v>
      </c>
      <c r="O36" t="str">
        <f t="shared" ca="1" si="1"/>
        <v/>
      </c>
      <c r="P36" t="str">
        <f t="shared" ca="1" si="2"/>
        <v/>
      </c>
    </row>
    <row r="37" spans="1:16" x14ac:dyDescent="0.2">
      <c r="A37" s="22">
        <f>Data!AL36</f>
        <v>46494</v>
      </c>
      <c r="D37" s="115"/>
      <c r="H37" s="22" t="str">
        <f ca="1">IFERROR(IF(I37="","",Data!AL36),"")</f>
        <v/>
      </c>
      <c r="I37" t="str">
        <f ca="1"/>
        <v/>
      </c>
      <c r="J37" s="22" t="str">
        <f t="shared" ca="1" si="0"/>
        <v/>
      </c>
      <c r="L37">
        <f t="shared" si="3"/>
        <v>770</v>
      </c>
      <c r="O37" t="str">
        <f t="shared" ca="1" si="1"/>
        <v/>
      </c>
      <c r="P37" t="str">
        <f t="shared" ca="1" si="2"/>
        <v/>
      </c>
    </row>
    <row r="38" spans="1:16" x14ac:dyDescent="0.2">
      <c r="A38" s="22">
        <f>Data!AL37</f>
        <v>46501</v>
      </c>
      <c r="D38" s="115"/>
      <c r="H38" s="22" t="str">
        <f ca="1">IFERROR(IF(I38="","",Data!AL37),"")</f>
        <v/>
      </c>
      <c r="I38" t="str">
        <f ca="1"/>
        <v/>
      </c>
      <c r="J38" s="22" t="str">
        <f t="shared" ca="1" si="0"/>
        <v/>
      </c>
      <c r="L38">
        <f t="shared" si="3"/>
        <v>792</v>
      </c>
      <c r="O38" t="str">
        <f t="shared" ca="1" si="1"/>
        <v/>
      </c>
      <c r="P38" t="str">
        <f t="shared" ca="1" si="2"/>
        <v/>
      </c>
    </row>
    <row r="39" spans="1:16" x14ac:dyDescent="0.2">
      <c r="A39" s="22">
        <f>Data!AL38</f>
        <v>46508</v>
      </c>
      <c r="D39" s="115"/>
      <c r="H39" s="22" t="str">
        <f ca="1">IFERROR(IF(I39="","",Data!AL38),"")</f>
        <v/>
      </c>
      <c r="I39" t="str">
        <f ca="1"/>
        <v/>
      </c>
      <c r="J39" s="22" t="str">
        <f t="shared" ca="1" si="0"/>
        <v/>
      </c>
      <c r="L39">
        <f t="shared" si="3"/>
        <v>814</v>
      </c>
      <c r="O39" t="str">
        <f t="shared" ca="1" si="1"/>
        <v/>
      </c>
      <c r="P39" t="str">
        <f t="shared" ca="1" si="2"/>
        <v/>
      </c>
    </row>
    <row r="40" spans="1:16" x14ac:dyDescent="0.2">
      <c r="A40" s="22">
        <f>Data!AL39</f>
        <v>46515</v>
      </c>
      <c r="D40" s="115"/>
      <c r="H40" s="22" t="str">
        <f ca="1">IFERROR(IF(I40="","",Data!AL39),"")</f>
        <v/>
      </c>
      <c r="I40" t="str">
        <f ca="1"/>
        <v/>
      </c>
      <c r="J40" s="22" t="str">
        <f t="shared" ca="1" si="0"/>
        <v/>
      </c>
      <c r="L40">
        <f t="shared" si="3"/>
        <v>836</v>
      </c>
      <c r="O40" t="str">
        <f t="shared" ca="1" si="1"/>
        <v/>
      </c>
      <c r="P40" t="str">
        <f t="shared" ca="1" si="2"/>
        <v/>
      </c>
    </row>
    <row r="41" spans="1:16" x14ac:dyDescent="0.2">
      <c r="A41" s="22">
        <f>Data!AL40</f>
        <v>46522</v>
      </c>
      <c r="D41" s="115"/>
      <c r="H41" s="22" t="str">
        <f ca="1">IFERROR(IF(I41="","",Data!AL40),"")</f>
        <v/>
      </c>
      <c r="I41" t="str">
        <f ca="1"/>
        <v/>
      </c>
      <c r="J41" s="22" t="str">
        <f t="shared" ca="1" si="0"/>
        <v/>
      </c>
      <c r="L41">
        <f t="shared" si="3"/>
        <v>858</v>
      </c>
      <c r="O41" t="str">
        <f t="shared" ca="1" si="1"/>
        <v/>
      </c>
      <c r="P41" t="str">
        <f t="shared" ca="1" si="2"/>
        <v/>
      </c>
    </row>
    <row r="42" spans="1:16" x14ac:dyDescent="0.2">
      <c r="A42" s="22">
        <f>Data!AL41</f>
        <v>0</v>
      </c>
      <c r="D42" s="115"/>
      <c r="H42" s="22" t="str">
        <f>IFERROR(IF(I42="","",Data!AL41),"")</f>
        <v/>
      </c>
      <c r="J42" s="22" t="str">
        <f t="shared" si="0"/>
        <v/>
      </c>
      <c r="L42">
        <f t="shared" si="3"/>
        <v>880</v>
      </c>
      <c r="O42" t="str">
        <f t="shared" si="1"/>
        <v/>
      </c>
      <c r="P42" t="str">
        <f t="shared" si="2"/>
        <v/>
      </c>
    </row>
    <row r="43" spans="1:16" x14ac:dyDescent="0.2">
      <c r="D43" s="115"/>
      <c r="H43" s="22" t="str">
        <f>IFERROR(IF(I43="","",Data!AL42),"")</f>
        <v/>
      </c>
      <c r="J43" s="22" t="str">
        <f t="shared" si="0"/>
        <v/>
      </c>
    </row>
    <row r="44" spans="1:16" x14ac:dyDescent="0.2">
      <c r="D44" s="115"/>
      <c r="H44" s="22" t="str">
        <f>IFERROR(IF(I44="","",Data!AL43),"")</f>
        <v/>
      </c>
      <c r="J44" s="22" t="str">
        <f t="shared" si="0"/>
        <v/>
      </c>
    </row>
    <row r="45" spans="1:16" x14ac:dyDescent="0.2">
      <c r="D45" s="115"/>
      <c r="H45" s="22" t="str">
        <f>IFERROR(IF(I45="","",Data!AL44),"")</f>
        <v/>
      </c>
      <c r="J45" s="22" t="str">
        <f t="shared" si="0"/>
        <v/>
      </c>
    </row>
    <row r="46" spans="1:16" x14ac:dyDescent="0.2">
      <c r="D46" s="115"/>
      <c r="H46" s="22" t="str">
        <f>IFERROR(IF(I46="","",Data!AL45),"")</f>
        <v/>
      </c>
      <c r="J46" s="22" t="str">
        <f t="shared" si="0"/>
        <v/>
      </c>
    </row>
    <row r="47" spans="1:16" x14ac:dyDescent="0.2">
      <c r="D47" s="115"/>
      <c r="H47" s="22" t="str">
        <f>IFERROR(IF(I47="","",Data!AL46),"")</f>
        <v/>
      </c>
      <c r="J47" s="22" t="str">
        <f t="shared" si="0"/>
        <v/>
      </c>
    </row>
    <row r="48" spans="1:16" x14ac:dyDescent="0.2">
      <c r="D48" s="115"/>
      <c r="H48" s="22" t="str">
        <f>IFERROR(IF(I48="","",Data!AL47),"")</f>
        <v/>
      </c>
      <c r="J48" s="22" t="str">
        <f t="shared" si="0"/>
        <v/>
      </c>
    </row>
    <row r="49" spans="4:10" x14ac:dyDescent="0.2">
      <c r="D49" s="115"/>
      <c r="H49" s="22" t="str">
        <f>IFERROR(IF(I49="","",Data!AL48),"")</f>
        <v/>
      </c>
      <c r="J49" s="22" t="str">
        <f t="shared" si="0"/>
        <v/>
      </c>
    </row>
    <row r="50" spans="4:10" x14ac:dyDescent="0.2">
      <c r="D50" s="115"/>
      <c r="H50" s="22" t="str">
        <f>IFERROR(IF(I50="","",Data!AL49),"")</f>
        <v/>
      </c>
      <c r="J50" s="22" t="str">
        <f t="shared" si="0"/>
        <v/>
      </c>
    </row>
    <row r="51" spans="4:10" x14ac:dyDescent="0.2">
      <c r="D51" s="115"/>
      <c r="H51" s="22" t="str">
        <f>IFERROR(IF(I51="","",Data!AL50),"")</f>
        <v/>
      </c>
      <c r="J51" s="22" t="str">
        <f t="shared" si="0"/>
        <v/>
      </c>
    </row>
    <row r="52" spans="4:10" x14ac:dyDescent="0.2">
      <c r="D52" s="115"/>
      <c r="H52" s="22" t="str">
        <f>IFERROR(IF(I52="","",Data!AL51),"")</f>
        <v/>
      </c>
      <c r="J52" s="22" t="str">
        <f t="shared" si="0"/>
        <v/>
      </c>
    </row>
    <row r="53" spans="4:10" x14ac:dyDescent="0.2">
      <c r="D53" s="115"/>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918</v>
      </c>
      <c r="Q3" t="s">
        <v>919</v>
      </c>
      <c r="T3" t="s">
        <v>920</v>
      </c>
      <c r="W3" t="s">
        <v>921</v>
      </c>
      <c r="Z3" t="s">
        <v>922</v>
      </c>
      <c r="AC3" t="s">
        <v>923</v>
      </c>
      <c r="AG3" t="s">
        <v>924</v>
      </c>
      <c r="AJ3" t="s">
        <v>925</v>
      </c>
      <c r="AM3" t="s">
        <v>926</v>
      </c>
      <c r="AP3" t="s">
        <v>927</v>
      </c>
      <c r="AS3" t="s">
        <v>928</v>
      </c>
      <c r="AV3" t="s">
        <v>929</v>
      </c>
      <c r="AY3" t="s">
        <v>930</v>
      </c>
      <c r="BB3" t="s">
        <v>931</v>
      </c>
      <c r="BE3" t="s">
        <v>932</v>
      </c>
      <c r="BH3" t="s">
        <v>933</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2340</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1702</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2414</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934</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935</v>
      </c>
      <c r="D9">
        <f ca="1">SUMIF(t_ahh[tp],"&lt;&gt;#I/T")</f>
        <v>6456</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904</v>
      </c>
      <c r="D11" s="548" t="s">
        <v>19</v>
      </c>
      <c r="E11" s="548" t="s">
        <v>20</v>
      </c>
      <c r="F11" s="548" t="s">
        <v>21</v>
      </c>
      <c r="G11" s="548" t="s">
        <v>22</v>
      </c>
      <c r="H11" s="548" t="s">
        <v>23</v>
      </c>
      <c r="I11" s="548" t="s">
        <v>24</v>
      </c>
      <c r="J11" s="548" t="s">
        <v>25</v>
      </c>
      <c r="K11" s="548" t="s">
        <v>936</v>
      </c>
      <c r="L11" s="20"/>
      <c r="M11" s="20"/>
      <c r="P11" s="20"/>
      <c r="S11" s="20"/>
      <c r="V11" s="20"/>
    </row>
    <row r="12" spans="3:61" x14ac:dyDescent="0.2">
      <c r="C12" s="20"/>
      <c r="D12" s="20"/>
      <c r="E12" s="20"/>
      <c r="F12" s="20"/>
      <c r="G12" s="20"/>
      <c r="H12" s="20"/>
      <c r="I12" s="20"/>
      <c r="J12" s="20"/>
      <c r="K12" s="20"/>
      <c r="L12" s="20"/>
      <c r="M12" s="20"/>
      <c r="P12" s="20"/>
      <c r="Q12" s="735" t="s">
        <v>937</v>
      </c>
      <c r="R12" s="734">
        <v>2025</v>
      </c>
      <c r="S12" s="734">
        <v>2024</v>
      </c>
      <c r="T12" s="734">
        <v>2023</v>
      </c>
      <c r="U12" s="734">
        <v>2022</v>
      </c>
      <c r="V12" s="734">
        <v>2021</v>
      </c>
      <c r="W12" s="734">
        <v>2020</v>
      </c>
      <c r="X12" s="734">
        <v>2019</v>
      </c>
      <c r="Y12" s="734">
        <v>2018</v>
      </c>
      <c r="Z12" s="734">
        <v>2017</v>
      </c>
      <c r="AA12" s="734">
        <v>2016</v>
      </c>
      <c r="AB12" s="734">
        <v>2015</v>
      </c>
      <c r="AC12" s="734">
        <v>2014</v>
      </c>
      <c r="AD12" s="734">
        <v>2013</v>
      </c>
      <c r="AE12" s="734">
        <v>2012</v>
      </c>
      <c r="AF12" s="734">
        <v>2011</v>
      </c>
      <c r="AG12" s="734">
        <v>2010</v>
      </c>
      <c r="AH12" s="734"/>
      <c r="AI12" s="734"/>
      <c r="AJ12" s="734"/>
      <c r="AK12" s="734" t="s">
        <v>473</v>
      </c>
      <c r="AL12" s="734" t="s">
        <v>467</v>
      </c>
      <c r="AM12" s="2"/>
      <c r="AO12" s="747" t="s">
        <v>938</v>
      </c>
      <c r="AP12" s="748"/>
      <c r="AS12" s="745" t="s">
        <v>939</v>
      </c>
      <c r="AT12" s="746"/>
      <c r="AV12" s="747" t="s">
        <v>940</v>
      </c>
      <c r="AW12" s="753"/>
      <c r="AX12" s="748" t="s">
        <v>904</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42">
        <v>1</v>
      </c>
      <c r="AO13" s="736" t="str" cm="1">
        <f t="array" ref="AO13:AP19">_xlfn._xlws.SORT($AK$13:$AL$19,{2;1},-1)</f>
        <v>ØG</v>
      </c>
      <c r="AP13" s="737">
        <v>9675</v>
      </c>
      <c r="AQ13" s="744" t="s">
        <v>941</v>
      </c>
      <c r="AR13" s="742">
        <v>1</v>
      </c>
      <c r="AS13" s="738" t="s">
        <v>23</v>
      </c>
      <c r="AT13" s="739">
        <f t="shared" ref="AT13:AT19" si="13">COUNTIFS($R$23:$R$38,AS13)</f>
        <v>5</v>
      </c>
      <c r="AU13" s="744"/>
      <c r="AV13" s="738">
        <f>LARGE(R13:AG19,1)</f>
        <v>996</v>
      </c>
      <c r="AW13" s="749" t="str">
        <f>_xlfn.XLOOKUP($AV$13,$Q$23:$Q$38,R23:R38)</f>
        <v>ØG</v>
      </c>
      <c r="AX13" s="750">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42">
        <v>2</v>
      </c>
      <c r="AO14" s="738" t="str">
        <v>RB</v>
      </c>
      <c r="AP14" s="739">
        <v>9360</v>
      </c>
      <c r="AQ14" s="743">
        <f>$AP$13-AP14</f>
        <v>315</v>
      </c>
      <c r="AR14" s="742">
        <v>2</v>
      </c>
      <c r="AS14" s="738" t="s">
        <v>24</v>
      </c>
      <c r="AT14" s="739">
        <f t="shared" si="13"/>
        <v>4</v>
      </c>
      <c r="AU14" s="743"/>
      <c r="AV14" s="738">
        <f>LARGE(R14:AG20,2)</f>
        <v>969</v>
      </c>
      <c r="AW14" s="749" t="str">
        <f t="shared" ref="AW14:AW15" si="19">_xlfn.XLOOKUP($AV$13,$Q$23:$Q$38,R24:R39)</f>
        <v>AHH</v>
      </c>
      <c r="AX14" s="750">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42">
        <v>3</v>
      </c>
      <c r="AO15" s="738" t="str">
        <v>KAF</v>
      </c>
      <c r="AP15" s="739">
        <v>9330</v>
      </c>
      <c r="AQ15" s="743">
        <f t="shared" ref="AQ15:AQ19" si="21">$AP$13-AP15</f>
        <v>345</v>
      </c>
      <c r="AR15" s="742">
        <v>3</v>
      </c>
      <c r="AS15" s="738" t="s">
        <v>21</v>
      </c>
      <c r="AT15" s="739">
        <f t="shared" si="13"/>
        <v>2</v>
      </c>
      <c r="AU15" s="743"/>
      <c r="AV15" s="740">
        <f>LARGE(R15:AG21,3)</f>
        <v>955</v>
      </c>
      <c r="AW15" s="751" t="str">
        <f t="shared" si="19"/>
        <v>ØG</v>
      </c>
      <c r="AX15" s="752">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42">
        <v>4</v>
      </c>
      <c r="AO16" s="738" t="str">
        <v>TOH</v>
      </c>
      <c r="AP16" s="739">
        <v>9276</v>
      </c>
      <c r="AQ16" s="743">
        <f t="shared" si="21"/>
        <v>399</v>
      </c>
      <c r="AR16" s="742">
        <v>4</v>
      </c>
      <c r="AS16" s="738" t="s">
        <v>25</v>
      </c>
      <c r="AT16" s="739">
        <f t="shared" si="13"/>
        <v>2</v>
      </c>
      <c r="AU16" s="743"/>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42">
        <v>5</v>
      </c>
      <c r="AO17" s="738" t="str">
        <v>EB</v>
      </c>
      <c r="AP17" s="739">
        <v>9172</v>
      </c>
      <c r="AQ17" s="743">
        <f t="shared" si="21"/>
        <v>503</v>
      </c>
      <c r="AR17" s="742">
        <v>5</v>
      </c>
      <c r="AS17" s="738" t="s">
        <v>19</v>
      </c>
      <c r="AT17" s="739">
        <f t="shared" si="13"/>
        <v>1</v>
      </c>
      <c r="AU17" s="743"/>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42">
        <v>6</v>
      </c>
      <c r="AO18" s="738" t="str">
        <v>JH</v>
      </c>
      <c r="AP18" s="739">
        <v>9072</v>
      </c>
      <c r="AQ18" s="743">
        <f t="shared" si="21"/>
        <v>603</v>
      </c>
      <c r="AR18" s="742">
        <v>6</v>
      </c>
      <c r="AS18" s="738" t="s">
        <v>22</v>
      </c>
      <c r="AT18" s="739">
        <f t="shared" si="13"/>
        <v>1</v>
      </c>
      <c r="AU18" s="743"/>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42">
        <v>7</v>
      </c>
      <c r="AO19" s="740" t="str">
        <v>AHH</v>
      </c>
      <c r="AP19" s="741">
        <v>9006</v>
      </c>
      <c r="AQ19" s="743">
        <f t="shared" si="21"/>
        <v>669</v>
      </c>
      <c r="AR19" s="742">
        <v>7</v>
      </c>
      <c r="AS19" s="740" t="s">
        <v>20</v>
      </c>
      <c r="AT19" s="741">
        <f t="shared" si="13"/>
        <v>1</v>
      </c>
      <c r="AU19" s="743"/>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48">
        <v>1177</v>
      </c>
      <c r="J22" s="20">
        <v>407</v>
      </c>
      <c r="K22" s="20"/>
      <c r="L22" s="20"/>
      <c r="M22" s="20"/>
      <c r="P22" s="20"/>
      <c r="Q22" t="s">
        <v>942</v>
      </c>
      <c r="S22" s="20"/>
      <c r="T22" s="20" t="s">
        <v>36</v>
      </c>
      <c r="U22" s="20"/>
      <c r="V22" s="20"/>
      <c r="W22" t="s">
        <v>943</v>
      </c>
    </row>
    <row r="23" spans="3:47" x14ac:dyDescent="0.2">
      <c r="C23">
        <v>2010</v>
      </c>
      <c r="D23">
        <v>12820</v>
      </c>
      <c r="E23">
        <v>12591</v>
      </c>
      <c r="F23">
        <v>12762</v>
      </c>
      <c r="G23">
        <v>14456</v>
      </c>
      <c r="H23">
        <v>13448</v>
      </c>
      <c r="I23">
        <v>11305</v>
      </c>
      <c r="J23" s="544">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44">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44">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44">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44">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44">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44">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44">
        <v>12830</v>
      </c>
      <c r="H30">
        <v>12740</v>
      </c>
      <c r="I30">
        <v>10748</v>
      </c>
      <c r="J30">
        <v>11908</v>
      </c>
      <c r="P30" s="2">
        <v>2018</v>
      </c>
      <c r="Q30">
        <f>MAX(Y$13:Y$19)</f>
        <v>734</v>
      </c>
      <c r="R30" t="str">
        <f>_xlfn.XLOOKUP(MAX(Y$13:Y$19),Y$13:Y$19,$Q$13:$Q$19)</f>
        <v>AHH</v>
      </c>
    </row>
    <row r="31" spans="3:47" x14ac:dyDescent="0.2">
      <c r="C31">
        <v>2018</v>
      </c>
      <c r="D31">
        <v>10286</v>
      </c>
      <c r="E31">
        <v>10789</v>
      </c>
      <c r="F31">
        <v>9751</v>
      </c>
      <c r="G31" s="544">
        <v>11475</v>
      </c>
      <c r="H31">
        <v>11390</v>
      </c>
      <c r="I31">
        <v>11051</v>
      </c>
      <c r="J31">
        <v>10222</v>
      </c>
      <c r="P31" s="2">
        <v>2017</v>
      </c>
      <c r="Q31">
        <f>MAX(Z$13:Z$19)</f>
        <v>639</v>
      </c>
      <c r="R31" t="str">
        <f>_xlfn.XLOOKUP(MAX(Z$13:Z$19),Z$13:Z$19,$Q$13:$Q$19)</f>
        <v>ØG</v>
      </c>
    </row>
    <row r="32" spans="3:47" x14ac:dyDescent="0.2">
      <c r="C32">
        <v>2019</v>
      </c>
      <c r="D32">
        <v>9254</v>
      </c>
      <c r="E32">
        <v>10232</v>
      </c>
      <c r="F32">
        <v>10198</v>
      </c>
      <c r="G32" s="544">
        <v>11281</v>
      </c>
      <c r="H32">
        <v>10358</v>
      </c>
      <c r="I32">
        <v>9690</v>
      </c>
      <c r="J32">
        <v>10613</v>
      </c>
      <c r="P32" s="2">
        <v>2016</v>
      </c>
      <c r="Q32">
        <f>MAX(AA$13:AA$19)</f>
        <v>618</v>
      </c>
      <c r="R32" t="str">
        <f>_xlfn.XLOOKUP(MAX(AA$13:AA$19),AA$13:AA$19,$Q$13:$Q$19)</f>
        <v>JH</v>
      </c>
    </row>
    <row r="33" spans="3:18" x14ac:dyDescent="0.2">
      <c r="C33">
        <v>2020</v>
      </c>
      <c r="D33">
        <v>6004</v>
      </c>
      <c r="E33">
        <v>6317</v>
      </c>
      <c r="F33" s="544">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44">
        <v>3870</v>
      </c>
      <c r="H34">
        <v>3805</v>
      </c>
      <c r="I34">
        <v>3786</v>
      </c>
      <c r="J34">
        <v>3134</v>
      </c>
      <c r="P34" s="2">
        <v>2014</v>
      </c>
      <c r="Q34">
        <f>MAX(AC$13:AC$19)</f>
        <v>644</v>
      </c>
      <c r="R34" t="str">
        <f>_xlfn.XLOOKUP(MAX(AB$13:AB$19),AB$13:AB$19,$Q$13:$Q$19)</f>
        <v>TOH</v>
      </c>
    </row>
    <row r="35" spans="3:18" x14ac:dyDescent="0.2">
      <c r="C35">
        <v>2022</v>
      </c>
      <c r="D35">
        <v>9440</v>
      </c>
      <c r="E35">
        <v>9597</v>
      </c>
      <c r="F35">
        <v>9847</v>
      </c>
      <c r="G35" s="544">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44">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N68"/>
  <sheetViews>
    <sheetView showGridLines="0" showZeros="0" zoomScaleNormal="100" workbookViewId="0">
      <pane ySplit="1" topLeftCell="A2" activePane="bottomLeft" state="frozen"/>
      <selection activeCell="AO1" sqref="AO1"/>
      <selection pane="bottomLeft" activeCell="R2" sqref="R2:T33"/>
    </sheetView>
  </sheetViews>
  <sheetFormatPr baseColWidth="10" defaultColWidth="11.42578125" defaultRowHeight="12.75" x14ac:dyDescent="0.2"/>
  <cols>
    <col min="1" max="1" width="4.7109375" bestFit="1" customWidth="1"/>
    <col min="2" max="2" width="10.140625" bestFit="1" customWidth="1"/>
    <col min="3" max="3" width="12" customWidth="1"/>
    <col min="4"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7" width="12.140625" bestFit="1" customWidth="1"/>
    <col min="18" max="18" width="10" customWidth="1"/>
    <col min="19" max="19" width="9.7109375" bestFit="1" customWidth="1"/>
    <col min="20" max="20" width="12.5703125" bestFit="1" customWidth="1"/>
    <col min="21" max="21" width="6.85546875" bestFit="1" customWidth="1"/>
    <col min="22" max="22" width="14.5703125" customWidth="1"/>
    <col min="35" max="36" width="10.28515625" customWidth="1"/>
  </cols>
  <sheetData>
    <row r="1" spans="1:40"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23"/>
      <c r="X1" s="2"/>
      <c r="Y1" s="2"/>
      <c r="Z1" s="671"/>
      <c r="AA1" s="671"/>
      <c r="AB1" s="671"/>
      <c r="AC1" s="671"/>
      <c r="AD1" s="671"/>
      <c r="AE1" s="671"/>
      <c r="AF1" s="671"/>
      <c r="AG1" s="676"/>
      <c r="AH1" s="23"/>
      <c r="AJ1" s="468"/>
      <c r="AK1" s="468"/>
      <c r="AL1" s="468"/>
      <c r="AM1" s="468"/>
      <c r="AN1" s="468"/>
    </row>
    <row r="2" spans="1:40" ht="13.5" thickTop="1" x14ac:dyDescent="0.2">
      <c r="A2" s="3" t="s">
        <v>905</v>
      </c>
      <c r="B2">
        <f>IF(t_ahh[[#This Row],[Dato]]&lt;&gt;"",WEEKNUM(t_ahh[[#This Row],[Dato]]),"")</f>
        <v>33</v>
      </c>
      <c r="C2" s="22">
        <f>Data!AL1</f>
        <v>46249</v>
      </c>
      <c r="D2">
        <f ca="1">IFERROR(IF(t_ahh[[#This Row],[Dato]]="","",OFFSET(_xlfn.XLOOKUP(C2,Kuponger!E:E,Kuponger!Q:Q),15,0)),"")</f>
        <v>0</v>
      </c>
      <c r="E2">
        <f ca="1">IFERROR(OFFSET(_xlfn.XLOOKUP(C2,Kuponger!E:E,Kuponger!Q:Q),15,1),"")</f>
        <v>0</v>
      </c>
      <c r="F2">
        <f ca="1">IFERROR(IF(t_ahh[[#This Row],[Dato]]="","",OFFSET(_xlfn.XLOOKUP(C2,Kuponger!E:E,Kuponger!Q:Q),15,2)),"")</f>
        <v>0</v>
      </c>
      <c r="G2">
        <f ca="1">IFERROR(IF(OFFSET(_xlfn.XLOOKUP(C2,Kuponger!E:E,Kuponger!Q:Q),0,2)=0,"",OFFSET(_xlfn.XLOOKUP(C2,Kuponger!E:E,Kuponger!Q:Q),1,2))*-1,"")</f>
        <v>0</v>
      </c>
      <c r="H2" t="str">
        <f t="shared" ref="H2:H33" ca="1" si="0">IF(SUMIF(D2:G2,"&lt;&gt;""")=0,"",SUMIF(D2:G2,"&lt;&gt;"""))</f>
        <v/>
      </c>
      <c r="I2" t="str">
        <f ca="1">IFERROR(IF(t_ahh[[#This Row],[tp]]&lt;&gt;"",OFFSET(_xlfn.XLOOKUP(C2,Kuponger!E:E,Kuponger!Q:Q),1,1),""),"")</f>
        <v/>
      </c>
      <c r="J2" s="3">
        <f ca="1">IFERROR(IF(t_ahh[[#This Row],[Dato]]="",0,OFFSET(_xlfn.XLOOKUP(t_ahh[[#This Row],[Dato]],Kuponger!E:E,Kuponger!Q:Q),1,7)),"")</f>
        <v>0</v>
      </c>
      <c r="K2" s="3">
        <f ca="1">IFERROR(SUM(t_ahh[[#This Row],[tp]]),0)</f>
        <v>0</v>
      </c>
      <c r="L2" s="3" t="str">
        <f ca="1">IF(t_ahh[[#This Row],[Antall_rette]]=12,1,"")</f>
        <v/>
      </c>
      <c r="M2" s="3" t="str">
        <f ca="1">IF(t_ahh[[#This Row],[Antall_rette]]&lt;&gt;11,"",IF(t_ahh[[#This Row],[Antall_rette]]=11,1,""))</f>
        <v/>
      </c>
      <c r="N2" s="3" t="str">
        <f ca="1">IF(OR(t_ahh[[#This Row],[12_Antall]]=1,t_ahh[[#This Row],[11_Antall]]=1),"",IF(t_ahh[[#This Row],[Antall_rette]]&gt;9,1,""))</f>
        <v/>
      </c>
      <c r="O2" s="3">
        <f ca="1">IF(t_ahh[[#This Row],[12_Antall]]=1,Data!$AJ$3,0)</f>
        <v>0</v>
      </c>
      <c r="P2" s="3">
        <f ca="1">IF(t_ahh[[#This Row],[11_Antall]]=1,Data!$AJ$2,0)</f>
        <v>0</v>
      </c>
      <c r="Q2" s="3">
        <f ca="1">IF(t_ahh[[#This Row],[10_Antall]]=1,Data!$AJ$1,0)</f>
        <v>0</v>
      </c>
      <c r="R2" s="3" t="str" cm="1">
        <f t="array" ref="R2">IFERROR(IF(_xlfn.XLOOKUP(t_ahh[[#This Row],[Dato]]&amp;t_ahh[[#This Row],[navn]],Regnskap!$C$10:$C$51&amp;Regnskap!$K$10:$K$51,Regnskap!$H$10:$H$51)&gt;0,Data!$AJ$3,""),"")</f>
        <v/>
      </c>
      <c r="S2" s="3" t="str" cm="1">
        <f t="array" ref="S2">IFERROR(IF(t_ahh[[#This Row],[12_pLEV]]="",IF(_xlfn.XLOOKUP(t_ahh[[#This Row],[Dato]]&amp;t_ahh[[#This Row],[navn]],Regnskap!$C$10:$C$51&amp;Regnskap!$K$10:$K$51,Regnskap!$I$10:$I$51)&gt;0,Data!$AJ$2)),"")</f>
        <v/>
      </c>
      <c r="T2" s="3" t="str" cm="1">
        <f t="array" ref="T2">IFERROR(IF(t_ahh[[#This Row],[11_pLEV]]="",IF(_xlfn.XLOOKUP(t_ahh[[#This Row],[Dato]]&amp;t_ahh[[#This Row],[navn]],Regnskap!$C$10:$C$51&amp;Regnskap!$K$10:$K$51,Regnskap!$J$10:$J$51)&gt;0,Data!$AJ$1),""),"")</f>
        <v/>
      </c>
      <c r="U2">
        <f>SUM(t_ahh[[#This Row],[12_pLEV]:[10_pLEV]])</f>
        <v>0</v>
      </c>
      <c r="V2" s="3">
        <f ca="1">SUM(t_ahh[[#This Row],[Summert]]+t_ahh[[#This Row],[LEV_poeng]])</f>
        <v>0</v>
      </c>
      <c r="W2" s="3"/>
      <c r="X2" s="672"/>
      <c r="AJ2" s="3"/>
      <c r="AK2" s="3"/>
      <c r="AL2" s="3"/>
      <c r="AM2" s="3"/>
      <c r="AN2" s="3"/>
    </row>
    <row r="3" spans="1:40" x14ac:dyDescent="0.2">
      <c r="A3" s="3" t="s">
        <v>905</v>
      </c>
      <c r="B3">
        <f>IF(t_ahh[[#This Row],[Dato]]&lt;&gt;"",WEEKNUM(t_ahh[[#This Row],[Dato]]),"")</f>
        <v>34</v>
      </c>
      <c r="C3" s="22">
        <f>Data!AL2</f>
        <v>46256</v>
      </c>
      <c r="D3">
        <f ca="1">IFERROR(IF(t_ahh[[#This Row],[Dato]]="","",OFFSET(_xlfn.XLOOKUP(C3,Kuponger!E:E,Kuponger!Q:Q),15,0)),"")</f>
        <v>780</v>
      </c>
      <c r="E3">
        <f ca="1">IFERROR(OFFSET(_xlfn.XLOOKUP(C3,Kuponger!E:E,Kuponger!Q:Q),15,1),"")</f>
        <v>0</v>
      </c>
      <c r="F3">
        <f ca="1">IFERROR(IF(t_ahh[[#This Row],[Dato]]="","",OFFSET(_xlfn.XLOOKUP(C3,Kuponger!E:E,Kuponger!Q:Q),15,2)),"")</f>
        <v>0</v>
      </c>
      <c r="G3">
        <f ca="1">IFERROR(IF(OFFSET(_xlfn.XLOOKUP(C3,Kuponger!E:E,Kuponger!Q:Q),0,2)=0,"",OFFSET(_xlfn.XLOOKUP(C3,Kuponger!E:E,Kuponger!Q:Q),1,2))*-1,"")</f>
        <v>0</v>
      </c>
      <c r="H3">
        <f t="shared" ca="1" si="0"/>
        <v>780</v>
      </c>
      <c r="I3">
        <f ca="1">IFERROR(IF(t_ahh[[#This Row],[tp]]&lt;&gt;"",OFFSET(_xlfn.XLOOKUP(C3,Kuponger!E:E,Kuponger!Q:Q),1,1),""),"")</f>
        <v>1</v>
      </c>
      <c r="J3" s="3">
        <f ca="1">IFERROR(IF(t_ahh[[#This Row],[Dato]]="",0,OFFSET(_xlfn.XLOOKUP(t_ahh[[#This Row],[Dato]],Kuponger!E:E,Kuponger!Q:Q),1,7)),"")</f>
        <v>12</v>
      </c>
      <c r="K3" s="3">
        <f ca="1">IFERROR(SUM(t_ahh[[#This Row],[tp]]),0)</f>
        <v>780</v>
      </c>
      <c r="L3" s="3">
        <f ca="1">IF(t_ahh[[#This Row],[Antall_rette]]=12,1,"")</f>
        <v>1</v>
      </c>
      <c r="M3" s="3" t="str">
        <f ca="1">IF(t_ahh[[#This Row],[Antall_rette]]&lt;&gt;11,"",IF(t_ahh[[#This Row],[Antall_rette]]=11,1,""))</f>
        <v/>
      </c>
      <c r="N3" s="3" t="str">
        <f ca="1">IF(OR(t_ahh[[#This Row],[12_Antall]]=1,t_ahh[[#This Row],[11_Antall]]=1),"",IF(t_ahh[[#This Row],[Antall_rette]]&gt;9,1,""))</f>
        <v/>
      </c>
      <c r="O3" s="3">
        <f ca="1">IF(t_ahh[[#This Row],[12_Antall]]=1,Data!$AJ$3,0)</f>
        <v>1070</v>
      </c>
      <c r="P3" s="3">
        <f ca="1">IF(t_ahh[[#This Row],[11_Antall]]=1,Data!$AJ$2,0)</f>
        <v>0</v>
      </c>
      <c r="Q3" s="3">
        <f ca="1">IF(t_ahh[[#This Row],[10_Antall]]=1,Data!$AJ$1,0)</f>
        <v>0</v>
      </c>
      <c r="R3" s="3" t="str" cm="1">
        <f t="array" ref="R3">IFERROR(IF(_xlfn.XLOOKUP(t_ahh[[#This Row],[Dato]]&amp;t_ahh[[#This Row],[navn]],Regnskap!$C$10:$C$51&amp;Regnskap!$K$10:$K$51,Regnskap!$H$10:$H$51)&gt;0,Data!$AJ$3,""),"")</f>
        <v/>
      </c>
      <c r="S3" s="3" cm="1">
        <f t="array" ref="S3">IFERROR(IF(t_ahh[[#This Row],[12_pLEV]]="",IF(_xlfn.XLOOKUP(t_ahh[[#This Row],[Dato]]&amp;t_ahh[[#This Row],[navn]],Regnskap!$C$10:$C$51&amp;Regnskap!$K$10:$K$51,Regnskap!$I$10:$I$51)&gt;0,Data!$AJ$2)),"")</f>
        <v>161</v>
      </c>
      <c r="T3" s="3" t="str" cm="1">
        <f t="array" ref="T3">IFERROR(IF(t_ahh[[#This Row],[11_pLEV]]="",IF(_xlfn.XLOOKUP(t_ahh[[#This Row],[Dato]]&amp;t_ahh[[#This Row],[navn]],Regnskap!$C$10:$C$51&amp;Regnskap!$K$10:$K$51,Regnskap!$J$10:$J$51)&gt;0,Data!$AJ$1),""),"")</f>
        <v/>
      </c>
      <c r="U3">
        <f>SUM(t_ahh[[#This Row],[12_pLEV]:[10_pLEV]])</f>
        <v>161</v>
      </c>
      <c r="V3" s="3">
        <f ca="1">SUM(t_ahh[[#This Row],[Summert]]+t_ahh[[#This Row],[LEV_poeng]])</f>
        <v>941</v>
      </c>
      <c r="W3" s="3"/>
      <c r="X3" s="672"/>
    </row>
    <row r="4" spans="1:40" x14ac:dyDescent="0.2">
      <c r="A4" s="3" t="s">
        <v>905</v>
      </c>
      <c r="B4">
        <f>IF(t_ahh[[#This Row],[Dato]]&lt;&gt;"",WEEKNUM(t_ahh[[#This Row],[Dato]]),"")</f>
        <v>35</v>
      </c>
      <c r="C4" s="22">
        <f>Data!AL3</f>
        <v>46263</v>
      </c>
      <c r="D4">
        <f ca="1">IFERROR(IF(t_ahh[[#This Row],[Dato]]="","",OFFSET(_xlfn.XLOOKUP(C4,Kuponger!E:E,Kuponger!Q:Q),15,0)),"")</f>
        <v>780</v>
      </c>
      <c r="E4">
        <f ca="1">IFERROR(OFFSET(_xlfn.XLOOKUP(C4,Kuponger!E:E,Kuponger!Q:Q),15,1),"")</f>
        <v>0</v>
      </c>
      <c r="F4">
        <f ca="1">IFERROR(IF(t_ahh[[#This Row],[Dato]]="","",OFFSET(_xlfn.XLOOKUP(C4,Kuponger!E:E,Kuponger!Q:Q),15,2)),"")</f>
        <v>0</v>
      </c>
      <c r="G4">
        <f ca="1">IFERROR(IF(OFFSET(_xlfn.XLOOKUP(C4,Kuponger!E:E,Kuponger!Q:Q),0,2)=0,"",OFFSET(_xlfn.XLOOKUP(C4,Kuponger!E:E,Kuponger!Q:Q),1,2))*-1,"")</f>
        <v>0</v>
      </c>
      <c r="H4">
        <f t="shared" ca="1" si="0"/>
        <v>780</v>
      </c>
      <c r="I4">
        <f ca="1">IFERROR(IF(t_ahh[[#This Row],[tp]]&lt;&gt;"",OFFSET(_xlfn.XLOOKUP(C4,Kuponger!E:E,Kuponger!Q:Q),1,1),""),"")</f>
        <v>1</v>
      </c>
      <c r="J4" s="3">
        <f ca="1">IFERROR(IF(t_ahh[[#This Row],[Dato]]="",0,OFFSET(_xlfn.XLOOKUP(t_ahh[[#This Row],[Dato]],Kuponger!E:E,Kuponger!Q:Q),1,7)),"")</f>
        <v>12</v>
      </c>
      <c r="K4" s="3">
        <f ca="1">IFERROR(SUM(t_ahh[[#This Row],[tp]]),0)</f>
        <v>780</v>
      </c>
      <c r="L4" s="3">
        <f ca="1">IF(t_ahh[[#This Row],[Antall_rette]]=12,1,"")</f>
        <v>1</v>
      </c>
      <c r="M4" s="3" t="str">
        <f ca="1">IF(t_ahh[[#This Row],[Antall_rette]]&lt;&gt;11,"",IF(t_ahh[[#This Row],[Antall_rette]]=11,1,""))</f>
        <v/>
      </c>
      <c r="N4" s="3" t="str">
        <f ca="1">IF(OR(t_ahh[[#This Row],[12_Antall]]=1,t_ahh[[#This Row],[11_Antall]]=1),"",IF(t_ahh[[#This Row],[Antall_rette]]&gt;9,1,""))</f>
        <v/>
      </c>
      <c r="O4" s="3">
        <f ca="1">IF(t_ahh[[#This Row],[12_Antall]]=1,Data!$AJ$3,0)</f>
        <v>1070</v>
      </c>
      <c r="P4" s="3">
        <f ca="1">IF(t_ahh[[#This Row],[11_Antall]]=1,Data!$AJ$2,0)</f>
        <v>0</v>
      </c>
      <c r="Q4" s="3">
        <f ca="1">IF(t_ahh[[#This Row],[10_Antall]]=1,Data!$AJ$1,0)</f>
        <v>0</v>
      </c>
      <c r="R4" s="3" t="str" cm="1">
        <f t="array" ref="R4">IFERROR(IF(_xlfn.XLOOKUP(t_ahh[[#This Row],[Dato]]&amp;t_ahh[[#This Row],[navn]],Regnskap!$C$10:$C$51&amp;Regnskap!$K$10:$K$51,Regnskap!$H$10:$H$51)&gt;0,Data!$AJ$3,""),"")</f>
        <v/>
      </c>
      <c r="S4" s="3" t="str" cm="1">
        <f t="array" ref="S4">IFERROR(IF(t_ahh[[#This Row],[12_pLEV]]="",IF(_xlfn.XLOOKUP(t_ahh[[#This Row],[Dato]]&amp;t_ahh[[#This Row],[navn]],Regnskap!$C$10:$C$51&amp;Regnskap!$K$10:$K$51,Regnskap!$I$10:$I$51)&gt;0,Data!$AJ$2)),"")</f>
        <v/>
      </c>
      <c r="T4" s="3" t="str" cm="1">
        <f t="array" ref="T4">IFERROR(IF(t_ahh[[#This Row],[11_pLEV]]="",IF(_xlfn.XLOOKUP(t_ahh[[#This Row],[Dato]]&amp;t_ahh[[#This Row],[navn]],Regnskap!$C$10:$C$51&amp;Regnskap!$K$10:$K$51,Regnskap!$J$10:$J$51)&gt;0,Data!$AJ$1),""),"")</f>
        <v/>
      </c>
      <c r="U4">
        <f>SUM(t_ahh[[#This Row],[12_pLEV]:[10_pLEV]])</f>
        <v>0</v>
      </c>
      <c r="V4" s="3">
        <f ca="1">SUM(t_ahh[[#This Row],[Summert]]+t_ahh[[#This Row],[LEV_poeng]])</f>
        <v>780</v>
      </c>
      <c r="W4" s="3"/>
      <c r="X4" s="672"/>
    </row>
    <row r="5" spans="1:40" x14ac:dyDescent="0.2">
      <c r="A5" s="3" t="s">
        <v>905</v>
      </c>
      <c r="B5">
        <f>IF(t_ahh[[#This Row],[Dato]]&lt;&gt;"",WEEKNUM(t_ahh[[#This Row],[Dato]]),"")</f>
        <v>36</v>
      </c>
      <c r="C5" s="22">
        <f>Data!AL4</f>
        <v>46270</v>
      </c>
      <c r="D5">
        <f ca="1">IFERROR(IF(t_ahh[[#This Row],[Dato]]="","",OFFSET(_xlfn.XLOOKUP(C5,Kuponger!E:E,Kuponger!Q:Q),15,0)),"")</f>
        <v>780</v>
      </c>
      <c r="E5">
        <f ca="1">IFERROR(OFFSET(_xlfn.XLOOKUP(C5,Kuponger!E:E,Kuponger!Q:Q),15,1),"")</f>
        <v>0</v>
      </c>
      <c r="F5">
        <f ca="1">IFERROR(IF(t_ahh[[#This Row],[Dato]]="","",OFFSET(_xlfn.XLOOKUP(C5,Kuponger!E:E,Kuponger!Q:Q),15,2)),"")</f>
        <v>0</v>
      </c>
      <c r="G5">
        <f ca="1">IFERROR(IF(OFFSET(_xlfn.XLOOKUP(C5,Kuponger!E:E,Kuponger!Q:Q),0,2)=0,"",OFFSET(_xlfn.XLOOKUP(C5,Kuponger!E:E,Kuponger!Q:Q),1,2))*-1,"")</f>
        <v>0</v>
      </c>
      <c r="H5">
        <f t="shared" ca="1" si="0"/>
        <v>780</v>
      </c>
      <c r="I5">
        <f ca="1">IFERROR(IF(t_ahh[[#This Row],[tp]]&lt;&gt;"",OFFSET(_xlfn.XLOOKUP(C5,Kuponger!E:E,Kuponger!Q:Q),1,1),""),"")</f>
        <v>1</v>
      </c>
      <c r="J5" s="3">
        <f ca="1">IFERROR(IF(t_ahh[[#This Row],[Dato]]="",0,OFFSET(_xlfn.XLOOKUP(t_ahh[[#This Row],[Dato]],Kuponger!E:E,Kuponger!Q:Q),1,7)),"")</f>
        <v>12</v>
      </c>
      <c r="K5" s="3">
        <f ca="1">IFERROR(SUM(t_ahh[[#This Row],[tp]]),0)</f>
        <v>780</v>
      </c>
      <c r="L5" s="3">
        <f ca="1">IF(t_ahh[[#This Row],[Antall_rette]]=12,1,"")</f>
        <v>1</v>
      </c>
      <c r="M5" s="3" t="str">
        <f ca="1">IF(t_ahh[[#This Row],[Antall_rette]]&lt;&gt;11,"",IF(t_ahh[[#This Row],[Antall_rette]]=11,1,""))</f>
        <v/>
      </c>
      <c r="N5" s="3" t="str">
        <f ca="1">IF(OR(t_ahh[[#This Row],[12_Antall]]=1,t_ahh[[#This Row],[11_Antall]]=1),"",IF(t_ahh[[#This Row],[Antall_rette]]&gt;9,1,""))</f>
        <v/>
      </c>
      <c r="O5" s="3">
        <f ca="1">IF(t_ahh[[#This Row],[12_Antall]]=1,Data!$AJ$3,0)</f>
        <v>1070</v>
      </c>
      <c r="P5" s="3">
        <f ca="1">IF(t_ahh[[#This Row],[11_Antall]]=1,Data!$AJ$2,0)</f>
        <v>0</v>
      </c>
      <c r="Q5" s="3">
        <f ca="1">IF(t_ahh[[#This Row],[10_Antall]]=1,Data!$AJ$1,0)</f>
        <v>0</v>
      </c>
      <c r="R5" s="3" t="str" cm="1">
        <f t="array" ref="R5">IFERROR(IF(_xlfn.XLOOKUP(t_ahh[[#This Row],[Dato]]&amp;t_ahh[[#This Row],[navn]],Regnskap!$C$10:$C$51&amp;Regnskap!$K$10:$K$51,Regnskap!$H$10:$H$51)&gt;0,Data!$AJ$3,""),"")</f>
        <v/>
      </c>
      <c r="S5" s="3" t="str" cm="1">
        <f t="array" ref="S5">IFERROR(IF(t_ahh[[#This Row],[12_pLEV]]="",IF(_xlfn.XLOOKUP(t_ahh[[#This Row],[Dato]]&amp;t_ahh[[#This Row],[navn]],Regnskap!$C$10:$C$51&amp;Regnskap!$K$10:$K$51,Regnskap!$I$10:$I$51)&gt;0,Data!$AJ$2)),"")</f>
        <v/>
      </c>
      <c r="T5" s="3" t="str" cm="1">
        <f t="array" ref="T5">IFERROR(IF(t_ahh[[#This Row],[11_pLEV]]="",IF(_xlfn.XLOOKUP(t_ahh[[#This Row],[Dato]]&amp;t_ahh[[#This Row],[navn]],Regnskap!$C$10:$C$51&amp;Regnskap!$K$10:$K$51,Regnskap!$J$10:$J$51)&gt;0,Data!$AJ$1),""),"")</f>
        <v/>
      </c>
      <c r="U5">
        <f>SUM(t_ahh[[#This Row],[12_pLEV]:[10_pLEV]])</f>
        <v>0</v>
      </c>
      <c r="V5" s="3">
        <f ca="1">SUM(t_ahh[[#This Row],[Summert]]+t_ahh[[#This Row],[LEV_poeng]])</f>
        <v>780</v>
      </c>
      <c r="W5" s="3"/>
      <c r="X5" s="672"/>
    </row>
    <row r="6" spans="1:40" x14ac:dyDescent="0.2">
      <c r="A6" s="3" t="s">
        <v>905</v>
      </c>
      <c r="B6">
        <f>IF(t_ahh[[#This Row],[Dato]]&lt;&gt;"",WEEKNUM(t_ahh[[#This Row],[Dato]]),"")</f>
        <v>37</v>
      </c>
      <c r="C6" s="22">
        <f>Data!AL5</f>
        <v>46277</v>
      </c>
      <c r="D6">
        <f ca="1">IFERROR(IF(t_ahh[[#This Row],[Dato]]="","",OFFSET(_xlfn.XLOOKUP(C6,Kuponger!E:E,Kuponger!Q:Q),15,0)),"")</f>
        <v>0</v>
      </c>
      <c r="E6">
        <f ca="1">IFERROR(OFFSET(_xlfn.XLOOKUP(C6,Kuponger!E:E,Kuponger!Q:Q),15,1),"")</f>
        <v>0</v>
      </c>
      <c r="F6">
        <f ca="1">IFERROR(IF(t_ahh[[#This Row],[Dato]]="","",OFFSET(_xlfn.XLOOKUP(C6,Kuponger!E:E,Kuponger!Q:Q),15,2)),"")</f>
        <v>852</v>
      </c>
      <c r="G6">
        <f ca="1">IFERROR(IF(OFFSET(_xlfn.XLOOKUP(C6,Kuponger!E:E,Kuponger!Q:Q),0,2)=0,"",OFFSET(_xlfn.XLOOKUP(C6,Kuponger!E:E,Kuponger!Q:Q),1,2))*-1,"")</f>
        <v>0</v>
      </c>
      <c r="H6">
        <f t="shared" ca="1" si="0"/>
        <v>852</v>
      </c>
      <c r="I6" t="str">
        <f ca="1">IFERROR(IF(t_ahh[[#This Row],[tp]]&lt;&gt;"",OFFSET(_xlfn.XLOOKUP(C6,Kuponger!E:E,Kuponger!Q:Q),1,1),""),"")</f>
        <v/>
      </c>
      <c r="J6" s="3">
        <f ca="1">IFERROR(IF(t_ahh[[#This Row],[Dato]]="",0,OFFSET(_xlfn.XLOOKUP(t_ahh[[#This Row],[Dato]],Kuponger!E:E,Kuponger!Q:Q),1,7)),"")</f>
        <v>12</v>
      </c>
      <c r="K6" s="3">
        <f ca="1">IFERROR(SUM(t_ahh[[#This Row],[tp]]),0)</f>
        <v>852</v>
      </c>
      <c r="L6" s="3">
        <f ca="1">IF(t_ahh[[#This Row],[Antall_rette]]=12,1,"")</f>
        <v>1</v>
      </c>
      <c r="M6" s="3" t="str">
        <f ca="1">IF(t_ahh[[#This Row],[Antall_rette]]&lt;&gt;11,"",IF(t_ahh[[#This Row],[Antall_rette]]=11,1,""))</f>
        <v/>
      </c>
      <c r="N6" s="3" t="str">
        <f ca="1">IF(OR(t_ahh[[#This Row],[12_Antall]]=1,t_ahh[[#This Row],[11_Antall]]=1),"",IF(t_ahh[[#This Row],[Antall_rette]]&gt;9,1,""))</f>
        <v/>
      </c>
      <c r="O6" s="3">
        <f ca="1">IF(t_ahh[[#This Row],[12_Antall]]=1,Data!$AJ$3,0)</f>
        <v>1070</v>
      </c>
      <c r="P6" s="3">
        <f ca="1">IF(t_ahh[[#This Row],[11_Antall]]=1,Data!$AJ$2,0)</f>
        <v>0</v>
      </c>
      <c r="Q6" s="3">
        <f ca="1">IF(t_ahh[[#This Row],[10_Antall]]=1,Data!$AJ$1,0)</f>
        <v>0</v>
      </c>
      <c r="R6" s="3" t="str" cm="1">
        <f t="array" ref="R6">IFERROR(IF(_xlfn.XLOOKUP(t_ahh[[#This Row],[Dato]]&amp;t_ahh[[#This Row],[navn]],Regnskap!$C$10:$C$51&amp;Regnskap!$K$10:$K$51,Regnskap!$H$10:$H$51)&gt;0,Data!$AJ$3,""),"")</f>
        <v/>
      </c>
      <c r="S6" s="3" t="str" cm="1">
        <f t="array" ref="S6">IFERROR(IF(t_ahh[[#This Row],[12_pLEV]]="",IF(_xlfn.XLOOKUP(t_ahh[[#This Row],[Dato]]&amp;t_ahh[[#This Row],[navn]],Regnskap!$C$10:$C$51&amp;Regnskap!$K$10:$K$51,Regnskap!$I$10:$I$51)&gt;0,Data!$AJ$2)),"")</f>
        <v/>
      </c>
      <c r="T6" s="3" t="str" cm="1">
        <f t="array" ref="T6">IFERROR(IF(t_ahh[[#This Row],[11_pLEV]]="",IF(_xlfn.XLOOKUP(t_ahh[[#This Row],[Dato]]&amp;t_ahh[[#This Row],[navn]],Regnskap!$C$10:$C$51&amp;Regnskap!$K$10:$K$51,Regnskap!$J$10:$J$51)&gt;0,Data!$AJ$1),""),"")</f>
        <v/>
      </c>
      <c r="U6">
        <f>SUM(t_ahh[[#This Row],[12_pLEV]:[10_pLEV]])</f>
        <v>0</v>
      </c>
      <c r="V6" s="3">
        <f ca="1">SUM(t_ahh[[#This Row],[Summert]]+t_ahh[[#This Row],[LEV_poeng]])</f>
        <v>852</v>
      </c>
      <c r="W6" s="3"/>
    </row>
    <row r="7" spans="1:40" ht="15" x14ac:dyDescent="0.25">
      <c r="A7" s="3" t="s">
        <v>905</v>
      </c>
      <c r="B7">
        <f>IF(t_ahh[[#This Row],[Dato]]&lt;&gt;"",WEEKNUM(t_ahh[[#This Row],[Dato]]),"")</f>
        <v>38</v>
      </c>
      <c r="C7" s="22">
        <f>Data!AL6</f>
        <v>46284</v>
      </c>
      <c r="D7">
        <f ca="1">IFERROR(IF(t_ahh[[#This Row],[Dato]]="","",OFFSET(_xlfn.XLOOKUP(C7,Kuponger!E:E,Kuponger!Q:Q),15,0)),"")</f>
        <v>0</v>
      </c>
      <c r="E7">
        <f ca="1">IFERROR(OFFSET(_xlfn.XLOOKUP(C7,Kuponger!E:E,Kuponger!Q:Q),15,1),"")</f>
        <v>0</v>
      </c>
      <c r="F7">
        <f ca="1">IFERROR(IF(t_ahh[[#This Row],[Dato]]="","",OFFSET(_xlfn.XLOOKUP(C7,Kuponger!E:E,Kuponger!Q:Q),15,2)),"")</f>
        <v>852</v>
      </c>
      <c r="G7">
        <f ca="1">IFERROR(IF(OFFSET(_xlfn.XLOOKUP(C7,Kuponger!E:E,Kuponger!Q:Q),0,2)=0,"",OFFSET(_xlfn.XLOOKUP(C7,Kuponger!E:E,Kuponger!Q:Q),1,2))*-1,"")</f>
        <v>0</v>
      </c>
      <c r="H7">
        <f t="shared" ca="1" si="0"/>
        <v>852</v>
      </c>
      <c r="I7" t="str">
        <f ca="1">IFERROR(IF(t_ahh[[#This Row],[tp]]&lt;&gt;"",OFFSET(_xlfn.XLOOKUP(C7,Kuponger!E:E,Kuponger!Q:Q),1,1),""),"")</f>
        <v/>
      </c>
      <c r="J7" s="3">
        <f ca="1">IFERROR(IF(t_ahh[[#This Row],[Dato]]="",0,OFFSET(_xlfn.XLOOKUP(t_ahh[[#This Row],[Dato]],Kuponger!E:E,Kuponger!Q:Q),1,7)),"")</f>
        <v>12</v>
      </c>
      <c r="K7" s="3">
        <f ca="1">IFERROR(SUM(t_ahh[[#This Row],[tp]]),0)</f>
        <v>852</v>
      </c>
      <c r="L7" s="3">
        <f ca="1">IF(t_ahh[[#This Row],[Antall_rette]]=12,1,"")</f>
        <v>1</v>
      </c>
      <c r="M7" s="3" t="str">
        <f ca="1">IF(t_ahh[[#This Row],[Antall_rette]]&lt;&gt;11,"",IF(t_ahh[[#This Row],[Antall_rette]]=11,1,""))</f>
        <v/>
      </c>
      <c r="N7" s="3" t="str">
        <f ca="1">IF(OR(t_ahh[[#This Row],[12_Antall]]=1,t_ahh[[#This Row],[11_Antall]]=1),"",IF(t_ahh[[#This Row],[Antall_rette]]&gt;9,1,""))</f>
        <v/>
      </c>
      <c r="O7" s="3">
        <f ca="1">IF(t_ahh[[#This Row],[12_Antall]]=1,Data!$AJ$3,0)</f>
        <v>1070</v>
      </c>
      <c r="P7" s="3">
        <f ca="1">IF(t_ahh[[#This Row],[11_Antall]]=1,Data!$AJ$2,0)</f>
        <v>0</v>
      </c>
      <c r="Q7" s="3">
        <f ca="1">IF(t_ahh[[#This Row],[10_Antall]]=1,Data!$AJ$1,0)</f>
        <v>0</v>
      </c>
      <c r="R7" s="3" t="str" cm="1">
        <f t="array" ref="R7">IFERROR(IF(_xlfn.XLOOKUP(t_ahh[[#This Row],[Dato]]&amp;t_ahh[[#This Row],[navn]],Regnskap!$C$10:$C$51&amp;Regnskap!$K$10:$K$51,Regnskap!$H$10:$H$51)&gt;0,Data!$AJ$3,""),"")</f>
        <v/>
      </c>
      <c r="S7" s="3" t="str" cm="1">
        <f t="array" ref="S7">IFERROR(IF(t_ahh[[#This Row],[12_pLEV]]="",IF(_xlfn.XLOOKUP(t_ahh[[#This Row],[Dato]]&amp;t_ahh[[#This Row],[navn]],Regnskap!$C$10:$C$51&amp;Regnskap!$K$10:$K$51,Regnskap!$I$10:$I$51)&gt;0,Data!$AJ$2)),"")</f>
        <v/>
      </c>
      <c r="T7" s="3" t="str" cm="1">
        <f t="array" ref="T7">IFERROR(IF(t_ahh[[#This Row],[11_pLEV]]="",IF(_xlfn.XLOOKUP(t_ahh[[#This Row],[Dato]]&amp;t_ahh[[#This Row],[navn]],Regnskap!$C$10:$C$51&amp;Regnskap!$K$10:$K$51,Regnskap!$J$10:$J$51)&gt;0,Data!$AJ$1),""),"")</f>
        <v/>
      </c>
      <c r="U7">
        <f>SUM(t_ahh[[#This Row],[12_pLEV]:[10_pLEV]])</f>
        <v>0</v>
      </c>
      <c r="V7" s="3">
        <f ca="1">SUM(t_ahh[[#This Row],[Summert]]+t_ahh[[#This Row],[LEV_poeng]])</f>
        <v>852</v>
      </c>
      <c r="W7" s="3"/>
      <c r="X7" s="670"/>
      <c r="Y7" s="671"/>
      <c r="Z7" s="671"/>
      <c r="AA7" s="671"/>
      <c r="AB7" s="671"/>
      <c r="AC7" s="671"/>
      <c r="AD7" s="671"/>
      <c r="AE7" s="671"/>
      <c r="AF7" s="671"/>
      <c r="AG7" s="23"/>
    </row>
    <row r="8" spans="1:40" x14ac:dyDescent="0.2">
      <c r="A8" s="3" t="s">
        <v>905</v>
      </c>
      <c r="B8">
        <f>IF(t_ahh[[#This Row],[Dato]]&lt;&gt;"",WEEKNUM(t_ahh[[#This Row],[Dato]]),"")</f>
        <v>39</v>
      </c>
      <c r="C8" s="22">
        <f>Data!AL7</f>
        <v>46291</v>
      </c>
      <c r="D8">
        <f ca="1">IFERROR(IF(t_ahh[[#This Row],[Dato]]="","",OFFSET(_xlfn.XLOOKUP(C8,Kuponger!E:E,Kuponger!Q:Q),15,0)),"")</f>
        <v>0</v>
      </c>
      <c r="E8">
        <f ca="1">IFERROR(OFFSET(_xlfn.XLOOKUP(C8,Kuponger!E:E,Kuponger!Q:Q),15,1),"")</f>
        <v>0</v>
      </c>
      <c r="F8">
        <f ca="1">IFERROR(IF(t_ahh[[#This Row],[Dato]]="","",OFFSET(_xlfn.XLOOKUP(C8,Kuponger!E:E,Kuponger!Q:Q),15,2)),"")</f>
        <v>710</v>
      </c>
      <c r="G8">
        <f ca="1">IFERROR(IF(OFFSET(_xlfn.XLOOKUP(C8,Kuponger!E:E,Kuponger!Q:Q),0,2)=0,"",OFFSET(_xlfn.XLOOKUP(C8,Kuponger!E:E,Kuponger!Q:Q),1,2))*-1,"")</f>
        <v>0</v>
      </c>
      <c r="H8">
        <f t="shared" ca="1" si="0"/>
        <v>710</v>
      </c>
      <c r="I8" t="str">
        <f ca="1">IFERROR(IF(t_ahh[[#This Row],[tp]]&lt;&gt;"",OFFSET(_xlfn.XLOOKUP(C8,Kuponger!E:E,Kuponger!Q:Q),1,1),""),"")</f>
        <v/>
      </c>
      <c r="J8" s="3">
        <f ca="1">IFERROR(IF(t_ahh[[#This Row],[Dato]]="",0,OFFSET(_xlfn.XLOOKUP(t_ahh[[#This Row],[Dato]],Kuponger!E:E,Kuponger!Q:Q),1,7)),"")</f>
        <v>10</v>
      </c>
      <c r="K8" s="3">
        <f ca="1">IFERROR(SUM(t_ahh[[#This Row],[tp]]),0)</f>
        <v>710</v>
      </c>
      <c r="L8" s="3" t="str">
        <f ca="1">IF(t_ahh[[#This Row],[Antall_rette]]=12,1,"")</f>
        <v/>
      </c>
      <c r="M8" s="3" t="str">
        <f ca="1">IF(t_ahh[[#This Row],[Antall_rette]]&lt;&gt;11,"",IF(t_ahh[[#This Row],[Antall_rette]]=11,1,""))</f>
        <v/>
      </c>
      <c r="N8" s="3">
        <f ca="1">IF(OR(t_ahh[[#This Row],[12_Antall]]=1,t_ahh[[#This Row],[11_Antall]]=1),"",IF(t_ahh[[#This Row],[Antall_rette]]&gt;9,1,""))</f>
        <v>1</v>
      </c>
      <c r="O8" s="3">
        <f ca="1">IF(t_ahh[[#This Row],[12_Antall]]=1,Data!$AJ$3,0)</f>
        <v>0</v>
      </c>
      <c r="P8" s="3">
        <f ca="1">IF(t_ahh[[#This Row],[11_Antall]]=1,Data!$AJ$2,0)</f>
        <v>0</v>
      </c>
      <c r="Q8" s="3">
        <f ca="1">IF(t_ahh[[#This Row],[10_Antall]]=1,Data!$AJ$1,0)</f>
        <v>58</v>
      </c>
      <c r="R8" s="3" t="str" cm="1">
        <f t="array" ref="R8">IFERROR(IF(_xlfn.XLOOKUP(t_ahh[[#This Row],[Dato]]&amp;t_ahh[[#This Row],[navn]],Regnskap!$C$10:$C$51&amp;Regnskap!$K$10:$K$51,Regnskap!$H$10:$H$51)&gt;0,Data!$AJ$3,""),"")</f>
        <v/>
      </c>
      <c r="S8" s="3" t="str" cm="1">
        <f t="array" ref="S8">IFERROR(IF(t_ahh[[#This Row],[12_pLEV]]="",IF(_xlfn.XLOOKUP(t_ahh[[#This Row],[Dato]]&amp;t_ahh[[#This Row],[navn]],Regnskap!$C$10:$C$51&amp;Regnskap!$K$10:$K$51,Regnskap!$I$10:$I$51)&gt;0,Data!$AJ$2)),"")</f>
        <v/>
      </c>
      <c r="T8" s="3" t="str" cm="1">
        <f t="array" ref="T8">IFERROR(IF(t_ahh[[#This Row],[11_pLEV]]="",IF(_xlfn.XLOOKUP(t_ahh[[#This Row],[Dato]]&amp;t_ahh[[#This Row],[navn]],Regnskap!$C$10:$C$51&amp;Regnskap!$K$10:$K$51,Regnskap!$J$10:$J$51)&gt;0,Data!$AJ$1),""),"")</f>
        <v/>
      </c>
      <c r="U8">
        <f>SUM(t_ahh[[#This Row],[12_pLEV]:[10_pLEV]])</f>
        <v>0</v>
      </c>
      <c r="V8" s="3">
        <f ca="1">SUM(t_ahh[[#This Row],[Summert]]+t_ahh[[#This Row],[LEV_poeng]])</f>
        <v>710</v>
      </c>
      <c r="W8" s="3"/>
      <c r="X8" s="672"/>
    </row>
    <row r="9" spans="1:40" x14ac:dyDescent="0.2">
      <c r="A9" s="3" t="s">
        <v>905</v>
      </c>
      <c r="B9">
        <f>IF(t_ahh[[#This Row],[Dato]]&lt;&gt;"",WEEKNUM(t_ahh[[#This Row],[Dato]]),"")</f>
        <v>40</v>
      </c>
      <c r="C9" s="22">
        <f>Data!AL8</f>
        <v>46298</v>
      </c>
      <c r="D9">
        <f ca="1">IFERROR(IF(t_ahh[[#This Row],[Dato]]="","",OFFSET(_xlfn.XLOOKUP(C9,Kuponger!E:E,Kuponger!Q:Q),15,0)),"")</f>
        <v>0</v>
      </c>
      <c r="E9">
        <f ca="1">IFERROR(OFFSET(_xlfn.XLOOKUP(C9,Kuponger!E:E,Kuponger!Q:Q),15,1),"")</f>
        <v>814</v>
      </c>
      <c r="F9">
        <f ca="1">IFERROR(IF(t_ahh[[#This Row],[Dato]]="","",OFFSET(_xlfn.XLOOKUP(C9,Kuponger!E:E,Kuponger!Q:Q),15,2)),"")</f>
        <v>0</v>
      </c>
      <c r="G9">
        <f ca="1">IFERROR(IF(OFFSET(_xlfn.XLOOKUP(C9,Kuponger!E:E,Kuponger!Q:Q),0,2)=0,"",OFFSET(_xlfn.XLOOKUP(C9,Kuponger!E:E,Kuponger!Q:Q),1,2))*-1,"")</f>
        <v>0</v>
      </c>
      <c r="H9">
        <f t="shared" ca="1" si="0"/>
        <v>814</v>
      </c>
      <c r="I9">
        <f ca="1">IFERROR(IF(t_ahh[[#This Row],[tp]]&lt;&gt;"",OFFSET(_xlfn.XLOOKUP(C9,Kuponger!E:E,Kuponger!Q:Q),1,1),""),"")</f>
        <v>1</v>
      </c>
      <c r="J9" s="3">
        <f ca="1">IFERROR(IF(t_ahh[[#This Row],[Dato]]="",0,OFFSET(_xlfn.XLOOKUP(t_ahh[[#This Row],[Dato]],Kuponger!E:E,Kuponger!Q:Q),1,7)),"")</f>
        <v>11</v>
      </c>
      <c r="K9" s="3">
        <f ca="1">IFERROR(SUM(t_ahh[[#This Row],[tp]]),0)</f>
        <v>814</v>
      </c>
      <c r="L9" s="3" t="str">
        <f ca="1">IF(t_ahh[[#This Row],[Antall_rette]]=12,1,"")</f>
        <v/>
      </c>
      <c r="M9" s="3">
        <f ca="1">IF(t_ahh[[#This Row],[Antall_rette]]&lt;&gt;11,"",IF(t_ahh[[#This Row],[Antall_rette]]=11,1,""))</f>
        <v>1</v>
      </c>
      <c r="N9" s="3" t="str">
        <f ca="1">IF(OR(t_ahh[[#This Row],[12_Antall]]=1,t_ahh[[#This Row],[11_Antall]]=1),"",IF(t_ahh[[#This Row],[Antall_rette]]&gt;9,1,""))</f>
        <v/>
      </c>
      <c r="O9" s="3">
        <f ca="1">IF(t_ahh[[#This Row],[12_Antall]]=1,Data!$AJ$3,0)</f>
        <v>0</v>
      </c>
      <c r="P9" s="3">
        <f ca="1">IF(t_ahh[[#This Row],[11_Antall]]=1,Data!$AJ$2,0)</f>
        <v>161</v>
      </c>
      <c r="Q9" s="3">
        <f ca="1">IF(t_ahh[[#This Row],[10_Antall]]=1,Data!$AJ$1,0)</f>
        <v>0</v>
      </c>
      <c r="R9" s="3" t="str" cm="1">
        <f t="array" ref="R9">IFERROR(IF(_xlfn.XLOOKUP(t_ahh[[#This Row],[Dato]]&amp;t_ahh[[#This Row],[navn]],Regnskap!$C$10:$C$51&amp;Regnskap!$K$10:$K$51,Regnskap!$H$10:$H$51)&gt;0,Data!$AJ$3,""),"")</f>
        <v/>
      </c>
      <c r="S9" s="3" t="str" cm="1">
        <f t="array" ref="S9">IFERROR(IF(t_ahh[[#This Row],[12_pLEV]]="",IF(_xlfn.XLOOKUP(t_ahh[[#This Row],[Dato]]&amp;t_ahh[[#This Row],[navn]],Regnskap!$C$10:$C$51&amp;Regnskap!$K$10:$K$51,Regnskap!$I$10:$I$51)&gt;0,Data!$AJ$2)),"")</f>
        <v/>
      </c>
      <c r="T9" s="3" t="str" cm="1">
        <f t="array" ref="T9">IFERROR(IF(t_ahh[[#This Row],[11_pLEV]]="",IF(_xlfn.XLOOKUP(t_ahh[[#This Row],[Dato]]&amp;t_ahh[[#This Row],[navn]],Regnskap!$C$10:$C$51&amp;Regnskap!$K$10:$K$51,Regnskap!$J$10:$J$51)&gt;0,Data!$AJ$1),""),"")</f>
        <v/>
      </c>
      <c r="U9">
        <f>SUM(t_ahh[[#This Row],[12_pLEV]:[10_pLEV]])</f>
        <v>0</v>
      </c>
      <c r="V9" s="3">
        <f ca="1">SUM(t_ahh[[#This Row],[Summert]]+t_ahh[[#This Row],[LEV_poeng]])</f>
        <v>814</v>
      </c>
      <c r="W9" s="3"/>
      <c r="X9" s="672"/>
    </row>
    <row r="10" spans="1:40" x14ac:dyDescent="0.2">
      <c r="A10" s="3" t="s">
        <v>905</v>
      </c>
      <c r="B10">
        <f>IF(t_ahh[[#This Row],[Dato]]&lt;&gt;"",WEEKNUM(t_ahh[[#This Row],[Dato]]),"")</f>
        <v>41</v>
      </c>
      <c r="C10" s="22">
        <f>Data!AL9</f>
        <v>46305</v>
      </c>
      <c r="D10">
        <f ca="1">IFERROR(IF(t_ahh[[#This Row],[Dato]]="","",OFFSET(_xlfn.XLOOKUP(C10,Kuponger!E:E,Kuponger!Q:Q),15,0)),"")</f>
        <v>0</v>
      </c>
      <c r="E10">
        <f ca="1">IFERROR(OFFSET(_xlfn.XLOOKUP(C10,Kuponger!E:E,Kuponger!Q:Q),15,1),"")</f>
        <v>888</v>
      </c>
      <c r="F10">
        <f ca="1">IFERROR(IF(t_ahh[[#This Row],[Dato]]="","",OFFSET(_xlfn.XLOOKUP(C10,Kuponger!E:E,Kuponger!Q:Q),15,2)),"")</f>
        <v>0</v>
      </c>
      <c r="G10">
        <f ca="1">IFERROR(IF(OFFSET(_xlfn.XLOOKUP(C10,Kuponger!E:E,Kuponger!Q:Q),0,2)=0,"",OFFSET(_xlfn.XLOOKUP(C10,Kuponger!E:E,Kuponger!Q:Q),1,2))*-1,"")</f>
        <v>0</v>
      </c>
      <c r="H10">
        <f t="shared" ca="1" si="0"/>
        <v>888</v>
      </c>
      <c r="I10">
        <f ca="1">IFERROR(IF(t_ahh[[#This Row],[tp]]&lt;&gt;"",OFFSET(_xlfn.XLOOKUP(C10,Kuponger!E:E,Kuponger!Q:Q),1,1),""),"")</f>
        <v>1</v>
      </c>
      <c r="J10" s="3">
        <f ca="1">IFERROR(IF(t_ahh[[#This Row],[Dato]]="",0,OFFSET(_xlfn.XLOOKUP(t_ahh[[#This Row],[Dato]],Kuponger!E:E,Kuponger!Q:Q),1,7)),"")</f>
        <v>12</v>
      </c>
      <c r="K10" s="3">
        <f ca="1">IFERROR(SUM(t_ahh[[#This Row],[tp]]),0)</f>
        <v>888</v>
      </c>
      <c r="L10" s="3">
        <f ca="1">IF(t_ahh[[#This Row],[Antall_rette]]=12,1,"")</f>
        <v>1</v>
      </c>
      <c r="M10" s="3" t="str">
        <f ca="1">IF(t_ahh[[#This Row],[Antall_rette]]&lt;&gt;11,"",IF(t_ahh[[#This Row],[Antall_rette]]=11,1,""))</f>
        <v/>
      </c>
      <c r="N10" s="3" t="str">
        <f ca="1">IF(OR(t_ahh[[#This Row],[12_Antall]]=1,t_ahh[[#This Row],[11_Antall]]=1),"",IF(t_ahh[[#This Row],[Antall_rette]]&gt;9,1,""))</f>
        <v/>
      </c>
      <c r="O10" s="3">
        <f ca="1">IF(t_ahh[[#This Row],[12_Antall]]=1,Data!$AJ$3,0)</f>
        <v>1070</v>
      </c>
      <c r="P10" s="3">
        <f ca="1">IF(t_ahh[[#This Row],[11_Antall]]=1,Data!$AJ$2,0)</f>
        <v>0</v>
      </c>
      <c r="Q10" s="3">
        <f ca="1">IF(t_ahh[[#This Row],[10_Antall]]=1,Data!$AJ$1,0)</f>
        <v>0</v>
      </c>
      <c r="R10" s="3" t="str" cm="1">
        <f t="array" ref="R10">IFERROR(IF(_xlfn.XLOOKUP(t_ahh[[#This Row],[Dato]]&amp;t_ahh[[#This Row],[navn]],Regnskap!$C$10:$C$51&amp;Regnskap!$K$10:$K$51,Regnskap!$H$10:$H$51)&gt;0,Data!$AJ$3,""),"")</f>
        <v/>
      </c>
      <c r="S10" s="3" t="str" cm="1">
        <f t="array" ref="S10">IFERROR(IF(t_ahh[[#This Row],[12_pLEV]]="",IF(_xlfn.XLOOKUP(t_ahh[[#This Row],[Dato]]&amp;t_ahh[[#This Row],[navn]],Regnskap!$C$10:$C$51&amp;Regnskap!$K$10:$K$51,Regnskap!$I$10:$I$51)&gt;0,Data!$AJ$2)),"")</f>
        <v/>
      </c>
      <c r="T10" s="3" t="str" cm="1">
        <f t="array" ref="T10">IFERROR(IF(t_ahh[[#This Row],[11_pLEV]]="",IF(_xlfn.XLOOKUP(t_ahh[[#This Row],[Dato]]&amp;t_ahh[[#This Row],[navn]],Regnskap!$C$10:$C$51&amp;Regnskap!$K$10:$K$51,Regnskap!$J$10:$J$51)&gt;0,Data!$AJ$1),""),"")</f>
        <v/>
      </c>
      <c r="U10">
        <f>SUM(t_ahh[[#This Row],[12_pLEV]:[10_pLEV]])</f>
        <v>0</v>
      </c>
      <c r="V10" s="3">
        <f ca="1">SUM(t_ahh[[#This Row],[Summert]]+t_ahh[[#This Row],[LEV_poeng]])</f>
        <v>888</v>
      </c>
      <c r="W10" s="3"/>
      <c r="X10" s="672"/>
    </row>
    <row r="11" spans="1:40" x14ac:dyDescent="0.2">
      <c r="A11" s="3" t="s">
        <v>905</v>
      </c>
      <c r="B11">
        <f>IF(t_ahh[[#This Row],[Dato]]&lt;&gt;"",WEEKNUM(t_ahh[[#This Row],[Dato]]),"")</f>
        <v>42</v>
      </c>
      <c r="C11" s="22">
        <f>Data!AL10</f>
        <v>46312</v>
      </c>
      <c r="D11">
        <f ca="1">IFERROR(IF(t_ahh[[#This Row],[Dato]]="","",OFFSET(_xlfn.XLOOKUP(C11,Kuponger!E:E,Kuponger!Q:Q),15,0)),"")</f>
        <v>0</v>
      </c>
      <c r="E11">
        <f ca="1">IFERROR(OFFSET(_xlfn.XLOOKUP(C11,Kuponger!E:E,Kuponger!Q:Q),15,1),"")</f>
        <v>0</v>
      </c>
      <c r="F11">
        <f ca="1">IFERROR(IF(t_ahh[[#This Row],[Dato]]="","",OFFSET(_xlfn.XLOOKUP(C11,Kuponger!E:E,Kuponger!Q:Q),15,2)),"")</f>
        <v>0</v>
      </c>
      <c r="G11">
        <f ca="1">IFERROR(IF(OFFSET(_xlfn.XLOOKUP(C11,Kuponger!E:E,Kuponger!Q:Q),0,2)=0,"",OFFSET(_xlfn.XLOOKUP(C11,Kuponger!E:E,Kuponger!Q:Q),1,2))*-1,"")</f>
        <v>0</v>
      </c>
      <c r="H11" t="str">
        <f t="shared" ca="1" si="0"/>
        <v/>
      </c>
      <c r="I11" t="str">
        <f ca="1">IFERROR(IF(t_ahh[[#This Row],[tp]]&lt;&gt;"",OFFSET(_xlfn.XLOOKUP(C11,Kuponger!E:E,Kuponger!Q:Q),1,1),""),"")</f>
        <v/>
      </c>
      <c r="J11" s="3">
        <f ca="1">IFERROR(IF(t_ahh[[#This Row],[Dato]]="",0,OFFSET(_xlfn.XLOOKUP(t_ahh[[#This Row],[Dato]],Kuponger!E:E,Kuponger!Q:Q),1,7)),"")</f>
        <v>0</v>
      </c>
      <c r="K11" s="3">
        <f ca="1">IFERROR(SUM(t_ahh[[#This Row],[tp]]),0)</f>
        <v>0</v>
      </c>
      <c r="L11" s="3" t="str">
        <f ca="1">IF(t_ahh[[#This Row],[Antall_rette]]=12,1,"")</f>
        <v/>
      </c>
      <c r="M11" s="3" t="str">
        <f ca="1">IF(t_ahh[[#This Row],[Antall_rette]]&lt;&gt;11,"",IF(t_ahh[[#This Row],[Antall_rette]]=11,1,""))</f>
        <v/>
      </c>
      <c r="N11" s="3" t="str">
        <f ca="1">IF(OR(t_ahh[[#This Row],[12_Antall]]=1,t_ahh[[#This Row],[11_Antall]]=1),"",IF(t_ahh[[#This Row],[Antall_rette]]&gt;9,1,""))</f>
        <v/>
      </c>
      <c r="O11" s="3">
        <f ca="1">IF(t_ahh[[#This Row],[12_Antall]]=1,Data!$AJ$3,0)</f>
        <v>0</v>
      </c>
      <c r="P11" s="3">
        <f ca="1">IF(t_ahh[[#This Row],[11_Antall]]=1,Data!$AJ$2,0)</f>
        <v>0</v>
      </c>
      <c r="Q11" s="3">
        <f ca="1">IF(t_ahh[[#This Row],[10_Antall]]=1,Data!$AJ$1,0)</f>
        <v>0</v>
      </c>
      <c r="R11" s="3" t="str" cm="1">
        <f t="array" ref="R11">IFERROR(IF(_xlfn.XLOOKUP(t_ahh[[#This Row],[Dato]]&amp;t_ahh[[#This Row],[navn]],Regnskap!$C$10:$C$51&amp;Regnskap!$K$10:$K$51,Regnskap!$H$10:$H$51)&gt;0,Data!$AJ$3,""),"")</f>
        <v/>
      </c>
      <c r="S11" s="3" t="str" cm="1">
        <f t="array" ref="S11">IFERROR(IF(t_ahh[[#This Row],[12_pLEV]]="",IF(_xlfn.XLOOKUP(t_ahh[[#This Row],[Dato]]&amp;t_ahh[[#This Row],[navn]],Regnskap!$C$10:$C$51&amp;Regnskap!$K$10:$K$51,Regnskap!$I$10:$I$51)&gt;0,Data!$AJ$2)),"")</f>
        <v/>
      </c>
      <c r="T11" s="3" t="str" cm="1">
        <f t="array" ref="T11">IFERROR(IF(t_ahh[[#This Row],[11_pLEV]]="",IF(_xlfn.XLOOKUP(t_ahh[[#This Row],[Dato]]&amp;t_ahh[[#This Row],[navn]],Regnskap!$C$10:$C$51&amp;Regnskap!$K$10:$K$51,Regnskap!$J$10:$J$51)&gt;0,Data!$AJ$1),""),"")</f>
        <v/>
      </c>
      <c r="U11">
        <f>SUM(t_ahh[[#This Row],[12_pLEV]:[10_pLEV]])</f>
        <v>0</v>
      </c>
      <c r="V11" s="3">
        <f ca="1">SUM(t_ahh[[#This Row],[Summert]]+t_ahh[[#This Row],[LEV_poeng]])</f>
        <v>0</v>
      </c>
      <c r="W11" s="3"/>
      <c r="X11" s="672"/>
    </row>
    <row r="12" spans="1:40" x14ac:dyDescent="0.2">
      <c r="A12" s="3" t="s">
        <v>905</v>
      </c>
      <c r="B12">
        <f>IF(t_ahh[[#This Row],[Dato]]&lt;&gt;"",WEEKNUM(t_ahh[[#This Row],[Dato]]),"")</f>
        <v>43</v>
      </c>
      <c r="C12" s="22">
        <f>Data!AL11</f>
        <v>46319</v>
      </c>
      <c r="D12">
        <f ca="1">IFERROR(IF(t_ahh[[#This Row],[Dato]]="","",OFFSET(_xlfn.XLOOKUP(C12,Kuponger!E:E,Kuponger!Q:Q),15,0)),"")</f>
        <v>0</v>
      </c>
      <c r="E12">
        <f ca="1">IFERROR(OFFSET(_xlfn.XLOOKUP(C12,Kuponger!E:E,Kuponger!Q:Q),15,1),"")</f>
        <v>0</v>
      </c>
      <c r="F12">
        <f ca="1">IFERROR(IF(t_ahh[[#This Row],[Dato]]="","",OFFSET(_xlfn.XLOOKUP(C12,Kuponger!E:E,Kuponger!Q:Q),15,2)),"")</f>
        <v>0</v>
      </c>
      <c r="G12">
        <f ca="1">IFERROR(IF(OFFSET(_xlfn.XLOOKUP(C12,Kuponger!E:E,Kuponger!Q:Q),0,2)=0,"",OFFSET(_xlfn.XLOOKUP(C12,Kuponger!E:E,Kuponger!Q:Q),1,2))*-1,"")</f>
        <v>0</v>
      </c>
      <c r="H12" t="str">
        <f t="shared" ca="1" si="0"/>
        <v/>
      </c>
      <c r="I12" t="str">
        <f ca="1">IFERROR(IF(t_ahh[[#This Row],[tp]]&lt;&gt;"",OFFSET(_xlfn.XLOOKUP(C12,Kuponger!E:E,Kuponger!Q:Q),1,1),""),"")</f>
        <v/>
      </c>
      <c r="J12" s="3">
        <f ca="1">IFERROR(IF(t_ahh[[#This Row],[Dato]]="",0,OFFSET(_xlfn.XLOOKUP(t_ahh[[#This Row],[Dato]],Kuponger!E:E,Kuponger!Q:Q),1,7)),"")</f>
        <v>0</v>
      </c>
      <c r="K12" s="3">
        <f ca="1">IFERROR(SUM(t_ahh[[#This Row],[tp]]),0)</f>
        <v>0</v>
      </c>
      <c r="L12" s="3" t="str">
        <f ca="1">IF(t_ahh[[#This Row],[Antall_rette]]=12,1,"")</f>
        <v/>
      </c>
      <c r="M12" s="3" t="str">
        <f ca="1">IF(t_ahh[[#This Row],[Antall_rette]]&lt;&gt;11,"",IF(t_ahh[[#This Row],[Antall_rette]]=11,1,""))</f>
        <v/>
      </c>
      <c r="N12" s="3" t="str">
        <f ca="1">IF(OR(t_ahh[[#This Row],[12_Antall]]=1,t_ahh[[#This Row],[11_Antall]]=1),"",IF(t_ahh[[#This Row],[Antall_rette]]&gt;9,1,""))</f>
        <v/>
      </c>
      <c r="O12" s="3">
        <f ca="1">IF(t_ahh[[#This Row],[12_Antall]]=1,Data!$AJ$3,0)</f>
        <v>0</v>
      </c>
      <c r="P12" s="3">
        <f ca="1">IF(t_ahh[[#This Row],[11_Antall]]=1,Data!$AJ$2,0)</f>
        <v>0</v>
      </c>
      <c r="Q12" s="3">
        <f ca="1">IF(t_ahh[[#This Row],[10_Antall]]=1,Data!$AJ$1,0)</f>
        <v>0</v>
      </c>
      <c r="R12" s="3" t="str" cm="1">
        <f t="array" ref="R12">IFERROR(IF(_xlfn.XLOOKUP(t_ahh[[#This Row],[Dato]]&amp;t_ahh[[#This Row],[navn]],Regnskap!$C$10:$C$51&amp;Regnskap!$K$10:$K$51,Regnskap!$H$10:$H$51)&gt;0,Data!$AJ$3,""),"")</f>
        <v/>
      </c>
      <c r="S12" s="3" t="str" cm="1">
        <f t="array" ref="S12">IFERROR(IF(t_ahh[[#This Row],[12_pLEV]]="",IF(_xlfn.XLOOKUP(t_ahh[[#This Row],[Dato]]&amp;t_ahh[[#This Row],[navn]],Regnskap!$C$10:$C$51&amp;Regnskap!$K$10:$K$51,Regnskap!$I$10:$I$51)&gt;0,Data!$AJ$2)),"")</f>
        <v/>
      </c>
      <c r="T12" s="3" t="str" cm="1">
        <f t="array" ref="T12">IFERROR(IF(t_ahh[[#This Row],[11_pLEV]]="",IF(_xlfn.XLOOKUP(t_ahh[[#This Row],[Dato]]&amp;t_ahh[[#This Row],[navn]],Regnskap!$C$10:$C$51&amp;Regnskap!$K$10:$K$51,Regnskap!$J$10:$J$51)&gt;0,Data!$AJ$1),""),"")</f>
        <v/>
      </c>
      <c r="U12">
        <f>SUM(t_ahh[[#This Row],[12_pLEV]:[10_pLEV]])</f>
        <v>0</v>
      </c>
      <c r="V12" s="3">
        <f ca="1">SUM(t_ahh[[#This Row],[Summert]]+t_ahh[[#This Row],[LEV_poeng]])</f>
        <v>0</v>
      </c>
      <c r="W12" s="3"/>
    </row>
    <row r="13" spans="1:40" ht="15" x14ac:dyDescent="0.25">
      <c r="A13" s="3" t="s">
        <v>905</v>
      </c>
      <c r="B13">
        <f>IF(t_ahh[[#This Row],[Dato]]&lt;&gt;"",WEEKNUM(t_ahh[[#This Row],[Dato]]),"")</f>
        <v>44</v>
      </c>
      <c r="C13" s="22">
        <f>Data!AL12</f>
        <v>46326</v>
      </c>
      <c r="D13">
        <f ca="1">IFERROR(IF(t_ahh[[#This Row],[Dato]]="","",OFFSET(_xlfn.XLOOKUP(C13,Kuponger!E:E,Kuponger!Q:Q),15,0)),"")</f>
        <v>0</v>
      </c>
      <c r="E13">
        <f ca="1">IFERROR(OFFSET(_xlfn.XLOOKUP(C13,Kuponger!E:E,Kuponger!Q:Q),15,1),"")</f>
        <v>0</v>
      </c>
      <c r="F13">
        <f ca="1">IFERROR(IF(t_ahh[[#This Row],[Dato]]="","",OFFSET(_xlfn.XLOOKUP(C13,Kuponger!E:E,Kuponger!Q:Q),15,2)),"")</f>
        <v>0</v>
      </c>
      <c r="G13">
        <f ca="1">IFERROR(IF(OFFSET(_xlfn.XLOOKUP(C13,Kuponger!E:E,Kuponger!Q:Q),0,2)=0,"",OFFSET(_xlfn.XLOOKUP(C13,Kuponger!E:E,Kuponger!Q:Q),1,2))*-1,"")</f>
        <v>0</v>
      </c>
      <c r="H13" t="str">
        <f t="shared" ca="1" si="0"/>
        <v/>
      </c>
      <c r="I13" t="str">
        <f ca="1">IFERROR(IF(t_ahh[[#This Row],[tp]]&lt;&gt;"",OFFSET(_xlfn.XLOOKUP(C13,Kuponger!E:E,Kuponger!Q:Q),1,1),""),"")</f>
        <v/>
      </c>
      <c r="J13" s="3">
        <f ca="1">IFERROR(IF(t_ahh[[#This Row],[Dato]]="",0,OFFSET(_xlfn.XLOOKUP(t_ahh[[#This Row],[Dato]],Kuponger!E:E,Kuponger!Q:Q),1,7)),"")</f>
        <v>0</v>
      </c>
      <c r="K13" s="3">
        <f ca="1">IFERROR(SUM(t_ahh[[#This Row],[tp]]),0)</f>
        <v>0</v>
      </c>
      <c r="L13" s="3" t="str">
        <f ca="1">IF(t_ahh[[#This Row],[Antall_rette]]=12,1,"")</f>
        <v/>
      </c>
      <c r="M13" s="3" t="str">
        <f ca="1">IF(t_ahh[[#This Row],[Antall_rette]]&lt;&gt;11,"",IF(t_ahh[[#This Row],[Antall_rette]]=11,1,""))</f>
        <v/>
      </c>
      <c r="N13" s="3" t="str">
        <f ca="1">IF(OR(t_ahh[[#This Row],[12_Antall]]=1,t_ahh[[#This Row],[11_Antall]]=1),"",IF(t_ahh[[#This Row],[Antall_rette]]&gt;9,1,""))</f>
        <v/>
      </c>
      <c r="O13" s="3">
        <f ca="1">IF(t_ahh[[#This Row],[12_Antall]]=1,Data!$AJ$3,0)</f>
        <v>0</v>
      </c>
      <c r="P13" s="3">
        <f ca="1">IF(t_ahh[[#This Row],[11_Antall]]=1,Data!$AJ$2,0)</f>
        <v>0</v>
      </c>
      <c r="Q13" s="3">
        <f ca="1">IF(t_ahh[[#This Row],[10_Antall]]=1,Data!$AJ$1,0)</f>
        <v>0</v>
      </c>
      <c r="R13" s="3" t="str" cm="1">
        <f t="array" ref="R13">IFERROR(IF(_xlfn.XLOOKUP(t_ahh[[#This Row],[Dato]]&amp;t_ahh[[#This Row],[navn]],Regnskap!$C$10:$C$51&amp;Regnskap!$K$10:$K$51,Regnskap!$H$10:$H$51)&gt;0,Data!$AJ$3,""),"")</f>
        <v/>
      </c>
      <c r="S13" s="3" t="str" cm="1">
        <f t="array" ref="S13">IFERROR(IF(t_ahh[[#This Row],[12_pLEV]]="",IF(_xlfn.XLOOKUP(t_ahh[[#This Row],[Dato]]&amp;t_ahh[[#This Row],[navn]],Regnskap!$C$10:$C$51&amp;Regnskap!$K$10:$K$51,Regnskap!$I$10:$I$51)&gt;0,Data!$AJ$2)),"")</f>
        <v/>
      </c>
      <c r="T13" s="3" t="str" cm="1">
        <f t="array" ref="T13">IFERROR(IF(t_ahh[[#This Row],[11_pLEV]]="",IF(_xlfn.XLOOKUP(t_ahh[[#This Row],[Dato]]&amp;t_ahh[[#This Row],[navn]],Regnskap!$C$10:$C$51&amp;Regnskap!$K$10:$K$51,Regnskap!$J$10:$J$51)&gt;0,Data!$AJ$1),""),"")</f>
        <v/>
      </c>
      <c r="U13">
        <f>SUM(t_ahh[[#This Row],[12_pLEV]:[10_pLEV]])</f>
        <v>0</v>
      </c>
      <c r="V13" s="3">
        <f ca="1">SUM(t_ahh[[#This Row],[Summert]]+t_ahh[[#This Row],[LEV_poeng]])</f>
        <v>0</v>
      </c>
      <c r="W13" s="3"/>
      <c r="X13" s="670"/>
      <c r="Y13" s="671"/>
      <c r="Z13" s="671"/>
      <c r="AA13" s="671"/>
      <c r="AB13" s="671"/>
      <c r="AC13" s="671"/>
      <c r="AD13" s="671"/>
      <c r="AE13" s="671"/>
      <c r="AF13" s="671"/>
      <c r="AG13" s="23"/>
    </row>
    <row r="14" spans="1:40" x14ac:dyDescent="0.2">
      <c r="A14" s="3" t="s">
        <v>905</v>
      </c>
      <c r="B14">
        <f>IF(t_ahh[[#This Row],[Dato]]&lt;&gt;"",WEEKNUM(t_ahh[[#This Row],[Dato]]),"")</f>
        <v>45</v>
      </c>
      <c r="C14" s="22">
        <f>Data!AL13</f>
        <v>46333</v>
      </c>
      <c r="D14">
        <f ca="1">IFERROR(IF(t_ahh[[#This Row],[Dato]]="","",OFFSET(_xlfn.XLOOKUP(C14,Kuponger!E:E,Kuponger!Q:Q),15,0)),"")</f>
        <v>0</v>
      </c>
      <c r="E14">
        <f ca="1">IFERROR(OFFSET(_xlfn.XLOOKUP(C14,Kuponger!E:E,Kuponger!Q:Q),15,1),"")</f>
        <v>0</v>
      </c>
      <c r="F14">
        <f ca="1">IFERROR(IF(t_ahh[[#This Row],[Dato]]="","",OFFSET(_xlfn.XLOOKUP(C14,Kuponger!E:E,Kuponger!Q:Q),15,2)),"")</f>
        <v>0</v>
      </c>
      <c r="G14">
        <f ca="1">IFERROR(IF(OFFSET(_xlfn.XLOOKUP(C14,Kuponger!E:E,Kuponger!Q:Q),0,2)=0,"",OFFSET(_xlfn.XLOOKUP(C14,Kuponger!E:E,Kuponger!Q:Q),1,2))*-1,"")</f>
        <v>0</v>
      </c>
      <c r="H14" t="str">
        <f t="shared" ca="1" si="0"/>
        <v/>
      </c>
      <c r="I14" t="str">
        <f ca="1">IFERROR(IF(t_ahh[[#This Row],[tp]]&lt;&gt;"",OFFSET(_xlfn.XLOOKUP(C14,Kuponger!E:E,Kuponger!Q:Q),1,1),""),"")</f>
        <v/>
      </c>
      <c r="J14" s="3">
        <f ca="1">IFERROR(IF(t_ahh[[#This Row],[Dato]]="",0,OFFSET(_xlfn.XLOOKUP(t_ahh[[#This Row],[Dato]],Kuponger!E:E,Kuponger!Q:Q),1,7)),"")</f>
        <v>0</v>
      </c>
      <c r="K14" s="3">
        <f ca="1">IFERROR(SUM(t_ahh[[#This Row],[tp]]),0)</f>
        <v>0</v>
      </c>
      <c r="L14" s="3" t="str">
        <f ca="1">IF(t_ahh[[#This Row],[Antall_rette]]=12,1,"")</f>
        <v/>
      </c>
      <c r="M14" s="3" t="str">
        <f ca="1">IF(t_ahh[[#This Row],[Antall_rette]]&lt;&gt;11,"",IF(t_ahh[[#This Row],[Antall_rette]]=11,1,""))</f>
        <v/>
      </c>
      <c r="N14" s="3" t="str">
        <f ca="1">IF(OR(t_ahh[[#This Row],[12_Antall]]=1,t_ahh[[#This Row],[11_Antall]]=1),"",IF(t_ahh[[#This Row],[Antall_rette]]&gt;9,1,""))</f>
        <v/>
      </c>
      <c r="O14" s="3">
        <f ca="1">IF(t_ahh[[#This Row],[12_Antall]]=1,Data!$AJ$3,0)</f>
        <v>0</v>
      </c>
      <c r="P14" s="3">
        <f ca="1">IF(t_ahh[[#This Row],[11_Antall]]=1,Data!$AJ$2,0)</f>
        <v>0</v>
      </c>
      <c r="Q14" s="3">
        <f ca="1">IF(t_ahh[[#This Row],[10_Antall]]=1,Data!$AJ$1,0)</f>
        <v>0</v>
      </c>
      <c r="R14" s="3" t="str" cm="1">
        <f t="array" ref="R14">IFERROR(IF(_xlfn.XLOOKUP(t_ahh[[#This Row],[Dato]]&amp;t_ahh[[#This Row],[navn]],Regnskap!$C$10:$C$51&amp;Regnskap!$K$10:$K$51,Regnskap!$H$10:$H$51)&gt;0,Data!$AJ$3,""),"")</f>
        <v/>
      </c>
      <c r="S14" s="3" t="str" cm="1">
        <f t="array" ref="S14">IFERROR(IF(t_ahh[[#This Row],[12_pLEV]]="",IF(_xlfn.XLOOKUP(t_ahh[[#This Row],[Dato]]&amp;t_ahh[[#This Row],[navn]],Regnskap!$C$10:$C$51&amp;Regnskap!$K$10:$K$51,Regnskap!$I$10:$I$51)&gt;0,Data!$AJ$2)),"")</f>
        <v/>
      </c>
      <c r="T14" s="3" t="str" cm="1">
        <f t="array" ref="T14">IFERROR(IF(t_ahh[[#This Row],[11_pLEV]]="",IF(_xlfn.XLOOKUP(t_ahh[[#This Row],[Dato]]&amp;t_ahh[[#This Row],[navn]],Regnskap!$C$10:$C$51&amp;Regnskap!$K$10:$K$51,Regnskap!$J$10:$J$51)&gt;0,Data!$AJ$1),""),"")</f>
        <v/>
      </c>
      <c r="U14">
        <f>SUM(t_ahh[[#This Row],[12_pLEV]:[10_pLEV]])</f>
        <v>0</v>
      </c>
      <c r="V14" s="3">
        <f ca="1">SUM(t_ahh[[#This Row],[Summert]]+t_ahh[[#This Row],[LEV_poeng]])</f>
        <v>0</v>
      </c>
      <c r="W14" s="3"/>
      <c r="X14" s="672"/>
    </row>
    <row r="15" spans="1:40" x14ac:dyDescent="0.2">
      <c r="A15" s="3" t="s">
        <v>905</v>
      </c>
      <c r="B15">
        <f>IF(t_ahh[[#This Row],[Dato]]&lt;&gt;"",WEEKNUM(t_ahh[[#This Row],[Dato]]),"")</f>
        <v>46</v>
      </c>
      <c r="C15" s="22">
        <f>Data!AL14</f>
        <v>46340</v>
      </c>
      <c r="D15">
        <f ca="1">IFERROR(IF(t_ahh[[#This Row],[Dato]]="","",OFFSET(_xlfn.XLOOKUP(C15,Kuponger!E:E,Kuponger!Q:Q),15,0)),"")</f>
        <v>0</v>
      </c>
      <c r="E15">
        <f ca="1">IFERROR(OFFSET(_xlfn.XLOOKUP(C15,Kuponger!E:E,Kuponger!Q:Q),15,1),"")</f>
        <v>0</v>
      </c>
      <c r="F15">
        <f ca="1">IFERROR(IF(t_ahh[[#This Row],[Dato]]="","",OFFSET(_xlfn.XLOOKUP(C15,Kuponger!E:E,Kuponger!Q:Q),15,2)),"")</f>
        <v>0</v>
      </c>
      <c r="G15">
        <f ca="1">IFERROR(IF(OFFSET(_xlfn.XLOOKUP(C15,Kuponger!E:E,Kuponger!Q:Q),0,2)=0,"",OFFSET(_xlfn.XLOOKUP(C15,Kuponger!E:E,Kuponger!Q:Q),1,2))*-1,"")</f>
        <v>0</v>
      </c>
      <c r="H15" t="str">
        <f t="shared" ca="1" si="0"/>
        <v/>
      </c>
      <c r="I15" t="str">
        <f ca="1">IFERROR(IF(t_ahh[[#This Row],[tp]]&lt;&gt;"",OFFSET(_xlfn.XLOOKUP(C15,Kuponger!E:E,Kuponger!Q:Q),1,1),""),"")</f>
        <v/>
      </c>
      <c r="J15" s="3">
        <f ca="1">IFERROR(IF(t_ahh[[#This Row],[Dato]]="",0,OFFSET(_xlfn.XLOOKUP(t_ahh[[#This Row],[Dato]],Kuponger!E:E,Kuponger!Q:Q),1,7)),"")</f>
        <v>0</v>
      </c>
      <c r="K15" s="3">
        <f ca="1">IFERROR(SUM(t_ahh[[#This Row],[tp]]),0)</f>
        <v>0</v>
      </c>
      <c r="L15" s="3" t="str">
        <f ca="1">IF(t_ahh[[#This Row],[Antall_rette]]=12,1,"")</f>
        <v/>
      </c>
      <c r="M15" s="3" t="str">
        <f ca="1">IF(t_ahh[[#This Row],[Antall_rette]]&lt;&gt;11,"",IF(t_ahh[[#This Row],[Antall_rette]]=11,1,""))</f>
        <v/>
      </c>
      <c r="N15" s="3" t="str">
        <f ca="1">IF(OR(t_ahh[[#This Row],[12_Antall]]=1,t_ahh[[#This Row],[11_Antall]]=1),"",IF(t_ahh[[#This Row],[Antall_rette]]&gt;9,1,""))</f>
        <v/>
      </c>
      <c r="O15" s="3">
        <f ca="1">IF(t_ahh[[#This Row],[12_Antall]]=1,Data!$AJ$3,0)</f>
        <v>0</v>
      </c>
      <c r="P15" s="3">
        <f ca="1">IF(t_ahh[[#This Row],[11_Antall]]=1,Data!$AJ$2,0)</f>
        <v>0</v>
      </c>
      <c r="Q15" s="3">
        <f ca="1">IF(t_ahh[[#This Row],[10_Antall]]=1,Data!$AJ$1,0)</f>
        <v>0</v>
      </c>
      <c r="R15" s="3" t="str" cm="1">
        <f t="array" ref="R15">IFERROR(IF(_xlfn.XLOOKUP(t_ahh[[#This Row],[Dato]]&amp;t_ahh[[#This Row],[navn]],Regnskap!$C$10:$C$51&amp;Regnskap!$K$10:$K$51,Regnskap!$H$10:$H$51)&gt;0,Data!$AJ$3,""),"")</f>
        <v/>
      </c>
      <c r="S15" s="3" t="str" cm="1">
        <f t="array" ref="S15">IFERROR(IF(t_ahh[[#This Row],[12_pLEV]]="",IF(_xlfn.XLOOKUP(t_ahh[[#This Row],[Dato]]&amp;t_ahh[[#This Row],[navn]],Regnskap!$C$10:$C$51&amp;Regnskap!$K$10:$K$51,Regnskap!$I$10:$I$51)&gt;0,Data!$AJ$2)),"")</f>
        <v/>
      </c>
      <c r="T15" s="3" t="str" cm="1">
        <f t="array" ref="T15">IFERROR(IF(t_ahh[[#This Row],[11_pLEV]]="",IF(_xlfn.XLOOKUP(t_ahh[[#This Row],[Dato]]&amp;t_ahh[[#This Row],[navn]],Regnskap!$C$10:$C$51&amp;Regnskap!$K$10:$K$51,Regnskap!$J$10:$J$51)&gt;0,Data!$AJ$1),""),"")</f>
        <v/>
      </c>
      <c r="U15">
        <f>SUM(t_ahh[[#This Row],[12_pLEV]:[10_pLEV]])</f>
        <v>0</v>
      </c>
      <c r="V15" s="3">
        <f ca="1">SUM(t_ahh[[#This Row],[Summert]]+t_ahh[[#This Row],[LEV_poeng]])</f>
        <v>0</v>
      </c>
      <c r="W15" s="3"/>
      <c r="X15" s="672"/>
    </row>
    <row r="16" spans="1:40" x14ac:dyDescent="0.2">
      <c r="A16" s="3" t="s">
        <v>905</v>
      </c>
      <c r="B16">
        <f>IF(t_ahh[[#This Row],[Dato]]&lt;&gt;"",WEEKNUM(t_ahh[[#This Row],[Dato]]),"")</f>
        <v>47</v>
      </c>
      <c r="C16" s="22">
        <f>Data!AL15</f>
        <v>46347</v>
      </c>
      <c r="D16">
        <f ca="1">IFERROR(IF(t_ahh[[#This Row],[Dato]]="","",OFFSET(_xlfn.XLOOKUP(C16,Kuponger!E:E,Kuponger!Q:Q),15,0)),"")</f>
        <v>0</v>
      </c>
      <c r="E16">
        <f ca="1">IFERROR(OFFSET(_xlfn.XLOOKUP(C16,Kuponger!E:E,Kuponger!Q:Q),15,1),"")</f>
        <v>0</v>
      </c>
      <c r="F16">
        <f ca="1">IFERROR(IF(t_ahh[[#This Row],[Dato]]="","",OFFSET(_xlfn.XLOOKUP(C16,Kuponger!E:E,Kuponger!Q:Q),15,2)),"")</f>
        <v>0</v>
      </c>
      <c r="G16">
        <f ca="1">IFERROR(IF(OFFSET(_xlfn.XLOOKUP(C16,Kuponger!E:E,Kuponger!Q:Q),0,2)=0,"",OFFSET(_xlfn.XLOOKUP(C16,Kuponger!E:E,Kuponger!Q:Q),1,2))*-1,"")</f>
        <v>0</v>
      </c>
      <c r="H16" t="str">
        <f t="shared" ca="1" si="0"/>
        <v/>
      </c>
      <c r="I16" t="str">
        <f ca="1">IFERROR(IF(t_ahh[[#This Row],[tp]]&lt;&gt;"",OFFSET(_xlfn.XLOOKUP(C16,Kuponger!E:E,Kuponger!Q:Q),1,1),""),"")</f>
        <v/>
      </c>
      <c r="J16" s="3">
        <f ca="1">IFERROR(IF(t_ahh[[#This Row],[Dato]]="",0,OFFSET(_xlfn.XLOOKUP(t_ahh[[#This Row],[Dato]],Kuponger!E:E,Kuponger!Q:Q),1,7)),"")</f>
        <v>0</v>
      </c>
      <c r="K16" s="3">
        <f ca="1">IFERROR(SUM(t_ahh[[#This Row],[tp]]),0)</f>
        <v>0</v>
      </c>
      <c r="L16" s="3" t="str">
        <f ca="1">IF(t_ahh[[#This Row],[Antall_rette]]=12,1,"")</f>
        <v/>
      </c>
      <c r="M16" s="3" t="str">
        <f ca="1">IF(t_ahh[[#This Row],[Antall_rette]]&lt;&gt;11,"",IF(t_ahh[[#This Row],[Antall_rette]]=11,1,""))</f>
        <v/>
      </c>
      <c r="N16" s="3" t="str">
        <f ca="1">IF(OR(t_ahh[[#This Row],[12_Antall]]=1,t_ahh[[#This Row],[11_Antall]]=1),"",IF(t_ahh[[#This Row],[Antall_rette]]&gt;9,1,""))</f>
        <v/>
      </c>
      <c r="O16" s="3">
        <f ca="1">IF(t_ahh[[#This Row],[12_Antall]]=1,Data!$AJ$3,0)</f>
        <v>0</v>
      </c>
      <c r="P16" s="3">
        <f ca="1">IF(t_ahh[[#This Row],[11_Antall]]=1,Data!$AJ$2,0)</f>
        <v>0</v>
      </c>
      <c r="Q16" s="3">
        <f ca="1">IF(t_ahh[[#This Row],[10_Antall]]=1,Data!$AJ$1,0)</f>
        <v>0</v>
      </c>
      <c r="R16" s="3" t="str" cm="1">
        <f t="array" ref="R16">IFERROR(IF(_xlfn.XLOOKUP(t_ahh[[#This Row],[Dato]]&amp;t_ahh[[#This Row],[navn]],Regnskap!$C$10:$C$51&amp;Regnskap!$K$10:$K$51,Regnskap!$H$10:$H$51)&gt;0,Data!$AJ$3,""),"")</f>
        <v/>
      </c>
      <c r="S16" s="3" t="str" cm="1">
        <f t="array" ref="S16">IFERROR(IF(t_ahh[[#This Row],[12_pLEV]]="",IF(_xlfn.XLOOKUP(t_ahh[[#This Row],[Dato]]&amp;t_ahh[[#This Row],[navn]],Regnskap!$C$10:$C$51&amp;Regnskap!$K$10:$K$51,Regnskap!$I$10:$I$51)&gt;0,Data!$AJ$2)),"")</f>
        <v/>
      </c>
      <c r="T16" s="3" t="str" cm="1">
        <f t="array" ref="T16">IFERROR(IF(t_ahh[[#This Row],[11_pLEV]]="",IF(_xlfn.XLOOKUP(t_ahh[[#This Row],[Dato]]&amp;t_ahh[[#This Row],[navn]],Regnskap!$C$10:$C$51&amp;Regnskap!$K$10:$K$51,Regnskap!$J$10:$J$51)&gt;0,Data!$AJ$1),""),"")</f>
        <v/>
      </c>
      <c r="U16">
        <f>SUM(t_ahh[[#This Row],[12_pLEV]:[10_pLEV]])</f>
        <v>0</v>
      </c>
      <c r="V16" s="3">
        <f ca="1">SUM(t_ahh[[#This Row],[Summert]]+t_ahh[[#This Row],[LEV_poeng]])</f>
        <v>0</v>
      </c>
      <c r="W16" s="3"/>
      <c r="X16" s="672"/>
    </row>
    <row r="17" spans="1:32" x14ac:dyDescent="0.2">
      <c r="A17" s="3" t="s">
        <v>905</v>
      </c>
      <c r="B17">
        <f>IF(t_ahh[[#This Row],[Dato]]&lt;&gt;"",WEEKNUM(t_ahh[[#This Row],[Dato]]),"")</f>
        <v>48</v>
      </c>
      <c r="C17" s="22">
        <f>Data!AL16</f>
        <v>46354</v>
      </c>
      <c r="D17">
        <f ca="1">IFERROR(IF(t_ahh[[#This Row],[Dato]]="","",OFFSET(_xlfn.XLOOKUP(C17,Kuponger!E:E,Kuponger!Q:Q),15,0)),"")</f>
        <v>0</v>
      </c>
      <c r="E17">
        <f ca="1">IFERROR(OFFSET(_xlfn.XLOOKUP(C17,Kuponger!E:E,Kuponger!Q:Q),15,1),"")</f>
        <v>0</v>
      </c>
      <c r="F17">
        <f ca="1">IFERROR(IF(t_ahh[[#This Row],[Dato]]="","",OFFSET(_xlfn.XLOOKUP(C17,Kuponger!E:E,Kuponger!Q:Q),15,2)),"")</f>
        <v>0</v>
      </c>
      <c r="G17">
        <f ca="1">IFERROR(IF(OFFSET(_xlfn.XLOOKUP(C17,Kuponger!E:E,Kuponger!Q:Q),0,2)=0,"",OFFSET(_xlfn.XLOOKUP(C17,Kuponger!E:E,Kuponger!Q:Q),1,2))*-1,"")</f>
        <v>0</v>
      </c>
      <c r="H17" t="str">
        <f t="shared" ca="1" si="0"/>
        <v/>
      </c>
      <c r="I17" t="str">
        <f ca="1">IFERROR(IF(t_ahh[[#This Row],[tp]]&lt;&gt;"",OFFSET(_xlfn.XLOOKUP(C17,Kuponger!E:E,Kuponger!Q:Q),1,1),""),"")</f>
        <v/>
      </c>
      <c r="J17" s="3">
        <f ca="1">IFERROR(IF(t_ahh[[#This Row],[Dato]]="",0,OFFSET(_xlfn.XLOOKUP(t_ahh[[#This Row],[Dato]],Kuponger!E:E,Kuponger!Q:Q),1,7)),"")</f>
        <v>0</v>
      </c>
      <c r="K17" s="3">
        <f ca="1">IFERROR(SUM(t_ahh[[#This Row],[tp]]),0)</f>
        <v>0</v>
      </c>
      <c r="L17" s="3" t="str">
        <f ca="1">IF(t_ahh[[#This Row],[Antall_rette]]=12,1,"")</f>
        <v/>
      </c>
      <c r="M17" s="3" t="str">
        <f ca="1">IF(t_ahh[[#This Row],[Antall_rette]]&lt;&gt;11,"",IF(t_ahh[[#This Row],[Antall_rette]]=11,1,""))</f>
        <v/>
      </c>
      <c r="N17" s="3" t="str">
        <f ca="1">IF(OR(t_ahh[[#This Row],[12_Antall]]=1,t_ahh[[#This Row],[11_Antall]]=1),"",IF(t_ahh[[#This Row],[Antall_rette]]&gt;9,1,""))</f>
        <v/>
      </c>
      <c r="O17" s="3">
        <f ca="1">IF(t_ahh[[#This Row],[12_Antall]]=1,Data!$AJ$3,0)</f>
        <v>0</v>
      </c>
      <c r="P17" s="3">
        <f ca="1">IF(t_ahh[[#This Row],[11_Antall]]=1,Data!$AJ$2,0)</f>
        <v>0</v>
      </c>
      <c r="Q17" s="3">
        <f ca="1">IF(t_ahh[[#This Row],[10_Antall]]=1,Data!$AJ$1,0)</f>
        <v>0</v>
      </c>
      <c r="R17" s="3" t="str" cm="1">
        <f t="array" ref="R17">IFERROR(IF(_xlfn.XLOOKUP(t_ahh[[#This Row],[Dato]]&amp;t_ahh[[#This Row],[navn]],Regnskap!$C$10:$C$51&amp;Regnskap!$K$10:$K$51,Regnskap!$H$10:$H$51)&gt;0,Data!$AJ$3,""),"")</f>
        <v/>
      </c>
      <c r="S17" s="3" t="str" cm="1">
        <f t="array" ref="S17">IFERROR(IF(t_ahh[[#This Row],[12_pLEV]]="",IF(_xlfn.XLOOKUP(t_ahh[[#This Row],[Dato]]&amp;t_ahh[[#This Row],[navn]],Regnskap!$C$10:$C$51&amp;Regnskap!$K$10:$K$51,Regnskap!$I$10:$I$51)&gt;0,Data!$AJ$2)),"")</f>
        <v/>
      </c>
      <c r="T17" s="3" t="str" cm="1">
        <f t="array" ref="T17">IFERROR(IF(t_ahh[[#This Row],[11_pLEV]]="",IF(_xlfn.XLOOKUP(t_ahh[[#This Row],[Dato]]&amp;t_ahh[[#This Row],[navn]],Regnskap!$C$10:$C$51&amp;Regnskap!$K$10:$K$51,Regnskap!$J$10:$J$51)&gt;0,Data!$AJ$1),""),"")</f>
        <v/>
      </c>
      <c r="U17">
        <f>SUM(t_ahh[[#This Row],[12_pLEV]:[10_pLEV]])</f>
        <v>0</v>
      </c>
      <c r="V17" s="3">
        <f ca="1">SUM(t_ahh[[#This Row],[Summert]]+t_ahh[[#This Row],[LEV_poeng]])</f>
        <v>0</v>
      </c>
      <c r="W17" s="3"/>
      <c r="X17" s="672"/>
    </row>
    <row r="18" spans="1:32" x14ac:dyDescent="0.2">
      <c r="A18" s="3" t="s">
        <v>905</v>
      </c>
      <c r="B18">
        <f>IF(t_ahh[[#This Row],[Dato]]&lt;&gt;"",WEEKNUM(t_ahh[[#This Row],[Dato]]),"")</f>
        <v>49</v>
      </c>
      <c r="C18" s="22">
        <f>Data!AL17</f>
        <v>46361</v>
      </c>
      <c r="D18">
        <f ca="1">IFERROR(IF(t_ahh[[#This Row],[Dato]]="","",OFFSET(_xlfn.XLOOKUP(C18,Kuponger!E:E,Kuponger!Q:Q),15,0)),"")</f>
        <v>0</v>
      </c>
      <c r="E18">
        <f ca="1">IFERROR(OFFSET(_xlfn.XLOOKUP(C18,Kuponger!E:E,Kuponger!Q:Q),15,1),"")</f>
        <v>0</v>
      </c>
      <c r="F18">
        <f ca="1">IFERROR(IF(t_ahh[[#This Row],[Dato]]="","",OFFSET(_xlfn.XLOOKUP(C18,Kuponger!E:E,Kuponger!Q:Q),15,2)),"")</f>
        <v>0</v>
      </c>
      <c r="G18">
        <f ca="1">IFERROR(IF(OFFSET(_xlfn.XLOOKUP(C18,Kuponger!E:E,Kuponger!Q:Q),0,2)=0,"",OFFSET(_xlfn.XLOOKUP(C18,Kuponger!E:E,Kuponger!Q:Q),1,2))*-1,"")</f>
        <v>0</v>
      </c>
      <c r="H18" t="str">
        <f t="shared" ca="1" si="0"/>
        <v/>
      </c>
      <c r="I18" t="str">
        <f ca="1">IFERROR(IF(t_ahh[[#This Row],[tp]]&lt;&gt;"",OFFSET(_xlfn.XLOOKUP(C18,Kuponger!E:E,Kuponger!Q:Q),1,1),""),"")</f>
        <v/>
      </c>
      <c r="J18" s="3">
        <f ca="1">IFERROR(IF(t_ahh[[#This Row],[Dato]]="",0,OFFSET(_xlfn.XLOOKUP(t_ahh[[#This Row],[Dato]],Kuponger!E:E,Kuponger!Q:Q),1,7)),"")</f>
        <v>0</v>
      </c>
      <c r="K18" s="3">
        <f ca="1">IFERROR(SUM(t_ahh[[#This Row],[tp]]),0)</f>
        <v>0</v>
      </c>
      <c r="L18" s="3" t="str">
        <f ca="1">IF(t_ahh[[#This Row],[Antall_rette]]=12,1,"")</f>
        <v/>
      </c>
      <c r="M18" s="3" t="str">
        <f ca="1">IF(t_ahh[[#This Row],[Antall_rette]]&lt;&gt;11,"",IF(t_ahh[[#This Row],[Antall_rette]]=11,1,""))</f>
        <v/>
      </c>
      <c r="N18" s="3" t="str">
        <f ca="1">IF(OR(t_ahh[[#This Row],[12_Antall]]=1,t_ahh[[#This Row],[11_Antall]]=1),"",IF(t_ahh[[#This Row],[Antall_rette]]&gt;9,1,""))</f>
        <v/>
      </c>
      <c r="O18" s="3">
        <f ca="1">IF(t_ahh[[#This Row],[12_Antall]]=1,Data!$AJ$3,0)</f>
        <v>0</v>
      </c>
      <c r="P18" s="3">
        <f ca="1">IF(t_ahh[[#This Row],[11_Antall]]=1,Data!$AJ$2,0)</f>
        <v>0</v>
      </c>
      <c r="Q18" s="3">
        <f ca="1">IF(t_ahh[[#This Row],[10_Antall]]=1,Data!$AJ$1,0)</f>
        <v>0</v>
      </c>
      <c r="R18" s="3" t="str" cm="1">
        <f t="array" ref="R18">IFERROR(IF(_xlfn.XLOOKUP(t_ahh[[#This Row],[Dato]]&amp;t_ahh[[#This Row],[navn]],Regnskap!$C$10:$C$51&amp;Regnskap!$K$10:$K$51,Regnskap!$H$10:$H$51)&gt;0,Data!$AJ$3,""),"")</f>
        <v/>
      </c>
      <c r="S18" s="3" t="str" cm="1">
        <f t="array" ref="S18">IFERROR(IF(t_ahh[[#This Row],[12_pLEV]]="",IF(_xlfn.XLOOKUP(t_ahh[[#This Row],[Dato]]&amp;t_ahh[[#This Row],[navn]],Regnskap!$C$10:$C$51&amp;Regnskap!$K$10:$K$51,Regnskap!$I$10:$I$51)&gt;0,Data!$AJ$2)),"")</f>
        <v/>
      </c>
      <c r="T18" s="3" t="str" cm="1">
        <f t="array" ref="T18">IFERROR(IF(t_ahh[[#This Row],[11_pLEV]]="",IF(_xlfn.XLOOKUP(t_ahh[[#This Row],[Dato]]&amp;t_ahh[[#This Row],[navn]],Regnskap!$C$10:$C$51&amp;Regnskap!$K$10:$K$51,Regnskap!$J$10:$J$51)&gt;0,Data!$AJ$1),""),"")</f>
        <v/>
      </c>
      <c r="U18">
        <f>SUM(t_ahh[[#This Row],[12_pLEV]:[10_pLEV]])</f>
        <v>0</v>
      </c>
      <c r="V18" s="3">
        <f ca="1">SUM(t_ahh[[#This Row],[Summert]]+t_ahh[[#This Row],[LEV_poeng]])</f>
        <v>0</v>
      </c>
      <c r="W18" s="3"/>
      <c r="X18" s="4"/>
    </row>
    <row r="19" spans="1:32" x14ac:dyDescent="0.2">
      <c r="A19" s="3" t="s">
        <v>905</v>
      </c>
      <c r="B19">
        <f>IF(t_ahh[[#This Row],[Dato]]&lt;&gt;"",WEEKNUM(t_ahh[[#This Row],[Dato]]),"")</f>
        <v>50</v>
      </c>
      <c r="C19" s="22">
        <f>Data!AL18</f>
        <v>46368</v>
      </c>
      <c r="D19">
        <f ca="1">IFERROR(IF(t_ahh[[#This Row],[Dato]]="","",OFFSET(_xlfn.XLOOKUP(C19,Kuponger!E:E,Kuponger!Q:Q),15,0)),"")</f>
        <v>0</v>
      </c>
      <c r="E19">
        <f ca="1">IFERROR(OFFSET(_xlfn.XLOOKUP(C19,Kuponger!E:E,Kuponger!Q:Q),15,1),"")</f>
        <v>0</v>
      </c>
      <c r="F19">
        <f ca="1">IFERROR(IF(t_ahh[[#This Row],[Dato]]="","",OFFSET(_xlfn.XLOOKUP(C19,Kuponger!E:E,Kuponger!Q:Q),15,2)),"")</f>
        <v>0</v>
      </c>
      <c r="G19">
        <f ca="1">IFERROR(IF(OFFSET(_xlfn.XLOOKUP(C19,Kuponger!E:E,Kuponger!Q:Q),0,2)=0,"",OFFSET(_xlfn.XLOOKUP(C19,Kuponger!E:E,Kuponger!Q:Q),1,2))*-1,"")</f>
        <v>0</v>
      </c>
      <c r="H19" t="str">
        <f t="shared" ca="1" si="0"/>
        <v/>
      </c>
      <c r="I19" t="str">
        <f ca="1">IFERROR(IF(t_ahh[[#This Row],[tp]]&lt;&gt;"",OFFSET(_xlfn.XLOOKUP(C19,Kuponger!E:E,Kuponger!Q:Q),1,1),""),"")</f>
        <v/>
      </c>
      <c r="J19" s="3">
        <f ca="1">IFERROR(IF(t_ahh[[#This Row],[Dato]]="",0,OFFSET(_xlfn.XLOOKUP(t_ahh[[#This Row],[Dato]],Kuponger!E:E,Kuponger!Q:Q),1,7)),"")</f>
        <v>0</v>
      </c>
      <c r="K19" s="3">
        <f ca="1">IFERROR(SUM(t_ahh[[#This Row],[tp]]),0)</f>
        <v>0</v>
      </c>
      <c r="L19" s="3" t="str">
        <f ca="1">IF(t_ahh[[#This Row],[Antall_rette]]=12,1,"")</f>
        <v/>
      </c>
      <c r="M19" s="3" t="str">
        <f ca="1">IF(t_ahh[[#This Row],[Antall_rette]]&lt;&gt;11,"",IF(t_ahh[[#This Row],[Antall_rette]]=11,1,""))</f>
        <v/>
      </c>
      <c r="N19" s="3" t="str">
        <f ca="1">IF(OR(t_ahh[[#This Row],[12_Antall]]=1,t_ahh[[#This Row],[11_Antall]]=1),"",IF(t_ahh[[#This Row],[Antall_rette]]&gt;9,1,""))</f>
        <v/>
      </c>
      <c r="O19" s="3">
        <f ca="1">IF(t_ahh[[#This Row],[12_Antall]]=1,Data!$AJ$3,0)</f>
        <v>0</v>
      </c>
      <c r="P19" s="3">
        <f ca="1">IF(t_ahh[[#This Row],[11_Antall]]=1,Data!$AJ$2,0)</f>
        <v>0</v>
      </c>
      <c r="Q19" s="3">
        <f ca="1">IF(t_ahh[[#This Row],[10_Antall]]=1,Data!$AJ$1,0)</f>
        <v>0</v>
      </c>
      <c r="R19" s="3" t="str" cm="1">
        <f t="array" ref="R19">IFERROR(IF(_xlfn.XLOOKUP(t_ahh[[#This Row],[Dato]]&amp;t_ahh[[#This Row],[navn]],Regnskap!$C$10:$C$51&amp;Regnskap!$K$10:$K$51,Regnskap!$H$10:$H$51)&gt;0,Data!$AJ$3,""),"")</f>
        <v/>
      </c>
      <c r="S19" s="3" t="str" cm="1">
        <f t="array" ref="S19">IFERROR(IF(t_ahh[[#This Row],[12_pLEV]]="",IF(_xlfn.XLOOKUP(t_ahh[[#This Row],[Dato]]&amp;t_ahh[[#This Row],[navn]],Regnskap!$C$10:$C$51&amp;Regnskap!$K$10:$K$51,Regnskap!$I$10:$I$51)&gt;0,Data!$AJ$2)),"")</f>
        <v/>
      </c>
      <c r="T19" s="3" t="str" cm="1">
        <f t="array" ref="T19">IFERROR(IF(t_ahh[[#This Row],[11_pLEV]]="",IF(_xlfn.XLOOKUP(t_ahh[[#This Row],[Dato]]&amp;t_ahh[[#This Row],[navn]],Regnskap!$C$10:$C$51&amp;Regnskap!$K$10:$K$51,Regnskap!$J$10:$J$51)&gt;0,Data!$AJ$1),""),"")</f>
        <v/>
      </c>
      <c r="U19">
        <f>SUM(t_ahh[[#This Row],[12_pLEV]:[10_pLEV]])</f>
        <v>0</v>
      </c>
      <c r="V19" s="3">
        <f ca="1">SUM(t_ahh[[#This Row],[Summert]]+t_ahh[[#This Row],[LEV_poeng]])</f>
        <v>0</v>
      </c>
      <c r="W19" s="3"/>
      <c r="X19" s="2"/>
      <c r="Y19" s="2"/>
      <c r="Z19" s="2"/>
      <c r="AA19" s="2"/>
      <c r="AB19" s="2"/>
      <c r="AC19" s="2"/>
      <c r="AD19" s="2"/>
      <c r="AE19" s="2"/>
      <c r="AF19" s="2"/>
    </row>
    <row r="20" spans="1:32" x14ac:dyDescent="0.2">
      <c r="A20" s="3" t="s">
        <v>905</v>
      </c>
      <c r="B20">
        <f>IF(t_ahh[[#This Row],[Dato]]&lt;&gt;"",WEEKNUM(t_ahh[[#This Row],[Dato]]),"")</f>
        <v>51</v>
      </c>
      <c r="C20" s="22">
        <f>Data!AL19</f>
        <v>46375</v>
      </c>
      <c r="D20">
        <f ca="1">IFERROR(IF(t_ahh[[#This Row],[Dato]]="","",OFFSET(_xlfn.XLOOKUP(C20,Kuponger!E:E,Kuponger!Q:Q),15,0)),"")</f>
        <v>0</v>
      </c>
      <c r="E20">
        <f ca="1">IFERROR(OFFSET(_xlfn.XLOOKUP(C20,Kuponger!E:E,Kuponger!Q:Q),15,1),"")</f>
        <v>0</v>
      </c>
      <c r="F20">
        <f ca="1">IFERROR(IF(t_ahh[[#This Row],[Dato]]="","",OFFSET(_xlfn.XLOOKUP(C20,Kuponger!E:E,Kuponger!Q:Q),15,2)),"")</f>
        <v>0</v>
      </c>
      <c r="G20">
        <f ca="1">IFERROR(IF(OFFSET(_xlfn.XLOOKUP(C20,Kuponger!E:E,Kuponger!Q:Q),0,2)=0,"",OFFSET(_xlfn.XLOOKUP(C20,Kuponger!E:E,Kuponger!Q:Q),1,2))*-1,"")</f>
        <v>0</v>
      </c>
      <c r="H20" t="str">
        <f t="shared" ca="1" si="0"/>
        <v/>
      </c>
      <c r="I20" t="str">
        <f ca="1">IFERROR(IF(t_ahh[[#This Row],[tp]]&lt;&gt;"",OFFSET(_xlfn.XLOOKUP(C20,Kuponger!E:E,Kuponger!Q:Q),1,1),""),"")</f>
        <v/>
      </c>
      <c r="J20" s="3">
        <f ca="1">IFERROR(IF(t_ahh[[#This Row],[Dato]]="",0,OFFSET(_xlfn.XLOOKUP(t_ahh[[#This Row],[Dato]],Kuponger!E:E,Kuponger!Q:Q),1,7)),"")</f>
        <v>0</v>
      </c>
      <c r="K20" s="3">
        <f ca="1">IFERROR(SUM(t_ahh[[#This Row],[tp]]),0)</f>
        <v>0</v>
      </c>
      <c r="L20" s="3" t="str">
        <f ca="1">IF(t_ahh[[#This Row],[Antall_rette]]=12,1,"")</f>
        <v/>
      </c>
      <c r="M20" s="3" t="str">
        <f ca="1">IF(t_ahh[[#This Row],[Antall_rette]]&lt;&gt;11,"",IF(t_ahh[[#This Row],[Antall_rette]]=11,1,""))</f>
        <v/>
      </c>
      <c r="N20" s="3" t="str">
        <f ca="1">IF(OR(t_ahh[[#This Row],[12_Antall]]=1,t_ahh[[#This Row],[11_Antall]]=1),"",IF(t_ahh[[#This Row],[Antall_rette]]&gt;9,1,""))</f>
        <v/>
      </c>
      <c r="O20" s="3">
        <f ca="1">IF(t_ahh[[#This Row],[12_Antall]]=1,Data!$AJ$3,0)</f>
        <v>0</v>
      </c>
      <c r="P20" s="3">
        <f ca="1">IF(t_ahh[[#This Row],[11_Antall]]=1,Data!$AJ$2,0)</f>
        <v>0</v>
      </c>
      <c r="Q20" s="3">
        <f ca="1">IF(t_ahh[[#This Row],[10_Antall]]=1,Data!$AJ$1,0)</f>
        <v>0</v>
      </c>
      <c r="R20" s="3" t="str" cm="1">
        <f t="array" ref="R20">IFERROR(IF(_xlfn.XLOOKUP(t_ahh[[#This Row],[Dato]]&amp;t_ahh[[#This Row],[navn]],Regnskap!$C$10:$C$51&amp;Regnskap!$K$10:$K$51,Regnskap!$H$10:$H$51)&gt;0,Data!$AJ$3,""),"")</f>
        <v/>
      </c>
      <c r="S20" s="3" t="str" cm="1">
        <f t="array" ref="S20">IFERROR(IF(t_ahh[[#This Row],[12_pLEV]]="",IF(_xlfn.XLOOKUP(t_ahh[[#This Row],[Dato]]&amp;t_ahh[[#This Row],[navn]],Regnskap!$C$10:$C$51&amp;Regnskap!$K$10:$K$51,Regnskap!$I$10:$I$51)&gt;0,Data!$AJ$2)),"")</f>
        <v/>
      </c>
      <c r="T20" s="3" t="str" cm="1">
        <f t="array" ref="T20">IFERROR(IF(t_ahh[[#This Row],[11_pLEV]]="",IF(_xlfn.XLOOKUP(t_ahh[[#This Row],[Dato]]&amp;t_ahh[[#This Row],[navn]],Regnskap!$C$10:$C$51&amp;Regnskap!$K$10:$K$51,Regnskap!$J$10:$J$51)&gt;0,Data!$AJ$1),""),"")</f>
        <v/>
      </c>
      <c r="U20">
        <f>SUM(t_ahh[[#This Row],[12_pLEV]:[10_pLEV]])</f>
        <v>0</v>
      </c>
      <c r="V20" s="3">
        <f ca="1">SUM(t_ahh[[#This Row],[Summert]]+t_ahh[[#This Row],[LEV_poeng]])</f>
        <v>0</v>
      </c>
      <c r="W20" s="3"/>
      <c r="X20" s="672"/>
    </row>
    <row r="21" spans="1:32" x14ac:dyDescent="0.2">
      <c r="A21" s="3" t="s">
        <v>905</v>
      </c>
      <c r="B21">
        <f>IF(t_ahh[[#This Row],[Dato]]&lt;&gt;"",WEEKNUM(t_ahh[[#This Row],[Dato]]),"")</f>
        <v>52</v>
      </c>
      <c r="C21" s="22">
        <f>Data!AL20</f>
        <v>46382</v>
      </c>
      <c r="D21">
        <f ca="1">IFERROR(IF(t_ahh[[#This Row],[Dato]]="","",OFFSET(_xlfn.XLOOKUP(C21,Kuponger!E:E,Kuponger!Q:Q),15,0)),"")</f>
        <v>0</v>
      </c>
      <c r="E21">
        <f ca="1">IFERROR(OFFSET(_xlfn.XLOOKUP(C21,Kuponger!E:E,Kuponger!Q:Q),15,1),"")</f>
        <v>0</v>
      </c>
      <c r="F21">
        <f ca="1">IFERROR(IF(t_ahh[[#This Row],[Dato]]="","",OFFSET(_xlfn.XLOOKUP(C21,Kuponger!E:E,Kuponger!Q:Q),15,2)),"")</f>
        <v>0</v>
      </c>
      <c r="G21">
        <f ca="1">IFERROR(IF(OFFSET(_xlfn.XLOOKUP(C21,Kuponger!E:E,Kuponger!Q:Q),0,2)=0,"",OFFSET(_xlfn.XLOOKUP(C21,Kuponger!E:E,Kuponger!Q:Q),1,2))*-1,"")</f>
        <v>0</v>
      </c>
      <c r="H21" t="str">
        <f t="shared" ca="1" si="0"/>
        <v/>
      </c>
      <c r="I21" t="str">
        <f ca="1">IFERROR(IF(t_ahh[[#This Row],[tp]]&lt;&gt;"",OFFSET(_xlfn.XLOOKUP(C21,Kuponger!E:E,Kuponger!Q:Q),1,1),""),"")</f>
        <v/>
      </c>
      <c r="J21" s="3">
        <f ca="1">IFERROR(IF(t_ahh[[#This Row],[Dato]]="",0,OFFSET(_xlfn.XLOOKUP(t_ahh[[#This Row],[Dato]],Kuponger!E:E,Kuponger!Q:Q),1,7)),"")</f>
        <v>0</v>
      </c>
      <c r="K21" s="3">
        <f ca="1">IFERROR(SUM(t_ahh[[#This Row],[tp]]),0)</f>
        <v>0</v>
      </c>
      <c r="L21" s="3" t="str">
        <f ca="1">IF(t_ahh[[#This Row],[Antall_rette]]=12,1,"")</f>
        <v/>
      </c>
      <c r="M21" s="3" t="str">
        <f ca="1">IF(t_ahh[[#This Row],[Antall_rette]]&lt;&gt;11,"",IF(t_ahh[[#This Row],[Antall_rette]]=11,1,""))</f>
        <v/>
      </c>
      <c r="N21" s="3" t="str">
        <f ca="1">IF(OR(t_ahh[[#This Row],[12_Antall]]=1,t_ahh[[#This Row],[11_Antall]]=1),"",IF(t_ahh[[#This Row],[Antall_rette]]&gt;9,1,""))</f>
        <v/>
      </c>
      <c r="O21" s="3">
        <f ca="1">IF(t_ahh[[#This Row],[12_Antall]]=1,Data!$AJ$3,0)</f>
        <v>0</v>
      </c>
      <c r="P21" s="3">
        <f ca="1">IF(t_ahh[[#This Row],[11_Antall]]=1,Data!$AJ$2,0)</f>
        <v>0</v>
      </c>
      <c r="Q21" s="3">
        <f ca="1">IF(t_ahh[[#This Row],[10_Antall]]=1,Data!$AJ$1,0)</f>
        <v>0</v>
      </c>
      <c r="R21" s="3" t="str" cm="1">
        <f t="array" ref="R21">IFERROR(IF(_xlfn.XLOOKUP(t_ahh[[#This Row],[Dato]]&amp;t_ahh[[#This Row],[navn]],Regnskap!$C$10:$C$51&amp;Regnskap!$K$10:$K$51,Regnskap!$H$10:$H$51)&gt;0,Data!$AJ$3,""),"")</f>
        <v/>
      </c>
      <c r="S21" s="3" t="str" cm="1">
        <f t="array" ref="S21">IFERROR(IF(t_ahh[[#This Row],[12_pLEV]]="",IF(_xlfn.XLOOKUP(t_ahh[[#This Row],[Dato]]&amp;t_ahh[[#This Row],[navn]],Regnskap!$C$10:$C$51&amp;Regnskap!$K$10:$K$51,Regnskap!$I$10:$I$51)&gt;0,Data!$AJ$2)),"")</f>
        <v/>
      </c>
      <c r="T21" s="3" t="str" cm="1">
        <f t="array" ref="T21">IFERROR(IF(t_ahh[[#This Row],[11_pLEV]]="",IF(_xlfn.XLOOKUP(t_ahh[[#This Row],[Dato]]&amp;t_ahh[[#This Row],[navn]],Regnskap!$C$10:$C$51&amp;Regnskap!$K$10:$K$51,Regnskap!$J$10:$J$51)&gt;0,Data!$AJ$1),""),"")</f>
        <v/>
      </c>
      <c r="U21">
        <f>SUM(t_ahh[[#This Row],[12_pLEV]:[10_pLEV]])</f>
        <v>0</v>
      </c>
      <c r="V21" s="3">
        <f ca="1">SUM(t_ahh[[#This Row],[Summert]]+t_ahh[[#This Row],[LEV_poeng]])</f>
        <v>0</v>
      </c>
      <c r="W21" s="3"/>
      <c r="X21" s="672"/>
    </row>
    <row r="22" spans="1:32" x14ac:dyDescent="0.2">
      <c r="A22" s="3" t="s">
        <v>905</v>
      </c>
      <c r="B22">
        <f>IF(t_ahh[[#This Row],[Dato]]&lt;&gt;"",WEEKNUM(t_ahh[[#This Row],[Dato]]),"")</f>
        <v>1</v>
      </c>
      <c r="C22" s="22">
        <f>Data!AL21</f>
        <v>46389</v>
      </c>
      <c r="D22">
        <f ca="1">IFERROR(IF(t_ahh[[#This Row],[Dato]]="","",OFFSET(_xlfn.XLOOKUP(C22,Kuponger!E:E,Kuponger!Q:Q),15,0)),"")</f>
        <v>0</v>
      </c>
      <c r="E22">
        <f ca="1">IFERROR(OFFSET(_xlfn.XLOOKUP(C22,Kuponger!E:E,Kuponger!Q:Q),15,1),"")</f>
        <v>0</v>
      </c>
      <c r="F22">
        <f ca="1">IFERROR(IF(t_ahh[[#This Row],[Dato]]="","",OFFSET(_xlfn.XLOOKUP(C22,Kuponger!E:E,Kuponger!Q:Q),15,2)),"")</f>
        <v>0</v>
      </c>
      <c r="G22">
        <f ca="1">IFERROR(IF(OFFSET(_xlfn.XLOOKUP(C22,Kuponger!E:E,Kuponger!Q:Q),0,2)=0,"",OFFSET(_xlfn.XLOOKUP(C22,Kuponger!E:E,Kuponger!Q:Q),1,2))*-1,"")</f>
        <v>0</v>
      </c>
      <c r="H22" t="str">
        <f t="shared" ca="1" si="0"/>
        <v/>
      </c>
      <c r="I22" t="str">
        <f ca="1">IFERROR(IF(t_ahh[[#This Row],[tp]]&lt;&gt;"",OFFSET(_xlfn.XLOOKUP(C22,Kuponger!E:E,Kuponger!Q:Q),1,1),""),"")</f>
        <v/>
      </c>
      <c r="J22" s="3">
        <f ca="1">IFERROR(IF(t_ahh[[#This Row],[Dato]]="",0,OFFSET(_xlfn.XLOOKUP(t_ahh[[#This Row],[Dato]],Kuponger!E:E,Kuponger!Q:Q),1,7)),"")</f>
        <v>0</v>
      </c>
      <c r="K22" s="3">
        <f ca="1">IFERROR(SUM(t_ahh[[#This Row],[tp]]),0)</f>
        <v>0</v>
      </c>
      <c r="L22" s="3" t="str">
        <f ca="1">IF(t_ahh[[#This Row],[Antall_rette]]=12,1,"")</f>
        <v/>
      </c>
      <c r="M22" s="3" t="str">
        <f ca="1">IF(t_ahh[[#This Row],[Antall_rette]]&lt;&gt;11,"",IF(t_ahh[[#This Row],[Antall_rette]]=11,1,""))</f>
        <v/>
      </c>
      <c r="N22" s="3" t="str">
        <f ca="1">IF(OR(t_ahh[[#This Row],[12_Antall]]=1,t_ahh[[#This Row],[11_Antall]]=1),"",IF(t_ahh[[#This Row],[Antall_rette]]&gt;9,1,""))</f>
        <v/>
      </c>
      <c r="O22" s="3">
        <f ca="1">IF(t_ahh[[#This Row],[12_Antall]]=1,Data!$AJ$3,0)</f>
        <v>0</v>
      </c>
      <c r="P22" s="3">
        <f ca="1">IF(t_ahh[[#This Row],[11_Antall]]=1,Data!$AJ$2,0)</f>
        <v>0</v>
      </c>
      <c r="Q22" s="3">
        <f ca="1">IF(t_ahh[[#This Row],[10_Antall]]=1,Data!$AJ$1,0)</f>
        <v>0</v>
      </c>
      <c r="R22" s="3" t="str" cm="1">
        <f t="array" ref="R22">IFERROR(IF(_xlfn.XLOOKUP(t_ahh[[#This Row],[Dato]]&amp;t_ahh[[#This Row],[navn]],Regnskap!$C$10:$C$51&amp;Regnskap!$K$10:$K$51,Regnskap!$H$10:$H$51)&gt;0,Data!$AJ$3,""),"")</f>
        <v/>
      </c>
      <c r="S22" s="3" t="str" cm="1">
        <f t="array" ref="S22">IFERROR(IF(t_ahh[[#This Row],[12_pLEV]]="",IF(_xlfn.XLOOKUP(t_ahh[[#This Row],[Dato]]&amp;t_ahh[[#This Row],[navn]],Regnskap!$C$10:$C$51&amp;Regnskap!$K$10:$K$51,Regnskap!$I$10:$I$51)&gt;0,Data!$AJ$2)),"")</f>
        <v/>
      </c>
      <c r="T22" s="3" t="str" cm="1">
        <f t="array" ref="T22">IFERROR(IF(t_ahh[[#This Row],[11_pLEV]]="",IF(_xlfn.XLOOKUP(t_ahh[[#This Row],[Dato]]&amp;t_ahh[[#This Row],[navn]],Regnskap!$C$10:$C$51&amp;Regnskap!$K$10:$K$51,Regnskap!$J$10:$J$51)&gt;0,Data!$AJ$1),""),"")</f>
        <v/>
      </c>
      <c r="U22">
        <f>SUM(t_ahh[[#This Row],[12_pLEV]:[10_pLEV]])</f>
        <v>0</v>
      </c>
      <c r="V22" s="3">
        <f ca="1">SUM(t_ahh[[#This Row],[Summert]]+t_ahh[[#This Row],[LEV_poeng]])</f>
        <v>0</v>
      </c>
      <c r="W22" s="3"/>
      <c r="X22" s="672"/>
    </row>
    <row r="23" spans="1:32" x14ac:dyDescent="0.2">
      <c r="A23" s="3" t="s">
        <v>905</v>
      </c>
      <c r="B23">
        <f>IF(t_ahh[[#This Row],[Dato]]&lt;&gt;"",WEEKNUM(t_ahh[[#This Row],[Dato]]),"")</f>
        <v>2</v>
      </c>
      <c r="C23" s="22">
        <f>Data!AL22</f>
        <v>46396</v>
      </c>
      <c r="D23">
        <f ca="1">IFERROR(IF(t_ahh[[#This Row],[Dato]]="","",OFFSET(_xlfn.XLOOKUP(C23,Kuponger!E:E,Kuponger!Q:Q),15,0)),"")</f>
        <v>0</v>
      </c>
      <c r="E23">
        <f ca="1">IFERROR(OFFSET(_xlfn.XLOOKUP(C23,Kuponger!E:E,Kuponger!Q:Q),15,1),"")</f>
        <v>0</v>
      </c>
      <c r="F23">
        <f ca="1">IFERROR(IF(t_ahh[[#This Row],[Dato]]="","",OFFSET(_xlfn.XLOOKUP(C23,Kuponger!E:E,Kuponger!Q:Q),15,2)),"")</f>
        <v>0</v>
      </c>
      <c r="G23">
        <f ca="1">IFERROR(IF(OFFSET(_xlfn.XLOOKUP(C23,Kuponger!E:E,Kuponger!Q:Q),0,2)=0,"",OFFSET(_xlfn.XLOOKUP(C23,Kuponger!E:E,Kuponger!Q:Q),1,2))*-1,"")</f>
        <v>0</v>
      </c>
      <c r="H23" t="str">
        <f t="shared" ca="1" si="0"/>
        <v/>
      </c>
      <c r="I23" t="str">
        <f ca="1">IFERROR(IF(t_ahh[[#This Row],[tp]]&lt;&gt;"",OFFSET(_xlfn.XLOOKUP(C23,Kuponger!E:E,Kuponger!Q:Q),1,1),""),"")</f>
        <v/>
      </c>
      <c r="J23" s="3">
        <f ca="1">IFERROR(IF(t_ahh[[#This Row],[Dato]]="",0,OFFSET(_xlfn.XLOOKUP(t_ahh[[#This Row],[Dato]],Kuponger!E:E,Kuponger!Q:Q),1,7)),"")</f>
        <v>0</v>
      </c>
      <c r="K23" s="3">
        <f ca="1">IFERROR(SUM(t_ahh[[#This Row],[tp]]),0)</f>
        <v>0</v>
      </c>
      <c r="L23" s="3" t="str">
        <f ca="1">IF(t_ahh[[#This Row],[Antall_rette]]=12,1,"")</f>
        <v/>
      </c>
      <c r="M23" s="3" t="str">
        <f ca="1">IF(t_ahh[[#This Row],[Antall_rette]]&lt;&gt;11,"",IF(t_ahh[[#This Row],[Antall_rette]]=11,1,""))</f>
        <v/>
      </c>
      <c r="N23" s="3" t="str">
        <f ca="1">IF(OR(t_ahh[[#This Row],[12_Antall]]=1,t_ahh[[#This Row],[11_Antall]]=1),"",IF(t_ahh[[#This Row],[Antall_rette]]&gt;9,1,""))</f>
        <v/>
      </c>
      <c r="O23" s="3">
        <f ca="1">IF(t_ahh[[#This Row],[12_Antall]]=1,Data!$AJ$3,0)</f>
        <v>0</v>
      </c>
      <c r="P23" s="3">
        <f ca="1">IF(t_ahh[[#This Row],[11_Antall]]=1,Data!$AJ$2,0)</f>
        <v>0</v>
      </c>
      <c r="Q23" s="3">
        <f ca="1">IF(t_ahh[[#This Row],[10_Antall]]=1,Data!$AJ$1,0)</f>
        <v>0</v>
      </c>
      <c r="R23" s="3" t="str" cm="1">
        <f t="array" ref="R23">IFERROR(IF(_xlfn.XLOOKUP(t_ahh[[#This Row],[Dato]]&amp;t_ahh[[#This Row],[navn]],Regnskap!$C$10:$C$51&amp;Regnskap!$K$10:$K$51,Regnskap!$H$10:$H$51)&gt;0,Data!$AJ$3,""),"")</f>
        <v/>
      </c>
      <c r="S23" s="3" t="str" cm="1">
        <f t="array" ref="S23">IFERROR(IF(t_ahh[[#This Row],[12_pLEV]]="",IF(_xlfn.XLOOKUP(t_ahh[[#This Row],[Dato]]&amp;t_ahh[[#This Row],[navn]],Regnskap!$C$10:$C$51&amp;Regnskap!$K$10:$K$51,Regnskap!$I$10:$I$51)&gt;0,Data!$AJ$2)),"")</f>
        <v/>
      </c>
      <c r="T23" s="3" t="str" cm="1">
        <f t="array" ref="T23">IFERROR(IF(t_ahh[[#This Row],[11_pLEV]]="",IF(_xlfn.XLOOKUP(t_ahh[[#This Row],[Dato]]&amp;t_ahh[[#This Row],[navn]],Regnskap!$C$10:$C$51&amp;Regnskap!$K$10:$K$51,Regnskap!$J$10:$J$51)&gt;0,Data!$AJ$1),""),"")</f>
        <v/>
      </c>
      <c r="U23">
        <f>SUM(t_ahh[[#This Row],[12_pLEV]:[10_pLEV]])</f>
        <v>0</v>
      </c>
      <c r="V23" s="3">
        <f ca="1">SUM(t_ahh[[#This Row],[Summert]]+t_ahh[[#This Row],[LEV_poeng]])</f>
        <v>0</v>
      </c>
      <c r="W23" s="3"/>
      <c r="X23" s="672"/>
    </row>
    <row r="24" spans="1:32" x14ac:dyDescent="0.2">
      <c r="A24" s="3" t="s">
        <v>905</v>
      </c>
      <c r="B24">
        <f>IF(t_ahh[[#This Row],[Dato]]&lt;&gt;"",WEEKNUM(t_ahh[[#This Row],[Dato]]),"")</f>
        <v>3</v>
      </c>
      <c r="C24" s="22">
        <f>Data!AL23</f>
        <v>46403</v>
      </c>
      <c r="D24">
        <f ca="1">IFERROR(IF(t_ahh[[#This Row],[Dato]]="","",OFFSET(_xlfn.XLOOKUP(C24,Kuponger!E:E,Kuponger!Q:Q),15,0)),"")</f>
        <v>0</v>
      </c>
      <c r="E24">
        <f ca="1">IFERROR(OFFSET(_xlfn.XLOOKUP(C24,Kuponger!E:E,Kuponger!Q:Q),15,1),"")</f>
        <v>0</v>
      </c>
      <c r="F24">
        <f ca="1">IFERROR(IF(t_ahh[[#This Row],[Dato]]="","",OFFSET(_xlfn.XLOOKUP(C24,Kuponger!E:E,Kuponger!Q:Q),15,2)),"")</f>
        <v>0</v>
      </c>
      <c r="G24">
        <f ca="1">IFERROR(IF(OFFSET(_xlfn.XLOOKUP(C24,Kuponger!E:E,Kuponger!Q:Q),0,2)=0,"",OFFSET(_xlfn.XLOOKUP(C24,Kuponger!E:E,Kuponger!Q:Q),1,2))*-1,"")</f>
        <v>0</v>
      </c>
      <c r="H24" t="str">
        <f t="shared" ca="1" si="0"/>
        <v/>
      </c>
      <c r="I24" t="str">
        <f ca="1">IFERROR(IF(t_ahh[[#This Row],[tp]]&lt;&gt;"",OFFSET(_xlfn.XLOOKUP(C24,Kuponger!E:E,Kuponger!Q:Q),1,1),""),"")</f>
        <v/>
      </c>
      <c r="J24" s="3">
        <f ca="1">IFERROR(IF(t_ahh[[#This Row],[Dato]]="",0,OFFSET(_xlfn.XLOOKUP(t_ahh[[#This Row],[Dato]],Kuponger!E:E,Kuponger!Q:Q),1,7)),"")</f>
        <v>0</v>
      </c>
      <c r="K24" s="3">
        <f ca="1">IFERROR(SUM(t_ahh[[#This Row],[tp]]),0)</f>
        <v>0</v>
      </c>
      <c r="L24" s="3" t="str">
        <f ca="1">IF(t_ahh[[#This Row],[Antall_rette]]=12,1,"")</f>
        <v/>
      </c>
      <c r="M24" s="3" t="str">
        <f ca="1">IF(t_ahh[[#This Row],[Antall_rette]]&lt;&gt;11,"",IF(t_ahh[[#This Row],[Antall_rette]]=11,1,""))</f>
        <v/>
      </c>
      <c r="N24" s="3" t="str">
        <f ca="1">IF(OR(t_ahh[[#This Row],[12_Antall]]=1,t_ahh[[#This Row],[11_Antall]]=1),"",IF(t_ahh[[#This Row],[Antall_rette]]&gt;9,1,""))</f>
        <v/>
      </c>
      <c r="O24" s="3">
        <f ca="1">IF(t_ahh[[#This Row],[12_Antall]]=1,Data!$AJ$3,0)</f>
        <v>0</v>
      </c>
      <c r="P24" s="3">
        <f ca="1">IF(t_ahh[[#This Row],[11_Antall]]=1,Data!$AJ$2,0)</f>
        <v>0</v>
      </c>
      <c r="Q24" s="3">
        <f ca="1">IF(t_ahh[[#This Row],[10_Antall]]=1,Data!$AJ$1,0)</f>
        <v>0</v>
      </c>
      <c r="R24" s="3" t="str" cm="1">
        <f t="array" ref="R24">IFERROR(IF(_xlfn.XLOOKUP(t_ahh[[#This Row],[Dato]]&amp;t_ahh[[#This Row],[navn]],Regnskap!$C$10:$C$51&amp;Regnskap!$K$10:$K$51,Regnskap!$H$10:$H$51)&gt;0,Data!$AJ$3,""),"")</f>
        <v/>
      </c>
      <c r="S24" s="3" t="str" cm="1">
        <f t="array" ref="S24">IFERROR(IF(t_ahh[[#This Row],[12_pLEV]]="",IF(_xlfn.XLOOKUP(t_ahh[[#This Row],[Dato]]&amp;t_ahh[[#This Row],[navn]],Regnskap!$C$10:$C$51&amp;Regnskap!$K$10:$K$51,Regnskap!$I$10:$I$51)&gt;0,Data!$AJ$2)),"")</f>
        <v/>
      </c>
      <c r="T24" s="3" t="str" cm="1">
        <f t="array" ref="T24">IFERROR(IF(t_ahh[[#This Row],[11_pLEV]]="",IF(_xlfn.XLOOKUP(t_ahh[[#This Row],[Dato]]&amp;t_ahh[[#This Row],[navn]],Regnskap!$C$10:$C$51&amp;Regnskap!$K$10:$K$51,Regnskap!$J$10:$J$51)&gt;0,Data!$AJ$1),""),"")</f>
        <v/>
      </c>
      <c r="U24">
        <f>SUM(t_ahh[[#This Row],[12_pLEV]:[10_pLEV]])</f>
        <v>0</v>
      </c>
      <c r="V24" s="3">
        <f ca="1">SUM(t_ahh[[#This Row],[Summert]]+t_ahh[[#This Row],[LEV_poeng]])</f>
        <v>0</v>
      </c>
      <c r="W24" s="3"/>
      <c r="X24" s="4"/>
    </row>
    <row r="25" spans="1:32" x14ac:dyDescent="0.2">
      <c r="A25" s="3" t="s">
        <v>905</v>
      </c>
      <c r="B25">
        <f>IF(t_ahh[[#This Row],[Dato]]&lt;&gt;"",WEEKNUM(t_ahh[[#This Row],[Dato]]),"")</f>
        <v>4</v>
      </c>
      <c r="C25" s="22">
        <f>Data!AL24</f>
        <v>46410</v>
      </c>
      <c r="D25">
        <f ca="1">IFERROR(IF(t_ahh[[#This Row],[Dato]]="","",OFFSET(_xlfn.XLOOKUP(C25,Kuponger!E:E,Kuponger!Q:Q),15,0)),"")</f>
        <v>0</v>
      </c>
      <c r="E25">
        <f ca="1">IFERROR(OFFSET(_xlfn.XLOOKUP(C25,Kuponger!E:E,Kuponger!Q:Q),15,1),"")</f>
        <v>0</v>
      </c>
      <c r="F25">
        <f ca="1">IFERROR(IF(t_ahh[[#This Row],[Dato]]="","",OFFSET(_xlfn.XLOOKUP(C25,Kuponger!E:E,Kuponger!Q:Q),15,2)),"")</f>
        <v>0</v>
      </c>
      <c r="G25">
        <f ca="1">IFERROR(IF(OFFSET(_xlfn.XLOOKUP(C25,Kuponger!E:E,Kuponger!Q:Q),0,2)=0,"",OFFSET(_xlfn.XLOOKUP(C25,Kuponger!E:E,Kuponger!Q:Q),1,2))*-1,"")</f>
        <v>0</v>
      </c>
      <c r="H25" t="str">
        <f t="shared" ca="1" si="0"/>
        <v/>
      </c>
      <c r="I25" t="str">
        <f ca="1">IFERROR(IF(t_ahh[[#This Row],[tp]]&lt;&gt;"",OFFSET(_xlfn.XLOOKUP(C25,Kuponger!E:E,Kuponger!Q:Q),1,1),""),"")</f>
        <v/>
      </c>
      <c r="J25" s="3">
        <f ca="1">IFERROR(IF(t_ahh[[#This Row],[Dato]]="",0,OFFSET(_xlfn.XLOOKUP(t_ahh[[#This Row],[Dato]],Kuponger!E:E,Kuponger!Q:Q),1,7)),"")</f>
        <v>0</v>
      </c>
      <c r="K25" s="3">
        <f ca="1">IFERROR(SUM(t_ahh[[#This Row],[tp]]),0)</f>
        <v>0</v>
      </c>
      <c r="L25" s="3" t="str">
        <f ca="1">IF(t_ahh[[#This Row],[Antall_rette]]=12,1,"")</f>
        <v/>
      </c>
      <c r="M25" s="3" t="str">
        <f ca="1">IF(t_ahh[[#This Row],[Antall_rette]]&lt;&gt;11,"",IF(t_ahh[[#This Row],[Antall_rette]]=11,1,""))</f>
        <v/>
      </c>
      <c r="N25" s="3" t="str">
        <f ca="1">IF(OR(t_ahh[[#This Row],[12_Antall]]=1,t_ahh[[#This Row],[11_Antall]]=1),"",IF(t_ahh[[#This Row],[Antall_rette]]&gt;9,1,""))</f>
        <v/>
      </c>
      <c r="O25" s="3">
        <f ca="1">IF(t_ahh[[#This Row],[12_Antall]]=1,Data!$AJ$3,0)</f>
        <v>0</v>
      </c>
      <c r="P25" s="3">
        <f ca="1">IF(t_ahh[[#This Row],[11_Antall]]=1,Data!$AJ$2,0)</f>
        <v>0</v>
      </c>
      <c r="Q25" s="3">
        <f ca="1">IF(t_ahh[[#This Row],[10_Antall]]=1,Data!$AJ$1,0)</f>
        <v>0</v>
      </c>
      <c r="R25" s="3" t="str" cm="1">
        <f t="array" ref="R25">IFERROR(IF(_xlfn.XLOOKUP(t_ahh[[#This Row],[Dato]]&amp;t_ahh[[#This Row],[navn]],Regnskap!$C$10:$C$51&amp;Regnskap!$K$10:$K$51,Regnskap!$H$10:$H$51)&gt;0,Data!$AJ$3,""),"")</f>
        <v/>
      </c>
      <c r="S25" s="3" t="str" cm="1">
        <f t="array" ref="S25">IFERROR(IF(t_ahh[[#This Row],[12_pLEV]]="",IF(_xlfn.XLOOKUP(t_ahh[[#This Row],[Dato]]&amp;t_ahh[[#This Row],[navn]],Regnskap!$C$10:$C$51&amp;Regnskap!$K$10:$K$51,Regnskap!$I$10:$I$51)&gt;0,Data!$AJ$2)),"")</f>
        <v/>
      </c>
      <c r="T25" s="3" t="str" cm="1">
        <f t="array" ref="T25">IFERROR(IF(t_ahh[[#This Row],[11_pLEV]]="",IF(_xlfn.XLOOKUP(t_ahh[[#This Row],[Dato]]&amp;t_ahh[[#This Row],[navn]],Regnskap!$C$10:$C$51&amp;Regnskap!$K$10:$K$51,Regnskap!$J$10:$J$51)&gt;0,Data!$AJ$1),""),"")</f>
        <v/>
      </c>
      <c r="U25">
        <f>SUM(t_ahh[[#This Row],[12_pLEV]:[10_pLEV]])</f>
        <v>0</v>
      </c>
      <c r="V25" s="3">
        <f ca="1">SUM(t_ahh[[#This Row],[Summert]]+t_ahh[[#This Row],[LEV_poeng]])</f>
        <v>0</v>
      </c>
      <c r="W25" s="3"/>
      <c r="X25" s="2"/>
      <c r="Y25" s="2"/>
      <c r="Z25" s="2"/>
      <c r="AA25" s="2"/>
      <c r="AB25" s="2"/>
      <c r="AC25" s="2"/>
      <c r="AD25" s="2"/>
      <c r="AE25" s="2"/>
      <c r="AF25" s="2"/>
    </row>
    <row r="26" spans="1:32" x14ac:dyDescent="0.2">
      <c r="A26" s="3" t="s">
        <v>905</v>
      </c>
      <c r="B26">
        <f>IF(t_ahh[[#This Row],[Dato]]&lt;&gt;"",WEEKNUM(t_ahh[[#This Row],[Dato]]),"")</f>
        <v>5</v>
      </c>
      <c r="C26" s="22">
        <f>Data!AL25</f>
        <v>46417</v>
      </c>
      <c r="D26">
        <f ca="1">IFERROR(IF(t_ahh[[#This Row],[Dato]]="","",OFFSET(_xlfn.XLOOKUP(C26,Kuponger!E:E,Kuponger!Q:Q),15,0)),"")</f>
        <v>0</v>
      </c>
      <c r="E26">
        <f ca="1">IFERROR(OFFSET(_xlfn.XLOOKUP(C26,Kuponger!E:E,Kuponger!Q:Q),15,1),"")</f>
        <v>0</v>
      </c>
      <c r="F26">
        <f ca="1">IFERROR(IF(t_ahh[[#This Row],[Dato]]="","",OFFSET(_xlfn.XLOOKUP(C26,Kuponger!E:E,Kuponger!Q:Q),15,2)),"")</f>
        <v>0</v>
      </c>
      <c r="G26">
        <f ca="1">IFERROR(IF(OFFSET(_xlfn.XLOOKUP(C26,Kuponger!E:E,Kuponger!Q:Q),0,2)=0,"",OFFSET(_xlfn.XLOOKUP(C26,Kuponger!E:E,Kuponger!Q:Q),1,2))*-1,"")</f>
        <v>0</v>
      </c>
      <c r="H26" t="str">
        <f t="shared" ca="1" si="0"/>
        <v/>
      </c>
      <c r="I26" t="str">
        <f ca="1">IFERROR(IF(t_ahh[[#This Row],[tp]]&lt;&gt;"",OFFSET(_xlfn.XLOOKUP(C26,Kuponger!E:E,Kuponger!Q:Q),1,1),""),"")</f>
        <v/>
      </c>
      <c r="J26" s="3">
        <f ca="1">IFERROR(IF(t_ahh[[#This Row],[Dato]]="",0,OFFSET(_xlfn.XLOOKUP(t_ahh[[#This Row],[Dato]],Kuponger!E:E,Kuponger!Q:Q),1,7)),"")</f>
        <v>0</v>
      </c>
      <c r="K26" s="3">
        <f ca="1">IFERROR(SUM(t_ahh[[#This Row],[tp]]),0)</f>
        <v>0</v>
      </c>
      <c r="L26" s="3" t="str">
        <f ca="1">IF(t_ahh[[#This Row],[Antall_rette]]=12,1,"")</f>
        <v/>
      </c>
      <c r="M26" s="3" t="str">
        <f ca="1">IF(t_ahh[[#This Row],[Antall_rette]]&lt;&gt;11,"",IF(t_ahh[[#This Row],[Antall_rette]]=11,1,""))</f>
        <v/>
      </c>
      <c r="N26" s="3" t="str">
        <f ca="1">IF(OR(t_ahh[[#This Row],[12_Antall]]=1,t_ahh[[#This Row],[11_Antall]]=1),"",IF(t_ahh[[#This Row],[Antall_rette]]&gt;9,1,""))</f>
        <v/>
      </c>
      <c r="O26" s="3">
        <f ca="1">IF(t_ahh[[#This Row],[12_Antall]]=1,Data!$AJ$3,0)</f>
        <v>0</v>
      </c>
      <c r="P26" s="3">
        <f ca="1">IF(t_ahh[[#This Row],[11_Antall]]=1,Data!$AJ$2,0)</f>
        <v>0</v>
      </c>
      <c r="Q26" s="3">
        <f ca="1">IF(t_ahh[[#This Row],[10_Antall]]=1,Data!$AJ$1,0)</f>
        <v>0</v>
      </c>
      <c r="R26" s="3" t="str" cm="1">
        <f t="array" ref="R26">IFERROR(IF(_xlfn.XLOOKUP(t_ahh[[#This Row],[Dato]]&amp;t_ahh[[#This Row],[navn]],Regnskap!$C$10:$C$51&amp;Regnskap!$K$10:$K$51,Regnskap!$H$10:$H$51)&gt;0,Data!$AJ$3,""),"")</f>
        <v/>
      </c>
      <c r="S26" s="3" t="str" cm="1">
        <f t="array" ref="S26">IFERROR(IF(t_ahh[[#This Row],[12_pLEV]]="",IF(_xlfn.XLOOKUP(t_ahh[[#This Row],[Dato]]&amp;t_ahh[[#This Row],[navn]],Regnskap!$C$10:$C$51&amp;Regnskap!$K$10:$K$51,Regnskap!$I$10:$I$51)&gt;0,Data!$AJ$2)),"")</f>
        <v/>
      </c>
      <c r="T26" s="3" t="str" cm="1">
        <f t="array" ref="T26">IFERROR(IF(t_ahh[[#This Row],[11_pLEV]]="",IF(_xlfn.XLOOKUP(t_ahh[[#This Row],[Dato]]&amp;t_ahh[[#This Row],[navn]],Regnskap!$C$10:$C$51&amp;Regnskap!$K$10:$K$51,Regnskap!$J$10:$J$51)&gt;0,Data!$AJ$1),""),"")</f>
        <v/>
      </c>
      <c r="U26">
        <f>SUM(t_ahh[[#This Row],[12_pLEV]:[10_pLEV]])</f>
        <v>0</v>
      </c>
      <c r="V26" s="3">
        <f ca="1">SUM(t_ahh[[#This Row],[Summert]]+t_ahh[[#This Row],[LEV_poeng]])</f>
        <v>0</v>
      </c>
      <c r="W26" s="3"/>
      <c r="X26" s="672"/>
    </row>
    <row r="27" spans="1:32" x14ac:dyDescent="0.2">
      <c r="A27" s="3" t="s">
        <v>905</v>
      </c>
      <c r="B27">
        <f>IF(t_ahh[[#This Row],[Dato]]&lt;&gt;"",WEEKNUM(t_ahh[[#This Row],[Dato]]),"")</f>
        <v>6</v>
      </c>
      <c r="C27" s="22">
        <f>Data!AL26</f>
        <v>46424</v>
      </c>
      <c r="D27">
        <f ca="1">IFERROR(IF(t_ahh[[#This Row],[Dato]]="","",OFFSET(_xlfn.XLOOKUP(C27,Kuponger!E:E,Kuponger!Q:Q),15,0)),"")</f>
        <v>0</v>
      </c>
      <c r="E27">
        <f ca="1">IFERROR(OFFSET(_xlfn.XLOOKUP(C27,Kuponger!E:E,Kuponger!Q:Q),15,1),"")</f>
        <v>0</v>
      </c>
      <c r="F27">
        <f ca="1">IFERROR(IF(t_ahh[[#This Row],[Dato]]="","",OFFSET(_xlfn.XLOOKUP(C27,Kuponger!E:E,Kuponger!Q:Q),15,2)),"")</f>
        <v>0</v>
      </c>
      <c r="G27">
        <f ca="1">IFERROR(IF(OFFSET(_xlfn.XLOOKUP(C27,Kuponger!E:E,Kuponger!Q:Q),0,2)=0,"",OFFSET(_xlfn.XLOOKUP(C27,Kuponger!E:E,Kuponger!Q:Q),1,2))*-1,"")</f>
        <v>0</v>
      </c>
      <c r="H27" t="str">
        <f t="shared" ca="1" si="0"/>
        <v/>
      </c>
      <c r="I27" t="str">
        <f ca="1">IFERROR(IF(t_ahh[[#This Row],[tp]]&lt;&gt;"",OFFSET(_xlfn.XLOOKUP(C27,Kuponger!E:E,Kuponger!Q:Q),1,1),""),"")</f>
        <v/>
      </c>
      <c r="J27" s="3">
        <f ca="1">IFERROR(IF(t_ahh[[#This Row],[Dato]]="",0,OFFSET(_xlfn.XLOOKUP(t_ahh[[#This Row],[Dato]],Kuponger!E:E,Kuponger!Q:Q),1,7)),"")</f>
        <v>0</v>
      </c>
      <c r="K27" s="3">
        <f ca="1">IFERROR(SUM(t_ahh[[#This Row],[tp]]),0)</f>
        <v>0</v>
      </c>
      <c r="L27" s="3" t="str">
        <f ca="1">IF(t_ahh[[#This Row],[Antall_rette]]=12,1,"")</f>
        <v/>
      </c>
      <c r="M27" s="3" t="str">
        <f ca="1">IF(t_ahh[[#This Row],[Antall_rette]]&lt;&gt;11,"",IF(t_ahh[[#This Row],[Antall_rette]]=11,1,""))</f>
        <v/>
      </c>
      <c r="N27" s="3" t="str">
        <f ca="1">IF(OR(t_ahh[[#This Row],[12_Antall]]=1,t_ahh[[#This Row],[11_Antall]]=1),"",IF(t_ahh[[#This Row],[Antall_rette]]&gt;9,1,""))</f>
        <v/>
      </c>
      <c r="O27" s="3">
        <f ca="1">IF(t_ahh[[#This Row],[12_Antall]]=1,Data!$AJ$3,0)</f>
        <v>0</v>
      </c>
      <c r="P27" s="3">
        <f ca="1">IF(t_ahh[[#This Row],[11_Antall]]=1,Data!$AJ$2,0)</f>
        <v>0</v>
      </c>
      <c r="Q27" s="3">
        <f ca="1">IF(t_ahh[[#This Row],[10_Antall]]=1,Data!$AJ$1,0)</f>
        <v>0</v>
      </c>
      <c r="R27" s="3" t="str" cm="1">
        <f t="array" ref="R27">IFERROR(IF(_xlfn.XLOOKUP(t_ahh[[#This Row],[Dato]]&amp;t_ahh[[#This Row],[navn]],Regnskap!$C$10:$C$51&amp;Regnskap!$K$10:$K$51,Regnskap!$H$10:$H$51)&gt;0,Data!$AJ$3,""),"")</f>
        <v/>
      </c>
      <c r="S27" s="3" t="str" cm="1">
        <f t="array" ref="S27">IFERROR(IF(t_ahh[[#This Row],[12_pLEV]]="",IF(_xlfn.XLOOKUP(t_ahh[[#This Row],[Dato]]&amp;t_ahh[[#This Row],[navn]],Regnskap!$C$10:$C$51&amp;Regnskap!$K$10:$K$51,Regnskap!$I$10:$I$51)&gt;0,Data!$AJ$2)),"")</f>
        <v/>
      </c>
      <c r="T27" s="3" t="str" cm="1">
        <f t="array" ref="T27">IFERROR(IF(t_ahh[[#This Row],[11_pLEV]]="",IF(_xlfn.XLOOKUP(t_ahh[[#This Row],[Dato]]&amp;t_ahh[[#This Row],[navn]],Regnskap!$C$10:$C$51&amp;Regnskap!$K$10:$K$51,Regnskap!$J$10:$J$51)&gt;0,Data!$AJ$1),""),"")</f>
        <v/>
      </c>
      <c r="U27">
        <f>SUM(t_ahh[[#This Row],[12_pLEV]:[10_pLEV]])</f>
        <v>0</v>
      </c>
      <c r="V27" s="3">
        <f ca="1">SUM(t_ahh[[#This Row],[Summert]]+t_ahh[[#This Row],[LEV_poeng]])</f>
        <v>0</v>
      </c>
      <c r="W27" s="3"/>
      <c r="X27" s="672"/>
    </row>
    <row r="28" spans="1:32" x14ac:dyDescent="0.2">
      <c r="A28" s="3" t="s">
        <v>905</v>
      </c>
      <c r="B28">
        <f>IF(t_ahh[[#This Row],[Dato]]&lt;&gt;"",WEEKNUM(t_ahh[[#This Row],[Dato]]),"")</f>
        <v>7</v>
      </c>
      <c r="C28" s="22">
        <f>Data!AL27</f>
        <v>46431</v>
      </c>
      <c r="D28">
        <f ca="1">IFERROR(IF(t_ahh[[#This Row],[Dato]]="","",OFFSET(_xlfn.XLOOKUP(C28,Kuponger!E:E,Kuponger!Q:Q),15,0)),"")</f>
        <v>0</v>
      </c>
      <c r="E28">
        <f ca="1">IFERROR(OFFSET(_xlfn.XLOOKUP(C28,Kuponger!E:E,Kuponger!Q:Q),15,1),"")</f>
        <v>0</v>
      </c>
      <c r="F28">
        <f ca="1">IFERROR(IF(t_ahh[[#This Row],[Dato]]="","",OFFSET(_xlfn.XLOOKUP(C28,Kuponger!E:E,Kuponger!Q:Q),15,2)),"")</f>
        <v>0</v>
      </c>
      <c r="G28">
        <f ca="1">IFERROR(IF(OFFSET(_xlfn.XLOOKUP(C28,Kuponger!E:E,Kuponger!Q:Q),0,2)=0,"",OFFSET(_xlfn.XLOOKUP(C28,Kuponger!E:E,Kuponger!Q:Q),1,2))*-1,"")</f>
        <v>0</v>
      </c>
      <c r="H28" t="str">
        <f t="shared" ca="1" si="0"/>
        <v/>
      </c>
      <c r="I28" t="str">
        <f ca="1">IFERROR(IF(t_ahh[[#This Row],[tp]]&lt;&gt;"",OFFSET(_xlfn.XLOOKUP(C28,Kuponger!E:E,Kuponger!Q:Q),1,1),""),"")</f>
        <v/>
      </c>
      <c r="J28" s="3">
        <f ca="1">IFERROR(IF(t_ahh[[#This Row],[Dato]]="",0,OFFSET(_xlfn.XLOOKUP(t_ahh[[#This Row],[Dato]],Kuponger!E:E,Kuponger!Q:Q),1,7)),"")</f>
        <v>0</v>
      </c>
      <c r="K28" s="3">
        <f ca="1">IFERROR(SUM(t_ahh[[#This Row],[tp]]),0)</f>
        <v>0</v>
      </c>
      <c r="L28" s="3" t="str">
        <f ca="1">IF(t_ahh[[#This Row],[Antall_rette]]=12,1,"")</f>
        <v/>
      </c>
      <c r="M28" s="3" t="str">
        <f ca="1">IF(t_ahh[[#This Row],[Antall_rette]]&lt;&gt;11,"",IF(t_ahh[[#This Row],[Antall_rette]]=11,1,""))</f>
        <v/>
      </c>
      <c r="N28" s="3" t="str">
        <f ca="1">IF(OR(t_ahh[[#This Row],[12_Antall]]=1,t_ahh[[#This Row],[11_Antall]]=1),"",IF(t_ahh[[#This Row],[Antall_rette]]&gt;9,1,""))</f>
        <v/>
      </c>
      <c r="O28" s="3">
        <f ca="1">IF(t_ahh[[#This Row],[12_Antall]]=1,Data!$AJ$3,0)</f>
        <v>0</v>
      </c>
      <c r="P28" s="3">
        <f ca="1">IF(t_ahh[[#This Row],[11_Antall]]=1,Data!$AJ$2,0)</f>
        <v>0</v>
      </c>
      <c r="Q28" s="3">
        <f ca="1">IF(t_ahh[[#This Row],[10_Antall]]=1,Data!$AJ$1,0)</f>
        <v>0</v>
      </c>
      <c r="R28" s="3" t="str" cm="1">
        <f t="array" ref="R28">IFERROR(IF(_xlfn.XLOOKUP(t_ahh[[#This Row],[Dato]]&amp;t_ahh[[#This Row],[navn]],Regnskap!$C$10:$C$51&amp;Regnskap!$K$10:$K$51,Regnskap!$H$10:$H$51)&gt;0,Data!$AJ$3,""),"")</f>
        <v/>
      </c>
      <c r="S28" s="3" t="str" cm="1">
        <f t="array" ref="S28">IFERROR(IF(t_ahh[[#This Row],[12_pLEV]]="",IF(_xlfn.XLOOKUP(t_ahh[[#This Row],[Dato]]&amp;t_ahh[[#This Row],[navn]],Regnskap!$C$10:$C$51&amp;Regnskap!$K$10:$K$51,Regnskap!$I$10:$I$51)&gt;0,Data!$AJ$2)),"")</f>
        <v/>
      </c>
      <c r="T28" s="3" t="str" cm="1">
        <f t="array" ref="T28">IFERROR(IF(t_ahh[[#This Row],[11_pLEV]]="",IF(_xlfn.XLOOKUP(t_ahh[[#This Row],[Dato]]&amp;t_ahh[[#This Row],[navn]],Regnskap!$C$10:$C$51&amp;Regnskap!$K$10:$K$51,Regnskap!$J$10:$J$51)&gt;0,Data!$AJ$1),""),"")</f>
        <v/>
      </c>
      <c r="U28">
        <f>SUM(t_ahh[[#This Row],[12_pLEV]:[10_pLEV]])</f>
        <v>0</v>
      </c>
      <c r="V28" s="3">
        <f ca="1">SUM(t_ahh[[#This Row],[Summert]]+t_ahh[[#This Row],[LEV_poeng]])</f>
        <v>0</v>
      </c>
      <c r="W28" s="3"/>
      <c r="X28" s="672"/>
    </row>
    <row r="29" spans="1:32" x14ac:dyDescent="0.2">
      <c r="A29" s="3" t="s">
        <v>905</v>
      </c>
      <c r="B29">
        <f>IF(t_ahh[[#This Row],[Dato]]&lt;&gt;"",WEEKNUM(t_ahh[[#This Row],[Dato]]),"")</f>
        <v>8</v>
      </c>
      <c r="C29" s="22">
        <f>Data!AL28</f>
        <v>46438</v>
      </c>
      <c r="D29">
        <f ca="1">IFERROR(IF(t_ahh[[#This Row],[Dato]]="","",OFFSET(_xlfn.XLOOKUP(C29,Kuponger!E:E,Kuponger!Q:Q),15,0)),"")</f>
        <v>0</v>
      </c>
      <c r="E29">
        <f ca="1">IFERROR(OFFSET(_xlfn.XLOOKUP(C29,Kuponger!E:E,Kuponger!Q:Q),15,1),"")</f>
        <v>0</v>
      </c>
      <c r="F29">
        <f ca="1">IFERROR(IF(t_ahh[[#This Row],[Dato]]="","",OFFSET(_xlfn.XLOOKUP(C29,Kuponger!E:E,Kuponger!Q:Q),15,2)),"")</f>
        <v>0</v>
      </c>
      <c r="G29">
        <f ca="1">IFERROR(IF(OFFSET(_xlfn.XLOOKUP(C29,Kuponger!E:E,Kuponger!Q:Q),0,2)=0,"",OFFSET(_xlfn.XLOOKUP(C29,Kuponger!E:E,Kuponger!Q:Q),1,2))*-1,"")</f>
        <v>0</v>
      </c>
      <c r="H29" t="str">
        <f t="shared" ca="1" si="0"/>
        <v/>
      </c>
      <c r="I29" t="str">
        <f ca="1">IFERROR(IF(t_ahh[[#This Row],[tp]]&lt;&gt;"",OFFSET(_xlfn.XLOOKUP(C29,Kuponger!E:E,Kuponger!Q:Q),1,1),""),"")</f>
        <v/>
      </c>
      <c r="J29" s="3">
        <f ca="1">IFERROR(IF(t_ahh[[#This Row],[Dato]]="",0,OFFSET(_xlfn.XLOOKUP(t_ahh[[#This Row],[Dato]],Kuponger!E:E,Kuponger!Q:Q),1,7)),"")</f>
        <v>0</v>
      </c>
      <c r="K29" s="3">
        <f ca="1">IFERROR(SUM(t_ahh[[#This Row],[tp]]),0)</f>
        <v>0</v>
      </c>
      <c r="L29" s="3" t="str">
        <f ca="1">IF(t_ahh[[#This Row],[Antall_rette]]=12,1,"")</f>
        <v/>
      </c>
      <c r="M29" s="3" t="str">
        <f ca="1">IF(t_ahh[[#This Row],[Antall_rette]]&lt;&gt;11,"",IF(t_ahh[[#This Row],[Antall_rette]]=11,1,""))</f>
        <v/>
      </c>
      <c r="N29" s="3" t="str">
        <f ca="1">IF(OR(t_ahh[[#This Row],[12_Antall]]=1,t_ahh[[#This Row],[11_Antall]]=1),"",IF(t_ahh[[#This Row],[Antall_rette]]&gt;9,1,""))</f>
        <v/>
      </c>
      <c r="O29" s="3">
        <f ca="1">IF(t_ahh[[#This Row],[12_Antall]]=1,Data!$AJ$3,0)</f>
        <v>0</v>
      </c>
      <c r="P29" s="3">
        <f ca="1">IF(t_ahh[[#This Row],[11_Antall]]=1,Data!$AJ$2,0)</f>
        <v>0</v>
      </c>
      <c r="Q29" s="3">
        <f ca="1">IF(t_ahh[[#This Row],[10_Antall]]=1,Data!$AJ$1,0)</f>
        <v>0</v>
      </c>
      <c r="R29" s="3" t="str" cm="1">
        <f t="array" ref="R29">IFERROR(IF(_xlfn.XLOOKUP(t_ahh[[#This Row],[Dato]]&amp;t_ahh[[#This Row],[navn]],Regnskap!$C$10:$C$51&amp;Regnskap!$K$10:$K$51,Regnskap!$H$10:$H$51)&gt;0,Data!$AJ$3,""),"")</f>
        <v/>
      </c>
      <c r="S29" s="3" t="str" cm="1">
        <f t="array" ref="S29">IFERROR(IF(t_ahh[[#This Row],[12_pLEV]]="",IF(_xlfn.XLOOKUP(t_ahh[[#This Row],[Dato]]&amp;t_ahh[[#This Row],[navn]],Regnskap!$C$10:$C$51&amp;Regnskap!$K$10:$K$51,Regnskap!$I$10:$I$51)&gt;0,Data!$AJ$2)),"")</f>
        <v/>
      </c>
      <c r="T29" s="3" t="str" cm="1">
        <f t="array" ref="T29">IFERROR(IF(t_ahh[[#This Row],[11_pLEV]]="",IF(_xlfn.XLOOKUP(t_ahh[[#This Row],[Dato]]&amp;t_ahh[[#This Row],[navn]],Regnskap!$C$10:$C$51&amp;Regnskap!$K$10:$K$51,Regnskap!$J$10:$J$51)&gt;0,Data!$AJ$1),""),"")</f>
        <v/>
      </c>
      <c r="U29">
        <f>SUM(t_ahh[[#This Row],[12_pLEV]:[10_pLEV]])</f>
        <v>0</v>
      </c>
      <c r="V29" s="3">
        <f ca="1">SUM(t_ahh[[#This Row],[Summert]]+t_ahh[[#This Row],[LEV_poeng]])</f>
        <v>0</v>
      </c>
      <c r="W29" s="3"/>
      <c r="X29" s="672"/>
    </row>
    <row r="30" spans="1:32" x14ac:dyDescent="0.2">
      <c r="A30" s="3" t="s">
        <v>905</v>
      </c>
      <c r="B30">
        <f>IF(t_ahh[[#This Row],[Dato]]&lt;&gt;"",WEEKNUM(t_ahh[[#This Row],[Dato]]),"")</f>
        <v>9</v>
      </c>
      <c r="C30" s="22">
        <f>Data!AL29</f>
        <v>46445</v>
      </c>
      <c r="D30">
        <f ca="1">IFERROR(IF(t_ahh[[#This Row],[Dato]]="","",OFFSET(_xlfn.XLOOKUP(C30,Kuponger!E:E,Kuponger!Q:Q),15,0)),"")</f>
        <v>0</v>
      </c>
      <c r="E30">
        <f ca="1">IFERROR(OFFSET(_xlfn.XLOOKUP(C30,Kuponger!E:E,Kuponger!Q:Q),15,1),"")</f>
        <v>0</v>
      </c>
      <c r="F30">
        <f ca="1">IFERROR(IF(t_ahh[[#This Row],[Dato]]="","",OFFSET(_xlfn.XLOOKUP(C30,Kuponger!E:E,Kuponger!Q:Q),15,2)),"")</f>
        <v>0</v>
      </c>
      <c r="G30">
        <f ca="1">IFERROR(IF(OFFSET(_xlfn.XLOOKUP(C30,Kuponger!E:E,Kuponger!Q:Q),0,2)=0,"",OFFSET(_xlfn.XLOOKUP(C30,Kuponger!E:E,Kuponger!Q:Q),1,2))*-1,"")</f>
        <v>0</v>
      </c>
      <c r="H30" t="str">
        <f t="shared" ca="1" si="0"/>
        <v/>
      </c>
      <c r="I30" t="str">
        <f ca="1">IFERROR(IF(t_ahh[[#This Row],[tp]]&lt;&gt;"",OFFSET(_xlfn.XLOOKUP(C30,Kuponger!E:E,Kuponger!Q:Q),1,1),""),"")</f>
        <v/>
      </c>
      <c r="J30" s="3">
        <f ca="1">IFERROR(IF(t_ahh[[#This Row],[Dato]]="",0,OFFSET(_xlfn.XLOOKUP(t_ahh[[#This Row],[Dato]],Kuponger!E:E,Kuponger!Q:Q),1,7)),"")</f>
        <v>0</v>
      </c>
      <c r="K30" s="3">
        <f ca="1">IFERROR(SUM(t_ahh[[#This Row],[tp]]),0)</f>
        <v>0</v>
      </c>
      <c r="L30" s="3" t="str">
        <f ca="1">IF(t_ahh[[#This Row],[Antall_rette]]=12,1,"")</f>
        <v/>
      </c>
      <c r="M30" s="3" t="str">
        <f ca="1">IF(t_ahh[[#This Row],[Antall_rette]]&lt;&gt;11,"",IF(t_ahh[[#This Row],[Antall_rette]]=11,1,""))</f>
        <v/>
      </c>
      <c r="N30" s="3" t="str">
        <f ca="1">IF(OR(t_ahh[[#This Row],[12_Antall]]=1,t_ahh[[#This Row],[11_Antall]]=1),"",IF(t_ahh[[#This Row],[Antall_rette]]&gt;9,1,""))</f>
        <v/>
      </c>
      <c r="O30" s="3">
        <f ca="1">IF(t_ahh[[#This Row],[12_Antall]]=1,Data!$AJ$3,0)</f>
        <v>0</v>
      </c>
      <c r="P30" s="3">
        <f ca="1">IF(t_ahh[[#This Row],[11_Antall]]=1,Data!$AJ$2,0)</f>
        <v>0</v>
      </c>
      <c r="Q30" s="3">
        <f ca="1">IF(t_ahh[[#This Row],[10_Antall]]=1,Data!$AJ$1,0)</f>
        <v>0</v>
      </c>
      <c r="R30" s="3" t="str" cm="1">
        <f t="array" ref="R30">IFERROR(IF(_xlfn.XLOOKUP(t_ahh[[#This Row],[Dato]]&amp;t_ahh[[#This Row],[navn]],Regnskap!$C$10:$C$51&amp;Regnskap!$K$10:$K$51,Regnskap!$H$10:$H$51)&gt;0,Data!$AJ$3,""),"")</f>
        <v/>
      </c>
      <c r="S30" s="3" t="str" cm="1">
        <f t="array" ref="S30">IFERROR(IF(t_ahh[[#This Row],[12_pLEV]]="",IF(_xlfn.XLOOKUP(t_ahh[[#This Row],[Dato]]&amp;t_ahh[[#This Row],[navn]],Regnskap!$C$10:$C$51&amp;Regnskap!$K$10:$K$51,Regnskap!$I$10:$I$51)&gt;0,Data!$AJ$2)),"")</f>
        <v/>
      </c>
      <c r="T30" s="3" t="str" cm="1">
        <f t="array" ref="T30">IFERROR(IF(t_ahh[[#This Row],[11_pLEV]]="",IF(_xlfn.XLOOKUP(t_ahh[[#This Row],[Dato]]&amp;t_ahh[[#This Row],[navn]],Regnskap!$C$10:$C$51&amp;Regnskap!$K$10:$K$51,Regnskap!$J$10:$J$51)&gt;0,Data!$AJ$1),""),"")</f>
        <v/>
      </c>
      <c r="U30">
        <f>SUM(t_ahh[[#This Row],[12_pLEV]:[10_pLEV]])</f>
        <v>0</v>
      </c>
      <c r="V30" s="3">
        <f ca="1">SUM(t_ahh[[#This Row],[Summert]]+t_ahh[[#This Row],[LEV_poeng]])</f>
        <v>0</v>
      </c>
      <c r="W30" s="3"/>
    </row>
    <row r="31" spans="1:32" x14ac:dyDescent="0.2">
      <c r="A31" s="3" t="s">
        <v>905</v>
      </c>
      <c r="B31">
        <f>IF(t_ahh[[#This Row],[Dato]]&lt;&gt;"",WEEKNUM(t_ahh[[#This Row],[Dato]]),"")</f>
        <v>10</v>
      </c>
      <c r="C31" s="22">
        <f>Data!AL30</f>
        <v>46452</v>
      </c>
      <c r="D31">
        <f ca="1">IFERROR(IF(t_ahh[[#This Row],[Dato]]="","",OFFSET(_xlfn.XLOOKUP(C31,Kuponger!E:E,Kuponger!Q:Q),15,0)),"")</f>
        <v>0</v>
      </c>
      <c r="E31">
        <f ca="1">IFERROR(OFFSET(_xlfn.XLOOKUP(C31,Kuponger!E:E,Kuponger!Q:Q),15,1),"")</f>
        <v>0</v>
      </c>
      <c r="F31">
        <f ca="1">IFERROR(IF(t_ahh[[#This Row],[Dato]]="","",OFFSET(_xlfn.XLOOKUP(C31,Kuponger!E:E,Kuponger!Q:Q),15,2)),"")</f>
        <v>0</v>
      </c>
      <c r="G31">
        <f ca="1">IFERROR(IF(OFFSET(_xlfn.XLOOKUP(C31,Kuponger!E:E,Kuponger!Q:Q),0,2)=0,"",OFFSET(_xlfn.XLOOKUP(C31,Kuponger!E:E,Kuponger!Q:Q),1,2))*-1,"")</f>
        <v>0</v>
      </c>
      <c r="H31" t="str">
        <f t="shared" ca="1" si="0"/>
        <v/>
      </c>
      <c r="I31" t="str">
        <f ca="1">IFERROR(IF(t_ahh[[#This Row],[tp]]&lt;&gt;"",OFFSET(_xlfn.XLOOKUP(C31,Kuponger!E:E,Kuponger!Q:Q),1,1),""),"")</f>
        <v/>
      </c>
      <c r="J31" s="3">
        <f ca="1">IFERROR(IF(t_ahh[[#This Row],[Dato]]="",0,OFFSET(_xlfn.XLOOKUP(t_ahh[[#This Row],[Dato]],Kuponger!E:E,Kuponger!Q:Q),1,7)),"")</f>
        <v>0</v>
      </c>
      <c r="K31" s="3">
        <f ca="1">IFERROR(SUM(t_ahh[[#This Row],[tp]]),0)</f>
        <v>0</v>
      </c>
      <c r="L31" s="3" t="str">
        <f ca="1">IF(t_ahh[[#This Row],[Antall_rette]]=12,1,"")</f>
        <v/>
      </c>
      <c r="M31" s="3" t="str">
        <f ca="1">IF(t_ahh[[#This Row],[Antall_rette]]&lt;&gt;11,"",IF(t_ahh[[#This Row],[Antall_rette]]=11,1,""))</f>
        <v/>
      </c>
      <c r="N31" s="3" t="str">
        <f ca="1">IF(OR(t_ahh[[#This Row],[12_Antall]]=1,t_ahh[[#This Row],[11_Antall]]=1),"",IF(t_ahh[[#This Row],[Antall_rette]]&gt;9,1,""))</f>
        <v/>
      </c>
      <c r="O31" s="3">
        <f ca="1">IF(t_ahh[[#This Row],[12_Antall]]=1,Data!$AJ$3,0)</f>
        <v>0</v>
      </c>
      <c r="P31" s="3">
        <f ca="1">IF(t_ahh[[#This Row],[11_Antall]]=1,Data!$AJ$2,0)</f>
        <v>0</v>
      </c>
      <c r="Q31" s="3">
        <f ca="1">IF(t_ahh[[#This Row],[10_Antall]]=1,Data!$AJ$1,0)</f>
        <v>0</v>
      </c>
      <c r="R31" s="3" t="str" cm="1">
        <f t="array" ref="R31">IFERROR(IF(_xlfn.XLOOKUP(t_ahh[[#This Row],[Dato]]&amp;t_ahh[[#This Row],[navn]],Regnskap!$C$10:$C$51&amp;Regnskap!$K$10:$K$51,Regnskap!$H$10:$H$51)&gt;0,Data!$AJ$3,""),"")</f>
        <v/>
      </c>
      <c r="S31" s="3" t="str" cm="1">
        <f t="array" ref="S31">IFERROR(IF(t_ahh[[#This Row],[12_pLEV]]="",IF(_xlfn.XLOOKUP(t_ahh[[#This Row],[Dato]]&amp;t_ahh[[#This Row],[navn]],Regnskap!$C$10:$C$51&amp;Regnskap!$K$10:$K$51,Regnskap!$I$10:$I$51)&gt;0,Data!$AJ$2)),"")</f>
        <v/>
      </c>
      <c r="T31" s="3" t="str" cm="1">
        <f t="array" ref="T31">IFERROR(IF(t_ahh[[#This Row],[11_pLEV]]="",IF(_xlfn.XLOOKUP(t_ahh[[#This Row],[Dato]]&amp;t_ahh[[#This Row],[navn]],Regnskap!$C$10:$C$51&amp;Regnskap!$K$10:$K$51,Regnskap!$J$10:$J$51)&gt;0,Data!$AJ$1),""),"")</f>
        <v/>
      </c>
      <c r="U31">
        <f>SUM(t_ahh[[#This Row],[12_pLEV]:[10_pLEV]])</f>
        <v>0</v>
      </c>
      <c r="V31" s="3">
        <f ca="1">SUM(t_ahh[[#This Row],[Summert]]+t_ahh[[#This Row],[LEV_poeng]])</f>
        <v>0</v>
      </c>
      <c r="W31" s="3"/>
    </row>
    <row r="32" spans="1:32" x14ac:dyDescent="0.2">
      <c r="A32" s="3" t="s">
        <v>905</v>
      </c>
      <c r="B32">
        <f>IF(t_ahh[[#This Row],[Dato]]&lt;&gt;"",WEEKNUM(t_ahh[[#This Row],[Dato]]),"")</f>
        <v>11</v>
      </c>
      <c r="C32" s="22">
        <f>Data!AL31</f>
        <v>46459</v>
      </c>
      <c r="D32">
        <f ca="1">IFERROR(IF(t_ahh[[#This Row],[Dato]]="","",OFFSET(_xlfn.XLOOKUP(C32,Kuponger!E:E,Kuponger!Q:Q),15,0)),"")</f>
        <v>0</v>
      </c>
      <c r="E32">
        <f ca="1">IFERROR(OFFSET(_xlfn.XLOOKUP(C32,Kuponger!E:E,Kuponger!Q:Q),15,1),"")</f>
        <v>0</v>
      </c>
      <c r="F32">
        <f ca="1">IFERROR(IF(t_ahh[[#This Row],[Dato]]="","",OFFSET(_xlfn.XLOOKUP(C32,Kuponger!E:E,Kuponger!Q:Q),15,2)),"")</f>
        <v>0</v>
      </c>
      <c r="G32">
        <f ca="1">IFERROR(IF(OFFSET(_xlfn.XLOOKUP(C32,Kuponger!E:E,Kuponger!Q:Q),0,2)=0,"",OFFSET(_xlfn.XLOOKUP(C32,Kuponger!E:E,Kuponger!Q:Q),1,2))*-1,"")</f>
        <v>0</v>
      </c>
      <c r="H32" t="str">
        <f t="shared" ca="1" si="0"/>
        <v/>
      </c>
      <c r="I32" t="str">
        <f ca="1">IFERROR(IF(t_ahh[[#This Row],[tp]]&lt;&gt;"",OFFSET(_xlfn.XLOOKUP(C32,Kuponger!E:E,Kuponger!Q:Q),1,1),""),"")</f>
        <v/>
      </c>
      <c r="J32" s="3">
        <f ca="1">IFERROR(IF(t_ahh[[#This Row],[Dato]]="",0,OFFSET(_xlfn.XLOOKUP(t_ahh[[#This Row],[Dato]],Kuponger!E:E,Kuponger!Q:Q),1,7)),"")</f>
        <v>0</v>
      </c>
      <c r="K32" s="3">
        <f ca="1">IFERROR(SUM(t_ahh[[#This Row],[tp]]),0)</f>
        <v>0</v>
      </c>
      <c r="L32" s="3" t="str">
        <f ca="1">IF(t_ahh[[#This Row],[Antall_rette]]=12,1,"")</f>
        <v/>
      </c>
      <c r="M32" s="3" t="str">
        <f ca="1">IF(t_ahh[[#This Row],[Antall_rette]]&lt;&gt;11,"",IF(t_ahh[[#This Row],[Antall_rette]]=11,1,""))</f>
        <v/>
      </c>
      <c r="N32" s="3" t="str">
        <f ca="1">IF(OR(t_ahh[[#This Row],[12_Antall]]=1,t_ahh[[#This Row],[11_Antall]]=1),"",IF(t_ahh[[#This Row],[Antall_rette]]&gt;9,1,""))</f>
        <v/>
      </c>
      <c r="O32" s="3">
        <f ca="1">IF(t_ahh[[#This Row],[12_Antall]]=1,Data!$AJ$3,0)</f>
        <v>0</v>
      </c>
      <c r="P32" s="3">
        <f ca="1">IF(t_ahh[[#This Row],[11_Antall]]=1,Data!$AJ$2,0)</f>
        <v>0</v>
      </c>
      <c r="Q32" s="3">
        <f ca="1">IF(t_ahh[[#This Row],[10_Antall]]=1,Data!$AJ$1,0)</f>
        <v>0</v>
      </c>
      <c r="R32" s="3" t="str" cm="1">
        <f t="array" ref="R32">IFERROR(IF(_xlfn.XLOOKUP(t_ahh[[#This Row],[Dato]]&amp;t_ahh[[#This Row],[navn]],Regnskap!$C$10:$C$51&amp;Regnskap!$K$10:$K$51,Regnskap!$H$10:$H$51)&gt;0,Data!$AJ$3,""),"")</f>
        <v/>
      </c>
      <c r="S32" s="3" t="str" cm="1">
        <f t="array" ref="S32">IFERROR(IF(t_ahh[[#This Row],[12_pLEV]]="",IF(_xlfn.XLOOKUP(t_ahh[[#This Row],[Dato]]&amp;t_ahh[[#This Row],[navn]],Regnskap!$C$10:$C$51&amp;Regnskap!$K$10:$K$51,Regnskap!$I$10:$I$51)&gt;0,Data!$AJ$2)),"")</f>
        <v/>
      </c>
      <c r="T32" s="3" t="str" cm="1">
        <f t="array" ref="T32">IFERROR(IF(t_ahh[[#This Row],[11_pLEV]]="",IF(_xlfn.XLOOKUP(t_ahh[[#This Row],[Dato]]&amp;t_ahh[[#This Row],[navn]],Regnskap!$C$10:$C$51&amp;Regnskap!$K$10:$K$51,Regnskap!$J$10:$J$51)&gt;0,Data!$AJ$1),""),"")</f>
        <v/>
      </c>
      <c r="U32">
        <f>SUM(t_ahh[[#This Row],[12_pLEV]:[10_pLEV]])</f>
        <v>0</v>
      </c>
      <c r="V32" s="3">
        <f ca="1">SUM(t_ahh[[#This Row],[Summert]]+t_ahh[[#This Row],[LEV_poeng]])</f>
        <v>0</v>
      </c>
      <c r="W32" s="3"/>
    </row>
    <row r="33" spans="1:29" x14ac:dyDescent="0.2">
      <c r="A33" s="3" t="s">
        <v>905</v>
      </c>
      <c r="B33">
        <f>IF(t_ahh[[#This Row],[Dato]]&lt;&gt;"",WEEKNUM(t_ahh[[#This Row],[Dato]]),"")</f>
        <v>12</v>
      </c>
      <c r="C33" s="22">
        <f>Data!AL32</f>
        <v>46466</v>
      </c>
      <c r="D33">
        <f ca="1">IFERROR(IF(t_ahh[[#This Row],[Dato]]="","",OFFSET(_xlfn.XLOOKUP(C33,Kuponger!E:E,Kuponger!Q:Q),15,0)),"")</f>
        <v>0</v>
      </c>
      <c r="E33">
        <f ca="1">IFERROR(OFFSET(_xlfn.XLOOKUP(C33,Kuponger!E:E,Kuponger!Q:Q),15,1),"")</f>
        <v>0</v>
      </c>
      <c r="F33">
        <f ca="1">IFERROR(IF(t_ahh[[#This Row],[Dato]]="","",OFFSET(_xlfn.XLOOKUP(C33,Kuponger!E:E,Kuponger!Q:Q),15,2)),"")</f>
        <v>0</v>
      </c>
      <c r="G33">
        <f ca="1">IFERROR(IF(OFFSET(_xlfn.XLOOKUP(C33,Kuponger!E:E,Kuponger!Q:Q),0,2)=0,"",OFFSET(_xlfn.XLOOKUP(C33,Kuponger!E:E,Kuponger!Q:Q),1,2))*-1,"")</f>
        <v>0</v>
      </c>
      <c r="H33" t="str">
        <f t="shared" ca="1" si="0"/>
        <v/>
      </c>
      <c r="I33" t="str">
        <f ca="1">IFERROR(IF(t_ahh[[#This Row],[tp]]&lt;&gt;"",OFFSET(_xlfn.XLOOKUP(C33,Kuponger!E:E,Kuponger!Q:Q),1,1),""),"")</f>
        <v/>
      </c>
      <c r="J33" s="3">
        <f ca="1">IFERROR(IF(t_ahh[[#This Row],[Dato]]="",0,OFFSET(_xlfn.XLOOKUP(t_ahh[[#This Row],[Dato]],Kuponger!E:E,Kuponger!Q:Q),1,7)),"")</f>
        <v>0</v>
      </c>
      <c r="K33" s="3">
        <f ca="1">IFERROR(SUM(t_ahh[[#This Row],[tp]]),0)</f>
        <v>0</v>
      </c>
      <c r="L33" s="3" t="str">
        <f ca="1">IF(t_ahh[[#This Row],[Antall_rette]]=12,1,"")</f>
        <v/>
      </c>
      <c r="M33" s="3" t="str">
        <f ca="1">IF(t_ahh[[#This Row],[Antall_rette]]&lt;&gt;11,"",IF(t_ahh[[#This Row],[Antall_rette]]=11,1,""))</f>
        <v/>
      </c>
      <c r="N33" s="3" t="str">
        <f ca="1">IF(OR(t_ahh[[#This Row],[12_Antall]]=1,t_ahh[[#This Row],[11_Antall]]=1),"",IF(t_ahh[[#This Row],[Antall_rette]]&gt;9,1,""))</f>
        <v/>
      </c>
      <c r="O33" s="3">
        <f ca="1">IF(t_ahh[[#This Row],[12_Antall]]=1,Data!$AJ$3,0)</f>
        <v>0</v>
      </c>
      <c r="P33" s="3">
        <f ca="1">IF(t_ahh[[#This Row],[11_Antall]]=1,Data!$AJ$2,0)</f>
        <v>0</v>
      </c>
      <c r="Q33" s="3">
        <f ca="1">IF(t_ahh[[#This Row],[10_Antall]]=1,Data!$AJ$1,0)</f>
        <v>0</v>
      </c>
      <c r="R33" s="3" t="str" cm="1">
        <f t="array" ref="R33">IFERROR(IF(_xlfn.XLOOKUP(t_ahh[[#This Row],[Dato]]&amp;t_ahh[[#This Row],[navn]],Regnskap!$C$10:$C$51&amp;Regnskap!$K$10:$K$51,Regnskap!$H$10:$H$51)&gt;0,Data!$AJ$3,""),"")</f>
        <v/>
      </c>
      <c r="S33" s="3" t="str" cm="1">
        <f t="array" ref="S33">IFERROR(IF(t_ahh[[#This Row],[12_pLEV]]="",IF(_xlfn.XLOOKUP(t_ahh[[#This Row],[Dato]]&amp;t_ahh[[#This Row],[navn]],Regnskap!$C$10:$C$51&amp;Regnskap!$K$10:$K$51,Regnskap!$I$10:$I$51)&gt;0,Data!$AJ$2)),"")</f>
        <v/>
      </c>
      <c r="T33" s="3" t="str" cm="1">
        <f t="array" ref="T33">IFERROR(IF(t_ahh[[#This Row],[11_pLEV]]="",IF(_xlfn.XLOOKUP(t_ahh[[#This Row],[Dato]]&amp;t_ahh[[#This Row],[navn]],Regnskap!$C$10:$C$51&amp;Regnskap!$K$10:$K$51,Regnskap!$J$10:$J$51)&gt;0,Data!$AJ$1),""),"")</f>
        <v/>
      </c>
      <c r="U33">
        <f>SUM(t_ahh[[#This Row],[12_pLEV]:[10_pLEV]])</f>
        <v>0</v>
      </c>
      <c r="V33" s="3">
        <f ca="1">SUM(t_ahh[[#This Row],[Summert]]+t_ahh[[#This Row],[LEV_poeng]])</f>
        <v>0</v>
      </c>
      <c r="W33" s="3"/>
    </row>
    <row r="34" spans="1:29" x14ac:dyDescent="0.2">
      <c r="V34" s="3"/>
    </row>
    <row r="35" spans="1:29" x14ac:dyDescent="0.2">
      <c r="V35" s="3"/>
      <c r="W35" s="2"/>
    </row>
    <row r="36" spans="1:29" x14ac:dyDescent="0.2">
      <c r="V36" s="3"/>
      <c r="W36" s="4"/>
      <c r="X36" s="3"/>
      <c r="Y36" s="3"/>
      <c r="Z36" s="3"/>
      <c r="AA36" s="3"/>
      <c r="AB36" s="3"/>
      <c r="AC36" s="3"/>
    </row>
    <row r="37" spans="1:29" x14ac:dyDescent="0.2">
      <c r="V37" s="3"/>
      <c r="W37" s="4"/>
    </row>
    <row r="38" spans="1:29" x14ac:dyDescent="0.2">
      <c r="V38" s="3"/>
      <c r="W38" s="4"/>
    </row>
    <row r="39" spans="1:29" x14ac:dyDescent="0.2">
      <c r="V39" s="3"/>
      <c r="W39" s="4"/>
    </row>
    <row r="40" spans="1:29" x14ac:dyDescent="0.2">
      <c r="V40" s="3"/>
    </row>
    <row r="41" spans="1:29" x14ac:dyDescent="0.2">
      <c r="V41" s="3"/>
      <c r="W41" s="4"/>
      <c r="X41" s="678"/>
    </row>
    <row r="42" spans="1:29" x14ac:dyDescent="0.2">
      <c r="V42" s="3"/>
      <c r="W42" s="4"/>
      <c r="X42" s="678"/>
    </row>
    <row r="43" spans="1:29" x14ac:dyDescent="0.2">
      <c r="V43" s="4"/>
      <c r="W43" s="678"/>
    </row>
    <row r="44" spans="1:29" x14ac:dyDescent="0.2">
      <c r="V44" s="4"/>
      <c r="W44" s="678"/>
    </row>
    <row r="45" spans="1:29" x14ac:dyDescent="0.2">
      <c r="V45" s="4"/>
      <c r="W45" s="677"/>
    </row>
    <row r="46" spans="1:29" x14ac:dyDescent="0.2">
      <c r="V46" s="4"/>
      <c r="W46" s="678"/>
    </row>
    <row r="48" spans="1:29" x14ac:dyDescent="0.2">
      <c r="V48" s="4"/>
      <c r="W48" s="679"/>
    </row>
    <row r="68" spans="37:37" x14ac:dyDescent="0.2">
      <c r="AK68" s="22"/>
    </row>
  </sheetData>
  <sheetProtection selectLockedCells="1" selectUnlockedCells="1"/>
  <phoneticPr fontId="121"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7" ht="15.75" thickBot="1" x14ac:dyDescent="0.3">
      <c r="A1" s="23" t="s">
        <v>473</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1"/>
      <c r="AD1" s="676"/>
      <c r="AE1" s="23"/>
      <c r="AG1" s="468"/>
      <c r="AH1" s="468"/>
      <c r="AI1" s="468"/>
      <c r="AJ1" s="468"/>
      <c r="AK1" s="468"/>
    </row>
    <row r="2" spans="1:37" ht="13.5" thickTop="1" x14ac:dyDescent="0.2">
      <c r="A2" s="3" t="s">
        <v>906</v>
      </c>
      <c r="B2">
        <f>IF(t_rb[[#This Row],[Dato]]&lt;&gt;"",WEEKNUM(t_rb[[#This Row],[Dato]]),"")</f>
        <v>33</v>
      </c>
      <c r="C2" s="22">
        <f>Data!AL1</f>
        <v>46249</v>
      </c>
      <c r="D2">
        <f ca="1">IFERROR(IF(t_rb[[#This Row],[Dato]]="","",OFFSET(_xlfn.XLOOKUP(C2,Kuponger!E:E,Kuponger!Z:Z),15,0)),"")</f>
        <v>0</v>
      </c>
      <c r="E2">
        <f ca="1">IFERROR(OFFSET(_xlfn.XLOOKUP(C2,Kuponger!E:E,Kuponger!Z:Z),15,1),"")</f>
        <v>0</v>
      </c>
      <c r="F2">
        <f ca="1">IFERROR(IF(t_rb[[#This Row],[Dato]]="","",OFFSET(_xlfn.XLOOKUP(C2,Kuponger!E:E,Kuponger!Z:Z),15,2)),"")</f>
        <v>0</v>
      </c>
      <c r="G2">
        <f ca="1">IFERROR(IF(OFFSET(_xlfn.XLOOKUP(C2,Kuponger!E:E,Kuponger!Z:Z),0,2)=0,"",OFFSET(_xlfn.XLOOKUP(C2,Kuponger!E:E,Kuponger!Z:Z),1,2))*-1,"")</f>
        <v>0</v>
      </c>
      <c r="H2" t="str">
        <f t="shared" ref="H2" ca="1" si="0">IF(SUMIF(D2:G2,"&lt;&gt;""")=0,"",SUMIF(D2:G2,"&lt;&gt;"""))</f>
        <v/>
      </c>
      <c r="I2" t="str">
        <f ca="1">IFERROR(IF(t_rb[[#This Row],[tp]]&lt;&gt;"",OFFSET(_xlfn.XLOOKUP(C2,Kuponger!E:E,Kuponger!Z:Z),1,1),""),"")</f>
        <v/>
      </c>
      <c r="J2" s="3">
        <f ca="1">IFERROR(IF(t_rb[[#This Row],[Dato]]="",0,OFFSET(_xlfn.XLOOKUP(t_rb[[#This Row],[Dato]],Kuponger!E:E,Kuponger!Z:Z),1,7)),"")</f>
        <v>0</v>
      </c>
      <c r="K2" s="3">
        <f ca="1">IFERROR(SUM(t_rb[[#This Row],[tp]]),0)</f>
        <v>0</v>
      </c>
      <c r="L2" s="3" t="str">
        <f ca="1">IF(t_rb[[#This Row],[Antall_rette]]=12,1,"")</f>
        <v/>
      </c>
      <c r="M2" s="3" t="str">
        <f ca="1">IF(t_rb[[#This Row],[Antall_rette]]=11,1,"")</f>
        <v/>
      </c>
      <c r="N2" s="3" t="str">
        <f ca="1">IF(t_rb[[#This Row],[Antall_rette]]=10,1,"")</f>
        <v/>
      </c>
      <c r="O2" s="3">
        <f ca="1">IF(t_rb[[#This Row],[12_Antall]]=1,Data!$AJ$3,0)</f>
        <v>0</v>
      </c>
      <c r="P2" s="3">
        <f ca="1">IF(t_rb[[#This Row],[11_Antall]]=1,Data!$AJ$2,0)</f>
        <v>0</v>
      </c>
      <c r="Q2" s="3" t="str" cm="1">
        <f t="array" ref="Q2">IFERROR(IF(_xlfn.XLOOKUP(t_rb[[#This Row],[Dato]]&amp;t_rb[[#This Row],[Navn]],Regnskap!$C$10:$C$51&amp;Regnskap!$K$10:$K$51,Regnskap!$H$10:$H$51)&gt;0,Data!AI2,""),"")</f>
        <v/>
      </c>
      <c r="R2" s="3" t="str" cm="1">
        <f t="array" ref="R2">IFERROR(IF(_xlfn.XLOOKUP(t_rb[[#This Row],[Dato]]&amp;t_rb[[#This Row],[Navn]],Regnskap!$C$10:$C$51&amp;Regnskap!$K$10:$K$51,Regnskap!$H$10:$H$51)&gt;0,Data!$AJ$3,""),"")</f>
        <v/>
      </c>
      <c r="S2" s="3" t="str" cm="1">
        <f t="array" ref="S2">IFERROR(IF(t_rb[[#This Row],[12_pLEV]]="",IF(_xlfn.XLOOKUP(t_rb[[#This Row],[Dato]]&amp;t_rb[[#This Row],[Navn]],Regnskap!$C$10:$C$51&amp;Regnskap!$K$10:$K$51,Regnskap!$I$10:$I$51)&gt;0,Data!$AJ$2)),"")</f>
        <v/>
      </c>
      <c r="T2" s="3" t="str" cm="1">
        <f t="array" ref="T2">IFERROR(IF(t_rb[[#This Row],[11_pLEV]]="",IF(_xlfn.XLOOKUP(t_rb[[#This Row],[Dato]]&amp;t_rb[[#This Row],[Navn]],Regnskap!$C$10:$C$51&amp;Regnskap!$K$10:$K$51,Regnskap!$J$10:$J$51)&gt;0,Data!$AJ$1),""),"")</f>
        <v/>
      </c>
      <c r="U2">
        <f ca="1">SUM(t_rb[[#This Row],[12_poeng]:[10_pLEV]])</f>
        <v>0</v>
      </c>
      <c r="V2" s="3">
        <f ca="1">SUM(t_rb[[#This Row],[Summert]]+t_rb[[#This Row],[LEV_poeng]])</f>
        <v>0</v>
      </c>
      <c r="AG2" s="3"/>
      <c r="AH2" s="3"/>
      <c r="AI2" s="3"/>
      <c r="AJ2" s="3"/>
      <c r="AK2" s="3"/>
    </row>
    <row r="3" spans="1:37" x14ac:dyDescent="0.2">
      <c r="A3" s="3" t="s">
        <v>906</v>
      </c>
      <c r="B3">
        <f>IF(t_rb[[#This Row],[Dato]]&lt;&gt;"",WEEKNUM(t_rb[[#This Row],[Dato]]),"")</f>
        <v>34</v>
      </c>
      <c r="C3" s="22">
        <f>Data!AL2</f>
        <v>46256</v>
      </c>
      <c r="D3">
        <f ca="1">IFERROR(IF(t_rb[[#This Row],[Dato]]="","",OFFSET(_xlfn.XLOOKUP(C3,Kuponger!E:E,Kuponger!Z:Z),15,0)),"")</f>
        <v>780</v>
      </c>
      <c r="E3">
        <f ca="1">IFERROR(OFFSET(_xlfn.XLOOKUP(C3,Kuponger!E:E,Kuponger!Z:Z),15,1),"")</f>
        <v>0</v>
      </c>
      <c r="F3">
        <f ca="1">IFERROR(IF(t_rb[[#This Row],[Dato]]="","",OFFSET(_xlfn.XLOOKUP(C3,Kuponger!E:E,Kuponger!Z:Z),15,2)),"")</f>
        <v>0</v>
      </c>
      <c r="G3">
        <f ca="1">IFERROR(IF(OFFSET(_xlfn.XLOOKUP(C3,Kuponger!E:E,Kuponger!Z:Z),0,2)=0,"",OFFSET(_xlfn.XLOOKUP(C3,Kuponger!E:E,Kuponger!Z:Z),1,2))*-1,"")</f>
        <v>0</v>
      </c>
      <c r="H3">
        <f t="shared" ref="H3:H33" ca="1" si="1">IF(SUMIF(D3:G3,"&lt;&gt;""")=0,"",SUMIF(D3:G3,"&lt;&gt;"""))</f>
        <v>780</v>
      </c>
      <c r="I3">
        <f ca="1">IFERROR(IF(t_rb[[#This Row],[tp]]&lt;&gt;"",OFFSET(_xlfn.XLOOKUP(C3,Kuponger!E:E,Kuponger!Z:Z),1,1),""),"")</f>
        <v>1</v>
      </c>
      <c r="J3" s="3">
        <f ca="1">IFERROR(IF(t_rb[[#This Row],[Dato]]="",0,OFFSET(_xlfn.XLOOKUP(t_rb[[#This Row],[Dato]],Kuponger!E:E,Kuponger!Z:Z),1,7)),"")</f>
        <v>12</v>
      </c>
      <c r="K3" s="3">
        <f ca="1">IFERROR(SUM(t_rb[[#This Row],[tp]]),0)</f>
        <v>780</v>
      </c>
      <c r="L3" s="3">
        <f ca="1">IF(t_rb[[#This Row],[Antall_rette]]=12,1,"")</f>
        <v>1</v>
      </c>
      <c r="M3" s="3" t="str">
        <f ca="1">IF(t_rb[[#This Row],[Antall_rette]]=11,1,"")</f>
        <v/>
      </c>
      <c r="N3" s="3" t="str">
        <f ca="1">IF(t_rb[[#This Row],[Antall_rette]]=10,1,"")</f>
        <v/>
      </c>
      <c r="O3" s="3">
        <f ca="1">IF(t_rb[[#This Row],[12_Antall]]=1,Data!$AJ$3,0)</f>
        <v>1070</v>
      </c>
      <c r="P3" s="3">
        <f ca="1">IF(t_rb[[#This Row],[11_Antall]]=1,Data!$AJ$2,0)</f>
        <v>0</v>
      </c>
      <c r="Q3" s="3" t="str" cm="1">
        <f t="array" ref="Q3">IFERROR(IF(_xlfn.XLOOKUP(t_rb[[#This Row],[Dato]]&amp;t_rb[[#This Row],[Navn]],Regnskap!$C$10:$C$51&amp;Regnskap!$K$10:$K$51,Regnskap!$H$10:$H$51)&gt;0,Data!AI3,""),"")</f>
        <v/>
      </c>
      <c r="R3" s="3" t="str" cm="1">
        <f t="array" ref="R3">IFERROR(IF(_xlfn.XLOOKUP(t_rb[[#This Row],[Dato]]&amp;t_rb[[#This Row],[Navn]],Regnskap!$C$10:$C$51&amp;Regnskap!$K$10:$K$51,Regnskap!$H$10:$H$51)&gt;0,Data!$AJ$3,""),"")</f>
        <v/>
      </c>
      <c r="S3" s="3" t="str" cm="1">
        <f t="array" ref="S3">IFERROR(IF(t_rb[[#This Row],[12_pLEV]]="",IF(_xlfn.XLOOKUP(t_rb[[#This Row],[Dato]]&amp;t_rb[[#This Row],[Navn]],Regnskap!$C$10:$C$51&amp;Regnskap!$K$10:$K$51,Regnskap!$I$10:$I$51)&gt;0,Data!$AJ$2)),"")</f>
        <v/>
      </c>
      <c r="T3" s="3" t="str" cm="1">
        <f t="array" ref="T3">IFERROR(IF(t_rb[[#This Row],[11_pLEV]]="",IF(_xlfn.XLOOKUP(t_rb[[#This Row],[Dato]]&amp;t_rb[[#This Row],[Navn]],Regnskap!$C$10:$C$51&amp;Regnskap!$K$10:$K$51,Regnskap!$J$10:$J$51)&gt;0,Data!$AJ$1),""),"")</f>
        <v/>
      </c>
      <c r="U3">
        <f ca="1">SUM(t_rb[[#This Row],[12_poeng]:[10_pLEV]])</f>
        <v>1070</v>
      </c>
      <c r="V3" s="3">
        <f ca="1">SUM(t_rb[[#This Row],[Summert]]+t_rb[[#This Row],[LEV_poeng]])</f>
        <v>1850</v>
      </c>
    </row>
    <row r="4" spans="1:37" x14ac:dyDescent="0.2">
      <c r="A4" s="3" t="s">
        <v>906</v>
      </c>
      <c r="B4">
        <f>IF(t_rb[[#This Row],[Dato]]&lt;&gt;"",WEEKNUM(t_rb[[#This Row],[Dato]]),"")</f>
        <v>35</v>
      </c>
      <c r="C4" s="22">
        <f>Data!AL3</f>
        <v>46263</v>
      </c>
      <c r="D4">
        <f ca="1">IFERROR(IF(t_rb[[#This Row],[Dato]]="","",OFFSET(_xlfn.XLOOKUP(C4,Kuponger!E:E,Kuponger!Z:Z),15,0)),"")</f>
        <v>780</v>
      </c>
      <c r="E4">
        <f ca="1">IFERROR(OFFSET(_xlfn.XLOOKUP(C4,Kuponger!E:E,Kuponger!Z:Z),15,1),"")</f>
        <v>0</v>
      </c>
      <c r="F4">
        <f ca="1">IFERROR(IF(t_rb[[#This Row],[Dato]]="","",OFFSET(_xlfn.XLOOKUP(C4,Kuponger!E:E,Kuponger!Z:Z),15,2)),"")</f>
        <v>0</v>
      </c>
      <c r="G4">
        <f ca="1">IFERROR(IF(OFFSET(_xlfn.XLOOKUP(C4,Kuponger!E:E,Kuponger!Z:Z),0,2)=0,"",OFFSET(_xlfn.XLOOKUP(C4,Kuponger!E:E,Kuponger!Z:Z),1,2))*-1,"")</f>
        <v>0</v>
      </c>
      <c r="H4">
        <f t="shared" ca="1" si="1"/>
        <v>780</v>
      </c>
      <c r="I4">
        <f ca="1">IFERROR(IF(t_rb[[#This Row],[tp]]&lt;&gt;"",OFFSET(_xlfn.XLOOKUP(C4,Kuponger!E:E,Kuponger!Z:Z),1,1),""),"")</f>
        <v>1</v>
      </c>
      <c r="J4" s="3">
        <f ca="1">IFERROR(IF(t_rb[[#This Row],[Dato]]="",0,OFFSET(_xlfn.XLOOKUP(t_rb[[#This Row],[Dato]],Kuponger!E:E,Kuponger!Z:Z),1,7)),"")</f>
        <v>12</v>
      </c>
      <c r="K4" s="3">
        <f ca="1">IFERROR(SUM(t_rb[[#This Row],[tp]]),0)</f>
        <v>780</v>
      </c>
      <c r="L4" s="3">
        <f ca="1">IF(t_rb[[#This Row],[Antall_rette]]=12,1,"")</f>
        <v>1</v>
      </c>
      <c r="M4" s="3" t="str">
        <f ca="1">IF(t_rb[[#This Row],[Antall_rette]]=11,1,"")</f>
        <v/>
      </c>
      <c r="N4" s="3" t="str">
        <f ca="1">IF(t_rb[[#This Row],[Antall_rette]]=10,1,"")</f>
        <v/>
      </c>
      <c r="O4" s="3">
        <f ca="1">IF(t_rb[[#This Row],[12_Antall]]=1,Data!$AJ$3,0)</f>
        <v>1070</v>
      </c>
      <c r="P4" s="3">
        <f ca="1">IF(t_rb[[#This Row],[11_Antall]]=1,Data!$AJ$2,0)</f>
        <v>0</v>
      </c>
      <c r="Q4" s="3" t="str" cm="1">
        <f t="array" ref="Q4">IFERROR(IF(_xlfn.XLOOKUP(t_rb[[#This Row],[Dato]]&amp;t_rb[[#This Row],[Navn]],Regnskap!$C$10:$C$51&amp;Regnskap!$K$10:$K$51,Regnskap!$H$10:$H$51)&gt;0,Data!AI4,""),"")</f>
        <v/>
      </c>
      <c r="R4" s="3" t="str" cm="1">
        <f t="array" ref="R4">IFERROR(IF(_xlfn.XLOOKUP(t_rb[[#This Row],[Dato]]&amp;t_rb[[#This Row],[Navn]],Regnskap!$C$10:$C$51&amp;Regnskap!$K$10:$K$51,Regnskap!$H$10:$H$51)&gt;0,Data!$AJ$3,""),"")</f>
        <v/>
      </c>
      <c r="S4" s="3" t="str" cm="1">
        <f t="array" ref="S4">IFERROR(IF(t_rb[[#This Row],[12_pLEV]]="",IF(_xlfn.XLOOKUP(t_rb[[#This Row],[Dato]]&amp;t_rb[[#This Row],[Navn]],Regnskap!$C$10:$C$51&amp;Regnskap!$K$10:$K$51,Regnskap!$I$10:$I$51)&gt;0,Data!$AJ$2)),"")</f>
        <v/>
      </c>
      <c r="T4" s="3" t="str" cm="1">
        <f t="array" ref="T4">IFERROR(IF(t_rb[[#This Row],[11_pLEV]]="",IF(_xlfn.XLOOKUP(t_rb[[#This Row],[Dato]]&amp;t_rb[[#This Row],[Navn]],Regnskap!$C$10:$C$51&amp;Regnskap!$K$10:$K$51,Regnskap!$J$10:$J$51)&gt;0,Data!$AJ$1),""),"")</f>
        <v/>
      </c>
      <c r="U4">
        <f ca="1">SUM(t_rb[[#This Row],[12_poeng]:[10_pLEV]])</f>
        <v>1070</v>
      </c>
      <c r="V4" s="3">
        <f ca="1">SUM(t_rb[[#This Row],[Summert]]+t_rb[[#This Row],[LEV_poeng]])</f>
        <v>1850</v>
      </c>
    </row>
    <row r="5" spans="1:37" x14ac:dyDescent="0.2">
      <c r="A5" s="3" t="s">
        <v>906</v>
      </c>
      <c r="B5">
        <f>IF(t_rb[[#This Row],[Dato]]&lt;&gt;"",WEEKNUM(t_rb[[#This Row],[Dato]]),"")</f>
        <v>36</v>
      </c>
      <c r="C5" s="22">
        <f>Data!AL4</f>
        <v>46270</v>
      </c>
      <c r="D5">
        <f ca="1">IFERROR(IF(t_rb[[#This Row],[Dato]]="","",OFFSET(_xlfn.XLOOKUP(C5,Kuponger!E:E,Kuponger!Z:Z),15,0)),"")</f>
        <v>780</v>
      </c>
      <c r="E5">
        <f ca="1">IFERROR(OFFSET(_xlfn.XLOOKUP(C5,Kuponger!E:E,Kuponger!Z:Z),15,1),"")</f>
        <v>0</v>
      </c>
      <c r="F5">
        <f ca="1">IFERROR(IF(t_rb[[#This Row],[Dato]]="","",OFFSET(_xlfn.XLOOKUP(C5,Kuponger!E:E,Kuponger!Z:Z),15,2)),"")</f>
        <v>0</v>
      </c>
      <c r="G5">
        <f ca="1">IFERROR(IF(OFFSET(_xlfn.XLOOKUP(C5,Kuponger!E:E,Kuponger!Z:Z),0,2)=0,"",OFFSET(_xlfn.XLOOKUP(C5,Kuponger!E:E,Kuponger!Z:Z),1,2))*-1,"")</f>
        <v>0</v>
      </c>
      <c r="H5">
        <f t="shared" ca="1" si="1"/>
        <v>780</v>
      </c>
      <c r="I5">
        <f ca="1">IFERROR(IF(t_rb[[#This Row],[tp]]&lt;&gt;"",OFFSET(_xlfn.XLOOKUP(C5,Kuponger!E:E,Kuponger!Z:Z),1,1),""),"")</f>
        <v>1</v>
      </c>
      <c r="J5" s="3">
        <f ca="1">IFERROR(IF(t_rb[[#This Row],[Dato]]="",0,OFFSET(_xlfn.XLOOKUP(t_rb[[#This Row],[Dato]],Kuponger!E:E,Kuponger!Z:Z),1,7)),"")</f>
        <v>12</v>
      </c>
      <c r="K5" s="3">
        <f ca="1">IFERROR(SUM(t_rb[[#This Row],[tp]]),0)</f>
        <v>780</v>
      </c>
      <c r="L5" s="3">
        <f ca="1">IF(t_rb[[#This Row],[Antall_rette]]=12,1,"")</f>
        <v>1</v>
      </c>
      <c r="M5" s="3" t="str">
        <f ca="1">IF(t_rb[[#This Row],[Antall_rette]]=11,1,"")</f>
        <v/>
      </c>
      <c r="N5" s="3" t="str">
        <f ca="1">IF(t_rb[[#This Row],[Antall_rette]]=10,1,"")</f>
        <v/>
      </c>
      <c r="O5" s="3">
        <f ca="1">IF(t_rb[[#This Row],[12_Antall]]=1,Data!$AJ$3,0)</f>
        <v>1070</v>
      </c>
      <c r="P5" s="3">
        <f ca="1">IF(t_rb[[#This Row],[11_Antall]]=1,Data!$AJ$2,0)</f>
        <v>0</v>
      </c>
      <c r="Q5" s="3" t="str" cm="1">
        <f t="array" ref="Q5">IFERROR(IF(_xlfn.XLOOKUP(t_rb[[#This Row],[Dato]]&amp;t_rb[[#This Row],[Navn]],Regnskap!$C$10:$C$51&amp;Regnskap!$K$10:$K$51,Regnskap!$H$10:$H$51)&gt;0,Data!AI5,""),"")</f>
        <v/>
      </c>
      <c r="R5" s="3" t="str" cm="1">
        <f t="array" ref="R5">IFERROR(IF(_xlfn.XLOOKUP(t_rb[[#This Row],[Dato]]&amp;t_rb[[#This Row],[Navn]],Regnskap!$C$10:$C$51&amp;Regnskap!$K$10:$K$51,Regnskap!$H$10:$H$51)&gt;0,Data!$AJ$3,""),"")</f>
        <v/>
      </c>
      <c r="S5" s="3" t="str" cm="1">
        <f t="array" ref="S5">IFERROR(IF(t_rb[[#This Row],[12_pLEV]]="",IF(_xlfn.XLOOKUP(t_rb[[#This Row],[Dato]]&amp;t_rb[[#This Row],[Navn]],Regnskap!$C$10:$C$51&amp;Regnskap!$K$10:$K$51,Regnskap!$I$10:$I$51)&gt;0,Data!$AJ$2)),"")</f>
        <v/>
      </c>
      <c r="T5" s="3" t="str" cm="1">
        <f t="array" ref="T5">IFERROR(IF(t_rb[[#This Row],[11_pLEV]]="",IF(_xlfn.XLOOKUP(t_rb[[#This Row],[Dato]]&amp;t_rb[[#This Row],[Navn]],Regnskap!$C$10:$C$51&amp;Regnskap!$K$10:$K$51,Regnskap!$J$10:$J$51)&gt;0,Data!$AJ$1),""),"")</f>
        <v/>
      </c>
      <c r="U5">
        <f ca="1">SUM(t_rb[[#This Row],[12_poeng]:[10_pLEV]])</f>
        <v>1070</v>
      </c>
      <c r="V5" s="3">
        <f ca="1">SUM(t_rb[[#This Row],[Summert]]+t_rb[[#This Row],[LEV_poeng]])</f>
        <v>1850</v>
      </c>
    </row>
    <row r="6" spans="1:37" x14ac:dyDescent="0.2">
      <c r="A6" s="3" t="s">
        <v>906</v>
      </c>
      <c r="B6">
        <f>IF(t_rb[[#This Row],[Dato]]&lt;&gt;"",WEEKNUM(t_rb[[#This Row],[Dato]]),"")</f>
        <v>37</v>
      </c>
      <c r="C6" s="22">
        <f>Data!AL5</f>
        <v>46277</v>
      </c>
      <c r="D6">
        <f ca="1">IFERROR(IF(t_rb[[#This Row],[Dato]]="","",OFFSET(_xlfn.XLOOKUP(C6,Kuponger!E:E,Kuponger!Z:Z),15,0)),"")</f>
        <v>0</v>
      </c>
      <c r="E6">
        <f ca="1">IFERROR(OFFSET(_xlfn.XLOOKUP(C6,Kuponger!E:E,Kuponger!Z:Z),15,1),"")</f>
        <v>0</v>
      </c>
      <c r="F6">
        <f ca="1">IFERROR(IF(t_rb[[#This Row],[Dato]]="","",OFFSET(_xlfn.XLOOKUP(C6,Kuponger!E:E,Kuponger!Z:Z),15,2)),"")</f>
        <v>852</v>
      </c>
      <c r="G6">
        <f ca="1">IFERROR(IF(OFFSET(_xlfn.XLOOKUP(C6,Kuponger!E:E,Kuponger!Z:Z),0,2)=0,"",OFFSET(_xlfn.XLOOKUP(C6,Kuponger!E:E,Kuponger!Z:Z),1,2))*-1,"")</f>
        <v>0</v>
      </c>
      <c r="H6">
        <f t="shared" ca="1" si="1"/>
        <v>852</v>
      </c>
      <c r="I6" t="str">
        <f ca="1">IFERROR(IF(t_rb[[#This Row],[tp]]&lt;&gt;"",OFFSET(_xlfn.XLOOKUP(C6,Kuponger!E:E,Kuponger!Z:Z),1,1),""),"")</f>
        <v/>
      </c>
      <c r="J6" s="3">
        <f ca="1">IFERROR(IF(t_rb[[#This Row],[Dato]]="",0,OFFSET(_xlfn.XLOOKUP(t_rb[[#This Row],[Dato]],Kuponger!E:E,Kuponger!Z:Z),1,7)),"")</f>
        <v>12</v>
      </c>
      <c r="K6" s="3">
        <f ca="1">IFERROR(SUM(t_rb[[#This Row],[tp]]),0)</f>
        <v>852</v>
      </c>
      <c r="L6" s="3">
        <f ca="1">IF(t_rb[[#This Row],[Antall_rette]]=12,1,"")</f>
        <v>1</v>
      </c>
      <c r="M6" s="3" t="str">
        <f ca="1">IF(t_rb[[#This Row],[Antall_rette]]=11,1,"")</f>
        <v/>
      </c>
      <c r="N6" s="3" t="str">
        <f ca="1">IF(t_rb[[#This Row],[Antall_rette]]=10,1,"")</f>
        <v/>
      </c>
      <c r="O6" s="3">
        <f ca="1">IF(t_rb[[#This Row],[12_Antall]]=1,Data!$AJ$3,0)</f>
        <v>1070</v>
      </c>
      <c r="P6" s="3">
        <f ca="1">IF(t_rb[[#This Row],[11_Antall]]=1,Data!$AJ$2,0)</f>
        <v>0</v>
      </c>
      <c r="Q6" s="3" t="str" cm="1">
        <f t="array" ref="Q6">IFERROR(IF(_xlfn.XLOOKUP(t_rb[[#This Row],[Dato]]&amp;t_rb[[#This Row],[Navn]],Regnskap!$C$10:$C$51&amp;Regnskap!$K$10:$K$51,Regnskap!$H$10:$H$51)&gt;0,Data!AI6,""),"")</f>
        <v/>
      </c>
      <c r="R6" s="3" t="str" cm="1">
        <f t="array" ref="R6">IFERROR(IF(_xlfn.XLOOKUP(t_rb[[#This Row],[Dato]]&amp;t_rb[[#This Row],[Navn]],Regnskap!$C$10:$C$51&amp;Regnskap!$K$10:$K$51,Regnskap!$H$10:$H$51)&gt;0,Data!$AJ$3,""),"")</f>
        <v/>
      </c>
      <c r="S6" s="3" t="str" cm="1">
        <f t="array" ref="S6">IFERROR(IF(t_rb[[#This Row],[12_pLEV]]="",IF(_xlfn.XLOOKUP(t_rb[[#This Row],[Dato]]&amp;t_rb[[#This Row],[Navn]],Regnskap!$C$10:$C$51&amp;Regnskap!$K$10:$K$51,Regnskap!$I$10:$I$51)&gt;0,Data!$AJ$2)),"")</f>
        <v/>
      </c>
      <c r="T6" s="3" t="str" cm="1">
        <f t="array" ref="T6">IFERROR(IF(t_rb[[#This Row],[11_pLEV]]="",IF(_xlfn.XLOOKUP(t_rb[[#This Row],[Dato]]&amp;t_rb[[#This Row],[Navn]],Regnskap!$C$10:$C$51&amp;Regnskap!$K$10:$K$51,Regnskap!$J$10:$J$51)&gt;0,Data!$AJ$1),""),"")</f>
        <v/>
      </c>
      <c r="U6">
        <f ca="1">SUM(t_rb[[#This Row],[12_poeng]:[10_pLEV]])</f>
        <v>1070</v>
      </c>
      <c r="V6" s="3">
        <f ca="1">SUM(t_rb[[#This Row],[Summert]]+t_rb[[#This Row],[LEV_poeng]])</f>
        <v>1922</v>
      </c>
    </row>
    <row r="7" spans="1:37" ht="15" x14ac:dyDescent="0.25">
      <c r="A7" s="3" t="s">
        <v>906</v>
      </c>
      <c r="B7">
        <f>IF(t_rb[[#This Row],[Dato]]&lt;&gt;"",WEEKNUM(t_rb[[#This Row],[Dato]]),"")</f>
        <v>38</v>
      </c>
      <c r="C7" s="22">
        <f>Data!AL6</f>
        <v>46284</v>
      </c>
      <c r="D7">
        <f ca="1">IFERROR(IF(t_rb[[#This Row],[Dato]]="","",OFFSET(_xlfn.XLOOKUP(C7,Kuponger!E:E,Kuponger!Z:Z),15,0)),"")</f>
        <v>0</v>
      </c>
      <c r="E7">
        <f ca="1">IFERROR(OFFSET(_xlfn.XLOOKUP(C7,Kuponger!E:E,Kuponger!Z:Z),15,1),"")</f>
        <v>0</v>
      </c>
      <c r="F7">
        <f ca="1">IFERROR(IF(t_rb[[#This Row],[Dato]]="","",OFFSET(_xlfn.XLOOKUP(C7,Kuponger!E:E,Kuponger!Z:Z),15,2)),"")</f>
        <v>852</v>
      </c>
      <c r="G7">
        <f ca="1">IFERROR(IF(OFFSET(_xlfn.XLOOKUP(C7,Kuponger!E:E,Kuponger!Z:Z),0,2)=0,"",OFFSET(_xlfn.XLOOKUP(C7,Kuponger!E:E,Kuponger!Z:Z),1,2))*-1,"")</f>
        <v>0</v>
      </c>
      <c r="H7">
        <f t="shared" ca="1" si="1"/>
        <v>852</v>
      </c>
      <c r="I7" t="str">
        <f ca="1">IFERROR(IF(t_rb[[#This Row],[tp]]&lt;&gt;"",OFFSET(_xlfn.XLOOKUP(C7,Kuponger!E:E,Kuponger!Z:Z),1,1),""),"")</f>
        <v/>
      </c>
      <c r="J7" s="3">
        <f ca="1">IFERROR(IF(t_rb[[#This Row],[Dato]]="",0,OFFSET(_xlfn.XLOOKUP(t_rb[[#This Row],[Dato]],Kuponger!E:E,Kuponger!Z:Z),1,7)),"")</f>
        <v>12</v>
      </c>
      <c r="K7" s="3">
        <f ca="1">IFERROR(SUM(t_rb[[#This Row],[tp]]),0)</f>
        <v>852</v>
      </c>
      <c r="L7" s="3">
        <f ca="1">IF(t_rb[[#This Row],[Antall_rette]]=12,1,"")</f>
        <v>1</v>
      </c>
      <c r="M7" s="3" t="str">
        <f ca="1">IF(t_rb[[#This Row],[Antall_rette]]=11,1,"")</f>
        <v/>
      </c>
      <c r="N7" s="3" t="str">
        <f ca="1">IF(t_rb[[#This Row],[Antall_rette]]=10,1,"")</f>
        <v/>
      </c>
      <c r="O7" s="3">
        <f ca="1">IF(t_rb[[#This Row],[12_Antall]]=1,Data!$AJ$3,0)</f>
        <v>1070</v>
      </c>
      <c r="P7" s="3">
        <f ca="1">IF(t_rb[[#This Row],[11_Antall]]=1,Data!$AJ$2,0)</f>
        <v>0</v>
      </c>
      <c r="Q7" s="3" t="str" cm="1">
        <f t="array" ref="Q7">IFERROR(IF(_xlfn.XLOOKUP(t_rb[[#This Row],[Dato]]&amp;t_rb[[#This Row],[Navn]],Regnskap!$C$10:$C$51&amp;Regnskap!$K$10:$K$51,Regnskap!$H$10:$H$51)&gt;0,Data!AI7,""),"")</f>
        <v/>
      </c>
      <c r="R7" s="3" t="str" cm="1">
        <f t="array" ref="R7">IFERROR(IF(_xlfn.XLOOKUP(t_rb[[#This Row],[Dato]]&amp;t_rb[[#This Row],[Navn]],Regnskap!$C$10:$C$51&amp;Regnskap!$K$10:$K$51,Regnskap!$H$10:$H$51)&gt;0,Data!$AJ$3,""),"")</f>
        <v/>
      </c>
      <c r="S7" s="3" t="str" cm="1">
        <f t="array" ref="S7">IFERROR(IF(t_rb[[#This Row],[12_pLEV]]="",IF(_xlfn.XLOOKUP(t_rb[[#This Row],[Dato]]&amp;t_rb[[#This Row],[Navn]],Regnskap!$C$10:$C$51&amp;Regnskap!$K$10:$K$51,Regnskap!$I$10:$I$51)&gt;0,Data!$AJ$2)),"")</f>
        <v/>
      </c>
      <c r="T7" s="3" t="str" cm="1">
        <f t="array" ref="T7">IFERROR(IF(t_rb[[#This Row],[11_pLEV]]="",IF(_xlfn.XLOOKUP(t_rb[[#This Row],[Dato]]&amp;t_rb[[#This Row],[Navn]],Regnskap!$C$10:$C$51&amp;Regnskap!$K$10:$K$51,Regnskap!$J$10:$J$51)&gt;0,Data!$AJ$1),""),"")</f>
        <v/>
      </c>
      <c r="U7">
        <f ca="1">SUM(t_rb[[#This Row],[12_poeng]:[10_pLEV]])</f>
        <v>1070</v>
      </c>
      <c r="V7" s="3">
        <f ca="1">SUM(t_rb[[#This Row],[Summert]]+t_rb[[#This Row],[LEV_poeng]])</f>
        <v>1922</v>
      </c>
      <c r="W7" s="671"/>
      <c r="X7" s="671"/>
      <c r="Y7" s="671"/>
      <c r="Z7" s="671"/>
      <c r="AA7" s="671"/>
      <c r="AB7" s="671"/>
      <c r="AC7" s="671"/>
      <c r="AD7" s="23"/>
    </row>
    <row r="8" spans="1:37" x14ac:dyDescent="0.2">
      <c r="A8" s="3" t="s">
        <v>906</v>
      </c>
      <c r="B8">
        <f>IF(t_rb[[#This Row],[Dato]]&lt;&gt;"",WEEKNUM(t_rb[[#This Row],[Dato]]),"")</f>
        <v>39</v>
      </c>
      <c r="C8" s="22">
        <f>Data!AL7</f>
        <v>46291</v>
      </c>
      <c r="D8">
        <f ca="1">IFERROR(IF(t_rb[[#This Row],[Dato]]="","",OFFSET(_xlfn.XLOOKUP(C8,Kuponger!E:E,Kuponger!Z:Z),15,0)),"")</f>
        <v>0</v>
      </c>
      <c r="E8">
        <f ca="1">IFERROR(OFFSET(_xlfn.XLOOKUP(C8,Kuponger!E:E,Kuponger!Z:Z),15,1),"")</f>
        <v>0</v>
      </c>
      <c r="F8">
        <f ca="1">IFERROR(IF(t_rb[[#This Row],[Dato]]="","",OFFSET(_xlfn.XLOOKUP(C8,Kuponger!E:E,Kuponger!Z:Z),15,2)),"")</f>
        <v>710</v>
      </c>
      <c r="G8">
        <f ca="1">IFERROR(IF(OFFSET(_xlfn.XLOOKUP(C8,Kuponger!E:E,Kuponger!Z:Z),0,2)=0,"",OFFSET(_xlfn.XLOOKUP(C8,Kuponger!E:E,Kuponger!Z:Z),1,2))*-1,"")</f>
        <v>0</v>
      </c>
      <c r="H8">
        <f t="shared" ca="1" si="1"/>
        <v>710</v>
      </c>
      <c r="I8" t="str">
        <f ca="1">IFERROR(IF(t_rb[[#This Row],[tp]]&lt;&gt;"",OFFSET(_xlfn.XLOOKUP(C8,Kuponger!E:E,Kuponger!Z:Z),1,1),""),"")</f>
        <v/>
      </c>
      <c r="J8" s="3">
        <f ca="1">IFERROR(IF(t_rb[[#This Row],[Dato]]="",0,OFFSET(_xlfn.XLOOKUP(t_rb[[#This Row],[Dato]],Kuponger!E:E,Kuponger!Z:Z),1,7)),"")</f>
        <v>10</v>
      </c>
      <c r="K8" s="3">
        <f ca="1">IFERROR(SUM(t_rb[[#This Row],[tp]]),0)</f>
        <v>710</v>
      </c>
      <c r="L8" s="3" t="str">
        <f ca="1">IF(t_rb[[#This Row],[Antall_rette]]=12,1,"")</f>
        <v/>
      </c>
      <c r="M8" s="3" t="str">
        <f ca="1">IF(t_rb[[#This Row],[Antall_rette]]=11,1,"")</f>
        <v/>
      </c>
      <c r="N8" s="3">
        <f ca="1">IF(t_rb[[#This Row],[Antall_rette]]=10,1,"")</f>
        <v>1</v>
      </c>
      <c r="O8" s="3">
        <f ca="1">IF(t_rb[[#This Row],[12_Antall]]=1,Data!$AJ$3,0)</f>
        <v>0</v>
      </c>
      <c r="P8" s="3">
        <f ca="1">IF(t_rb[[#This Row],[11_Antall]]=1,Data!$AJ$2,0)</f>
        <v>0</v>
      </c>
      <c r="Q8" s="3" t="str" cm="1">
        <f t="array" ref="Q8">IFERROR(IF(_xlfn.XLOOKUP(t_rb[[#This Row],[Dato]]&amp;t_rb[[#This Row],[Navn]],Regnskap!$C$10:$C$51&amp;Regnskap!$K$10:$K$51,Regnskap!$H$10:$H$51)&gt;0,Data!AI8,""),"")</f>
        <v/>
      </c>
      <c r="R8" s="3" t="str" cm="1">
        <f t="array" ref="R8">IFERROR(IF(_xlfn.XLOOKUP(t_rb[[#This Row],[Dato]]&amp;t_rb[[#This Row],[Navn]],Regnskap!$C$10:$C$51&amp;Regnskap!$K$10:$K$51,Regnskap!$H$10:$H$51)&gt;0,Data!$AJ$3,""),"")</f>
        <v/>
      </c>
      <c r="S8" s="3" t="str" cm="1">
        <f t="array" ref="S8">IFERROR(IF(t_rb[[#This Row],[12_pLEV]]="",IF(_xlfn.XLOOKUP(t_rb[[#This Row],[Dato]]&amp;t_rb[[#This Row],[Navn]],Regnskap!$C$10:$C$51&amp;Regnskap!$K$10:$K$51,Regnskap!$I$10:$I$51)&gt;0,Data!$AJ$2)),"")</f>
        <v/>
      </c>
      <c r="T8" s="3" t="str" cm="1">
        <f t="array" ref="T8">IFERROR(IF(t_rb[[#This Row],[11_pLEV]]="",IF(_xlfn.XLOOKUP(t_rb[[#This Row],[Dato]]&amp;t_rb[[#This Row],[Navn]],Regnskap!$C$10:$C$51&amp;Regnskap!$K$10:$K$51,Regnskap!$J$10:$J$51)&gt;0,Data!$AJ$1),""),"")</f>
        <v/>
      </c>
      <c r="U8">
        <f ca="1">SUM(t_rb[[#This Row],[12_poeng]:[10_pLEV]])</f>
        <v>0</v>
      </c>
      <c r="V8" s="3">
        <f ca="1">SUM(t_rb[[#This Row],[Summert]]+t_rb[[#This Row],[LEV_poeng]])</f>
        <v>710</v>
      </c>
    </row>
    <row r="9" spans="1:37" x14ac:dyDescent="0.2">
      <c r="A9" s="3" t="s">
        <v>906</v>
      </c>
      <c r="B9">
        <f>IF(t_rb[[#This Row],[Dato]]&lt;&gt;"",WEEKNUM(t_rb[[#This Row],[Dato]]),"")</f>
        <v>40</v>
      </c>
      <c r="C9" s="22">
        <f>Data!AL8</f>
        <v>46298</v>
      </c>
      <c r="D9">
        <f ca="1">IFERROR(IF(t_rb[[#This Row],[Dato]]="","",OFFSET(_xlfn.XLOOKUP(C9,Kuponger!E:E,Kuponger!Z:Z),15,0)),"")</f>
        <v>0</v>
      </c>
      <c r="E9">
        <f ca="1">IFERROR(OFFSET(_xlfn.XLOOKUP(C9,Kuponger!E:E,Kuponger!Z:Z),15,1),"")</f>
        <v>814</v>
      </c>
      <c r="F9">
        <f ca="1">IFERROR(IF(t_rb[[#This Row],[Dato]]="","",OFFSET(_xlfn.XLOOKUP(C9,Kuponger!E:E,Kuponger!Z:Z),15,2)),"")</f>
        <v>0</v>
      </c>
      <c r="G9">
        <f ca="1">IFERROR(IF(OFFSET(_xlfn.XLOOKUP(C9,Kuponger!E:E,Kuponger!Z:Z),0,2)=0,"",OFFSET(_xlfn.XLOOKUP(C9,Kuponger!E:E,Kuponger!Z:Z),1,2))*-1,"")</f>
        <v>0</v>
      </c>
      <c r="H9">
        <f t="shared" ca="1" si="1"/>
        <v>814</v>
      </c>
      <c r="I9">
        <f ca="1">IFERROR(IF(t_rb[[#This Row],[tp]]&lt;&gt;"",OFFSET(_xlfn.XLOOKUP(C9,Kuponger!E:E,Kuponger!Z:Z),1,1),""),"")</f>
        <v>1</v>
      </c>
      <c r="J9" s="3">
        <f ca="1">IFERROR(IF(t_rb[[#This Row],[Dato]]="",0,OFFSET(_xlfn.XLOOKUP(t_rb[[#This Row],[Dato]],Kuponger!E:E,Kuponger!Z:Z),1,7)),"")</f>
        <v>11</v>
      </c>
      <c r="K9" s="3">
        <f ca="1">IFERROR(SUM(t_rb[[#This Row],[tp]]),0)</f>
        <v>814</v>
      </c>
      <c r="L9" s="3" t="str">
        <f ca="1">IF(t_rb[[#This Row],[Antall_rette]]=12,1,"")</f>
        <v/>
      </c>
      <c r="M9" s="3">
        <f ca="1">IF(t_rb[[#This Row],[Antall_rette]]=11,1,"")</f>
        <v>1</v>
      </c>
      <c r="N9" s="3" t="str">
        <f ca="1">IF(t_rb[[#This Row],[Antall_rette]]=10,1,"")</f>
        <v/>
      </c>
      <c r="O9" s="3">
        <f ca="1">IF(t_rb[[#This Row],[12_Antall]]=1,Data!$AJ$3,0)</f>
        <v>0</v>
      </c>
      <c r="P9" s="3">
        <f ca="1">IF(t_rb[[#This Row],[11_Antall]]=1,Data!$AJ$2,0)</f>
        <v>161</v>
      </c>
      <c r="Q9" s="3" t="str" cm="1">
        <f t="array" ref="Q9">IFERROR(IF(_xlfn.XLOOKUP(t_rb[[#This Row],[Dato]]&amp;t_rb[[#This Row],[Navn]],Regnskap!$C$10:$C$51&amp;Regnskap!$K$10:$K$51,Regnskap!$H$10:$H$51)&gt;0,Data!AI9,""),"")</f>
        <v/>
      </c>
      <c r="R9" s="3" t="str" cm="1">
        <f t="array" ref="R9">IFERROR(IF(_xlfn.XLOOKUP(t_rb[[#This Row],[Dato]]&amp;t_rb[[#This Row],[Navn]],Regnskap!$C$10:$C$51&amp;Regnskap!$K$10:$K$51,Regnskap!$H$10:$H$51)&gt;0,Data!$AJ$3,""),"")</f>
        <v/>
      </c>
      <c r="S9" s="3" cm="1">
        <f t="array" ref="S9">IFERROR(IF(t_rb[[#This Row],[12_pLEV]]="",IF(_xlfn.XLOOKUP(t_rb[[#This Row],[Dato]]&amp;t_rb[[#This Row],[Navn]],Regnskap!$C$10:$C$51&amp;Regnskap!$K$10:$K$51,Regnskap!$I$10:$I$51)&gt;0,Data!$AJ$2)),"")</f>
        <v>161</v>
      </c>
      <c r="T9" s="3" t="str" cm="1">
        <f t="array" ref="T9">IFERROR(IF(t_rb[[#This Row],[11_pLEV]]="",IF(_xlfn.XLOOKUP(t_rb[[#This Row],[Dato]]&amp;t_rb[[#This Row],[Navn]],Regnskap!$C$10:$C$51&amp;Regnskap!$K$10:$K$51,Regnskap!$J$10:$J$51)&gt;0,Data!$AJ$1),""),"")</f>
        <v/>
      </c>
      <c r="U9">
        <f ca="1">SUM(t_rb[[#This Row],[12_poeng]:[10_pLEV]])</f>
        <v>322</v>
      </c>
      <c r="V9" s="3">
        <f ca="1">SUM(t_rb[[#This Row],[Summert]]+t_rb[[#This Row],[LEV_poeng]])</f>
        <v>1136</v>
      </c>
    </row>
    <row r="10" spans="1:37" x14ac:dyDescent="0.2">
      <c r="A10" s="3" t="s">
        <v>906</v>
      </c>
      <c r="B10">
        <f>IF(t_rb[[#This Row],[Dato]]&lt;&gt;"",WEEKNUM(t_rb[[#This Row],[Dato]]),"")</f>
        <v>41</v>
      </c>
      <c r="C10" s="22">
        <f>Data!AL9</f>
        <v>46305</v>
      </c>
      <c r="D10">
        <f ca="1">IFERROR(IF(t_rb[[#This Row],[Dato]]="","",OFFSET(_xlfn.XLOOKUP(C10,Kuponger!E:E,Kuponger!Z:Z),15,0)),"")</f>
        <v>0</v>
      </c>
      <c r="E10">
        <f ca="1">IFERROR(OFFSET(_xlfn.XLOOKUP(C10,Kuponger!E:E,Kuponger!Z:Z),15,1),"")</f>
        <v>888</v>
      </c>
      <c r="F10">
        <f ca="1">IFERROR(IF(t_rb[[#This Row],[Dato]]="","",OFFSET(_xlfn.XLOOKUP(C10,Kuponger!E:E,Kuponger!Z:Z),15,2)),"")</f>
        <v>0</v>
      </c>
      <c r="G10">
        <f ca="1">IFERROR(IF(OFFSET(_xlfn.XLOOKUP(C10,Kuponger!E:E,Kuponger!Z:Z),0,2)=0,"",OFFSET(_xlfn.XLOOKUP(C10,Kuponger!E:E,Kuponger!Z:Z),1,2))*-1,"")</f>
        <v>0</v>
      </c>
      <c r="H10">
        <f t="shared" ca="1" si="1"/>
        <v>888</v>
      </c>
      <c r="I10">
        <f ca="1">IFERROR(IF(t_rb[[#This Row],[tp]]&lt;&gt;"",OFFSET(_xlfn.XLOOKUP(C10,Kuponger!E:E,Kuponger!Z:Z),1,1),""),"")</f>
        <v>1</v>
      </c>
      <c r="J10" s="3">
        <f ca="1">IFERROR(IF(t_rb[[#This Row],[Dato]]="",0,OFFSET(_xlfn.XLOOKUP(t_rb[[#This Row],[Dato]],Kuponger!E:E,Kuponger!Z:Z),1,7)),"")</f>
        <v>12</v>
      </c>
      <c r="K10" s="3">
        <f ca="1">IFERROR(SUM(t_rb[[#This Row],[tp]]),0)</f>
        <v>888</v>
      </c>
      <c r="L10" s="3">
        <f ca="1">IF(t_rb[[#This Row],[Antall_rette]]=12,1,"")</f>
        <v>1</v>
      </c>
      <c r="M10" s="3" t="str">
        <f ca="1">IF(t_rb[[#This Row],[Antall_rette]]=11,1,"")</f>
        <v/>
      </c>
      <c r="N10" s="3" t="str">
        <f ca="1">IF(t_rb[[#This Row],[Antall_rette]]=10,1,"")</f>
        <v/>
      </c>
      <c r="O10" s="3">
        <f ca="1">IF(t_rb[[#This Row],[12_Antall]]=1,Data!$AJ$3,0)</f>
        <v>1070</v>
      </c>
      <c r="P10" s="3">
        <f ca="1">IF(t_rb[[#This Row],[11_Antall]]=1,Data!$AJ$2,0)</f>
        <v>0</v>
      </c>
      <c r="Q10" s="3" t="str" cm="1">
        <f t="array" ref="Q10">IFERROR(IF(_xlfn.XLOOKUP(t_rb[[#This Row],[Dato]]&amp;t_rb[[#This Row],[Navn]],Regnskap!$C$10:$C$51&amp;Regnskap!$K$10:$K$51,Regnskap!$H$10:$H$51)&gt;0,Data!AI10,""),"")</f>
        <v/>
      </c>
      <c r="R10" s="3" t="str" cm="1">
        <f t="array" ref="R10">IFERROR(IF(_xlfn.XLOOKUP(t_rb[[#This Row],[Dato]]&amp;t_rb[[#This Row],[Navn]],Regnskap!$C$10:$C$51&amp;Regnskap!$K$10:$K$51,Regnskap!$H$10:$H$51)&gt;0,Data!$AJ$3,""),"")</f>
        <v/>
      </c>
      <c r="S10" s="3" t="str" cm="1">
        <f t="array" ref="S10">IFERROR(IF(t_rb[[#This Row],[12_pLEV]]="",IF(_xlfn.XLOOKUP(t_rb[[#This Row],[Dato]]&amp;t_rb[[#This Row],[Navn]],Regnskap!$C$10:$C$51&amp;Regnskap!$K$10:$K$51,Regnskap!$I$10:$I$51)&gt;0,Data!$AJ$2)),"")</f>
        <v/>
      </c>
      <c r="T10" s="3" t="str" cm="1">
        <f t="array" ref="T10">IFERROR(IF(t_rb[[#This Row],[11_pLEV]]="",IF(_xlfn.XLOOKUP(t_rb[[#This Row],[Dato]]&amp;t_rb[[#This Row],[Navn]],Regnskap!$C$10:$C$51&amp;Regnskap!$K$10:$K$51,Regnskap!$J$10:$J$51)&gt;0,Data!$AJ$1),""),"")</f>
        <v/>
      </c>
      <c r="U10">
        <f ca="1">SUM(t_rb[[#This Row],[12_poeng]:[10_pLEV]])</f>
        <v>1070</v>
      </c>
      <c r="V10" s="3">
        <f ca="1">SUM(t_rb[[#This Row],[Summert]]+t_rb[[#This Row],[LEV_poeng]])</f>
        <v>1958</v>
      </c>
    </row>
    <row r="11" spans="1:37" x14ac:dyDescent="0.2">
      <c r="A11" s="3" t="s">
        <v>906</v>
      </c>
      <c r="B11">
        <f>IF(t_rb[[#This Row],[Dato]]&lt;&gt;"",WEEKNUM(t_rb[[#This Row],[Dato]]),"")</f>
        <v>42</v>
      </c>
      <c r="C11" s="22">
        <f>Data!AL10</f>
        <v>46312</v>
      </c>
      <c r="D11">
        <f ca="1">IFERROR(IF(t_rb[[#This Row],[Dato]]="","",OFFSET(_xlfn.XLOOKUP(C11,Kuponger!E:E,Kuponger!Z:Z),15,0)),"")</f>
        <v>0</v>
      </c>
      <c r="E11">
        <f ca="1">IFERROR(OFFSET(_xlfn.XLOOKUP(C11,Kuponger!E:E,Kuponger!Z:Z),15,1),"")</f>
        <v>0</v>
      </c>
      <c r="F11">
        <f ca="1">IFERROR(IF(t_rb[[#This Row],[Dato]]="","",OFFSET(_xlfn.XLOOKUP(C11,Kuponger!E:E,Kuponger!Z:Z),15,2)),"")</f>
        <v>0</v>
      </c>
      <c r="G11">
        <f ca="1">IFERROR(IF(OFFSET(_xlfn.XLOOKUP(C11,Kuponger!E:E,Kuponger!Z:Z),0,2)=0,"",OFFSET(_xlfn.XLOOKUP(C11,Kuponger!E:E,Kuponger!Z:Z),1,2))*-1,"")</f>
        <v>0</v>
      </c>
      <c r="H11" t="str">
        <f t="shared" ca="1" si="1"/>
        <v/>
      </c>
      <c r="I11" t="str">
        <f ca="1">IFERROR(IF(t_rb[[#This Row],[tp]]&lt;&gt;"",OFFSET(_xlfn.XLOOKUP(C11,Kuponger!E:E,Kuponger!Z:Z),1,1),""),"")</f>
        <v/>
      </c>
      <c r="J11" s="3">
        <f ca="1">IFERROR(IF(t_rb[[#This Row],[Dato]]="",0,OFFSET(_xlfn.XLOOKUP(t_rb[[#This Row],[Dato]],Kuponger!E:E,Kuponger!Z:Z),1,7)),"")</f>
        <v>0</v>
      </c>
      <c r="K11" s="3">
        <f ca="1">IFERROR(SUM(t_rb[[#This Row],[tp]]),0)</f>
        <v>0</v>
      </c>
      <c r="L11" s="3" t="str">
        <f ca="1">IF(t_rb[[#This Row],[Antall_rette]]=12,1,"")</f>
        <v/>
      </c>
      <c r="M11" s="3" t="str">
        <f ca="1">IF(t_rb[[#This Row],[Antall_rette]]=11,1,"")</f>
        <v/>
      </c>
      <c r="N11" s="3" t="str">
        <f ca="1">IF(t_rb[[#This Row],[Antall_rette]]=10,1,"")</f>
        <v/>
      </c>
      <c r="O11" s="3">
        <f ca="1">IF(t_rb[[#This Row],[12_Antall]]=1,Data!$AJ$3,0)</f>
        <v>0</v>
      </c>
      <c r="P11" s="3">
        <f ca="1">IF(t_rb[[#This Row],[11_Antall]]=1,Data!$AJ$2,0)</f>
        <v>0</v>
      </c>
      <c r="Q11" s="3" t="str" cm="1">
        <f t="array" ref="Q11">IFERROR(IF(_xlfn.XLOOKUP(t_rb[[#This Row],[Dato]]&amp;t_rb[[#This Row],[Navn]],Regnskap!$C$10:$C$51&amp;Regnskap!$K$10:$K$51,Regnskap!$H$10:$H$51)&gt;0,Data!AI11,""),"")</f>
        <v/>
      </c>
      <c r="R11" s="3" t="str" cm="1">
        <f t="array" ref="R11">IFERROR(IF(_xlfn.XLOOKUP(t_rb[[#This Row],[Dato]]&amp;t_rb[[#This Row],[Navn]],Regnskap!$C$10:$C$51&amp;Regnskap!$K$10:$K$51,Regnskap!$H$10:$H$51)&gt;0,Data!$AJ$3,""),"")</f>
        <v/>
      </c>
      <c r="S11" s="3" t="str" cm="1">
        <f t="array" ref="S11">IFERROR(IF(t_rb[[#This Row],[12_pLEV]]="",IF(_xlfn.XLOOKUP(t_rb[[#This Row],[Dato]]&amp;t_rb[[#This Row],[Navn]],Regnskap!$C$10:$C$51&amp;Regnskap!$K$10:$K$51,Regnskap!$I$10:$I$51)&gt;0,Data!$AJ$2)),"")</f>
        <v/>
      </c>
      <c r="T11" s="3" t="str" cm="1">
        <f t="array" ref="T11">IFERROR(IF(t_rb[[#This Row],[11_pLEV]]="",IF(_xlfn.XLOOKUP(t_rb[[#This Row],[Dato]]&amp;t_rb[[#This Row],[Navn]],Regnskap!$C$10:$C$51&amp;Regnskap!$K$10:$K$51,Regnskap!$J$10:$J$51)&gt;0,Data!$AJ$1),""),"")</f>
        <v/>
      </c>
      <c r="U11">
        <f ca="1">SUM(t_rb[[#This Row],[12_poeng]:[10_pLEV]])</f>
        <v>0</v>
      </c>
      <c r="V11" s="3">
        <f ca="1">SUM(t_rb[[#This Row],[Summert]]+t_rb[[#This Row],[LEV_poeng]])</f>
        <v>0</v>
      </c>
    </row>
    <row r="12" spans="1:37" x14ac:dyDescent="0.2">
      <c r="A12" s="3" t="s">
        <v>906</v>
      </c>
      <c r="B12">
        <f>IF(t_rb[[#This Row],[Dato]]&lt;&gt;"",WEEKNUM(t_rb[[#This Row],[Dato]]),"")</f>
        <v>43</v>
      </c>
      <c r="C12" s="22">
        <f>Data!AL11</f>
        <v>46319</v>
      </c>
      <c r="D12">
        <f ca="1">IFERROR(IF(t_rb[[#This Row],[Dato]]="","",OFFSET(_xlfn.XLOOKUP(C12,Kuponger!E:E,Kuponger!Z:Z),15,0)),"")</f>
        <v>0</v>
      </c>
      <c r="E12">
        <f ca="1">IFERROR(OFFSET(_xlfn.XLOOKUP(C12,Kuponger!E:E,Kuponger!Z:Z),15,1),"")</f>
        <v>0</v>
      </c>
      <c r="F12">
        <f ca="1">IFERROR(IF(t_rb[[#This Row],[Dato]]="","",OFFSET(_xlfn.XLOOKUP(C12,Kuponger!E:E,Kuponger!Z:Z),15,2)),"")</f>
        <v>0</v>
      </c>
      <c r="G12">
        <f ca="1">IFERROR(IF(OFFSET(_xlfn.XLOOKUP(C12,Kuponger!E:E,Kuponger!Z:Z),0,2)=0,"",OFFSET(_xlfn.XLOOKUP(C12,Kuponger!E:E,Kuponger!Z:Z),1,2))*-1,"")</f>
        <v>0</v>
      </c>
      <c r="H12" t="str">
        <f t="shared" ca="1" si="1"/>
        <v/>
      </c>
      <c r="I12" t="str">
        <f ca="1">IFERROR(IF(t_rb[[#This Row],[tp]]&lt;&gt;"",OFFSET(_xlfn.XLOOKUP(C12,Kuponger!E:E,Kuponger!Z:Z),1,1),""),"")</f>
        <v/>
      </c>
      <c r="J12" s="3">
        <f ca="1">IFERROR(IF(t_rb[[#This Row],[Dato]]="",0,OFFSET(_xlfn.XLOOKUP(t_rb[[#This Row],[Dato]],Kuponger!E:E,Kuponger!Z:Z),1,7)),"")</f>
        <v>0</v>
      </c>
      <c r="K12" s="3">
        <f ca="1">IFERROR(SUM(t_rb[[#This Row],[tp]]),0)</f>
        <v>0</v>
      </c>
      <c r="L12" s="3" t="str">
        <f ca="1">IF(t_rb[[#This Row],[Antall_rette]]=12,1,"")</f>
        <v/>
      </c>
      <c r="M12" s="3" t="str">
        <f ca="1">IF(t_rb[[#This Row],[Antall_rette]]=11,1,"")</f>
        <v/>
      </c>
      <c r="N12" s="3" t="str">
        <f ca="1">IF(t_rb[[#This Row],[Antall_rette]]=10,1,"")</f>
        <v/>
      </c>
      <c r="O12" s="3">
        <f ca="1">IF(t_rb[[#This Row],[12_Antall]]=1,Data!$AJ$3,0)</f>
        <v>0</v>
      </c>
      <c r="P12" s="3">
        <f ca="1">IF(t_rb[[#This Row],[11_Antall]]=1,Data!$AJ$2,0)</f>
        <v>0</v>
      </c>
      <c r="Q12" s="3" t="str" cm="1">
        <f t="array" ref="Q12">IFERROR(IF(_xlfn.XLOOKUP(t_rb[[#This Row],[Dato]]&amp;t_rb[[#This Row],[Navn]],Regnskap!$C$10:$C$51&amp;Regnskap!$K$10:$K$51,Regnskap!$H$10:$H$51)&gt;0,Data!AI12,""),"")</f>
        <v/>
      </c>
      <c r="R12" s="3" t="str" cm="1">
        <f t="array" ref="R12">IFERROR(IF(_xlfn.XLOOKUP(t_rb[[#This Row],[Dato]]&amp;t_rb[[#This Row],[Navn]],Regnskap!$C$10:$C$51&amp;Regnskap!$K$10:$K$51,Regnskap!$H$10:$H$51)&gt;0,Data!$AJ$3,""),"")</f>
        <v/>
      </c>
      <c r="S12" s="3" t="str" cm="1">
        <f t="array" ref="S12">IFERROR(IF(t_rb[[#This Row],[12_pLEV]]="",IF(_xlfn.XLOOKUP(t_rb[[#This Row],[Dato]]&amp;t_rb[[#This Row],[Navn]],Regnskap!$C$10:$C$51&amp;Regnskap!$K$10:$K$51,Regnskap!$I$10:$I$51)&gt;0,Data!$AJ$2)),"")</f>
        <v/>
      </c>
      <c r="T12" s="3" t="str" cm="1">
        <f t="array" ref="T12">IFERROR(IF(t_rb[[#This Row],[11_pLEV]]="",IF(_xlfn.XLOOKUP(t_rb[[#This Row],[Dato]]&amp;t_rb[[#This Row],[Navn]],Regnskap!$C$10:$C$51&amp;Regnskap!$K$10:$K$51,Regnskap!$J$10:$J$51)&gt;0,Data!$AJ$1),""),"")</f>
        <v/>
      </c>
      <c r="U12">
        <f ca="1">SUM(t_rb[[#This Row],[12_poeng]:[10_pLEV]])</f>
        <v>0</v>
      </c>
      <c r="V12" s="3">
        <f ca="1">SUM(t_rb[[#This Row],[Summert]]+t_rb[[#This Row],[LEV_poeng]])</f>
        <v>0</v>
      </c>
    </row>
    <row r="13" spans="1:37" ht="15" x14ac:dyDescent="0.25">
      <c r="A13" s="3" t="s">
        <v>906</v>
      </c>
      <c r="B13">
        <f>IF(t_rb[[#This Row],[Dato]]&lt;&gt;"",WEEKNUM(t_rb[[#This Row],[Dato]]),"")</f>
        <v>44</v>
      </c>
      <c r="C13" s="22">
        <f>Data!AL12</f>
        <v>46326</v>
      </c>
      <c r="D13">
        <f ca="1">IFERROR(IF(t_rb[[#This Row],[Dato]]="","",OFFSET(_xlfn.XLOOKUP(C13,Kuponger!E:E,Kuponger!Z:Z),15,0)),"")</f>
        <v>0</v>
      </c>
      <c r="E13">
        <f ca="1">IFERROR(OFFSET(_xlfn.XLOOKUP(C13,Kuponger!E:E,Kuponger!Z:Z),15,1),"")</f>
        <v>0</v>
      </c>
      <c r="F13">
        <f ca="1">IFERROR(IF(t_rb[[#This Row],[Dato]]="","",OFFSET(_xlfn.XLOOKUP(C13,Kuponger!E:E,Kuponger!Z:Z),15,2)),"")</f>
        <v>0</v>
      </c>
      <c r="G13">
        <f ca="1">IFERROR(IF(OFFSET(_xlfn.XLOOKUP(C13,Kuponger!E:E,Kuponger!Z:Z),0,2)=0,"",OFFSET(_xlfn.XLOOKUP(C13,Kuponger!E:E,Kuponger!Z:Z),1,2))*-1,"")</f>
        <v>0</v>
      </c>
      <c r="H13" t="str">
        <f t="shared" ca="1" si="1"/>
        <v/>
      </c>
      <c r="I13" t="str">
        <f ca="1">IFERROR(IF(t_rb[[#This Row],[tp]]&lt;&gt;"",OFFSET(_xlfn.XLOOKUP(C13,Kuponger!E:E,Kuponger!Z:Z),1,1),""),"")</f>
        <v/>
      </c>
      <c r="J13" s="3">
        <f ca="1">IFERROR(IF(t_rb[[#This Row],[Dato]]="",0,OFFSET(_xlfn.XLOOKUP(t_rb[[#This Row],[Dato]],Kuponger!E:E,Kuponger!Z:Z),1,7)),"")</f>
        <v>0</v>
      </c>
      <c r="K13" s="3">
        <f ca="1">IFERROR(SUM(t_rb[[#This Row],[tp]]),0)</f>
        <v>0</v>
      </c>
      <c r="L13" s="3" t="str">
        <f ca="1">IF(t_rb[[#This Row],[Antall_rette]]=12,1,"")</f>
        <v/>
      </c>
      <c r="M13" s="3" t="str">
        <f ca="1">IF(t_rb[[#This Row],[Antall_rette]]=11,1,"")</f>
        <v/>
      </c>
      <c r="N13" s="3" t="str">
        <f ca="1">IF(t_rb[[#This Row],[Antall_rette]]=10,1,"")</f>
        <v/>
      </c>
      <c r="O13" s="3">
        <f ca="1">IF(t_rb[[#This Row],[12_Antall]]=1,Data!$AJ$3,0)</f>
        <v>0</v>
      </c>
      <c r="P13" s="3">
        <f ca="1">IF(t_rb[[#This Row],[11_Antall]]=1,Data!$AJ$2,0)</f>
        <v>0</v>
      </c>
      <c r="Q13" s="3" t="str" cm="1">
        <f t="array" ref="Q13">IFERROR(IF(_xlfn.XLOOKUP(t_rb[[#This Row],[Dato]]&amp;t_rb[[#This Row],[Navn]],Regnskap!$C$10:$C$51&amp;Regnskap!$K$10:$K$51,Regnskap!$H$10:$H$51)&gt;0,Data!AI13,""),"")</f>
        <v/>
      </c>
      <c r="R13" s="3" t="str" cm="1">
        <f t="array" ref="R13">IFERROR(IF(_xlfn.XLOOKUP(t_rb[[#This Row],[Dato]]&amp;t_rb[[#This Row],[Navn]],Regnskap!$C$10:$C$51&amp;Regnskap!$K$10:$K$51,Regnskap!$H$10:$H$51)&gt;0,Data!$AJ$3,""),"")</f>
        <v/>
      </c>
      <c r="S13" s="3" t="str" cm="1">
        <f t="array" ref="S13">IFERROR(IF(t_rb[[#This Row],[12_pLEV]]="",IF(_xlfn.XLOOKUP(t_rb[[#This Row],[Dato]]&amp;t_rb[[#This Row],[Navn]],Regnskap!$C$10:$C$51&amp;Regnskap!$K$10:$K$51,Regnskap!$I$10:$I$51)&gt;0,Data!$AJ$2)),"")</f>
        <v/>
      </c>
      <c r="T13" s="3" t="str" cm="1">
        <f t="array" ref="T13">IFERROR(IF(t_rb[[#This Row],[11_pLEV]]="",IF(_xlfn.XLOOKUP(t_rb[[#This Row],[Dato]]&amp;t_rb[[#This Row],[Navn]],Regnskap!$C$10:$C$51&amp;Regnskap!$K$10:$K$51,Regnskap!$J$10:$J$51)&gt;0,Data!$AJ$1),""),"")</f>
        <v/>
      </c>
      <c r="U13">
        <f ca="1">SUM(t_rb[[#This Row],[12_poeng]:[10_pLEV]])</f>
        <v>0</v>
      </c>
      <c r="V13" s="3">
        <f ca="1">SUM(t_rb[[#This Row],[Summert]]+t_rb[[#This Row],[LEV_poeng]])</f>
        <v>0</v>
      </c>
      <c r="W13" s="671"/>
      <c r="X13" s="671"/>
      <c r="Y13" s="671"/>
      <c r="Z13" s="671"/>
      <c r="AA13" s="671"/>
      <c r="AB13" s="671"/>
      <c r="AC13" s="671"/>
      <c r="AD13" s="23"/>
    </row>
    <row r="14" spans="1:37" x14ac:dyDescent="0.2">
      <c r="A14" s="3" t="s">
        <v>906</v>
      </c>
      <c r="B14">
        <f>IF(t_rb[[#This Row],[Dato]]&lt;&gt;"",WEEKNUM(t_rb[[#This Row],[Dato]]),"")</f>
        <v>45</v>
      </c>
      <c r="C14" s="22">
        <f>Data!AL13</f>
        <v>46333</v>
      </c>
      <c r="D14">
        <f ca="1">IFERROR(IF(t_rb[[#This Row],[Dato]]="","",OFFSET(_xlfn.XLOOKUP(C14,Kuponger!E:E,Kuponger!Z:Z),15,0)),"")</f>
        <v>0</v>
      </c>
      <c r="E14">
        <f ca="1">IFERROR(OFFSET(_xlfn.XLOOKUP(C14,Kuponger!E:E,Kuponger!Z:Z),15,1),"")</f>
        <v>0</v>
      </c>
      <c r="F14">
        <f ca="1">IFERROR(IF(t_rb[[#This Row],[Dato]]="","",OFFSET(_xlfn.XLOOKUP(C14,Kuponger!E:E,Kuponger!Z:Z),15,2)),"")</f>
        <v>0</v>
      </c>
      <c r="G14">
        <f ca="1">IFERROR(IF(OFFSET(_xlfn.XLOOKUP(C14,Kuponger!E:E,Kuponger!Z:Z),0,2)=0,"",OFFSET(_xlfn.XLOOKUP(C14,Kuponger!E:E,Kuponger!Z:Z),1,2))*-1,"")</f>
        <v>0</v>
      </c>
      <c r="H14" t="str">
        <f t="shared" ca="1" si="1"/>
        <v/>
      </c>
      <c r="I14" t="str">
        <f ca="1">IFERROR(IF(t_rb[[#This Row],[tp]]&lt;&gt;"",OFFSET(_xlfn.XLOOKUP(C14,Kuponger!E:E,Kuponger!Z:Z),1,1),""),"")</f>
        <v/>
      </c>
      <c r="J14" s="3">
        <f ca="1">IFERROR(IF(t_rb[[#This Row],[Dato]]="",0,OFFSET(_xlfn.XLOOKUP(t_rb[[#This Row],[Dato]],Kuponger!E:E,Kuponger!Z:Z),1,7)),"")</f>
        <v>0</v>
      </c>
      <c r="K14" s="3">
        <f ca="1">IFERROR(SUM(t_rb[[#This Row],[tp]]),0)</f>
        <v>0</v>
      </c>
      <c r="L14" s="3" t="str">
        <f ca="1">IF(t_rb[[#This Row],[Antall_rette]]=12,1,"")</f>
        <v/>
      </c>
      <c r="M14" s="3" t="str">
        <f ca="1">IF(t_rb[[#This Row],[Antall_rette]]=11,1,"")</f>
        <v/>
      </c>
      <c r="N14" s="3" t="str">
        <f ca="1">IF(t_rb[[#This Row],[Antall_rette]]=10,1,"")</f>
        <v/>
      </c>
      <c r="O14" s="3">
        <f ca="1">IF(t_rb[[#This Row],[12_Antall]]=1,Data!$AJ$3,0)</f>
        <v>0</v>
      </c>
      <c r="P14" s="3">
        <f ca="1">IF(t_rb[[#This Row],[11_Antall]]=1,Data!$AJ$2,0)</f>
        <v>0</v>
      </c>
      <c r="Q14" s="3" t="str" cm="1">
        <f t="array" ref="Q14">IFERROR(IF(_xlfn.XLOOKUP(t_rb[[#This Row],[Dato]]&amp;t_rb[[#This Row],[Navn]],Regnskap!$C$10:$C$51&amp;Regnskap!$K$10:$K$51,Regnskap!$H$10:$H$51)&gt;0,Data!AI14,""),"")</f>
        <v/>
      </c>
      <c r="R14" s="3" t="str" cm="1">
        <f t="array" ref="R14">IFERROR(IF(_xlfn.XLOOKUP(t_rb[[#This Row],[Dato]]&amp;t_rb[[#This Row],[Navn]],Regnskap!$C$10:$C$51&amp;Regnskap!$K$10:$K$51,Regnskap!$H$10:$H$51)&gt;0,Data!$AJ$3,""),"")</f>
        <v/>
      </c>
      <c r="S14" s="3" t="b" cm="1">
        <f t="array" ref="S14">IFERROR(IF(t_rb[[#This Row],[12_pLEV]]="",IF(_xlfn.XLOOKUP(t_rb[[#This Row],[Dato]]&amp;t_rb[[#This Row],[Navn]],Regnskap!$C$10:$C$51&amp;Regnskap!$K$10:$K$51,Regnskap!$I$10:$I$51)&gt;0,Data!$AJ$2)),"")</f>
        <v>0</v>
      </c>
      <c r="T14" s="3" t="str" cm="1">
        <f t="array" ref="T14">IFERROR(IF(t_rb[[#This Row],[11_pLEV]]="",IF(_xlfn.XLOOKUP(t_rb[[#This Row],[Dato]]&amp;t_rb[[#This Row],[Navn]],Regnskap!$C$10:$C$51&amp;Regnskap!$K$10:$K$51,Regnskap!$J$10:$J$51)&gt;0,Data!$AJ$1),""),"")</f>
        <v/>
      </c>
      <c r="U14">
        <f ca="1">SUM(t_rb[[#This Row],[12_poeng]:[10_pLEV]])</f>
        <v>0</v>
      </c>
      <c r="V14" s="3">
        <f ca="1">SUM(t_rb[[#This Row],[Summert]]+t_rb[[#This Row],[LEV_poeng]])</f>
        <v>0</v>
      </c>
    </row>
    <row r="15" spans="1:37" x14ac:dyDescent="0.2">
      <c r="A15" s="3" t="s">
        <v>906</v>
      </c>
      <c r="B15">
        <f>IF(t_rb[[#This Row],[Dato]]&lt;&gt;"",WEEKNUM(t_rb[[#This Row],[Dato]]),"")</f>
        <v>46</v>
      </c>
      <c r="C15" s="22">
        <f>Data!AL14</f>
        <v>46340</v>
      </c>
      <c r="D15">
        <f ca="1">IFERROR(IF(t_rb[[#This Row],[Dato]]="","",OFFSET(_xlfn.XLOOKUP(C15,Kuponger!E:E,Kuponger!Z:Z),15,0)),"")</f>
        <v>0</v>
      </c>
      <c r="E15">
        <f ca="1">IFERROR(OFFSET(_xlfn.XLOOKUP(C15,Kuponger!E:E,Kuponger!Z:Z),15,1),"")</f>
        <v>0</v>
      </c>
      <c r="F15">
        <f ca="1">IFERROR(IF(t_rb[[#This Row],[Dato]]="","",OFFSET(_xlfn.XLOOKUP(C15,Kuponger!E:E,Kuponger!Z:Z),15,2)),"")</f>
        <v>0</v>
      </c>
      <c r="G15">
        <f ca="1">IFERROR(IF(OFFSET(_xlfn.XLOOKUP(C15,Kuponger!E:E,Kuponger!Z:Z),0,2)=0,"",OFFSET(_xlfn.XLOOKUP(C15,Kuponger!E:E,Kuponger!Z:Z),1,2))*-1,"")</f>
        <v>0</v>
      </c>
      <c r="H15" t="str">
        <f t="shared" ca="1" si="1"/>
        <v/>
      </c>
      <c r="I15" t="str">
        <f ca="1">IFERROR(IF(t_rb[[#This Row],[tp]]&lt;&gt;"",OFFSET(_xlfn.XLOOKUP(C15,Kuponger!E:E,Kuponger!Z:Z),1,1),""),"")</f>
        <v/>
      </c>
      <c r="J15" s="3">
        <f ca="1">IFERROR(IF(t_rb[[#This Row],[Dato]]="",0,OFFSET(_xlfn.XLOOKUP(t_rb[[#This Row],[Dato]],Kuponger!E:E,Kuponger!Z:Z),1,7)),"")</f>
        <v>0</v>
      </c>
      <c r="K15" s="3">
        <f ca="1">IFERROR(SUM(t_rb[[#This Row],[tp]]),0)</f>
        <v>0</v>
      </c>
      <c r="L15" s="3" t="str">
        <f ca="1">IF(t_rb[[#This Row],[Antall_rette]]=12,1,"")</f>
        <v/>
      </c>
      <c r="M15" s="3" t="str">
        <f ca="1">IF(t_rb[[#This Row],[Antall_rette]]=11,1,"")</f>
        <v/>
      </c>
      <c r="N15" s="3" t="str">
        <f ca="1">IF(t_rb[[#This Row],[Antall_rette]]=10,1,"")</f>
        <v/>
      </c>
      <c r="O15" s="3">
        <f ca="1">IF(t_rb[[#This Row],[12_Antall]]=1,Data!$AJ$3,0)</f>
        <v>0</v>
      </c>
      <c r="P15" s="3">
        <f ca="1">IF(t_rb[[#This Row],[11_Antall]]=1,Data!$AJ$2,0)</f>
        <v>0</v>
      </c>
      <c r="Q15" s="3" t="str" cm="1">
        <f t="array" ref="Q15">IFERROR(IF(_xlfn.XLOOKUP(t_rb[[#This Row],[Dato]]&amp;t_rb[[#This Row],[Navn]],Regnskap!$C$10:$C$51&amp;Regnskap!$K$10:$K$51,Regnskap!$H$10:$H$51)&gt;0,Data!AI15,""),"")</f>
        <v/>
      </c>
      <c r="R15" s="3" t="str" cm="1">
        <f t="array" ref="R15">IFERROR(IF(_xlfn.XLOOKUP(t_rb[[#This Row],[Dato]]&amp;t_rb[[#This Row],[Navn]],Regnskap!$C$10:$C$51&amp;Regnskap!$K$10:$K$51,Regnskap!$H$10:$H$51)&gt;0,Data!$AJ$3,""),"")</f>
        <v/>
      </c>
      <c r="S15" s="3" t="str" cm="1">
        <f t="array" ref="S15">IFERROR(IF(t_rb[[#This Row],[12_pLEV]]="",IF(_xlfn.XLOOKUP(t_rb[[#This Row],[Dato]]&amp;t_rb[[#This Row],[Navn]],Regnskap!$C$10:$C$51&amp;Regnskap!$K$10:$K$51,Regnskap!$I$10:$I$51)&gt;0,Data!$AJ$2)),"")</f>
        <v/>
      </c>
      <c r="T15" s="3" t="str" cm="1">
        <f t="array" ref="T15">IFERROR(IF(t_rb[[#This Row],[11_pLEV]]="",IF(_xlfn.XLOOKUP(t_rb[[#This Row],[Dato]]&amp;t_rb[[#This Row],[Navn]],Regnskap!$C$10:$C$51&amp;Regnskap!$K$10:$K$51,Regnskap!$J$10:$J$51)&gt;0,Data!$AJ$1),""),"")</f>
        <v/>
      </c>
      <c r="U15">
        <f ca="1">SUM(t_rb[[#This Row],[12_poeng]:[10_pLEV]])</f>
        <v>0</v>
      </c>
      <c r="V15" s="3">
        <f ca="1">SUM(t_rb[[#This Row],[Summert]]+t_rb[[#This Row],[LEV_poeng]])</f>
        <v>0</v>
      </c>
    </row>
    <row r="16" spans="1:37" x14ac:dyDescent="0.2">
      <c r="A16" s="3" t="s">
        <v>906</v>
      </c>
      <c r="B16">
        <f>IF(t_rb[[#This Row],[Dato]]&lt;&gt;"",WEEKNUM(t_rb[[#This Row],[Dato]]),"")</f>
        <v>47</v>
      </c>
      <c r="C16" s="22">
        <f>Data!AL15</f>
        <v>46347</v>
      </c>
      <c r="D16">
        <f ca="1">IFERROR(IF(t_rb[[#This Row],[Dato]]="","",OFFSET(_xlfn.XLOOKUP(C16,Kuponger!E:E,Kuponger!Z:Z),15,0)),"")</f>
        <v>0</v>
      </c>
      <c r="E16">
        <f ca="1">IFERROR(OFFSET(_xlfn.XLOOKUP(C16,Kuponger!E:E,Kuponger!Z:Z),15,1),"")</f>
        <v>0</v>
      </c>
      <c r="F16">
        <f ca="1">IFERROR(IF(t_rb[[#This Row],[Dato]]="","",OFFSET(_xlfn.XLOOKUP(C16,Kuponger!E:E,Kuponger!Z:Z),15,2)),"")</f>
        <v>0</v>
      </c>
      <c r="G16">
        <f ca="1">IFERROR(IF(OFFSET(_xlfn.XLOOKUP(C16,Kuponger!E:E,Kuponger!Z:Z),0,2)=0,"",OFFSET(_xlfn.XLOOKUP(C16,Kuponger!E:E,Kuponger!Z:Z),1,2))*-1,"")</f>
        <v>0</v>
      </c>
      <c r="H16" t="str">
        <f t="shared" ca="1" si="1"/>
        <v/>
      </c>
      <c r="I16" t="str">
        <f ca="1">IFERROR(IF(t_rb[[#This Row],[tp]]&lt;&gt;"",OFFSET(_xlfn.XLOOKUP(C16,Kuponger!E:E,Kuponger!Z:Z),1,1),""),"")</f>
        <v/>
      </c>
      <c r="J16" s="3">
        <f ca="1">IFERROR(IF(t_rb[[#This Row],[Dato]]="",0,OFFSET(_xlfn.XLOOKUP(t_rb[[#This Row],[Dato]],Kuponger!E:E,Kuponger!Z:Z),1,7)),"")</f>
        <v>0</v>
      </c>
      <c r="K16" s="3">
        <f ca="1">IFERROR(SUM(t_rb[[#This Row],[tp]]),0)</f>
        <v>0</v>
      </c>
      <c r="L16" s="3" t="str">
        <f ca="1">IF(t_rb[[#This Row],[Antall_rette]]=12,1,"")</f>
        <v/>
      </c>
      <c r="M16" s="3" t="str">
        <f ca="1">IF(t_rb[[#This Row],[Antall_rette]]=11,1,"")</f>
        <v/>
      </c>
      <c r="N16" s="3" t="str">
        <f ca="1">IF(t_rb[[#This Row],[Antall_rette]]=10,1,"")</f>
        <v/>
      </c>
      <c r="O16" s="3">
        <f ca="1">IF(t_rb[[#This Row],[12_Antall]]=1,Data!$AJ$3,0)</f>
        <v>0</v>
      </c>
      <c r="P16" s="3">
        <f ca="1">IF(t_rb[[#This Row],[11_Antall]]=1,Data!$AJ$2,0)</f>
        <v>0</v>
      </c>
      <c r="Q16" s="3" t="str" cm="1">
        <f t="array" ref="Q16">IFERROR(IF(_xlfn.XLOOKUP(t_rb[[#This Row],[Dato]]&amp;t_rb[[#This Row],[Navn]],Regnskap!$C$10:$C$51&amp;Regnskap!$K$10:$K$51,Regnskap!$H$10:$H$51)&gt;0,Data!AI16,""),"")</f>
        <v/>
      </c>
      <c r="R16" s="3" t="str" cm="1">
        <f t="array" ref="R16">IFERROR(IF(_xlfn.XLOOKUP(t_rb[[#This Row],[Dato]]&amp;t_rb[[#This Row],[Navn]],Regnskap!$C$10:$C$51&amp;Regnskap!$K$10:$K$51,Regnskap!$H$10:$H$51)&gt;0,Data!$AJ$3,""),"")</f>
        <v/>
      </c>
      <c r="S16" s="3" t="str" cm="1">
        <f t="array" ref="S16">IFERROR(IF(t_rb[[#This Row],[12_pLEV]]="",IF(_xlfn.XLOOKUP(t_rb[[#This Row],[Dato]]&amp;t_rb[[#This Row],[Navn]],Regnskap!$C$10:$C$51&amp;Regnskap!$K$10:$K$51,Regnskap!$I$10:$I$51)&gt;0,Data!$AJ$2)),"")</f>
        <v/>
      </c>
      <c r="T16" s="3" t="str" cm="1">
        <f t="array" ref="T16">IFERROR(IF(t_rb[[#This Row],[11_pLEV]]="",IF(_xlfn.XLOOKUP(t_rb[[#This Row],[Dato]]&amp;t_rb[[#This Row],[Navn]],Regnskap!$C$10:$C$51&amp;Regnskap!$K$10:$K$51,Regnskap!$J$10:$J$51)&gt;0,Data!$AJ$1),""),"")</f>
        <v/>
      </c>
      <c r="U16">
        <f ca="1">SUM(t_rb[[#This Row],[12_poeng]:[10_pLEV]])</f>
        <v>0</v>
      </c>
      <c r="V16" s="3">
        <f ca="1">SUM(t_rb[[#This Row],[Summert]]+t_rb[[#This Row],[LEV_poeng]])</f>
        <v>0</v>
      </c>
    </row>
    <row r="17" spans="1:29" x14ac:dyDescent="0.2">
      <c r="A17" s="3" t="s">
        <v>906</v>
      </c>
      <c r="B17">
        <f>IF(t_rb[[#This Row],[Dato]]&lt;&gt;"",WEEKNUM(t_rb[[#This Row],[Dato]]),"")</f>
        <v>48</v>
      </c>
      <c r="C17" s="22">
        <f>Data!AL16</f>
        <v>46354</v>
      </c>
      <c r="D17">
        <f ca="1">IFERROR(IF(t_rb[[#This Row],[Dato]]="","",OFFSET(_xlfn.XLOOKUP(C17,Kuponger!E:E,Kuponger!Z:Z),15,0)),"")</f>
        <v>0</v>
      </c>
      <c r="E17">
        <f ca="1">IFERROR(OFFSET(_xlfn.XLOOKUP(C17,Kuponger!E:E,Kuponger!Z:Z),15,1),"")</f>
        <v>0</v>
      </c>
      <c r="F17">
        <f ca="1">IFERROR(IF(t_rb[[#This Row],[Dato]]="","",OFFSET(_xlfn.XLOOKUP(C17,Kuponger!E:E,Kuponger!Z:Z),15,2)),"")</f>
        <v>0</v>
      </c>
      <c r="G17">
        <f ca="1">IFERROR(IF(OFFSET(_xlfn.XLOOKUP(C17,Kuponger!E:E,Kuponger!Z:Z),0,2)=0,"",OFFSET(_xlfn.XLOOKUP(C17,Kuponger!E:E,Kuponger!Z:Z),1,2))*-1,"")</f>
        <v>0</v>
      </c>
      <c r="H17" t="str">
        <f t="shared" ca="1" si="1"/>
        <v/>
      </c>
      <c r="I17" t="str">
        <f ca="1">IFERROR(IF(t_rb[[#This Row],[tp]]&lt;&gt;"",OFFSET(_xlfn.XLOOKUP(C17,Kuponger!E:E,Kuponger!Z:Z),1,1),""),"")</f>
        <v/>
      </c>
      <c r="J17" s="3">
        <f ca="1">IFERROR(IF(t_rb[[#This Row],[Dato]]="",0,OFFSET(_xlfn.XLOOKUP(t_rb[[#This Row],[Dato]],Kuponger!E:E,Kuponger!Z:Z),1,7)),"")</f>
        <v>0</v>
      </c>
      <c r="K17" s="3">
        <f ca="1">IFERROR(SUM(t_rb[[#This Row],[tp]]),0)</f>
        <v>0</v>
      </c>
      <c r="L17" s="3" t="str">
        <f ca="1">IF(t_rb[[#This Row],[Antall_rette]]=12,1,"")</f>
        <v/>
      </c>
      <c r="M17" s="3" t="str">
        <f ca="1">IF(t_rb[[#This Row],[Antall_rette]]=11,1,"")</f>
        <v/>
      </c>
      <c r="N17" s="3" t="str">
        <f ca="1">IF(t_rb[[#This Row],[Antall_rette]]=10,1,"")</f>
        <v/>
      </c>
      <c r="O17" s="3">
        <f ca="1">IF(t_rb[[#This Row],[12_Antall]]=1,Data!$AJ$3,0)</f>
        <v>0</v>
      </c>
      <c r="P17" s="3">
        <f ca="1">IF(t_rb[[#This Row],[11_Antall]]=1,Data!$AJ$2,0)</f>
        <v>0</v>
      </c>
      <c r="Q17" s="3" t="str" cm="1">
        <f t="array" ref="Q17">IFERROR(IF(_xlfn.XLOOKUP(t_rb[[#This Row],[Dato]]&amp;t_rb[[#This Row],[Navn]],Regnskap!$C$10:$C$51&amp;Regnskap!$K$10:$K$51,Regnskap!$H$10:$H$51)&gt;0,Data!AI17,""),"")</f>
        <v/>
      </c>
      <c r="R17" s="3" t="str" cm="1">
        <f t="array" ref="R17">IFERROR(IF(_xlfn.XLOOKUP(t_rb[[#This Row],[Dato]]&amp;t_rb[[#This Row],[Navn]],Regnskap!$C$10:$C$51&amp;Regnskap!$K$10:$K$51,Regnskap!$H$10:$H$51)&gt;0,Data!$AJ$3,""),"")</f>
        <v/>
      </c>
      <c r="S17" s="3" t="str" cm="1">
        <f t="array" ref="S17">IFERROR(IF(t_rb[[#This Row],[12_pLEV]]="",IF(_xlfn.XLOOKUP(t_rb[[#This Row],[Dato]]&amp;t_rb[[#This Row],[Navn]],Regnskap!$C$10:$C$51&amp;Regnskap!$K$10:$K$51,Regnskap!$I$10:$I$51)&gt;0,Data!$AJ$2)),"")</f>
        <v/>
      </c>
      <c r="T17" s="3" t="str" cm="1">
        <f t="array" ref="T17">IFERROR(IF(t_rb[[#This Row],[11_pLEV]]="",IF(_xlfn.XLOOKUP(t_rb[[#This Row],[Dato]]&amp;t_rb[[#This Row],[Navn]],Regnskap!$C$10:$C$51&amp;Regnskap!$K$10:$K$51,Regnskap!$J$10:$J$51)&gt;0,Data!$AJ$1),""),"")</f>
        <v/>
      </c>
      <c r="U17">
        <f ca="1">SUM(t_rb[[#This Row],[12_poeng]:[10_pLEV]])</f>
        <v>0</v>
      </c>
      <c r="V17" s="3">
        <f ca="1">SUM(t_rb[[#This Row],[Summert]]+t_rb[[#This Row],[LEV_poeng]])</f>
        <v>0</v>
      </c>
    </row>
    <row r="18" spans="1:29" x14ac:dyDescent="0.2">
      <c r="A18" s="3" t="s">
        <v>906</v>
      </c>
      <c r="B18">
        <f>IF(t_rb[[#This Row],[Dato]]&lt;&gt;"",WEEKNUM(t_rb[[#This Row],[Dato]]),"")</f>
        <v>49</v>
      </c>
      <c r="C18" s="22">
        <f>Data!AL17</f>
        <v>46361</v>
      </c>
      <c r="D18">
        <f ca="1">IFERROR(IF(t_rb[[#This Row],[Dato]]="","",OFFSET(_xlfn.XLOOKUP(C18,Kuponger!E:E,Kuponger!Z:Z),15,0)),"")</f>
        <v>0</v>
      </c>
      <c r="E18">
        <f ca="1">IFERROR(OFFSET(_xlfn.XLOOKUP(C18,Kuponger!E:E,Kuponger!Z:Z),15,1),"")</f>
        <v>0</v>
      </c>
      <c r="F18">
        <f ca="1">IFERROR(IF(t_rb[[#This Row],[Dato]]="","",OFFSET(_xlfn.XLOOKUP(C18,Kuponger!E:E,Kuponger!Z:Z),15,2)),"")</f>
        <v>0</v>
      </c>
      <c r="G18">
        <f ca="1">IFERROR(IF(OFFSET(_xlfn.XLOOKUP(C18,Kuponger!E:E,Kuponger!Z:Z),0,2)=0,"",OFFSET(_xlfn.XLOOKUP(C18,Kuponger!E:E,Kuponger!Z:Z),1,2))*-1,"")</f>
        <v>0</v>
      </c>
      <c r="H18" t="str">
        <f t="shared" ca="1" si="1"/>
        <v/>
      </c>
      <c r="I18" t="str">
        <f ca="1">IFERROR(IF(t_rb[[#This Row],[tp]]&lt;&gt;"",OFFSET(_xlfn.XLOOKUP(C18,Kuponger!E:E,Kuponger!Z:Z),1,1),""),"")</f>
        <v/>
      </c>
      <c r="J18" s="3">
        <f ca="1">IFERROR(IF(t_rb[[#This Row],[Dato]]="",0,OFFSET(_xlfn.XLOOKUP(t_rb[[#This Row],[Dato]],Kuponger!E:E,Kuponger!Z:Z),1,7)),"")</f>
        <v>0</v>
      </c>
      <c r="K18" s="3">
        <f ca="1">IFERROR(SUM(t_rb[[#This Row],[tp]]),0)</f>
        <v>0</v>
      </c>
      <c r="L18" s="3" t="str">
        <f ca="1">IF(t_rb[[#This Row],[Antall_rette]]=12,1,"")</f>
        <v/>
      </c>
      <c r="M18" s="3" t="str">
        <f ca="1">IF(t_rb[[#This Row],[Antall_rette]]=11,1,"")</f>
        <v/>
      </c>
      <c r="N18" s="3" t="str">
        <f ca="1">IF(t_rb[[#This Row],[Antall_rette]]=10,1,"")</f>
        <v/>
      </c>
      <c r="O18" s="3">
        <f ca="1">IF(t_rb[[#This Row],[12_Antall]]=1,Data!$AJ$3,0)</f>
        <v>0</v>
      </c>
      <c r="P18" s="3">
        <f ca="1">IF(t_rb[[#This Row],[11_Antall]]=1,Data!$AJ$2,0)</f>
        <v>0</v>
      </c>
      <c r="Q18" s="3" t="str" cm="1">
        <f t="array" ref="Q18">IFERROR(IF(_xlfn.XLOOKUP(t_rb[[#This Row],[Dato]]&amp;t_rb[[#This Row],[Navn]],Regnskap!$C$10:$C$51&amp;Regnskap!$K$10:$K$51,Regnskap!$H$10:$H$51)&gt;0,Data!AI18,""),"")</f>
        <v/>
      </c>
      <c r="R18" s="3" t="str" cm="1">
        <f t="array" ref="R18">IFERROR(IF(_xlfn.XLOOKUP(t_rb[[#This Row],[Dato]]&amp;t_rb[[#This Row],[Navn]],Regnskap!$C$10:$C$51&amp;Regnskap!$K$10:$K$51,Regnskap!$H$10:$H$51)&gt;0,Data!$AJ$3,""),"")</f>
        <v/>
      </c>
      <c r="S18" s="3" t="str" cm="1">
        <f t="array" ref="S18">IFERROR(IF(t_rb[[#This Row],[12_pLEV]]="",IF(_xlfn.XLOOKUP(t_rb[[#This Row],[Dato]]&amp;t_rb[[#This Row],[Navn]],Regnskap!$C$10:$C$51&amp;Regnskap!$K$10:$K$51,Regnskap!$I$10:$I$51)&gt;0,Data!$AJ$2)),"")</f>
        <v/>
      </c>
      <c r="T18" s="3" t="str" cm="1">
        <f t="array" ref="T18">IFERROR(IF(t_rb[[#This Row],[11_pLEV]]="",IF(_xlfn.XLOOKUP(t_rb[[#This Row],[Dato]]&amp;t_rb[[#This Row],[Navn]],Regnskap!$C$10:$C$51&amp;Regnskap!$K$10:$K$51,Regnskap!$J$10:$J$51)&gt;0,Data!$AJ$1),""),"")</f>
        <v/>
      </c>
      <c r="U18">
        <f ca="1">SUM(t_rb[[#This Row],[12_poeng]:[10_pLEV]])</f>
        <v>0</v>
      </c>
      <c r="V18" s="3">
        <f ca="1">SUM(t_rb[[#This Row],[Summert]]+t_rb[[#This Row],[LEV_poeng]])</f>
        <v>0</v>
      </c>
    </row>
    <row r="19" spans="1:29" x14ac:dyDescent="0.2">
      <c r="A19" s="3" t="s">
        <v>906</v>
      </c>
      <c r="B19">
        <f>IF(t_rb[[#This Row],[Dato]]&lt;&gt;"",WEEKNUM(t_rb[[#This Row],[Dato]]),"")</f>
        <v>50</v>
      </c>
      <c r="C19" s="22">
        <f>Data!AL18</f>
        <v>46368</v>
      </c>
      <c r="D19">
        <f ca="1">IFERROR(IF(t_rb[[#This Row],[Dato]]="","",OFFSET(_xlfn.XLOOKUP(C19,Kuponger!E:E,Kuponger!Z:Z),15,0)),"")</f>
        <v>0</v>
      </c>
      <c r="E19">
        <f ca="1">IFERROR(OFFSET(_xlfn.XLOOKUP(C19,Kuponger!E:E,Kuponger!Z:Z),15,1),"")</f>
        <v>0</v>
      </c>
      <c r="F19">
        <f ca="1">IFERROR(IF(t_rb[[#This Row],[Dato]]="","",OFFSET(_xlfn.XLOOKUP(C19,Kuponger!E:E,Kuponger!Z:Z),15,2)),"")</f>
        <v>0</v>
      </c>
      <c r="G19">
        <f ca="1">IFERROR(IF(OFFSET(_xlfn.XLOOKUP(C19,Kuponger!E:E,Kuponger!Z:Z),0,2)=0,"",OFFSET(_xlfn.XLOOKUP(C19,Kuponger!E:E,Kuponger!Z:Z),1,2))*-1,"")</f>
        <v>0</v>
      </c>
      <c r="H19" t="str">
        <f t="shared" ca="1" si="1"/>
        <v/>
      </c>
      <c r="I19" t="str">
        <f ca="1">IFERROR(IF(t_rb[[#This Row],[tp]]&lt;&gt;"",OFFSET(_xlfn.XLOOKUP(C19,Kuponger!E:E,Kuponger!Z:Z),1,1),""),"")</f>
        <v/>
      </c>
      <c r="J19" s="3">
        <f ca="1">IFERROR(IF(t_rb[[#This Row],[Dato]]="",0,OFFSET(_xlfn.XLOOKUP(t_rb[[#This Row],[Dato]],Kuponger!E:E,Kuponger!Z:Z),1,7)),"")</f>
        <v>0</v>
      </c>
      <c r="K19" s="3">
        <f ca="1">IFERROR(SUM(t_rb[[#This Row],[tp]]),0)</f>
        <v>0</v>
      </c>
      <c r="L19" s="3" t="str">
        <f ca="1">IF(t_rb[[#This Row],[Antall_rette]]=12,1,"")</f>
        <v/>
      </c>
      <c r="M19" s="3" t="str">
        <f ca="1">IF(t_rb[[#This Row],[Antall_rette]]=11,1,"")</f>
        <v/>
      </c>
      <c r="N19" s="3" t="str">
        <f ca="1">IF(t_rb[[#This Row],[Antall_rette]]=10,1,"")</f>
        <v/>
      </c>
      <c r="O19" s="3">
        <f ca="1">IF(t_rb[[#This Row],[12_Antall]]=1,Data!$AJ$3,0)</f>
        <v>0</v>
      </c>
      <c r="P19" s="3">
        <f ca="1">IF(t_rb[[#This Row],[11_Antall]]=1,Data!$AJ$2,0)</f>
        <v>0</v>
      </c>
      <c r="Q19" s="3" t="str" cm="1">
        <f t="array" ref="Q19">IFERROR(IF(_xlfn.XLOOKUP(t_rb[[#This Row],[Dato]]&amp;t_rb[[#This Row],[Navn]],Regnskap!$C$10:$C$51&amp;Regnskap!$K$10:$K$51,Regnskap!$H$10:$H$51)&gt;0,Data!AI19,""),"")</f>
        <v/>
      </c>
      <c r="R19" s="3" t="str" cm="1">
        <f t="array" ref="R19">IFERROR(IF(_xlfn.XLOOKUP(t_rb[[#This Row],[Dato]]&amp;t_rb[[#This Row],[Navn]],Regnskap!$C$10:$C$51&amp;Regnskap!$K$10:$K$51,Regnskap!$H$10:$H$51)&gt;0,Data!$AJ$3,""),"")</f>
        <v/>
      </c>
      <c r="S19" s="3" t="str" cm="1">
        <f t="array" ref="S19">IFERROR(IF(t_rb[[#This Row],[12_pLEV]]="",IF(_xlfn.XLOOKUP(t_rb[[#This Row],[Dato]]&amp;t_rb[[#This Row],[Navn]],Regnskap!$C$10:$C$51&amp;Regnskap!$K$10:$K$51,Regnskap!$I$10:$I$51)&gt;0,Data!$AJ$2)),"")</f>
        <v/>
      </c>
      <c r="T19" s="3" t="str" cm="1">
        <f t="array" ref="T19">IFERROR(IF(t_rb[[#This Row],[11_pLEV]]="",IF(_xlfn.XLOOKUP(t_rb[[#This Row],[Dato]]&amp;t_rb[[#This Row],[Navn]],Regnskap!$C$10:$C$51&amp;Regnskap!$K$10:$K$51,Regnskap!$J$10:$J$51)&gt;0,Data!$AJ$1),""),"")</f>
        <v/>
      </c>
      <c r="U19">
        <f ca="1">SUM(t_rb[[#This Row],[12_poeng]:[10_pLEV]])</f>
        <v>0</v>
      </c>
      <c r="V19" s="3">
        <f ca="1">SUM(t_rb[[#This Row],[Summert]]+t_rb[[#This Row],[LEV_poeng]])</f>
        <v>0</v>
      </c>
      <c r="W19" s="2"/>
      <c r="X19" s="2"/>
      <c r="Y19" s="2"/>
      <c r="Z19" s="2"/>
      <c r="AA19" s="2"/>
      <c r="AB19" s="2"/>
      <c r="AC19" s="2"/>
    </row>
    <row r="20" spans="1:29" x14ac:dyDescent="0.2">
      <c r="A20" s="3" t="s">
        <v>906</v>
      </c>
      <c r="B20">
        <f>IF(t_rb[[#This Row],[Dato]]&lt;&gt;"",WEEKNUM(t_rb[[#This Row],[Dato]]),"")</f>
        <v>51</v>
      </c>
      <c r="C20" s="22">
        <f>Data!AL19</f>
        <v>46375</v>
      </c>
      <c r="D20">
        <f ca="1">IFERROR(IF(t_rb[[#This Row],[Dato]]="","",OFFSET(_xlfn.XLOOKUP(C20,Kuponger!E:E,Kuponger!Z:Z),15,0)),"")</f>
        <v>0</v>
      </c>
      <c r="E20">
        <f ca="1">IFERROR(OFFSET(_xlfn.XLOOKUP(C20,Kuponger!E:E,Kuponger!Z:Z),15,1),"")</f>
        <v>0</v>
      </c>
      <c r="F20">
        <f ca="1">IFERROR(IF(t_rb[[#This Row],[Dato]]="","",OFFSET(_xlfn.XLOOKUP(C20,Kuponger!E:E,Kuponger!Z:Z),15,2)),"")</f>
        <v>0</v>
      </c>
      <c r="G20">
        <f ca="1">IFERROR(IF(OFFSET(_xlfn.XLOOKUP(C20,Kuponger!E:E,Kuponger!Z:Z),0,2)=0,"",OFFSET(_xlfn.XLOOKUP(C20,Kuponger!E:E,Kuponger!Z:Z),1,2))*-1,"")</f>
        <v>0</v>
      </c>
      <c r="H20" t="str">
        <f t="shared" ca="1" si="1"/>
        <v/>
      </c>
      <c r="I20" t="str">
        <f ca="1">IFERROR(IF(t_rb[[#This Row],[tp]]&lt;&gt;"",OFFSET(_xlfn.XLOOKUP(C20,Kuponger!E:E,Kuponger!Z:Z),1,1),""),"")</f>
        <v/>
      </c>
      <c r="J20" s="3">
        <f ca="1">IFERROR(IF(t_rb[[#This Row],[Dato]]="",0,OFFSET(_xlfn.XLOOKUP(t_rb[[#This Row],[Dato]],Kuponger!E:E,Kuponger!Z:Z),1,7)),"")</f>
        <v>0</v>
      </c>
      <c r="K20" s="3">
        <f ca="1">IFERROR(SUM(t_rb[[#This Row],[tp]]),0)</f>
        <v>0</v>
      </c>
      <c r="L20" s="3" t="str">
        <f ca="1">IF(t_rb[[#This Row],[Antall_rette]]=12,1,"")</f>
        <v/>
      </c>
      <c r="M20" s="3" t="str">
        <f ca="1">IF(t_rb[[#This Row],[Antall_rette]]=11,1,"")</f>
        <v/>
      </c>
      <c r="N20" s="3" t="str">
        <f ca="1">IF(t_rb[[#This Row],[Antall_rette]]=10,1,"")</f>
        <v/>
      </c>
      <c r="O20" s="3">
        <f ca="1">IF(t_rb[[#This Row],[12_Antall]]=1,Data!$AJ$3,0)</f>
        <v>0</v>
      </c>
      <c r="P20" s="3">
        <f ca="1">IF(t_rb[[#This Row],[11_Antall]]=1,Data!$AJ$2,0)</f>
        <v>0</v>
      </c>
      <c r="Q20" s="3" t="str" cm="1">
        <f t="array" ref="Q20">IFERROR(IF(_xlfn.XLOOKUP(t_rb[[#This Row],[Dato]]&amp;t_rb[[#This Row],[Navn]],Regnskap!$C$10:$C$51&amp;Regnskap!$K$10:$K$51,Regnskap!$H$10:$H$51)&gt;0,Data!AI20,""),"")</f>
        <v/>
      </c>
      <c r="R20" s="3" t="str" cm="1">
        <f t="array" ref="R20">IFERROR(IF(_xlfn.XLOOKUP(t_rb[[#This Row],[Dato]]&amp;t_rb[[#This Row],[Navn]],Regnskap!$C$10:$C$51&amp;Regnskap!$K$10:$K$51,Regnskap!$H$10:$H$51)&gt;0,Data!$AJ$3,""),"")</f>
        <v/>
      </c>
      <c r="S20" s="3" t="str" cm="1">
        <f t="array" ref="S20">IFERROR(IF(t_rb[[#This Row],[12_pLEV]]="",IF(_xlfn.XLOOKUP(t_rb[[#This Row],[Dato]]&amp;t_rb[[#This Row],[Navn]],Regnskap!$C$10:$C$51&amp;Regnskap!$K$10:$K$51,Regnskap!$I$10:$I$51)&gt;0,Data!$AJ$2)),"")</f>
        <v/>
      </c>
      <c r="T20" s="3" t="str" cm="1">
        <f t="array" ref="T20">IFERROR(IF(t_rb[[#This Row],[11_pLEV]]="",IF(_xlfn.XLOOKUP(t_rb[[#This Row],[Dato]]&amp;t_rb[[#This Row],[Navn]],Regnskap!$C$10:$C$51&amp;Regnskap!$K$10:$K$51,Regnskap!$J$10:$J$51)&gt;0,Data!$AJ$1),""),"")</f>
        <v/>
      </c>
      <c r="U20">
        <f ca="1">SUM(t_rb[[#This Row],[12_poeng]:[10_pLEV]])</f>
        <v>0</v>
      </c>
      <c r="V20" s="3">
        <f ca="1">SUM(t_rb[[#This Row],[Summert]]+t_rb[[#This Row],[LEV_poeng]])</f>
        <v>0</v>
      </c>
    </row>
    <row r="21" spans="1:29" x14ac:dyDescent="0.2">
      <c r="A21" s="3" t="s">
        <v>906</v>
      </c>
      <c r="B21">
        <f>IF(t_rb[[#This Row],[Dato]]&lt;&gt;"",WEEKNUM(t_rb[[#This Row],[Dato]]),"")</f>
        <v>52</v>
      </c>
      <c r="C21" s="22">
        <f>Data!AL20</f>
        <v>46382</v>
      </c>
      <c r="D21">
        <f ca="1">IFERROR(IF(t_rb[[#This Row],[Dato]]="","",OFFSET(_xlfn.XLOOKUP(C21,Kuponger!E:E,Kuponger!Z:Z),15,0)),"")</f>
        <v>0</v>
      </c>
      <c r="E21">
        <f ca="1">IFERROR(OFFSET(_xlfn.XLOOKUP(C21,Kuponger!E:E,Kuponger!Z:Z),15,1),"")</f>
        <v>0</v>
      </c>
      <c r="F21">
        <f ca="1">IFERROR(IF(t_rb[[#This Row],[Dato]]="","",OFFSET(_xlfn.XLOOKUP(C21,Kuponger!E:E,Kuponger!Z:Z),15,2)),"")</f>
        <v>0</v>
      </c>
      <c r="G21">
        <f ca="1">IFERROR(IF(OFFSET(_xlfn.XLOOKUP(C21,Kuponger!E:E,Kuponger!Z:Z),0,2)=0,"",OFFSET(_xlfn.XLOOKUP(C21,Kuponger!E:E,Kuponger!Z:Z),1,2))*-1,"")</f>
        <v>0</v>
      </c>
      <c r="H21" t="str">
        <f t="shared" ca="1" si="1"/>
        <v/>
      </c>
      <c r="I21" t="str">
        <f ca="1">IFERROR(IF(t_rb[[#This Row],[tp]]&lt;&gt;"",OFFSET(_xlfn.XLOOKUP(C21,Kuponger!E:E,Kuponger!Z:Z),1,1),""),"")</f>
        <v/>
      </c>
      <c r="J21" s="3">
        <f ca="1">IFERROR(IF(t_rb[[#This Row],[Dato]]="",0,OFFSET(_xlfn.XLOOKUP(t_rb[[#This Row],[Dato]],Kuponger!E:E,Kuponger!Z:Z),1,7)),"")</f>
        <v>0</v>
      </c>
      <c r="K21" s="3">
        <f ca="1">IFERROR(SUM(t_rb[[#This Row],[tp]]),0)</f>
        <v>0</v>
      </c>
      <c r="L21" s="3" t="str">
        <f ca="1">IF(t_rb[[#This Row],[Antall_rette]]=12,1,"")</f>
        <v/>
      </c>
      <c r="M21" s="3" t="str">
        <f ca="1">IF(t_rb[[#This Row],[Antall_rette]]=11,1,"")</f>
        <v/>
      </c>
      <c r="N21" s="3" t="str">
        <f ca="1">IF(t_rb[[#This Row],[Antall_rette]]=10,1,"")</f>
        <v/>
      </c>
      <c r="O21" s="3">
        <f ca="1">IF(t_rb[[#This Row],[12_Antall]]=1,Data!$AJ$3,0)</f>
        <v>0</v>
      </c>
      <c r="P21" s="3">
        <f ca="1">IF(t_rb[[#This Row],[11_Antall]]=1,Data!$AJ$2,0)</f>
        <v>0</v>
      </c>
      <c r="Q21" s="3" t="str" cm="1">
        <f t="array" ref="Q21">IFERROR(IF(_xlfn.XLOOKUP(t_rb[[#This Row],[Dato]]&amp;t_rb[[#This Row],[Navn]],Regnskap!$C$10:$C$51&amp;Regnskap!$K$10:$K$51,Regnskap!$H$10:$H$51)&gt;0,Data!AI21,""),"")</f>
        <v/>
      </c>
      <c r="R21" s="3" t="str" cm="1">
        <f t="array" ref="R21">IFERROR(IF(_xlfn.XLOOKUP(t_rb[[#This Row],[Dato]]&amp;t_rb[[#This Row],[Navn]],Regnskap!$C$10:$C$51&amp;Regnskap!$K$10:$K$51,Regnskap!$H$10:$H$51)&gt;0,Data!$AJ$3,""),"")</f>
        <v/>
      </c>
      <c r="S21" s="3" t="str" cm="1">
        <f t="array" ref="S21">IFERROR(IF(t_rb[[#This Row],[12_pLEV]]="",IF(_xlfn.XLOOKUP(t_rb[[#This Row],[Dato]]&amp;t_rb[[#This Row],[Navn]],Regnskap!$C$10:$C$51&amp;Regnskap!$K$10:$K$51,Regnskap!$I$10:$I$51)&gt;0,Data!$AJ$2)),"")</f>
        <v/>
      </c>
      <c r="T21" s="3" t="str" cm="1">
        <f t="array" ref="T21">IFERROR(IF(t_rb[[#This Row],[11_pLEV]]="",IF(_xlfn.XLOOKUP(t_rb[[#This Row],[Dato]]&amp;t_rb[[#This Row],[Navn]],Regnskap!$C$10:$C$51&amp;Regnskap!$K$10:$K$51,Regnskap!$J$10:$J$51)&gt;0,Data!$AJ$1),""),"")</f>
        <v/>
      </c>
      <c r="U21">
        <f ca="1">SUM(t_rb[[#This Row],[12_poeng]:[10_pLEV]])</f>
        <v>0</v>
      </c>
      <c r="V21" s="3">
        <f ca="1">SUM(t_rb[[#This Row],[Summert]]+t_rb[[#This Row],[LEV_poeng]])</f>
        <v>0</v>
      </c>
    </row>
    <row r="22" spans="1:29" x14ac:dyDescent="0.2">
      <c r="A22" s="3" t="s">
        <v>906</v>
      </c>
      <c r="B22">
        <f>IF(t_rb[[#This Row],[Dato]]&lt;&gt;"",WEEKNUM(t_rb[[#This Row],[Dato]]),"")</f>
        <v>1</v>
      </c>
      <c r="C22" s="22">
        <f>Data!AL21</f>
        <v>46389</v>
      </c>
      <c r="D22">
        <f ca="1">IFERROR(IF(t_rb[[#This Row],[Dato]]="","",OFFSET(_xlfn.XLOOKUP(C22,Kuponger!E:E,Kuponger!Z:Z),15,0)),"")</f>
        <v>0</v>
      </c>
      <c r="E22">
        <f ca="1">IFERROR(OFFSET(_xlfn.XLOOKUP(C22,Kuponger!E:E,Kuponger!Z:Z),15,1),"")</f>
        <v>0</v>
      </c>
      <c r="F22">
        <f ca="1">IFERROR(IF(t_rb[[#This Row],[Dato]]="","",OFFSET(_xlfn.XLOOKUP(C22,Kuponger!E:E,Kuponger!Z:Z),15,2)),"")</f>
        <v>0</v>
      </c>
      <c r="G22">
        <f ca="1">IFERROR(IF(OFFSET(_xlfn.XLOOKUP(C22,Kuponger!E:E,Kuponger!Z:Z),0,2)=0,"",OFFSET(_xlfn.XLOOKUP(C22,Kuponger!E:E,Kuponger!Z:Z),1,2))*-1,"")</f>
        <v>0</v>
      </c>
      <c r="H22" t="str">
        <f t="shared" ca="1" si="1"/>
        <v/>
      </c>
      <c r="I22" t="str">
        <f ca="1">IFERROR(IF(t_rb[[#This Row],[tp]]&lt;&gt;"",OFFSET(_xlfn.XLOOKUP(C22,Kuponger!E:E,Kuponger!Z:Z),1,1),""),"")</f>
        <v/>
      </c>
      <c r="J22" s="3">
        <f ca="1">IFERROR(IF(t_rb[[#This Row],[Dato]]="",0,OFFSET(_xlfn.XLOOKUP(t_rb[[#This Row],[Dato]],Kuponger!E:E,Kuponger!Z:Z),1,7)),"")</f>
        <v>0</v>
      </c>
      <c r="K22" s="3">
        <f ca="1">IFERROR(SUM(t_rb[[#This Row],[tp]]),0)</f>
        <v>0</v>
      </c>
      <c r="L22" s="3" t="str">
        <f ca="1">IF(t_rb[[#This Row],[Antall_rette]]=12,1,"")</f>
        <v/>
      </c>
      <c r="M22" s="3" t="str">
        <f ca="1">IF(t_rb[[#This Row],[Antall_rette]]=11,1,"")</f>
        <v/>
      </c>
      <c r="N22" s="3" t="str">
        <f ca="1">IF(t_rb[[#This Row],[Antall_rette]]=10,1,"")</f>
        <v/>
      </c>
      <c r="O22" s="3">
        <f ca="1">IF(t_rb[[#This Row],[12_Antall]]=1,Data!$AJ$3,0)</f>
        <v>0</v>
      </c>
      <c r="P22" s="3">
        <f ca="1">IF(t_rb[[#This Row],[11_Antall]]=1,Data!$AJ$2,0)</f>
        <v>0</v>
      </c>
      <c r="Q22" s="3" t="str" cm="1">
        <f t="array" ref="Q22">IFERROR(IF(_xlfn.XLOOKUP(t_rb[[#This Row],[Dato]]&amp;t_rb[[#This Row],[Navn]],Regnskap!$C$10:$C$51&amp;Regnskap!$K$10:$K$51,Regnskap!$H$10:$H$51)&gt;0,Data!AI22,""),"")</f>
        <v/>
      </c>
      <c r="R22" s="3" t="str" cm="1">
        <f t="array" ref="R22">IFERROR(IF(_xlfn.XLOOKUP(t_rb[[#This Row],[Dato]]&amp;t_rb[[#This Row],[Navn]],Regnskap!$C$10:$C$51&amp;Regnskap!$K$10:$K$51,Regnskap!$H$10:$H$51)&gt;0,Data!$AJ$3,""),"")</f>
        <v/>
      </c>
      <c r="S22" s="3" t="str" cm="1">
        <f t="array" ref="S22">IFERROR(IF(t_rb[[#This Row],[12_pLEV]]="",IF(_xlfn.XLOOKUP(t_rb[[#This Row],[Dato]]&amp;t_rb[[#This Row],[Navn]],Regnskap!$C$10:$C$51&amp;Regnskap!$K$10:$K$51,Regnskap!$I$10:$I$51)&gt;0,Data!$AJ$2)),"")</f>
        <v/>
      </c>
      <c r="T22" s="3" t="str" cm="1">
        <f t="array" ref="T22">IFERROR(IF(t_rb[[#This Row],[11_pLEV]]="",IF(_xlfn.XLOOKUP(t_rb[[#This Row],[Dato]]&amp;t_rb[[#This Row],[Navn]],Regnskap!$C$10:$C$51&amp;Regnskap!$K$10:$K$51,Regnskap!$J$10:$J$51)&gt;0,Data!$AJ$1),""),"")</f>
        <v/>
      </c>
      <c r="U22">
        <f ca="1">SUM(t_rb[[#This Row],[12_poeng]:[10_pLEV]])</f>
        <v>0</v>
      </c>
      <c r="V22" s="3">
        <f ca="1">SUM(t_rb[[#This Row],[Summert]]+t_rb[[#This Row],[LEV_poeng]])</f>
        <v>0</v>
      </c>
    </row>
    <row r="23" spans="1:29" x14ac:dyDescent="0.2">
      <c r="A23" s="3" t="s">
        <v>906</v>
      </c>
      <c r="B23">
        <f>IF(t_rb[[#This Row],[Dato]]&lt;&gt;"",WEEKNUM(t_rb[[#This Row],[Dato]]),"")</f>
        <v>2</v>
      </c>
      <c r="C23" s="22">
        <f>Data!AL22</f>
        <v>46396</v>
      </c>
      <c r="D23">
        <f ca="1">IFERROR(IF(t_rb[[#This Row],[Dato]]="","",OFFSET(_xlfn.XLOOKUP(C23,Kuponger!E:E,Kuponger!Z:Z),15,0)),"")</f>
        <v>0</v>
      </c>
      <c r="E23">
        <f ca="1">IFERROR(OFFSET(_xlfn.XLOOKUP(C23,Kuponger!E:E,Kuponger!Z:Z),15,1),"")</f>
        <v>0</v>
      </c>
      <c r="F23">
        <f ca="1">IFERROR(IF(t_rb[[#This Row],[Dato]]="","",OFFSET(_xlfn.XLOOKUP(C23,Kuponger!E:E,Kuponger!Z:Z),15,2)),"")</f>
        <v>0</v>
      </c>
      <c r="G23">
        <f ca="1">IFERROR(IF(OFFSET(_xlfn.XLOOKUP(C23,Kuponger!E:E,Kuponger!Z:Z),0,2)=0,"",OFFSET(_xlfn.XLOOKUP(C23,Kuponger!E:E,Kuponger!Z:Z),1,2))*-1,"")</f>
        <v>0</v>
      </c>
      <c r="H23" t="str">
        <f t="shared" ca="1" si="1"/>
        <v/>
      </c>
      <c r="I23" t="str">
        <f ca="1">IFERROR(IF(t_rb[[#This Row],[tp]]&lt;&gt;"",OFFSET(_xlfn.XLOOKUP(C23,Kuponger!E:E,Kuponger!Z:Z),1,1),""),"")</f>
        <v/>
      </c>
      <c r="J23" s="3">
        <f ca="1">IFERROR(IF(t_rb[[#This Row],[Dato]]="",0,OFFSET(_xlfn.XLOOKUP(t_rb[[#This Row],[Dato]],Kuponger!E:E,Kuponger!Z:Z),1,7)),"")</f>
        <v>0</v>
      </c>
      <c r="K23" s="3">
        <f ca="1">IFERROR(SUM(t_rb[[#This Row],[tp]]),0)</f>
        <v>0</v>
      </c>
      <c r="L23" s="3" t="str">
        <f ca="1">IF(t_rb[[#This Row],[Antall_rette]]=12,1,"")</f>
        <v/>
      </c>
      <c r="M23" s="3" t="str">
        <f ca="1">IF(t_rb[[#This Row],[Antall_rette]]=11,1,"")</f>
        <v/>
      </c>
      <c r="N23" s="3" t="str">
        <f ca="1">IF(t_rb[[#This Row],[Antall_rette]]=10,1,"")</f>
        <v/>
      </c>
      <c r="O23" s="3">
        <f ca="1">IF(t_rb[[#This Row],[12_Antall]]=1,Data!$AJ$3,0)</f>
        <v>0</v>
      </c>
      <c r="P23" s="3">
        <f ca="1">IF(t_rb[[#This Row],[11_Antall]]=1,Data!$AJ$2,0)</f>
        <v>0</v>
      </c>
      <c r="Q23" s="3" t="str" cm="1">
        <f t="array" ref="Q23">IFERROR(IF(_xlfn.XLOOKUP(t_rb[[#This Row],[Dato]]&amp;t_rb[[#This Row],[Navn]],Regnskap!$C$10:$C$51&amp;Regnskap!$K$10:$K$51,Regnskap!$H$10:$H$51)&gt;0,Data!AI23,""),"")</f>
        <v/>
      </c>
      <c r="R23" s="3" t="str" cm="1">
        <f t="array" ref="R23">IFERROR(IF(_xlfn.XLOOKUP(t_rb[[#This Row],[Dato]]&amp;t_rb[[#This Row],[Navn]],Regnskap!$C$10:$C$51&amp;Regnskap!$K$10:$K$51,Regnskap!$H$10:$H$51)&gt;0,Data!$AJ$3,""),"")</f>
        <v/>
      </c>
      <c r="S23" s="3" t="b" cm="1">
        <f t="array" ref="S23">IFERROR(IF(t_rb[[#This Row],[12_pLEV]]="",IF(_xlfn.XLOOKUP(t_rb[[#This Row],[Dato]]&amp;t_rb[[#This Row],[Navn]],Regnskap!$C$10:$C$51&amp;Regnskap!$K$10:$K$51,Regnskap!$I$10:$I$51)&gt;0,Data!$AJ$2)),"")</f>
        <v>0</v>
      </c>
      <c r="T23" s="3" t="str" cm="1">
        <f t="array" ref="T23">IFERROR(IF(t_rb[[#This Row],[11_pLEV]]="",IF(_xlfn.XLOOKUP(t_rb[[#This Row],[Dato]]&amp;t_rb[[#This Row],[Navn]],Regnskap!$C$10:$C$51&amp;Regnskap!$K$10:$K$51,Regnskap!$J$10:$J$51)&gt;0,Data!$AJ$1),""),"")</f>
        <v/>
      </c>
      <c r="U23">
        <f ca="1">SUM(t_rb[[#This Row],[12_poeng]:[10_pLEV]])</f>
        <v>0</v>
      </c>
      <c r="V23" s="3">
        <f ca="1">SUM(t_rb[[#This Row],[Summert]]+t_rb[[#This Row],[LEV_poeng]])</f>
        <v>0</v>
      </c>
    </row>
    <row r="24" spans="1:29" x14ac:dyDescent="0.2">
      <c r="A24" s="3" t="s">
        <v>906</v>
      </c>
      <c r="B24">
        <f>IF(t_rb[[#This Row],[Dato]]&lt;&gt;"",WEEKNUM(t_rb[[#This Row],[Dato]]),"")</f>
        <v>3</v>
      </c>
      <c r="C24" s="22">
        <f>Data!AL23</f>
        <v>46403</v>
      </c>
      <c r="D24">
        <f ca="1">IFERROR(IF(t_rb[[#This Row],[Dato]]="","",OFFSET(_xlfn.XLOOKUP(C24,Kuponger!E:E,Kuponger!Z:Z),15,0)),"")</f>
        <v>0</v>
      </c>
      <c r="E24">
        <f ca="1">IFERROR(OFFSET(_xlfn.XLOOKUP(C24,Kuponger!E:E,Kuponger!Z:Z),15,1),"")</f>
        <v>0</v>
      </c>
      <c r="F24">
        <f ca="1">IFERROR(IF(t_rb[[#This Row],[Dato]]="","",OFFSET(_xlfn.XLOOKUP(C24,Kuponger!E:E,Kuponger!Z:Z),15,2)),"")</f>
        <v>0</v>
      </c>
      <c r="G24">
        <f ca="1">IFERROR(IF(OFFSET(_xlfn.XLOOKUP(C24,Kuponger!E:E,Kuponger!Z:Z),0,2)=0,"",OFFSET(_xlfn.XLOOKUP(C24,Kuponger!E:E,Kuponger!Z:Z),1,2))*-1,"")</f>
        <v>0</v>
      </c>
      <c r="H24" t="str">
        <f t="shared" ca="1" si="1"/>
        <v/>
      </c>
      <c r="I24" t="str">
        <f ca="1">IFERROR(IF(t_rb[[#This Row],[tp]]&lt;&gt;"",OFFSET(_xlfn.XLOOKUP(C24,Kuponger!E:E,Kuponger!Z:Z),1,1),""),"")</f>
        <v/>
      </c>
      <c r="J24" s="3">
        <f ca="1">IFERROR(IF(t_rb[[#This Row],[Dato]]="",0,OFFSET(_xlfn.XLOOKUP(t_rb[[#This Row],[Dato]],Kuponger!E:E,Kuponger!Z:Z),1,7)),"")</f>
        <v>0</v>
      </c>
      <c r="K24" s="3">
        <f ca="1">IFERROR(SUM(t_rb[[#This Row],[tp]]),0)</f>
        <v>0</v>
      </c>
      <c r="L24" s="3" t="str">
        <f ca="1">IF(t_rb[[#This Row],[Antall_rette]]=12,1,"")</f>
        <v/>
      </c>
      <c r="M24" s="3" t="str">
        <f ca="1">IF(t_rb[[#This Row],[Antall_rette]]=11,1,"")</f>
        <v/>
      </c>
      <c r="N24" s="3" t="str">
        <f ca="1">IF(t_rb[[#This Row],[Antall_rette]]=10,1,"")</f>
        <v/>
      </c>
      <c r="O24" s="3">
        <f ca="1">IF(t_rb[[#This Row],[12_Antall]]=1,Data!$AJ$3,0)</f>
        <v>0</v>
      </c>
      <c r="P24" s="3">
        <f ca="1">IF(t_rb[[#This Row],[11_Antall]]=1,Data!$AJ$2,0)</f>
        <v>0</v>
      </c>
      <c r="Q24" s="3" t="str" cm="1">
        <f t="array" ref="Q24">IFERROR(IF(_xlfn.XLOOKUP(t_rb[[#This Row],[Dato]]&amp;t_rb[[#This Row],[Navn]],Regnskap!$C$10:$C$51&amp;Regnskap!$K$10:$K$51,Regnskap!$H$10:$H$51)&gt;0,Data!AI24,""),"")</f>
        <v/>
      </c>
      <c r="R24" s="3" t="str" cm="1">
        <f t="array" ref="R24">IFERROR(IF(_xlfn.XLOOKUP(t_rb[[#This Row],[Dato]]&amp;t_rb[[#This Row],[Navn]],Regnskap!$C$10:$C$51&amp;Regnskap!$K$10:$K$51,Regnskap!$H$10:$H$51)&gt;0,Data!$AJ$3,""),"")</f>
        <v/>
      </c>
      <c r="S24" s="3" t="str" cm="1">
        <f t="array" ref="S24">IFERROR(IF(t_rb[[#This Row],[12_pLEV]]="",IF(_xlfn.XLOOKUP(t_rb[[#This Row],[Dato]]&amp;t_rb[[#This Row],[Navn]],Regnskap!$C$10:$C$51&amp;Regnskap!$K$10:$K$51,Regnskap!$I$10:$I$51)&gt;0,Data!$AJ$2)),"")</f>
        <v/>
      </c>
      <c r="T24" s="3" t="str" cm="1">
        <f t="array" ref="T24">IFERROR(IF(t_rb[[#This Row],[11_pLEV]]="",IF(_xlfn.XLOOKUP(t_rb[[#This Row],[Dato]]&amp;t_rb[[#This Row],[Navn]],Regnskap!$C$10:$C$51&amp;Regnskap!$K$10:$K$51,Regnskap!$J$10:$J$51)&gt;0,Data!$AJ$1),""),"")</f>
        <v/>
      </c>
      <c r="U24">
        <f ca="1">SUM(t_rb[[#This Row],[12_poeng]:[10_pLEV]])</f>
        <v>0</v>
      </c>
      <c r="V24" s="3">
        <f ca="1">SUM(t_rb[[#This Row],[Summert]]+t_rb[[#This Row],[LEV_poeng]])</f>
        <v>0</v>
      </c>
    </row>
    <row r="25" spans="1:29" x14ac:dyDescent="0.2">
      <c r="A25" s="3" t="s">
        <v>906</v>
      </c>
      <c r="B25">
        <f>IF(t_rb[[#This Row],[Dato]]&lt;&gt;"",WEEKNUM(t_rb[[#This Row],[Dato]]),"")</f>
        <v>4</v>
      </c>
      <c r="C25" s="22">
        <f>Data!AL24</f>
        <v>46410</v>
      </c>
      <c r="D25">
        <f ca="1">IFERROR(IF(t_rb[[#This Row],[Dato]]="","",OFFSET(_xlfn.XLOOKUP(C25,Kuponger!E:E,Kuponger!Z:Z),15,0)),"")</f>
        <v>0</v>
      </c>
      <c r="E25">
        <f ca="1">IFERROR(OFFSET(_xlfn.XLOOKUP(C25,Kuponger!E:E,Kuponger!Z:Z),15,1),"")</f>
        <v>0</v>
      </c>
      <c r="F25">
        <f ca="1">IFERROR(IF(t_rb[[#This Row],[Dato]]="","",OFFSET(_xlfn.XLOOKUP(C25,Kuponger!E:E,Kuponger!Z:Z),15,2)),"")</f>
        <v>0</v>
      </c>
      <c r="G25">
        <f ca="1">IFERROR(IF(OFFSET(_xlfn.XLOOKUP(C25,Kuponger!E:E,Kuponger!Z:Z),0,2)=0,"",OFFSET(_xlfn.XLOOKUP(C25,Kuponger!E:E,Kuponger!Z:Z),1,2))*-1,"")</f>
        <v>0</v>
      </c>
      <c r="H25" t="str">
        <f t="shared" ca="1" si="1"/>
        <v/>
      </c>
      <c r="I25" t="str">
        <f ca="1">IFERROR(IF(t_rb[[#This Row],[tp]]&lt;&gt;"",OFFSET(_xlfn.XLOOKUP(C25,Kuponger!E:E,Kuponger!Z:Z),1,1),""),"")</f>
        <v/>
      </c>
      <c r="J25" s="3">
        <f ca="1">IFERROR(IF(t_rb[[#This Row],[Dato]]="",0,OFFSET(_xlfn.XLOOKUP(t_rb[[#This Row],[Dato]],Kuponger!E:E,Kuponger!Z:Z),1,7)),"")</f>
        <v>0</v>
      </c>
      <c r="K25" s="3">
        <f ca="1">IFERROR(SUM(t_rb[[#This Row],[tp]]),0)</f>
        <v>0</v>
      </c>
      <c r="L25" s="3" t="str">
        <f ca="1">IF(t_rb[[#This Row],[Antall_rette]]=12,1,"")</f>
        <v/>
      </c>
      <c r="M25" s="3" t="str">
        <f ca="1">IF(t_rb[[#This Row],[Antall_rette]]=11,1,"")</f>
        <v/>
      </c>
      <c r="N25" s="3" t="str">
        <f ca="1">IF(t_rb[[#This Row],[Antall_rette]]=10,1,"")</f>
        <v/>
      </c>
      <c r="O25" s="3">
        <f ca="1">IF(t_rb[[#This Row],[12_Antall]]=1,Data!$AJ$3,0)</f>
        <v>0</v>
      </c>
      <c r="P25" s="3">
        <f ca="1">IF(t_rb[[#This Row],[11_Antall]]=1,Data!$AJ$2,0)</f>
        <v>0</v>
      </c>
      <c r="Q25" s="3" t="str" cm="1">
        <f t="array" ref="Q25">IFERROR(IF(_xlfn.XLOOKUP(t_rb[[#This Row],[Dato]]&amp;t_rb[[#This Row],[Navn]],Regnskap!$C$10:$C$51&amp;Regnskap!$K$10:$K$51,Regnskap!$H$10:$H$51)&gt;0,Data!AI25,""),"")</f>
        <v/>
      </c>
      <c r="R25" s="3" t="str" cm="1">
        <f t="array" ref="R25">IFERROR(IF(_xlfn.XLOOKUP(t_rb[[#This Row],[Dato]]&amp;t_rb[[#This Row],[Navn]],Regnskap!$C$10:$C$51&amp;Regnskap!$K$10:$K$51,Regnskap!$H$10:$H$51)&gt;0,Data!$AJ$3,""),"")</f>
        <v/>
      </c>
      <c r="S25" s="3" t="str" cm="1">
        <f t="array" ref="S25">IFERROR(IF(t_rb[[#This Row],[12_pLEV]]="",IF(_xlfn.XLOOKUP(t_rb[[#This Row],[Dato]]&amp;t_rb[[#This Row],[Navn]],Regnskap!$C$10:$C$51&amp;Regnskap!$K$10:$K$51,Regnskap!$I$10:$I$51)&gt;0,Data!$AJ$2)),"")</f>
        <v/>
      </c>
      <c r="T25" s="3" t="str" cm="1">
        <f t="array" ref="T25">IFERROR(IF(t_rb[[#This Row],[11_pLEV]]="",IF(_xlfn.XLOOKUP(t_rb[[#This Row],[Dato]]&amp;t_rb[[#This Row],[Navn]],Regnskap!$C$10:$C$51&amp;Regnskap!$K$10:$K$51,Regnskap!$J$10:$J$51)&gt;0,Data!$AJ$1),""),"")</f>
        <v/>
      </c>
      <c r="U25">
        <f ca="1">SUM(t_rb[[#This Row],[12_poeng]:[10_pLEV]])</f>
        <v>0</v>
      </c>
      <c r="V25" s="3">
        <f ca="1">SUM(t_rb[[#This Row],[Summert]]+t_rb[[#This Row],[LEV_poeng]])</f>
        <v>0</v>
      </c>
      <c r="W25" s="2"/>
      <c r="X25" s="2"/>
      <c r="Y25" s="2"/>
      <c r="Z25" s="2"/>
      <c r="AA25" s="2"/>
      <c r="AB25" s="2"/>
      <c r="AC25" s="2"/>
    </row>
    <row r="26" spans="1:29" x14ac:dyDescent="0.2">
      <c r="A26" s="3" t="s">
        <v>906</v>
      </c>
      <c r="B26">
        <f>IF(t_rb[[#This Row],[Dato]]&lt;&gt;"",WEEKNUM(t_rb[[#This Row],[Dato]]),"")</f>
        <v>5</v>
      </c>
      <c r="C26" s="22">
        <f>Data!AL25</f>
        <v>46417</v>
      </c>
      <c r="D26">
        <f ca="1">IFERROR(IF(t_rb[[#This Row],[Dato]]="","",OFFSET(_xlfn.XLOOKUP(C26,Kuponger!E:E,Kuponger!Z:Z),15,0)),"")</f>
        <v>0</v>
      </c>
      <c r="E26">
        <f ca="1">IFERROR(OFFSET(_xlfn.XLOOKUP(C26,Kuponger!E:E,Kuponger!Z:Z),15,1),"")</f>
        <v>0</v>
      </c>
      <c r="F26">
        <f ca="1">IFERROR(IF(t_rb[[#This Row],[Dato]]="","",OFFSET(_xlfn.XLOOKUP(C26,Kuponger!E:E,Kuponger!Z:Z),15,2)),"")</f>
        <v>0</v>
      </c>
      <c r="G26">
        <f ca="1">IFERROR(IF(OFFSET(_xlfn.XLOOKUP(C26,Kuponger!E:E,Kuponger!Z:Z),0,2)=0,"",OFFSET(_xlfn.XLOOKUP(C26,Kuponger!E:E,Kuponger!Z:Z),1,2))*-1,"")</f>
        <v>0</v>
      </c>
      <c r="H26" t="str">
        <f t="shared" ca="1" si="1"/>
        <v/>
      </c>
      <c r="I26" t="str">
        <f ca="1">IFERROR(IF(t_rb[[#This Row],[tp]]&lt;&gt;"",OFFSET(_xlfn.XLOOKUP(C26,Kuponger!E:E,Kuponger!Z:Z),1,1),""),"")</f>
        <v/>
      </c>
      <c r="J26" s="3">
        <f ca="1">IFERROR(IF(t_rb[[#This Row],[Dato]]="",0,OFFSET(_xlfn.XLOOKUP(t_rb[[#This Row],[Dato]],Kuponger!E:E,Kuponger!Z:Z),1,7)),"")</f>
        <v>0</v>
      </c>
      <c r="K26" s="3">
        <f ca="1">IFERROR(SUM(t_rb[[#This Row],[tp]]),0)</f>
        <v>0</v>
      </c>
      <c r="L26" s="3" t="str">
        <f ca="1">IF(t_rb[[#This Row],[Antall_rette]]=12,1,"")</f>
        <v/>
      </c>
      <c r="M26" s="3" t="str">
        <f ca="1">IF(t_rb[[#This Row],[Antall_rette]]=11,1,"")</f>
        <v/>
      </c>
      <c r="N26" s="3" t="str">
        <f ca="1">IF(t_rb[[#This Row],[Antall_rette]]=10,1,"")</f>
        <v/>
      </c>
      <c r="O26" s="3">
        <f ca="1">IF(t_rb[[#This Row],[12_Antall]]=1,Data!$AJ$3,0)</f>
        <v>0</v>
      </c>
      <c r="P26" s="3">
        <f ca="1">IF(t_rb[[#This Row],[11_Antall]]=1,Data!$AJ$2,0)</f>
        <v>0</v>
      </c>
      <c r="Q26" s="3" t="str" cm="1">
        <f t="array" ref="Q26">IFERROR(IF(_xlfn.XLOOKUP(t_rb[[#This Row],[Dato]]&amp;t_rb[[#This Row],[Navn]],Regnskap!$C$10:$C$51&amp;Regnskap!$K$10:$K$51,Regnskap!$H$10:$H$51)&gt;0,Data!AI26,""),"")</f>
        <v/>
      </c>
      <c r="R26" s="3" t="str" cm="1">
        <f t="array" ref="R26">IFERROR(IF(_xlfn.XLOOKUP(t_rb[[#This Row],[Dato]]&amp;t_rb[[#This Row],[Navn]],Regnskap!$C$10:$C$51&amp;Regnskap!$K$10:$K$51,Regnskap!$H$10:$H$51)&gt;0,Data!$AJ$3,""),"")</f>
        <v/>
      </c>
      <c r="S26" s="3" t="str" cm="1">
        <f t="array" ref="S26">IFERROR(IF(t_rb[[#This Row],[12_pLEV]]="",IF(_xlfn.XLOOKUP(t_rb[[#This Row],[Dato]]&amp;t_rb[[#This Row],[Navn]],Regnskap!$C$10:$C$51&amp;Regnskap!$K$10:$K$51,Regnskap!$I$10:$I$51)&gt;0,Data!$AJ$2)),"")</f>
        <v/>
      </c>
      <c r="T26" s="3" t="str" cm="1">
        <f t="array" ref="T26">IFERROR(IF(t_rb[[#This Row],[11_pLEV]]="",IF(_xlfn.XLOOKUP(t_rb[[#This Row],[Dato]]&amp;t_rb[[#This Row],[Navn]],Regnskap!$C$10:$C$51&amp;Regnskap!$K$10:$K$51,Regnskap!$J$10:$J$51)&gt;0,Data!$AJ$1),""),"")</f>
        <v/>
      </c>
      <c r="U26">
        <f ca="1">SUM(t_rb[[#This Row],[12_poeng]:[10_pLEV]])</f>
        <v>0</v>
      </c>
      <c r="V26" s="3">
        <f ca="1">SUM(t_rb[[#This Row],[Summert]]+t_rb[[#This Row],[LEV_poeng]])</f>
        <v>0</v>
      </c>
    </row>
    <row r="27" spans="1:29" x14ac:dyDescent="0.2">
      <c r="A27" s="3" t="s">
        <v>906</v>
      </c>
      <c r="B27">
        <f>IF(t_rb[[#This Row],[Dato]]&lt;&gt;"",WEEKNUM(t_rb[[#This Row],[Dato]]),"")</f>
        <v>6</v>
      </c>
      <c r="C27" s="22">
        <f>Data!AL26</f>
        <v>46424</v>
      </c>
      <c r="D27">
        <f ca="1">IFERROR(IF(t_rb[[#This Row],[Dato]]="","",OFFSET(_xlfn.XLOOKUP(C27,Kuponger!E:E,Kuponger!Z:Z),15,0)),"")</f>
        <v>0</v>
      </c>
      <c r="E27">
        <f ca="1">IFERROR(OFFSET(_xlfn.XLOOKUP(C27,Kuponger!E:E,Kuponger!Z:Z),15,1),"")</f>
        <v>0</v>
      </c>
      <c r="F27">
        <f ca="1">IFERROR(IF(t_rb[[#This Row],[Dato]]="","",OFFSET(_xlfn.XLOOKUP(C27,Kuponger!E:E,Kuponger!Z:Z),15,2)),"")</f>
        <v>0</v>
      </c>
      <c r="G27">
        <f ca="1">IFERROR(IF(OFFSET(_xlfn.XLOOKUP(C27,Kuponger!E:E,Kuponger!Z:Z),0,2)=0,"",OFFSET(_xlfn.XLOOKUP(C27,Kuponger!E:E,Kuponger!Z:Z),1,2))*-1,"")</f>
        <v>0</v>
      </c>
      <c r="H27" t="str">
        <f t="shared" ca="1" si="1"/>
        <v/>
      </c>
      <c r="I27" t="str">
        <f ca="1">IFERROR(IF(t_rb[[#This Row],[tp]]&lt;&gt;"",OFFSET(_xlfn.XLOOKUP(C27,Kuponger!E:E,Kuponger!Z:Z),1,1),""),"")</f>
        <v/>
      </c>
      <c r="J27" s="3">
        <f ca="1">IFERROR(IF(t_rb[[#This Row],[Dato]]="",0,OFFSET(_xlfn.XLOOKUP(t_rb[[#This Row],[Dato]],Kuponger!E:E,Kuponger!Z:Z),1,7)),"")</f>
        <v>0</v>
      </c>
      <c r="K27" s="3">
        <f ca="1">IFERROR(SUM(t_rb[[#This Row],[tp]]),0)</f>
        <v>0</v>
      </c>
      <c r="L27" s="3" t="str">
        <f ca="1">IF(t_rb[[#This Row],[Antall_rette]]=12,1,"")</f>
        <v/>
      </c>
      <c r="M27" s="3" t="str">
        <f ca="1">IF(t_rb[[#This Row],[Antall_rette]]=11,1,"")</f>
        <v/>
      </c>
      <c r="N27" s="3" t="str">
        <f ca="1">IF(t_rb[[#This Row],[Antall_rette]]=10,1,"")</f>
        <v/>
      </c>
      <c r="O27" s="3">
        <f ca="1">IF(t_rb[[#This Row],[12_Antall]]=1,Data!$AJ$3,0)</f>
        <v>0</v>
      </c>
      <c r="P27" s="3">
        <f ca="1">IF(t_rb[[#This Row],[11_Antall]]=1,Data!$AJ$2,0)</f>
        <v>0</v>
      </c>
      <c r="Q27" s="3" t="str" cm="1">
        <f t="array" ref="Q27">IFERROR(IF(_xlfn.XLOOKUP(t_rb[[#This Row],[Dato]]&amp;t_rb[[#This Row],[Navn]],Regnskap!$C$10:$C$51&amp;Regnskap!$K$10:$K$51,Regnskap!$H$10:$H$51)&gt;0,Data!AI27,""),"")</f>
        <v/>
      </c>
      <c r="R27" s="3" t="str" cm="1">
        <f t="array" ref="R27">IFERROR(IF(_xlfn.XLOOKUP(t_rb[[#This Row],[Dato]]&amp;t_rb[[#This Row],[Navn]],Regnskap!$C$10:$C$51&amp;Regnskap!$K$10:$K$51,Regnskap!$H$10:$H$51)&gt;0,Data!$AJ$3,""),"")</f>
        <v/>
      </c>
      <c r="S27" s="3" t="str" cm="1">
        <f t="array" ref="S27">IFERROR(IF(t_rb[[#This Row],[12_pLEV]]="",IF(_xlfn.XLOOKUP(t_rb[[#This Row],[Dato]]&amp;t_rb[[#This Row],[Navn]],Regnskap!$C$10:$C$51&amp;Regnskap!$K$10:$K$51,Regnskap!$I$10:$I$51)&gt;0,Data!$AJ$2)),"")</f>
        <v/>
      </c>
      <c r="T27" s="3" t="str" cm="1">
        <f t="array" ref="T27">IFERROR(IF(t_rb[[#This Row],[11_pLEV]]="",IF(_xlfn.XLOOKUP(t_rb[[#This Row],[Dato]]&amp;t_rb[[#This Row],[Navn]],Regnskap!$C$10:$C$51&amp;Regnskap!$K$10:$K$51,Regnskap!$J$10:$J$51)&gt;0,Data!$AJ$1),""),"")</f>
        <v/>
      </c>
      <c r="U27">
        <f ca="1">SUM(t_rb[[#This Row],[12_poeng]:[10_pLEV]])</f>
        <v>0</v>
      </c>
      <c r="V27" s="3">
        <f ca="1">SUM(t_rb[[#This Row],[Summert]]+t_rb[[#This Row],[LEV_poeng]])</f>
        <v>0</v>
      </c>
    </row>
    <row r="28" spans="1:29" x14ac:dyDescent="0.2">
      <c r="A28" s="3" t="s">
        <v>906</v>
      </c>
      <c r="B28">
        <f>IF(t_rb[[#This Row],[Dato]]&lt;&gt;"",WEEKNUM(t_rb[[#This Row],[Dato]]),"")</f>
        <v>7</v>
      </c>
      <c r="C28" s="22">
        <f>Data!AL27</f>
        <v>46431</v>
      </c>
      <c r="D28">
        <f ca="1">IFERROR(IF(t_rb[[#This Row],[Dato]]="","",OFFSET(_xlfn.XLOOKUP(C28,Kuponger!E:E,Kuponger!Z:Z),15,0)),"")</f>
        <v>0</v>
      </c>
      <c r="E28">
        <f ca="1">IFERROR(OFFSET(_xlfn.XLOOKUP(C28,Kuponger!E:E,Kuponger!Z:Z),15,1),"")</f>
        <v>0</v>
      </c>
      <c r="F28">
        <f ca="1">IFERROR(IF(t_rb[[#This Row],[Dato]]="","",OFFSET(_xlfn.XLOOKUP(C28,Kuponger!E:E,Kuponger!Z:Z),15,2)),"")</f>
        <v>0</v>
      </c>
      <c r="G28">
        <f ca="1">IFERROR(IF(OFFSET(_xlfn.XLOOKUP(C28,Kuponger!E:E,Kuponger!Z:Z),0,2)=0,"",OFFSET(_xlfn.XLOOKUP(C28,Kuponger!E:E,Kuponger!Z:Z),1,2))*-1,"")</f>
        <v>0</v>
      </c>
      <c r="H28" t="str">
        <f t="shared" ca="1" si="1"/>
        <v/>
      </c>
      <c r="I28" t="str">
        <f ca="1">IFERROR(IF(t_rb[[#This Row],[tp]]&lt;&gt;"",OFFSET(_xlfn.XLOOKUP(C28,Kuponger!E:E,Kuponger!Z:Z),1,1),""),"")</f>
        <v/>
      </c>
      <c r="J28" s="3">
        <f ca="1">IFERROR(IF(t_rb[[#This Row],[Dato]]="",0,OFFSET(_xlfn.XLOOKUP(t_rb[[#This Row],[Dato]],Kuponger!E:E,Kuponger!Z:Z),1,7)),"")</f>
        <v>0</v>
      </c>
      <c r="K28" s="3">
        <f ca="1">IFERROR(SUM(t_rb[[#This Row],[tp]]),0)</f>
        <v>0</v>
      </c>
      <c r="L28" s="3" t="str">
        <f ca="1">IF(t_rb[[#This Row],[Antall_rette]]=12,1,"")</f>
        <v/>
      </c>
      <c r="M28" s="3" t="str">
        <f ca="1">IF(t_rb[[#This Row],[Antall_rette]]=11,1,"")</f>
        <v/>
      </c>
      <c r="N28" s="3" t="str">
        <f ca="1">IF(t_rb[[#This Row],[Antall_rette]]=10,1,"")</f>
        <v/>
      </c>
      <c r="O28" s="3">
        <f ca="1">IF(t_rb[[#This Row],[12_Antall]]=1,Data!$AJ$3,0)</f>
        <v>0</v>
      </c>
      <c r="P28" s="3">
        <f ca="1">IF(t_rb[[#This Row],[11_Antall]]=1,Data!$AJ$2,0)</f>
        <v>0</v>
      </c>
      <c r="Q28" s="3" t="str" cm="1">
        <f t="array" ref="Q28">IFERROR(IF(_xlfn.XLOOKUP(t_rb[[#This Row],[Dato]]&amp;t_rb[[#This Row],[Navn]],Regnskap!$C$10:$C$51&amp;Regnskap!$K$10:$K$51,Regnskap!$H$10:$H$51)&gt;0,Data!AI28,""),"")</f>
        <v/>
      </c>
      <c r="R28" s="3" t="str" cm="1">
        <f t="array" ref="R28">IFERROR(IF(_xlfn.XLOOKUP(t_rb[[#This Row],[Dato]]&amp;t_rb[[#This Row],[Navn]],Regnskap!$C$10:$C$51&amp;Regnskap!$K$10:$K$51,Regnskap!$H$10:$H$51)&gt;0,Data!$AJ$3,""),"")</f>
        <v/>
      </c>
      <c r="S28" s="3" t="str" cm="1">
        <f t="array" ref="S28">IFERROR(IF(t_rb[[#This Row],[12_pLEV]]="",IF(_xlfn.XLOOKUP(t_rb[[#This Row],[Dato]]&amp;t_rb[[#This Row],[Navn]],Regnskap!$C$10:$C$51&amp;Regnskap!$K$10:$K$51,Regnskap!$I$10:$I$51)&gt;0,Data!$AJ$2)),"")</f>
        <v/>
      </c>
      <c r="T28" s="3" t="str" cm="1">
        <f t="array" ref="T28">IFERROR(IF(t_rb[[#This Row],[11_pLEV]]="",IF(_xlfn.XLOOKUP(t_rb[[#This Row],[Dato]]&amp;t_rb[[#This Row],[Navn]],Regnskap!$C$10:$C$51&amp;Regnskap!$K$10:$K$51,Regnskap!$J$10:$J$51)&gt;0,Data!$AJ$1),""),"")</f>
        <v/>
      </c>
      <c r="U28">
        <f ca="1">SUM(t_rb[[#This Row],[12_poeng]:[10_pLEV]])</f>
        <v>0</v>
      </c>
      <c r="V28" s="3">
        <f ca="1">SUM(t_rb[[#This Row],[Summert]]+t_rb[[#This Row],[LEV_poeng]])</f>
        <v>0</v>
      </c>
    </row>
    <row r="29" spans="1:29" x14ac:dyDescent="0.2">
      <c r="A29" s="3" t="s">
        <v>906</v>
      </c>
      <c r="B29">
        <f>IF(t_rb[[#This Row],[Dato]]&lt;&gt;"",WEEKNUM(t_rb[[#This Row],[Dato]]),"")</f>
        <v>8</v>
      </c>
      <c r="C29" s="22">
        <f>Data!AL28</f>
        <v>46438</v>
      </c>
      <c r="D29">
        <f ca="1">IFERROR(IF(t_rb[[#This Row],[Dato]]="","",OFFSET(_xlfn.XLOOKUP(C29,Kuponger!E:E,Kuponger!Z:Z),15,0)),"")</f>
        <v>0</v>
      </c>
      <c r="E29">
        <f ca="1">IFERROR(OFFSET(_xlfn.XLOOKUP(C29,Kuponger!E:E,Kuponger!Z:Z),15,1),"")</f>
        <v>0</v>
      </c>
      <c r="F29">
        <f ca="1">IFERROR(IF(t_rb[[#This Row],[Dato]]="","",OFFSET(_xlfn.XLOOKUP(C29,Kuponger!E:E,Kuponger!Z:Z),15,2)),"")</f>
        <v>0</v>
      </c>
      <c r="G29">
        <f ca="1">IFERROR(IF(OFFSET(_xlfn.XLOOKUP(C29,Kuponger!E:E,Kuponger!Z:Z),0,2)=0,"",OFFSET(_xlfn.XLOOKUP(C29,Kuponger!E:E,Kuponger!Z:Z),1,2))*-1,"")</f>
        <v>0</v>
      </c>
      <c r="H29" t="str">
        <f t="shared" ca="1" si="1"/>
        <v/>
      </c>
      <c r="I29" t="str">
        <f ca="1">IFERROR(IF(t_rb[[#This Row],[tp]]&lt;&gt;"",OFFSET(_xlfn.XLOOKUP(C29,Kuponger!E:E,Kuponger!Z:Z),1,1),""),"")</f>
        <v/>
      </c>
      <c r="J29" s="3">
        <f ca="1">IFERROR(IF(t_rb[[#This Row],[Dato]]="",0,OFFSET(_xlfn.XLOOKUP(t_rb[[#This Row],[Dato]],Kuponger!E:E,Kuponger!Z:Z),1,7)),"")</f>
        <v>0</v>
      </c>
      <c r="K29" s="3">
        <f ca="1">IFERROR(SUM(t_rb[[#This Row],[tp]]),0)</f>
        <v>0</v>
      </c>
      <c r="L29" s="3" t="str">
        <f ca="1">IF(t_rb[[#This Row],[Antall_rette]]=12,1,"")</f>
        <v/>
      </c>
      <c r="M29" s="3" t="str">
        <f ca="1">IF(t_rb[[#This Row],[Antall_rette]]=11,1,"")</f>
        <v/>
      </c>
      <c r="N29" s="3" t="str">
        <f ca="1">IF(t_rb[[#This Row],[Antall_rette]]=10,1,"")</f>
        <v/>
      </c>
      <c r="O29" s="3">
        <f ca="1">IF(t_rb[[#This Row],[12_Antall]]=1,Data!$AJ$3,0)</f>
        <v>0</v>
      </c>
      <c r="P29" s="3">
        <f ca="1">IF(t_rb[[#This Row],[11_Antall]]=1,Data!$AJ$2,0)</f>
        <v>0</v>
      </c>
      <c r="Q29" s="3" t="str" cm="1">
        <f t="array" ref="Q29">IFERROR(IF(_xlfn.XLOOKUP(t_rb[[#This Row],[Dato]]&amp;t_rb[[#This Row],[Navn]],Regnskap!$C$10:$C$51&amp;Regnskap!$K$10:$K$51,Regnskap!$H$10:$H$51)&gt;0,Data!AI29,""),"")</f>
        <v/>
      </c>
      <c r="R29" s="3" t="str" cm="1">
        <f t="array" ref="R29">IFERROR(IF(_xlfn.XLOOKUP(t_rb[[#This Row],[Dato]]&amp;t_rb[[#This Row],[Navn]],Regnskap!$C$10:$C$51&amp;Regnskap!$K$10:$K$51,Regnskap!$H$10:$H$51)&gt;0,Data!$AJ$3,""),"")</f>
        <v/>
      </c>
      <c r="S29" s="3" t="str" cm="1">
        <f t="array" ref="S29">IFERROR(IF(t_rb[[#This Row],[12_pLEV]]="",IF(_xlfn.XLOOKUP(t_rb[[#This Row],[Dato]]&amp;t_rb[[#This Row],[Navn]],Regnskap!$C$10:$C$51&amp;Regnskap!$K$10:$K$51,Regnskap!$I$10:$I$51)&gt;0,Data!$AJ$2)),"")</f>
        <v/>
      </c>
      <c r="T29" s="3" t="str" cm="1">
        <f t="array" ref="T29">IFERROR(IF(t_rb[[#This Row],[11_pLEV]]="",IF(_xlfn.XLOOKUP(t_rb[[#This Row],[Dato]]&amp;t_rb[[#This Row],[Navn]],Regnskap!$C$10:$C$51&amp;Regnskap!$K$10:$K$51,Regnskap!$J$10:$J$51)&gt;0,Data!$AJ$1),""),"")</f>
        <v/>
      </c>
      <c r="U29">
        <f ca="1">SUM(t_rb[[#This Row],[12_poeng]:[10_pLEV]])</f>
        <v>0</v>
      </c>
      <c r="V29" s="3">
        <f ca="1">SUM(t_rb[[#This Row],[Summert]]+t_rb[[#This Row],[LEV_poeng]])</f>
        <v>0</v>
      </c>
    </row>
    <row r="30" spans="1:29" x14ac:dyDescent="0.2">
      <c r="A30" s="3" t="s">
        <v>906</v>
      </c>
      <c r="B30">
        <f>IF(t_rb[[#This Row],[Dato]]&lt;&gt;"",WEEKNUM(t_rb[[#This Row],[Dato]]),"")</f>
        <v>9</v>
      </c>
      <c r="C30" s="22">
        <f>Data!AL29</f>
        <v>46445</v>
      </c>
      <c r="D30">
        <f ca="1">IFERROR(IF(t_rb[[#This Row],[Dato]]="","",OFFSET(_xlfn.XLOOKUP(C30,Kuponger!E:E,Kuponger!Z:Z),15,0)),"")</f>
        <v>0</v>
      </c>
      <c r="E30">
        <f ca="1">IFERROR(OFFSET(_xlfn.XLOOKUP(C30,Kuponger!E:E,Kuponger!Z:Z),15,1),"")</f>
        <v>0</v>
      </c>
      <c r="F30">
        <f ca="1">IFERROR(IF(t_rb[[#This Row],[Dato]]="","",OFFSET(_xlfn.XLOOKUP(C30,Kuponger!E:E,Kuponger!Z:Z),15,2)),"")</f>
        <v>0</v>
      </c>
      <c r="G30">
        <f ca="1">IFERROR(IF(OFFSET(_xlfn.XLOOKUP(C30,Kuponger!E:E,Kuponger!Z:Z),0,2)=0,"",OFFSET(_xlfn.XLOOKUP(C30,Kuponger!E:E,Kuponger!Z:Z),1,2))*-1,"")</f>
        <v>0</v>
      </c>
      <c r="H30" t="str">
        <f t="shared" ca="1" si="1"/>
        <v/>
      </c>
      <c r="I30" t="str">
        <f ca="1">IFERROR(IF(t_rb[[#This Row],[tp]]&lt;&gt;"",OFFSET(_xlfn.XLOOKUP(C30,Kuponger!E:E,Kuponger!Z:Z),1,1),""),"")</f>
        <v/>
      </c>
      <c r="J30" s="3">
        <f ca="1">IFERROR(IF(t_rb[[#This Row],[Dato]]="",0,OFFSET(_xlfn.XLOOKUP(t_rb[[#This Row],[Dato]],Kuponger!E:E,Kuponger!Z:Z),1,7)),"")</f>
        <v>0</v>
      </c>
      <c r="K30" s="3">
        <f ca="1">IFERROR(SUM(t_rb[[#This Row],[tp]]),0)</f>
        <v>0</v>
      </c>
      <c r="L30" s="3" t="str">
        <f ca="1">IF(t_rb[[#This Row],[Antall_rette]]=12,1,"")</f>
        <v/>
      </c>
      <c r="M30" s="3" t="str">
        <f ca="1">IF(t_rb[[#This Row],[Antall_rette]]=11,1,"")</f>
        <v/>
      </c>
      <c r="N30" s="3" t="str">
        <f ca="1">IF(t_rb[[#This Row],[Antall_rette]]=10,1,"")</f>
        <v/>
      </c>
      <c r="O30" s="3">
        <f ca="1">IF(t_rb[[#This Row],[12_Antall]]=1,Data!$AJ$3,0)</f>
        <v>0</v>
      </c>
      <c r="P30" s="3">
        <f ca="1">IF(t_rb[[#This Row],[11_Antall]]=1,Data!$AJ$2,0)</f>
        <v>0</v>
      </c>
      <c r="Q30" s="3" t="str" cm="1">
        <f t="array" ref="Q30">IFERROR(IF(_xlfn.XLOOKUP(t_rb[[#This Row],[Dato]]&amp;t_rb[[#This Row],[Navn]],Regnskap!$C$10:$C$51&amp;Regnskap!$K$10:$K$51,Regnskap!$H$10:$H$51)&gt;0,Data!AI30,""),"")</f>
        <v/>
      </c>
      <c r="R30" s="3" t="str" cm="1">
        <f t="array" ref="R30">IFERROR(IF(_xlfn.XLOOKUP(t_rb[[#This Row],[Dato]]&amp;t_rb[[#This Row],[Navn]],Regnskap!$C$10:$C$51&amp;Regnskap!$K$10:$K$51,Regnskap!$H$10:$H$51)&gt;0,Data!$AJ$3,""),"")</f>
        <v/>
      </c>
      <c r="S30" s="3" t="b" cm="1">
        <f t="array" ref="S30">IFERROR(IF(t_rb[[#This Row],[12_pLEV]]="",IF(_xlfn.XLOOKUP(t_rb[[#This Row],[Dato]]&amp;t_rb[[#This Row],[Navn]],Regnskap!$C$10:$C$51&amp;Regnskap!$K$10:$K$51,Regnskap!$I$10:$I$51)&gt;0,Data!$AJ$2)),"")</f>
        <v>0</v>
      </c>
      <c r="T30" s="3" t="str" cm="1">
        <f t="array" ref="T30">IFERROR(IF(t_rb[[#This Row],[11_pLEV]]="",IF(_xlfn.XLOOKUP(t_rb[[#This Row],[Dato]]&amp;t_rb[[#This Row],[Navn]],Regnskap!$C$10:$C$51&amp;Regnskap!$K$10:$K$51,Regnskap!$J$10:$J$51)&gt;0,Data!$AJ$1),""),"")</f>
        <v/>
      </c>
      <c r="U30">
        <f ca="1">SUM(t_rb[[#This Row],[12_poeng]:[10_pLEV]])</f>
        <v>0</v>
      </c>
      <c r="V30" s="3">
        <f ca="1">SUM(t_rb[[#This Row],[Summert]]+t_rb[[#This Row],[LEV_poeng]])</f>
        <v>0</v>
      </c>
    </row>
    <row r="31" spans="1:29" x14ac:dyDescent="0.2">
      <c r="A31" s="3" t="s">
        <v>906</v>
      </c>
      <c r="B31">
        <f>IF(t_rb[[#This Row],[Dato]]&lt;&gt;"",WEEKNUM(t_rb[[#This Row],[Dato]]),"")</f>
        <v>10</v>
      </c>
      <c r="C31" s="22">
        <f>Data!AL30</f>
        <v>46452</v>
      </c>
      <c r="D31">
        <f ca="1">IFERROR(IF(t_rb[[#This Row],[Dato]]="","",OFFSET(_xlfn.XLOOKUP(C31,Kuponger!E:E,Kuponger!Z:Z),15,0)),"")</f>
        <v>0</v>
      </c>
      <c r="E31">
        <f ca="1">IFERROR(OFFSET(_xlfn.XLOOKUP(C31,Kuponger!E:E,Kuponger!Z:Z),15,1),"")</f>
        <v>0</v>
      </c>
      <c r="F31">
        <f ca="1">IFERROR(IF(t_rb[[#This Row],[Dato]]="","",OFFSET(_xlfn.XLOOKUP(C31,Kuponger!E:E,Kuponger!Z:Z),15,2)),"")</f>
        <v>0</v>
      </c>
      <c r="G31">
        <f ca="1">IFERROR(IF(OFFSET(_xlfn.XLOOKUP(C31,Kuponger!E:E,Kuponger!Z:Z),0,2)=0,"",OFFSET(_xlfn.XLOOKUP(C31,Kuponger!E:E,Kuponger!Z:Z),1,2))*-1,"")</f>
        <v>0</v>
      </c>
      <c r="H31" t="str">
        <f t="shared" ca="1" si="1"/>
        <v/>
      </c>
      <c r="I31" t="str">
        <f ca="1">IFERROR(IF(t_rb[[#This Row],[tp]]&lt;&gt;"",OFFSET(_xlfn.XLOOKUP(C31,Kuponger!E:E,Kuponger!Z:Z),1,1),""),"")</f>
        <v/>
      </c>
      <c r="J31" s="3">
        <f ca="1">IFERROR(IF(t_rb[[#This Row],[Dato]]="",0,OFFSET(_xlfn.XLOOKUP(t_rb[[#This Row],[Dato]],Kuponger!E:E,Kuponger!Z:Z),1,7)),"")</f>
        <v>0</v>
      </c>
      <c r="K31" s="3">
        <f ca="1">IFERROR(SUM(t_rb[[#This Row],[tp]]),0)</f>
        <v>0</v>
      </c>
      <c r="L31" s="3" t="str">
        <f ca="1">IF(t_rb[[#This Row],[Antall_rette]]=12,1,"")</f>
        <v/>
      </c>
      <c r="M31" s="3" t="str">
        <f ca="1">IF(t_rb[[#This Row],[Antall_rette]]=11,1,"")</f>
        <v/>
      </c>
      <c r="N31" s="3" t="str">
        <f ca="1">IF(t_rb[[#This Row],[Antall_rette]]=10,1,"")</f>
        <v/>
      </c>
      <c r="O31" s="3">
        <f ca="1">IF(t_rb[[#This Row],[12_Antall]]=1,Data!$AJ$3,0)</f>
        <v>0</v>
      </c>
      <c r="P31" s="3">
        <f ca="1">IF(t_rb[[#This Row],[11_Antall]]=1,Data!$AJ$2,0)</f>
        <v>0</v>
      </c>
      <c r="Q31" s="3" t="str" cm="1">
        <f t="array" ref="Q31">IFERROR(IF(_xlfn.XLOOKUP(t_rb[[#This Row],[Dato]]&amp;t_rb[[#This Row],[Navn]],Regnskap!$C$10:$C$51&amp;Regnskap!$K$10:$K$51,Regnskap!$H$10:$H$51)&gt;0,Data!AI31,""),"")</f>
        <v/>
      </c>
      <c r="R31" s="3" t="str" cm="1">
        <f t="array" ref="R31">IFERROR(IF(_xlfn.XLOOKUP(t_rb[[#This Row],[Dato]]&amp;t_rb[[#This Row],[Navn]],Regnskap!$C$10:$C$51&amp;Regnskap!$K$10:$K$51,Regnskap!$H$10:$H$51)&gt;0,Data!$AJ$3,""),"")</f>
        <v/>
      </c>
      <c r="S31" s="3" t="str" cm="1">
        <f t="array" ref="S31">IFERROR(IF(t_rb[[#This Row],[12_pLEV]]="",IF(_xlfn.XLOOKUP(t_rb[[#This Row],[Dato]]&amp;t_rb[[#This Row],[Navn]],Regnskap!$C$10:$C$51&amp;Regnskap!$K$10:$K$51,Regnskap!$I$10:$I$51)&gt;0,Data!$AJ$2)),"")</f>
        <v/>
      </c>
      <c r="T31" s="3" t="str" cm="1">
        <f t="array" ref="T31">IFERROR(IF(t_rb[[#This Row],[11_pLEV]]="",IF(_xlfn.XLOOKUP(t_rb[[#This Row],[Dato]]&amp;t_rb[[#This Row],[Navn]],Regnskap!$C$10:$C$51&amp;Regnskap!$K$10:$K$51,Regnskap!$J$10:$J$51)&gt;0,Data!$AJ$1),""),"")</f>
        <v/>
      </c>
      <c r="U31">
        <f ca="1">SUM(t_rb[[#This Row],[12_poeng]:[10_pLEV]])</f>
        <v>0</v>
      </c>
      <c r="V31" s="3">
        <f ca="1">SUM(t_rb[[#This Row],[Summert]]+t_rb[[#This Row],[LEV_poeng]])</f>
        <v>0</v>
      </c>
    </row>
    <row r="32" spans="1:29" x14ac:dyDescent="0.2">
      <c r="A32" s="3" t="s">
        <v>906</v>
      </c>
      <c r="B32">
        <f>IF(t_rb[[#This Row],[Dato]]&lt;&gt;"",WEEKNUM(t_rb[[#This Row],[Dato]]),"")</f>
        <v>11</v>
      </c>
      <c r="C32" s="22">
        <f>Data!AL31</f>
        <v>46459</v>
      </c>
      <c r="D32">
        <f ca="1">IFERROR(IF(t_rb[[#This Row],[Dato]]="","",OFFSET(_xlfn.XLOOKUP(C32,Kuponger!E:E,Kuponger!Z:Z),15,0)),"")</f>
        <v>0</v>
      </c>
      <c r="E32">
        <f ca="1">IFERROR(OFFSET(_xlfn.XLOOKUP(C32,Kuponger!E:E,Kuponger!Z:Z),15,1),"")</f>
        <v>0</v>
      </c>
      <c r="F32">
        <f ca="1">IFERROR(IF(t_rb[[#This Row],[Dato]]="","",OFFSET(_xlfn.XLOOKUP(C32,Kuponger!E:E,Kuponger!Z:Z),15,2)),"")</f>
        <v>0</v>
      </c>
      <c r="G32">
        <f ca="1">IFERROR(IF(OFFSET(_xlfn.XLOOKUP(C32,Kuponger!E:E,Kuponger!Z:Z),0,2)=0,"",OFFSET(_xlfn.XLOOKUP(C32,Kuponger!E:E,Kuponger!Z:Z),1,2))*-1,"")</f>
        <v>0</v>
      </c>
      <c r="H32" t="str">
        <f t="shared" ca="1" si="1"/>
        <v/>
      </c>
      <c r="I32" t="str">
        <f ca="1">IFERROR(IF(t_rb[[#This Row],[tp]]&lt;&gt;"",OFFSET(_xlfn.XLOOKUP(C32,Kuponger!E:E,Kuponger!Z:Z),1,1),""),"")</f>
        <v/>
      </c>
      <c r="J32" s="3">
        <f ca="1">IFERROR(IF(t_rb[[#This Row],[Dato]]="",0,OFFSET(_xlfn.XLOOKUP(t_rb[[#This Row],[Dato]],Kuponger!E:E,Kuponger!Z:Z),1,7)),"")</f>
        <v>0</v>
      </c>
      <c r="K32" s="3">
        <f ca="1">IFERROR(SUM(t_rb[[#This Row],[tp]]),0)</f>
        <v>0</v>
      </c>
      <c r="L32" s="3" t="str">
        <f ca="1">IF(t_rb[[#This Row],[Antall_rette]]=12,1,"")</f>
        <v/>
      </c>
      <c r="M32" s="3" t="str">
        <f ca="1">IF(t_rb[[#This Row],[Antall_rette]]=11,1,"")</f>
        <v/>
      </c>
      <c r="N32" s="3" t="str">
        <f ca="1">IF(t_rb[[#This Row],[Antall_rette]]=10,1,"")</f>
        <v/>
      </c>
      <c r="O32" s="3">
        <f ca="1">IF(t_rb[[#This Row],[12_Antall]]=1,Data!$AJ$3,0)</f>
        <v>0</v>
      </c>
      <c r="P32" s="3">
        <f ca="1">IF(t_rb[[#This Row],[11_Antall]]=1,Data!$AJ$2,0)</f>
        <v>0</v>
      </c>
      <c r="Q32" s="3" t="str" cm="1">
        <f t="array" ref="Q32">IFERROR(IF(_xlfn.XLOOKUP(t_rb[[#This Row],[Dato]]&amp;t_rb[[#This Row],[Navn]],Regnskap!$C$10:$C$51&amp;Regnskap!$K$10:$K$51,Regnskap!$H$10:$H$51)&gt;0,Data!AI32,""),"")</f>
        <v/>
      </c>
      <c r="R32" s="3" t="str" cm="1">
        <f t="array" ref="R32">IFERROR(IF(_xlfn.XLOOKUP(t_rb[[#This Row],[Dato]]&amp;t_rb[[#This Row],[Navn]],Regnskap!$C$10:$C$51&amp;Regnskap!$K$10:$K$51,Regnskap!$H$10:$H$51)&gt;0,Data!$AJ$3,""),"")</f>
        <v/>
      </c>
      <c r="S32" s="3" t="str" cm="1">
        <f t="array" ref="S32">IFERROR(IF(t_rb[[#This Row],[12_pLEV]]="",IF(_xlfn.XLOOKUP(t_rb[[#This Row],[Dato]]&amp;t_rb[[#This Row],[Navn]],Regnskap!$C$10:$C$51&amp;Regnskap!$K$10:$K$51,Regnskap!$I$10:$I$51)&gt;0,Data!$AJ$2)),"")</f>
        <v/>
      </c>
      <c r="T32" s="3" t="str" cm="1">
        <f t="array" ref="T32">IFERROR(IF(t_rb[[#This Row],[11_pLEV]]="",IF(_xlfn.XLOOKUP(t_rb[[#This Row],[Dato]]&amp;t_rb[[#This Row],[Navn]],Regnskap!$C$10:$C$51&amp;Regnskap!$K$10:$K$51,Regnskap!$J$10:$J$51)&gt;0,Data!$AJ$1),""),"")</f>
        <v/>
      </c>
      <c r="U32">
        <f ca="1">SUM(t_rb[[#This Row],[12_poeng]:[10_pLEV]])</f>
        <v>0</v>
      </c>
      <c r="V32" s="3">
        <f ca="1">SUM(t_rb[[#This Row],[Summert]]+t_rb[[#This Row],[LEV_poeng]])</f>
        <v>0</v>
      </c>
    </row>
    <row r="33" spans="1:23" x14ac:dyDescent="0.2">
      <c r="A33" s="3" t="s">
        <v>906</v>
      </c>
      <c r="B33">
        <f>IF(t_rb[[#This Row],[Dato]]&lt;&gt;"",WEEKNUM(t_rb[[#This Row],[Dato]]),"")</f>
        <v>12</v>
      </c>
      <c r="C33" s="22">
        <f>Data!AL32</f>
        <v>46466</v>
      </c>
      <c r="D33">
        <f ca="1">IFERROR(IF(t_rb[[#This Row],[Dato]]="","",OFFSET(_xlfn.XLOOKUP(C33,Kuponger!E:E,Kuponger!Z:Z),15,0)),"")</f>
        <v>0</v>
      </c>
      <c r="E33">
        <f ca="1">IFERROR(OFFSET(_xlfn.XLOOKUP(C33,Kuponger!E:E,Kuponger!Z:Z),15,1),"")</f>
        <v>0</v>
      </c>
      <c r="F33">
        <f ca="1">IFERROR(IF(t_rb[[#This Row],[Dato]]="","",OFFSET(_xlfn.XLOOKUP(C33,Kuponger!E:E,Kuponger!Z:Z),15,2)),"")</f>
        <v>0</v>
      </c>
      <c r="G33">
        <f ca="1">IFERROR(IF(OFFSET(_xlfn.XLOOKUP(C33,Kuponger!E:E,Kuponger!Z:Z),0,2)=0,"",OFFSET(_xlfn.XLOOKUP(C33,Kuponger!E:E,Kuponger!Z:Z),1,2))*-1,"")</f>
        <v>0</v>
      </c>
      <c r="H33" t="str">
        <f t="shared" ca="1" si="1"/>
        <v/>
      </c>
      <c r="I33" t="str">
        <f ca="1">IFERROR(IF(t_rb[[#This Row],[tp]]&lt;&gt;"",OFFSET(_xlfn.XLOOKUP(C33,Kuponger!E:E,Kuponger!Z:Z),1,1),""),"")</f>
        <v/>
      </c>
      <c r="J33" s="3">
        <f ca="1">IFERROR(IF(t_rb[[#This Row],[Dato]]="",0,OFFSET(_xlfn.XLOOKUP(t_rb[[#This Row],[Dato]],Kuponger!E:E,Kuponger!Z:Z),1,7)),"")</f>
        <v>0</v>
      </c>
      <c r="K33" s="3">
        <f ca="1">IFERROR(SUM(t_rb[[#This Row],[tp]]),0)</f>
        <v>0</v>
      </c>
      <c r="L33" s="3" t="str">
        <f ca="1">IF(t_rb[[#This Row],[Antall_rette]]=12,1,"")</f>
        <v/>
      </c>
      <c r="M33" s="3" t="str">
        <f ca="1">IF(t_rb[[#This Row],[Antall_rette]]=11,1,"")</f>
        <v/>
      </c>
      <c r="N33" s="3" t="str">
        <f ca="1">IF(t_rb[[#This Row],[Antall_rette]]=10,1,"")</f>
        <v/>
      </c>
      <c r="O33" s="3">
        <f ca="1">IF(t_rb[[#This Row],[12_Antall]]=1,Data!$AJ$3,0)</f>
        <v>0</v>
      </c>
      <c r="P33" s="3">
        <f ca="1">IF(t_rb[[#This Row],[11_Antall]]=1,Data!$AJ$2,0)</f>
        <v>0</v>
      </c>
      <c r="Q33" s="3" t="str" cm="1">
        <f t="array" ref="Q33">IFERROR(IF(_xlfn.XLOOKUP(t_rb[[#This Row],[Dato]]&amp;t_rb[[#This Row],[Navn]],Regnskap!$C$10:$C$51&amp;Regnskap!$K$10:$K$51,Regnskap!$H$10:$H$51)&gt;0,Data!AI33,""),"")</f>
        <v/>
      </c>
      <c r="R33" s="3" t="str" cm="1">
        <f t="array" ref="R33">IFERROR(IF(_xlfn.XLOOKUP(t_rb[[#This Row],[Dato]]&amp;t_rb[[#This Row],[Navn]],Regnskap!$C$10:$C$51&amp;Regnskap!$K$10:$K$51,Regnskap!$H$10:$H$51)&gt;0,Data!$AJ$3,""),"")</f>
        <v/>
      </c>
      <c r="S33" s="3" t="str" cm="1">
        <f t="array" ref="S33">IFERROR(IF(t_rb[[#This Row],[12_pLEV]]="",IF(_xlfn.XLOOKUP(t_rb[[#This Row],[Dato]]&amp;t_rb[[#This Row],[Navn]],Regnskap!$C$10:$C$51&amp;Regnskap!$K$10:$K$51,Regnskap!$I$10:$I$51)&gt;0,Data!$AJ$2)),"")</f>
        <v/>
      </c>
      <c r="T33" s="3" t="str" cm="1">
        <f t="array" ref="T33">IFERROR(IF(t_rb[[#This Row],[11_pLEV]]="",IF(_xlfn.XLOOKUP(t_rb[[#This Row],[Dato]]&amp;t_rb[[#This Row],[Navn]],Regnskap!$C$10:$C$51&amp;Regnskap!$K$10:$K$51,Regnskap!$J$10:$J$51)&gt;0,Data!$AJ$1),""),"")</f>
        <v/>
      </c>
      <c r="U33">
        <f ca="1">SUM(t_rb[[#This Row],[12_poeng]:[10_pLEV]])</f>
        <v>0</v>
      </c>
      <c r="V33" s="3">
        <f ca="1">SUM(t_rb[[#This Row],[Summert]]+t_rb[[#This Row],[LEV_poeng]])</f>
        <v>0</v>
      </c>
    </row>
    <row r="34" spans="1:23" x14ac:dyDescent="0.2">
      <c r="M34" s="4" t="s">
        <v>945</v>
      </c>
      <c r="N34" s="678">
        <f ca="1">IFERROR(AVERAGE(D:D),"")</f>
        <v>73.125</v>
      </c>
      <c r="P34" t="e">
        <f>#REF!&amp;" har tatt "&amp;AD23&amp;" poeng så langt, men samtidig gått glipp av "&amp;AD29&amp;" poeng, noe som gir en poengandel på "&amp;TEXT(N39,"0,0%")</f>
        <v>#REF!</v>
      </c>
    </row>
    <row r="35" spans="1:23" x14ac:dyDescent="0.2">
      <c r="M35" s="4" t="s">
        <v>946</v>
      </c>
      <c r="N35" s="678">
        <f ca="1">IFERROR(AVERAGE(E:E),"")</f>
        <v>53.1875</v>
      </c>
    </row>
    <row r="36" spans="1:23" x14ac:dyDescent="0.2">
      <c r="M36" s="4" t="s">
        <v>947</v>
      </c>
      <c r="N36" s="677">
        <f ca="1">IFERROR(COUNTIF(F:F,"&lt;0")/COUNTIF(C:C,"&gt;0"),"")</f>
        <v>0</v>
      </c>
      <c r="V36" s="3"/>
      <c r="W36" s="3"/>
    </row>
    <row r="37" spans="1:23" x14ac:dyDescent="0.2">
      <c r="M37" s="4" t="s">
        <v>948</v>
      </c>
      <c r="N37" s="678">
        <f ca="1">IFERROR(AVERAGE(G:G),"")</f>
        <v>0</v>
      </c>
    </row>
    <row r="39" spans="1:23" x14ac:dyDescent="0.2">
      <c r="M39" s="4" t="s">
        <v>949</v>
      </c>
      <c r="N39" s="679" t="e">
        <f>(AD23/AD29)</f>
        <v>#DIV/0!</v>
      </c>
    </row>
    <row r="41" spans="1:23" x14ac:dyDescent="0.2">
      <c r="M41" t="s">
        <v>950</v>
      </c>
      <c r="N41">
        <f ca="1">COUNTIF(t_rb[Antall_rette],10)</f>
        <v>1</v>
      </c>
      <c r="O41">
        <f ca="1">IFERROR(N41*Data!AJ1,"")</f>
        <v>58</v>
      </c>
    </row>
    <row r="42" spans="1:23" x14ac:dyDescent="0.2">
      <c r="M42" t="s">
        <v>951</v>
      </c>
      <c r="N42">
        <f ca="1">COUNTIF(t_rb[Antall_rette],11)</f>
        <v>1</v>
      </c>
      <c r="O42">
        <f ca="1">IFERROR(N42*Data!AJ2,"")</f>
        <v>161</v>
      </c>
    </row>
    <row r="43" spans="1:23" x14ac:dyDescent="0.2">
      <c r="M43" t="s">
        <v>952</v>
      </c>
      <c r="N43">
        <f ca="1">COUNTIF(t_rb[Antall_rette],12)</f>
        <v>6</v>
      </c>
      <c r="O43">
        <f ca="1">IFERROR(N43*Data!AJ3,"")</f>
        <v>6420</v>
      </c>
    </row>
    <row r="44" spans="1:23" x14ac:dyDescent="0.2">
      <c r="M44" t="s">
        <v>467</v>
      </c>
      <c r="O44">
        <f ca="1">SUM(O41:O43)</f>
        <v>6639</v>
      </c>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3" width="11.140625" customWidth="1"/>
    <col min="4" max="6" width="6.42578125" customWidth="1"/>
    <col min="7" max="7" width="8.28515625" customWidth="1"/>
    <col min="25" max="26"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6"/>
      <c r="AD1" s="23"/>
      <c r="AF1" s="468"/>
      <c r="AG1" s="468"/>
      <c r="AH1" s="468"/>
      <c r="AI1" s="468"/>
      <c r="AJ1" s="468"/>
    </row>
    <row r="2" spans="1:36" ht="13.5" thickTop="1" x14ac:dyDescent="0.2">
      <c r="A2" s="3" t="s">
        <v>907</v>
      </c>
      <c r="B2">
        <f>IF(t_eb[[#This Row],[Dato]]&lt;&gt;"",WEEKNUM(t_eb[[#This Row],[Dato]]),"")</f>
        <v>33</v>
      </c>
      <c r="C2" s="22">
        <f>Data!AL1</f>
        <v>46249</v>
      </c>
      <c r="D2">
        <f ca="1">IFERROR(IF(t_eb[[#This Row],[Dato]]="","",OFFSET(_xlfn.XLOOKUP(C2,Kuponger!E:E,Kuponger!AI:AI),15,0)),"")</f>
        <v>0</v>
      </c>
      <c r="E2">
        <f ca="1">IFERROR(OFFSET(_xlfn.XLOOKUP(C2,Kuponger!E:E,Kuponger!AI:AI),15,1),"")</f>
        <v>0</v>
      </c>
      <c r="F2">
        <f ca="1">IFERROR(IF(t_eb[[#This Row],[Dato]]="","",OFFSET(_xlfn.XLOOKUP(C2,Kuponger!E:E,Kuponger!AI:AI),15,2)),"")</f>
        <v>0</v>
      </c>
      <c r="G2">
        <f ca="1">IFERROR(IF(OFFSET(_xlfn.XLOOKUP(C2,Kuponger!E:E,Kuponger!AI:AI),0,2)=0,"",OFFSET(_xlfn.XLOOKUP(C2,Kuponger!E:E,Kuponger!AI:AI),1,2))*-1,"")</f>
        <v>0</v>
      </c>
      <c r="H2" t="str">
        <f t="shared" ref="H2" ca="1" si="0">IF(SUMIF(D2:G2,"&lt;&gt;""")=0,"",SUMIF(D2:G2,"&lt;&gt;"""))</f>
        <v/>
      </c>
      <c r="I2" t="str">
        <f ca="1">IFERROR(IF(t_eb[[#This Row],[tp]]&lt;&gt;"",OFFSET(_xlfn.XLOOKUP(C2,Kuponger!E:E,Kuponger!AI:AI),1,1),""),"")</f>
        <v/>
      </c>
      <c r="J2" s="3">
        <f ca="1">IFERROR(IF(t_eb[[#This Row],[Dato]]="",0,OFFSET(_xlfn.XLOOKUP(t_eb[[#This Row],[Dato]],Kuponger!E:E,Kuponger!AI:AI),1,7)),"")</f>
        <v>0</v>
      </c>
      <c r="K2" s="3">
        <f ca="1">IFERROR(SUM(t_eb[[#This Row],[tp]]),0)</f>
        <v>0</v>
      </c>
      <c r="L2" s="3" t="str">
        <f ca="1">IF(t_eb[[#This Row],[Antall_rette]]=12,1,"")</f>
        <v/>
      </c>
      <c r="M2" s="3" t="str">
        <f ca="1">IF(t_eb[[#This Row],[Antall_rette]]=11,1,"")</f>
        <v/>
      </c>
      <c r="N2" s="3" t="str">
        <f ca="1">IF(t_eb[[#This Row],[Antall_rette]]=10,1,"")</f>
        <v/>
      </c>
      <c r="O2" s="3">
        <f ca="1">IF(t_eb[[#This Row],[12_Antall]]=1,Data!$AJ$3,0)</f>
        <v>0</v>
      </c>
      <c r="P2" s="3">
        <f ca="1">IF(t_eb[[#This Row],[11_Antall]]=1,Data!$AJ$2,0)</f>
        <v>0</v>
      </c>
      <c r="Q2" s="3">
        <f ca="1">IF(t_eb[[#This Row],[10_Antall]]=1,Data!$AJ$1,0)</f>
        <v>0</v>
      </c>
      <c r="R2" s="3" t="str" cm="1">
        <f t="array" ref="R2">IFERROR(IF(_xlfn.XLOOKUP(t_eb[[#This Row],[Dato]]&amp;t_eb[[#This Row],[navn]],Regnskap!$C$10:$C$51&amp;Regnskap!$K$10:$K$51,Regnskap!$H$10:$H$51)&gt;0,Data!$AJ$3,""),"")</f>
        <v/>
      </c>
      <c r="S2" s="3" t="str" cm="1">
        <f t="array" ref="S2">IFERROR(IF(t_eb[[#This Row],[12_pLEV]]="",IF(_xlfn.XLOOKUP(t_eb[[#This Row],[Dato]]&amp;t_eb[[#This Row],[navn]],Regnskap!$C$10:$C$51&amp;Regnskap!$K$10:$K$51,Regnskap!$I$10:$I$51)&gt;0,Data!$AJ$2)),"")</f>
        <v/>
      </c>
      <c r="T2" s="3" t="str" cm="1">
        <f t="array" ref="T2">IFERROR(IF(t_eb[[#This Row],[11_pLEV]]="",IF(_xlfn.XLOOKUP(t_eb[[#This Row],[Dato]]&amp;t_eb[[#This Row],[navn]],Regnskap!$C$10:$C$51&amp;Regnskap!$K$10:$K$51,Regnskap!$J$10:$J$51)&gt;0,Data!$AJ$1),""),"")</f>
        <v/>
      </c>
      <c r="U2" s="3">
        <f>SUM(t_eb[[#This Row],[12_pLEV]:[10_pLEV]])</f>
        <v>0</v>
      </c>
      <c r="V2" s="3" cm="1">
        <f t="array" aca="1" ref="V2" ca="1">SUM(t_eb[[#This Row],[Summert]]+t_eb[[#This Row],[12_poeng]:[10_poeng]]+t_eb[[#This Row],[LEV_poeng]])</f>
        <v>0</v>
      </c>
      <c r="AF2" s="3"/>
      <c r="AG2" s="3"/>
      <c r="AH2" s="3"/>
      <c r="AI2" s="3"/>
      <c r="AJ2" s="3"/>
    </row>
    <row r="3" spans="1:36" x14ac:dyDescent="0.2">
      <c r="A3" s="3" t="s">
        <v>907</v>
      </c>
      <c r="B3">
        <f>IF(t_eb[[#This Row],[Dato]]&lt;&gt;"",WEEKNUM(t_eb[[#This Row],[Dato]]),"")</f>
        <v>34</v>
      </c>
      <c r="C3" s="22">
        <f>Data!AL2</f>
        <v>46256</v>
      </c>
      <c r="D3">
        <f ca="1">IFERROR(IF(t_eb[[#This Row],[Dato]]="","",OFFSET(_xlfn.XLOOKUP(C3,Kuponger!E:E,Kuponger!AI:AI),15,0)),"")</f>
        <v>780</v>
      </c>
      <c r="E3">
        <f ca="1">IFERROR(OFFSET(_xlfn.XLOOKUP(C3,Kuponger!E:E,Kuponger!AI:AI),15,1),"")</f>
        <v>0</v>
      </c>
      <c r="F3">
        <f ca="1">IFERROR(IF(t_eb[[#This Row],[Dato]]="","",OFFSET(_xlfn.XLOOKUP(C3,Kuponger!E:E,Kuponger!AI:AI),15,2)),"")</f>
        <v>0</v>
      </c>
      <c r="G3">
        <f ca="1">IFERROR(IF(OFFSET(_xlfn.XLOOKUP(C3,Kuponger!E:E,Kuponger!AI:AI),0,2)=0,"",OFFSET(_xlfn.XLOOKUP(C3,Kuponger!E:E,Kuponger!AI:AI),1,2))*-1,"")</f>
        <v>0</v>
      </c>
      <c r="H3">
        <f t="shared" ref="H3:H33" ca="1" si="1">IF(SUMIF(D3:G3,"&lt;&gt;""")=0,"",SUMIF(D3:G3,"&lt;&gt;"""))</f>
        <v>780</v>
      </c>
      <c r="I3">
        <f ca="1">IFERROR(IF(t_eb[[#This Row],[tp]]&lt;&gt;"",OFFSET(_xlfn.XLOOKUP(C3,Kuponger!E:E,Kuponger!AI:AI),1,1),""),"")</f>
        <v>1</v>
      </c>
      <c r="J3" s="3">
        <f ca="1">IFERROR(IF(t_eb[[#This Row],[Dato]]="",0,OFFSET(_xlfn.XLOOKUP(t_eb[[#This Row],[Dato]],Kuponger!E:E,Kuponger!AI:AI),1,7)),"")</f>
        <v>12</v>
      </c>
      <c r="K3" s="3">
        <f ca="1">IFERROR(SUM(t_eb[[#This Row],[tp]]),0)</f>
        <v>780</v>
      </c>
      <c r="L3" s="3">
        <f ca="1">IF(t_eb[[#This Row],[Antall_rette]]=12,1,"")</f>
        <v>1</v>
      </c>
      <c r="M3" s="3" t="str">
        <f ca="1">IF(t_eb[[#This Row],[Antall_rette]]=11,1,"")</f>
        <v/>
      </c>
      <c r="N3" s="3" t="str">
        <f ca="1">IF(t_eb[[#This Row],[Antall_rette]]=10,1,"")</f>
        <v/>
      </c>
      <c r="O3" s="3">
        <f ca="1">IF(t_eb[[#This Row],[12_Antall]]=1,Data!$AJ$3,0)</f>
        <v>1070</v>
      </c>
      <c r="P3" s="3">
        <f ca="1">IF(t_eb[[#This Row],[11_Antall]]=1,Data!$AJ$2,0)</f>
        <v>0</v>
      </c>
      <c r="Q3" s="3">
        <f ca="1">IF(t_eb[[#This Row],[10_Antall]]=1,Data!$AJ$1,0)</f>
        <v>0</v>
      </c>
      <c r="R3" s="3" t="str" cm="1">
        <f t="array" ref="R3">IFERROR(IF(_xlfn.XLOOKUP(t_eb[[#This Row],[Dato]]&amp;t_eb[[#This Row],[navn]],Regnskap!$C$10:$C$51&amp;Regnskap!$K$10:$K$51,Regnskap!$H$10:$H$51)&gt;0,Data!$AJ$3,""),"")</f>
        <v/>
      </c>
      <c r="S3" s="3" t="str" cm="1">
        <f t="array" ref="S3">IFERROR(IF(t_eb[[#This Row],[12_pLEV]]="",IF(_xlfn.XLOOKUP(t_eb[[#This Row],[Dato]]&amp;t_eb[[#This Row],[navn]],Regnskap!$C$10:$C$51&amp;Regnskap!$K$10:$K$51,Regnskap!$I$10:$I$51)&gt;0,Data!$AJ$2)),"")</f>
        <v/>
      </c>
      <c r="T3" s="3" t="str" cm="1">
        <f t="array" ref="T3">IFERROR(IF(t_eb[[#This Row],[11_pLEV]]="",IF(_xlfn.XLOOKUP(t_eb[[#This Row],[Dato]]&amp;t_eb[[#This Row],[navn]],Regnskap!$C$10:$C$51&amp;Regnskap!$K$10:$K$51,Regnskap!$J$10:$J$51)&gt;0,Data!$AJ$1),""),"")</f>
        <v/>
      </c>
      <c r="U3" s="3">
        <f>SUM(t_eb[[#This Row],[12_pLEV]:[10_pLEV]])</f>
        <v>0</v>
      </c>
      <c r="V3" s="3" cm="1">
        <f t="array" aca="1" ref="V3" ca="1">SUM(t_eb[[#This Row],[Summert]]+t_eb[[#This Row],[12_poeng]:[10_poeng]]+t_eb[[#This Row],[LEV_poeng]])</f>
        <v>3410</v>
      </c>
    </row>
    <row r="4" spans="1:36" x14ac:dyDescent="0.2">
      <c r="A4" s="3" t="s">
        <v>907</v>
      </c>
      <c r="B4">
        <f>IF(t_eb[[#This Row],[Dato]]&lt;&gt;"",WEEKNUM(t_eb[[#This Row],[Dato]]),"")</f>
        <v>35</v>
      </c>
      <c r="C4" s="22">
        <f>Data!AL3</f>
        <v>46263</v>
      </c>
      <c r="D4">
        <f ca="1">IFERROR(IF(t_eb[[#This Row],[Dato]]="","",OFFSET(_xlfn.XLOOKUP(C4,Kuponger!E:E,Kuponger!AI:AI),15,0)),"")</f>
        <v>780</v>
      </c>
      <c r="E4">
        <f ca="1">IFERROR(OFFSET(_xlfn.XLOOKUP(C4,Kuponger!E:E,Kuponger!AI:AI),15,1),"")</f>
        <v>0</v>
      </c>
      <c r="F4">
        <f ca="1">IFERROR(IF(t_eb[[#This Row],[Dato]]="","",OFFSET(_xlfn.XLOOKUP(C4,Kuponger!E:E,Kuponger!AI:AI),15,2)),"")</f>
        <v>0</v>
      </c>
      <c r="G4">
        <f ca="1">IFERROR(IF(OFFSET(_xlfn.XLOOKUP(C4,Kuponger!E:E,Kuponger!AI:AI),0,2)=0,"",OFFSET(_xlfn.XLOOKUP(C4,Kuponger!E:E,Kuponger!AI:AI),1,2))*-1,"")</f>
        <v>0</v>
      </c>
      <c r="H4">
        <f t="shared" ca="1" si="1"/>
        <v>780</v>
      </c>
      <c r="I4">
        <f ca="1">IFERROR(IF(t_eb[[#This Row],[tp]]&lt;&gt;"",OFFSET(_xlfn.XLOOKUP(C4,Kuponger!E:E,Kuponger!AI:AI),1,1),""),"")</f>
        <v>1</v>
      </c>
      <c r="J4" s="3">
        <f ca="1">IFERROR(IF(t_eb[[#This Row],[Dato]]="",0,OFFSET(_xlfn.XLOOKUP(t_eb[[#This Row],[Dato]],Kuponger!E:E,Kuponger!AI:AI),1,7)),"")</f>
        <v>12</v>
      </c>
      <c r="K4" s="3">
        <f ca="1">IFERROR(SUM(t_eb[[#This Row],[tp]]),0)</f>
        <v>780</v>
      </c>
      <c r="L4" s="3">
        <f ca="1">IF(t_eb[[#This Row],[Antall_rette]]=12,1,"")</f>
        <v>1</v>
      </c>
      <c r="M4" s="3" t="str">
        <f ca="1">IF(t_eb[[#This Row],[Antall_rette]]=11,1,"")</f>
        <v/>
      </c>
      <c r="N4" s="3" t="str">
        <f ca="1">IF(t_eb[[#This Row],[Antall_rette]]=10,1,"")</f>
        <v/>
      </c>
      <c r="O4" s="3">
        <f ca="1">IF(t_eb[[#This Row],[12_Antall]]=1,Data!$AJ$3,0)</f>
        <v>1070</v>
      </c>
      <c r="P4" s="3">
        <f ca="1">IF(t_eb[[#This Row],[11_Antall]]=1,Data!$AJ$2,0)</f>
        <v>0</v>
      </c>
      <c r="Q4" s="3">
        <f ca="1">IF(t_eb[[#This Row],[10_Antall]]=1,Data!$AJ$1,0)</f>
        <v>0</v>
      </c>
      <c r="R4" s="3" t="str" cm="1">
        <f t="array" ref="R4">IFERROR(IF(_xlfn.XLOOKUP(t_eb[[#This Row],[Dato]]&amp;t_eb[[#This Row],[navn]],Regnskap!$C$10:$C$51&amp;Regnskap!$K$10:$K$51,Regnskap!$H$10:$H$51)&gt;0,Data!$AJ$3,""),"")</f>
        <v/>
      </c>
      <c r="S4" s="3" t="str" cm="1">
        <f t="array" ref="S4">IFERROR(IF(t_eb[[#This Row],[12_pLEV]]="",IF(_xlfn.XLOOKUP(t_eb[[#This Row],[Dato]]&amp;t_eb[[#This Row],[navn]],Regnskap!$C$10:$C$51&amp;Regnskap!$K$10:$K$51,Regnskap!$I$10:$I$51)&gt;0,Data!$AJ$2)),"")</f>
        <v/>
      </c>
      <c r="T4" s="3" t="str" cm="1">
        <f t="array" ref="T4">IFERROR(IF(t_eb[[#This Row],[11_pLEV]]="",IF(_xlfn.XLOOKUP(t_eb[[#This Row],[Dato]]&amp;t_eb[[#This Row],[navn]],Regnskap!$C$10:$C$51&amp;Regnskap!$K$10:$K$51,Regnskap!$J$10:$J$51)&gt;0,Data!$AJ$1),""),"")</f>
        <v/>
      </c>
      <c r="U4" s="3">
        <f>SUM(t_eb[[#This Row],[12_pLEV]:[10_pLEV]])</f>
        <v>0</v>
      </c>
      <c r="V4" s="3" cm="1">
        <f t="array" aca="1" ref="V4" ca="1">SUM(t_eb[[#This Row],[Summert]]+t_eb[[#This Row],[12_poeng]:[10_poeng]]+t_eb[[#This Row],[LEV_poeng]])</f>
        <v>3410</v>
      </c>
    </row>
    <row r="5" spans="1:36" x14ac:dyDescent="0.2">
      <c r="A5" s="3" t="s">
        <v>907</v>
      </c>
      <c r="B5">
        <f>IF(t_eb[[#This Row],[Dato]]&lt;&gt;"",WEEKNUM(t_eb[[#This Row],[Dato]]),"")</f>
        <v>36</v>
      </c>
      <c r="C5" s="22">
        <f>Data!AL4</f>
        <v>46270</v>
      </c>
      <c r="D5">
        <f ca="1">IFERROR(IF(t_eb[[#This Row],[Dato]]="","",OFFSET(_xlfn.XLOOKUP(C5,Kuponger!E:E,Kuponger!AI:AI),15,0)),"")</f>
        <v>780</v>
      </c>
      <c r="E5">
        <f ca="1">IFERROR(OFFSET(_xlfn.XLOOKUP(C5,Kuponger!E:E,Kuponger!AI:AI),15,1),"")</f>
        <v>0</v>
      </c>
      <c r="F5">
        <f ca="1">IFERROR(IF(t_eb[[#This Row],[Dato]]="","",OFFSET(_xlfn.XLOOKUP(C5,Kuponger!E:E,Kuponger!AI:AI),15,2)),"")</f>
        <v>0</v>
      </c>
      <c r="G5">
        <f ca="1">IFERROR(IF(OFFSET(_xlfn.XLOOKUP(C5,Kuponger!E:E,Kuponger!AI:AI),0,2)=0,"",OFFSET(_xlfn.XLOOKUP(C5,Kuponger!E:E,Kuponger!AI:AI),1,2))*-1,"")</f>
        <v>0</v>
      </c>
      <c r="H5">
        <f t="shared" ca="1" si="1"/>
        <v>780</v>
      </c>
      <c r="I5">
        <f ca="1">IFERROR(IF(t_eb[[#This Row],[tp]]&lt;&gt;"",OFFSET(_xlfn.XLOOKUP(C5,Kuponger!E:E,Kuponger!AI:AI),1,1),""),"")</f>
        <v>1</v>
      </c>
      <c r="J5" s="3">
        <f ca="1">IFERROR(IF(t_eb[[#This Row],[Dato]]="",0,OFFSET(_xlfn.XLOOKUP(t_eb[[#This Row],[Dato]],Kuponger!E:E,Kuponger!AI:AI),1,7)),"")</f>
        <v>12</v>
      </c>
      <c r="K5" s="3">
        <f ca="1">IFERROR(SUM(t_eb[[#This Row],[tp]]),0)</f>
        <v>780</v>
      </c>
      <c r="L5" s="3">
        <f ca="1">IF(t_eb[[#This Row],[Antall_rette]]=12,1,"")</f>
        <v>1</v>
      </c>
      <c r="M5" s="3" t="str">
        <f ca="1">IF(t_eb[[#This Row],[Antall_rette]]=11,1,"")</f>
        <v/>
      </c>
      <c r="N5" s="3" t="str">
        <f ca="1">IF(t_eb[[#This Row],[Antall_rette]]=10,1,"")</f>
        <v/>
      </c>
      <c r="O5" s="3">
        <f ca="1">IF(t_eb[[#This Row],[12_Antall]]=1,Data!$AJ$3,0)</f>
        <v>1070</v>
      </c>
      <c r="P5" s="3">
        <f ca="1">IF(t_eb[[#This Row],[11_Antall]]=1,Data!$AJ$2,0)</f>
        <v>0</v>
      </c>
      <c r="Q5" s="3">
        <f ca="1">IF(t_eb[[#This Row],[10_Antall]]=1,Data!$AJ$1,0)</f>
        <v>0</v>
      </c>
      <c r="R5" s="3" t="str" cm="1">
        <f t="array" ref="R5">IFERROR(IF(_xlfn.XLOOKUP(t_eb[[#This Row],[Dato]]&amp;t_eb[[#This Row],[navn]],Regnskap!$C$10:$C$51&amp;Regnskap!$K$10:$K$51,Regnskap!$H$10:$H$51)&gt;0,Data!$AJ$3,""),"")</f>
        <v/>
      </c>
      <c r="S5" s="3" t="str" cm="1">
        <f t="array" ref="S5">IFERROR(IF(t_eb[[#This Row],[12_pLEV]]="",IF(_xlfn.XLOOKUP(t_eb[[#This Row],[Dato]]&amp;t_eb[[#This Row],[navn]],Regnskap!$C$10:$C$51&amp;Regnskap!$K$10:$K$51,Regnskap!$I$10:$I$51)&gt;0,Data!$AJ$2)),"")</f>
        <v/>
      </c>
      <c r="T5" s="3" t="str" cm="1">
        <f t="array" ref="T5">IFERROR(IF(t_eb[[#This Row],[11_pLEV]]="",IF(_xlfn.XLOOKUP(t_eb[[#This Row],[Dato]]&amp;t_eb[[#This Row],[navn]],Regnskap!$C$10:$C$51&amp;Regnskap!$K$10:$K$51,Regnskap!$J$10:$J$51)&gt;0,Data!$AJ$1),""),"")</f>
        <v/>
      </c>
      <c r="U5" s="3">
        <f>SUM(t_eb[[#This Row],[12_pLEV]:[10_pLEV]])</f>
        <v>0</v>
      </c>
      <c r="V5" s="3" cm="1">
        <f t="array" aca="1" ref="V5" ca="1">SUM(t_eb[[#This Row],[Summert]]+t_eb[[#This Row],[12_poeng]:[10_poeng]]+t_eb[[#This Row],[LEV_poeng]])</f>
        <v>3410</v>
      </c>
    </row>
    <row r="6" spans="1:36" x14ac:dyDescent="0.2">
      <c r="A6" s="3" t="s">
        <v>907</v>
      </c>
      <c r="B6">
        <f>IF(t_eb[[#This Row],[Dato]]&lt;&gt;"",WEEKNUM(t_eb[[#This Row],[Dato]]),"")</f>
        <v>37</v>
      </c>
      <c r="C6" s="22">
        <f>Data!AL5</f>
        <v>46277</v>
      </c>
      <c r="D6">
        <f ca="1">IFERROR(IF(t_eb[[#This Row],[Dato]]="","",OFFSET(_xlfn.XLOOKUP(C6,Kuponger!E:E,Kuponger!AI:AI),15,0)),"")</f>
        <v>0</v>
      </c>
      <c r="E6">
        <f ca="1">IFERROR(OFFSET(_xlfn.XLOOKUP(C6,Kuponger!E:E,Kuponger!AI:AI),15,1),"")</f>
        <v>0</v>
      </c>
      <c r="F6">
        <f ca="1">IFERROR(IF(t_eb[[#This Row],[Dato]]="","",OFFSET(_xlfn.XLOOKUP(C6,Kuponger!E:E,Kuponger!AI:AI),15,2)),"")</f>
        <v>852</v>
      </c>
      <c r="G6">
        <f ca="1">IFERROR(IF(OFFSET(_xlfn.XLOOKUP(C6,Kuponger!E:E,Kuponger!AI:AI),0,2)=0,"",OFFSET(_xlfn.XLOOKUP(C6,Kuponger!E:E,Kuponger!AI:AI),1,2))*-1,"")</f>
        <v>0</v>
      </c>
      <c r="H6">
        <f t="shared" ca="1" si="1"/>
        <v>852</v>
      </c>
      <c r="I6" t="str">
        <f ca="1">IFERROR(IF(t_eb[[#This Row],[tp]]&lt;&gt;"",OFFSET(_xlfn.XLOOKUP(C6,Kuponger!E:E,Kuponger!AI:AI),1,1),""),"")</f>
        <v/>
      </c>
      <c r="J6" s="3">
        <f ca="1">IFERROR(IF(t_eb[[#This Row],[Dato]]="",0,OFFSET(_xlfn.XLOOKUP(t_eb[[#This Row],[Dato]],Kuponger!E:E,Kuponger!AI:AI),1,7)),"")</f>
        <v>12</v>
      </c>
      <c r="K6" s="3">
        <f ca="1">IFERROR(SUM(t_eb[[#This Row],[tp]]),0)</f>
        <v>852</v>
      </c>
      <c r="L6" s="3">
        <f ca="1">IF(t_eb[[#This Row],[Antall_rette]]=12,1,"")</f>
        <v>1</v>
      </c>
      <c r="M6" s="3" t="str">
        <f ca="1">IF(t_eb[[#This Row],[Antall_rette]]=11,1,"")</f>
        <v/>
      </c>
      <c r="N6" s="3" t="str">
        <f ca="1">IF(t_eb[[#This Row],[Antall_rette]]=10,1,"")</f>
        <v/>
      </c>
      <c r="O6" s="3">
        <f ca="1">IF(t_eb[[#This Row],[12_Antall]]=1,Data!$AJ$3,0)</f>
        <v>1070</v>
      </c>
      <c r="P6" s="3">
        <f ca="1">IF(t_eb[[#This Row],[11_Antall]]=1,Data!$AJ$2,0)</f>
        <v>0</v>
      </c>
      <c r="Q6" s="3">
        <f ca="1">IF(t_eb[[#This Row],[10_Antall]]=1,Data!$AJ$1,0)</f>
        <v>0</v>
      </c>
      <c r="R6" s="3" t="str" cm="1">
        <f t="array" ref="R6">IFERROR(IF(_xlfn.XLOOKUP(t_eb[[#This Row],[Dato]]&amp;t_eb[[#This Row],[navn]],Regnskap!$C$10:$C$51&amp;Regnskap!$K$10:$K$51,Regnskap!$H$10:$H$51)&gt;0,Data!$AJ$3,""),"")</f>
        <v/>
      </c>
      <c r="S6" s="3" t="str" cm="1">
        <f t="array" ref="S6">IFERROR(IF(t_eb[[#This Row],[12_pLEV]]="",IF(_xlfn.XLOOKUP(t_eb[[#This Row],[Dato]]&amp;t_eb[[#This Row],[navn]],Regnskap!$C$10:$C$51&amp;Regnskap!$K$10:$K$51,Regnskap!$I$10:$I$51)&gt;0,Data!$AJ$2)),"")</f>
        <v/>
      </c>
      <c r="T6" s="3" t="str" cm="1">
        <f t="array" ref="T6">IFERROR(IF(t_eb[[#This Row],[11_pLEV]]="",IF(_xlfn.XLOOKUP(t_eb[[#This Row],[Dato]]&amp;t_eb[[#This Row],[navn]],Regnskap!$C$10:$C$51&amp;Regnskap!$K$10:$K$51,Regnskap!$J$10:$J$51)&gt;0,Data!$AJ$1),""),"")</f>
        <v/>
      </c>
      <c r="U6" s="3">
        <f>SUM(t_eb[[#This Row],[12_pLEV]:[10_pLEV]])</f>
        <v>0</v>
      </c>
      <c r="V6" s="3" cm="1">
        <f t="array" aca="1" ref="V6" ca="1">SUM(t_eb[[#This Row],[Summert]]+t_eb[[#This Row],[12_poeng]:[10_poeng]]+t_eb[[#This Row],[LEV_poeng]])</f>
        <v>3626</v>
      </c>
    </row>
    <row r="7" spans="1:36" ht="15" x14ac:dyDescent="0.25">
      <c r="A7" s="3" t="s">
        <v>907</v>
      </c>
      <c r="B7">
        <f>IF(t_eb[[#This Row],[Dato]]&lt;&gt;"",WEEKNUM(t_eb[[#This Row],[Dato]]),"")</f>
        <v>38</v>
      </c>
      <c r="C7" s="22">
        <f>Data!AL6</f>
        <v>46284</v>
      </c>
      <c r="D7">
        <f ca="1">IFERROR(IF(t_eb[[#This Row],[Dato]]="","",OFFSET(_xlfn.XLOOKUP(C7,Kuponger!E:E,Kuponger!AI:AI),15,0)),"")</f>
        <v>0</v>
      </c>
      <c r="E7">
        <f ca="1">IFERROR(OFFSET(_xlfn.XLOOKUP(C7,Kuponger!E:E,Kuponger!AI:AI),15,1),"")</f>
        <v>0</v>
      </c>
      <c r="F7">
        <f ca="1">IFERROR(IF(t_eb[[#This Row],[Dato]]="","",OFFSET(_xlfn.XLOOKUP(C7,Kuponger!E:E,Kuponger!AI:AI),15,2)),"")</f>
        <v>852</v>
      </c>
      <c r="G7">
        <f ca="1">IFERROR(IF(OFFSET(_xlfn.XLOOKUP(C7,Kuponger!E:E,Kuponger!AI:AI),0,2)=0,"",OFFSET(_xlfn.XLOOKUP(C7,Kuponger!E:E,Kuponger!AI:AI),1,2))*-1,"")</f>
        <v>0</v>
      </c>
      <c r="H7">
        <f t="shared" ca="1" si="1"/>
        <v>852</v>
      </c>
      <c r="I7" t="str">
        <f ca="1">IFERROR(IF(t_eb[[#This Row],[tp]]&lt;&gt;"",OFFSET(_xlfn.XLOOKUP(C7,Kuponger!E:E,Kuponger!AI:AI),1,1),""),"")</f>
        <v/>
      </c>
      <c r="J7" s="3">
        <f ca="1">IFERROR(IF(t_eb[[#This Row],[Dato]]="",0,OFFSET(_xlfn.XLOOKUP(t_eb[[#This Row],[Dato]],Kuponger!E:E,Kuponger!AI:AI),1,7)),"")</f>
        <v>12</v>
      </c>
      <c r="K7" s="3">
        <f ca="1">IFERROR(SUM(t_eb[[#This Row],[tp]]),0)</f>
        <v>852</v>
      </c>
      <c r="L7" s="3">
        <f ca="1">IF(t_eb[[#This Row],[Antall_rette]]=12,1,"")</f>
        <v>1</v>
      </c>
      <c r="M7" s="3" t="str">
        <f ca="1">IF(t_eb[[#This Row],[Antall_rette]]=11,1,"")</f>
        <v/>
      </c>
      <c r="N7" s="3" t="str">
        <f ca="1">IF(t_eb[[#This Row],[Antall_rette]]=10,1,"")</f>
        <v/>
      </c>
      <c r="O7" s="3">
        <f ca="1">IF(t_eb[[#This Row],[12_Antall]]=1,Data!$AJ$3,0)</f>
        <v>1070</v>
      </c>
      <c r="P7" s="3">
        <f ca="1">IF(t_eb[[#This Row],[11_Antall]]=1,Data!$AJ$2,0)</f>
        <v>0</v>
      </c>
      <c r="Q7" s="3">
        <f ca="1">IF(t_eb[[#This Row],[10_Antall]]=1,Data!$AJ$1,0)</f>
        <v>0</v>
      </c>
      <c r="R7" s="3" t="str" cm="1">
        <f t="array" ref="R7">IFERROR(IF(_xlfn.XLOOKUP(t_eb[[#This Row],[Dato]]&amp;t_eb[[#This Row],[navn]],Regnskap!$C$10:$C$51&amp;Regnskap!$K$10:$K$51,Regnskap!$H$10:$H$51)&gt;0,Data!$AJ$3,""),"")</f>
        <v/>
      </c>
      <c r="S7" s="3" t="str" cm="1">
        <f t="array" ref="S7">IFERROR(IF(t_eb[[#This Row],[12_pLEV]]="",IF(_xlfn.XLOOKUP(t_eb[[#This Row],[Dato]]&amp;t_eb[[#This Row],[navn]],Regnskap!$C$10:$C$51&amp;Regnskap!$K$10:$K$51,Regnskap!$I$10:$I$51)&gt;0,Data!$AJ$2)),"")</f>
        <v/>
      </c>
      <c r="T7" s="3" t="str" cm="1">
        <f t="array" ref="T7">IFERROR(IF(t_eb[[#This Row],[11_pLEV]]="",IF(_xlfn.XLOOKUP(t_eb[[#This Row],[Dato]]&amp;t_eb[[#This Row],[navn]],Regnskap!$C$10:$C$51&amp;Regnskap!$K$10:$K$51,Regnskap!$J$10:$J$51)&gt;0,Data!$AJ$1),""),"")</f>
        <v/>
      </c>
      <c r="U7" s="3">
        <f>SUM(t_eb[[#This Row],[12_pLEV]:[10_pLEV]])</f>
        <v>0</v>
      </c>
      <c r="V7" s="3" cm="1">
        <f t="array" aca="1" ref="V7" ca="1">SUM(t_eb[[#This Row],[Summert]]+t_eb[[#This Row],[12_poeng]:[10_poeng]]+t_eb[[#This Row],[LEV_poeng]])</f>
        <v>3626</v>
      </c>
      <c r="W7" s="671"/>
      <c r="X7" s="671"/>
      <c r="Y7" s="671"/>
      <c r="Z7" s="671"/>
      <c r="AA7" s="671"/>
      <c r="AB7" s="671"/>
      <c r="AC7" s="23"/>
    </row>
    <row r="8" spans="1:36" x14ac:dyDescent="0.2">
      <c r="A8" s="3" t="s">
        <v>907</v>
      </c>
      <c r="B8">
        <f>IF(t_eb[[#This Row],[Dato]]&lt;&gt;"",WEEKNUM(t_eb[[#This Row],[Dato]]),"")</f>
        <v>39</v>
      </c>
      <c r="C8" s="22">
        <f>Data!AL7</f>
        <v>46291</v>
      </c>
      <c r="D8">
        <f ca="1">IFERROR(IF(t_eb[[#This Row],[Dato]]="","",OFFSET(_xlfn.XLOOKUP(C8,Kuponger!E:E,Kuponger!AI:AI),15,0)),"")</f>
        <v>0</v>
      </c>
      <c r="E8">
        <f ca="1">IFERROR(OFFSET(_xlfn.XLOOKUP(C8,Kuponger!E:E,Kuponger!AI:AI),15,1),"")</f>
        <v>0</v>
      </c>
      <c r="F8">
        <f ca="1">IFERROR(IF(t_eb[[#This Row],[Dato]]="","",OFFSET(_xlfn.XLOOKUP(C8,Kuponger!E:E,Kuponger!AI:AI),15,2)),"")</f>
        <v>710</v>
      </c>
      <c r="G8">
        <f ca="1">IFERROR(IF(OFFSET(_xlfn.XLOOKUP(C8,Kuponger!E:E,Kuponger!AI:AI),0,2)=0,"",OFFSET(_xlfn.XLOOKUP(C8,Kuponger!E:E,Kuponger!AI:AI),1,2))*-1,"")</f>
        <v>0</v>
      </c>
      <c r="H8">
        <f t="shared" ca="1" si="1"/>
        <v>710</v>
      </c>
      <c r="I8" t="str">
        <f ca="1">IFERROR(IF(t_eb[[#This Row],[tp]]&lt;&gt;"",OFFSET(_xlfn.XLOOKUP(C8,Kuponger!E:E,Kuponger!AI:AI),1,1),""),"")</f>
        <v/>
      </c>
      <c r="J8" s="3">
        <f ca="1">IFERROR(IF(t_eb[[#This Row],[Dato]]="",0,OFFSET(_xlfn.XLOOKUP(t_eb[[#This Row],[Dato]],Kuponger!E:E,Kuponger!AI:AI),1,7)),"")</f>
        <v>10</v>
      </c>
      <c r="K8" s="3">
        <f ca="1">IFERROR(SUM(t_eb[[#This Row],[tp]]),0)</f>
        <v>710</v>
      </c>
      <c r="L8" s="3" t="str">
        <f ca="1">IF(t_eb[[#This Row],[Antall_rette]]=12,1,"")</f>
        <v/>
      </c>
      <c r="M8" s="3" t="str">
        <f ca="1">IF(t_eb[[#This Row],[Antall_rette]]=11,1,"")</f>
        <v/>
      </c>
      <c r="N8" s="3">
        <f ca="1">IF(t_eb[[#This Row],[Antall_rette]]=10,1,"")</f>
        <v>1</v>
      </c>
      <c r="O8" s="3">
        <f ca="1">IF(t_eb[[#This Row],[12_Antall]]=1,Data!$AJ$3,0)</f>
        <v>0</v>
      </c>
      <c r="P8" s="3">
        <f ca="1">IF(t_eb[[#This Row],[11_Antall]]=1,Data!$AJ$2,0)</f>
        <v>0</v>
      </c>
      <c r="Q8" s="3">
        <f ca="1">IF(t_eb[[#This Row],[10_Antall]]=1,Data!$AJ$1,0)</f>
        <v>58</v>
      </c>
      <c r="R8" s="3" t="str" cm="1">
        <f t="array" ref="R8">IFERROR(IF(_xlfn.XLOOKUP(t_eb[[#This Row],[Dato]]&amp;t_eb[[#This Row],[navn]],Regnskap!$C$10:$C$51&amp;Regnskap!$K$10:$K$51,Regnskap!$H$10:$H$51)&gt;0,Data!$AJ$3,""),"")</f>
        <v/>
      </c>
      <c r="S8" s="3" t="b" cm="1">
        <f t="array" ref="S8">IFERROR(IF(t_eb[[#This Row],[12_pLEV]]="",IF(_xlfn.XLOOKUP(t_eb[[#This Row],[Dato]]&amp;t_eb[[#This Row],[navn]],Regnskap!$C$10:$C$51&amp;Regnskap!$K$10:$K$51,Regnskap!$I$10:$I$51)&gt;0,Data!$AJ$2)),"")</f>
        <v>0</v>
      </c>
      <c r="T8" s="3" t="str" cm="1">
        <f t="array" ref="T8">IFERROR(IF(t_eb[[#This Row],[11_pLEV]]="",IF(_xlfn.XLOOKUP(t_eb[[#This Row],[Dato]]&amp;t_eb[[#This Row],[navn]],Regnskap!$C$10:$C$51&amp;Regnskap!$K$10:$K$51,Regnskap!$J$10:$J$51)&gt;0,Data!$AJ$1),""),"")</f>
        <v/>
      </c>
      <c r="U8" s="3">
        <f>SUM(t_eb[[#This Row],[12_pLEV]:[10_pLEV]])</f>
        <v>0</v>
      </c>
      <c r="V8" s="3" cm="1">
        <f t="array" aca="1" ref="V8" ca="1">SUM(t_eb[[#This Row],[Summert]]+t_eb[[#This Row],[12_poeng]:[10_poeng]]+t_eb[[#This Row],[LEV_poeng]])</f>
        <v>2188</v>
      </c>
    </row>
    <row r="9" spans="1:36" x14ac:dyDescent="0.2">
      <c r="A9" s="3" t="s">
        <v>907</v>
      </c>
      <c r="B9">
        <f>IF(t_eb[[#This Row],[Dato]]&lt;&gt;"",WEEKNUM(t_eb[[#This Row],[Dato]]),"")</f>
        <v>40</v>
      </c>
      <c r="C9" s="22">
        <f>Data!AL8</f>
        <v>46298</v>
      </c>
      <c r="D9">
        <f ca="1">IFERROR(IF(t_eb[[#This Row],[Dato]]="","",OFFSET(_xlfn.XLOOKUP(C9,Kuponger!E:E,Kuponger!AI:AI),15,0)),"")</f>
        <v>0</v>
      </c>
      <c r="E9">
        <f ca="1">IFERROR(OFFSET(_xlfn.XLOOKUP(C9,Kuponger!E:E,Kuponger!AI:AI),15,1),"")</f>
        <v>814</v>
      </c>
      <c r="F9">
        <f ca="1">IFERROR(IF(t_eb[[#This Row],[Dato]]="","",OFFSET(_xlfn.XLOOKUP(C9,Kuponger!E:E,Kuponger!AI:AI),15,2)),"")</f>
        <v>0</v>
      </c>
      <c r="G9">
        <f ca="1">IFERROR(IF(OFFSET(_xlfn.XLOOKUP(C9,Kuponger!E:E,Kuponger!AI:AI),0,2)=0,"",OFFSET(_xlfn.XLOOKUP(C9,Kuponger!E:E,Kuponger!AI:AI),1,2))*-1,"")</f>
        <v>0</v>
      </c>
      <c r="H9">
        <f t="shared" ca="1" si="1"/>
        <v>814</v>
      </c>
      <c r="I9">
        <f ca="1">IFERROR(IF(t_eb[[#This Row],[tp]]&lt;&gt;"",OFFSET(_xlfn.XLOOKUP(C9,Kuponger!E:E,Kuponger!AI:AI),1,1),""),"")</f>
        <v>1</v>
      </c>
      <c r="J9" s="3">
        <f ca="1">IFERROR(IF(t_eb[[#This Row],[Dato]]="",0,OFFSET(_xlfn.XLOOKUP(t_eb[[#This Row],[Dato]],Kuponger!E:E,Kuponger!AI:AI),1,7)),"")</f>
        <v>11</v>
      </c>
      <c r="K9" s="3">
        <f ca="1">IFERROR(SUM(t_eb[[#This Row],[tp]]),0)</f>
        <v>814</v>
      </c>
      <c r="L9" s="3" t="str">
        <f ca="1">IF(t_eb[[#This Row],[Antall_rette]]=12,1,"")</f>
        <v/>
      </c>
      <c r="M9" s="3">
        <f ca="1">IF(t_eb[[#This Row],[Antall_rette]]=11,1,"")</f>
        <v>1</v>
      </c>
      <c r="N9" s="3" t="str">
        <f ca="1">IF(t_eb[[#This Row],[Antall_rette]]=10,1,"")</f>
        <v/>
      </c>
      <c r="O9" s="3">
        <f ca="1">IF(t_eb[[#This Row],[12_Antall]]=1,Data!$AJ$3,0)</f>
        <v>0</v>
      </c>
      <c r="P9" s="3">
        <f ca="1">IF(t_eb[[#This Row],[11_Antall]]=1,Data!$AJ$2,0)</f>
        <v>161</v>
      </c>
      <c r="Q9" s="3">
        <f ca="1">IF(t_eb[[#This Row],[10_Antall]]=1,Data!$AJ$1,0)</f>
        <v>0</v>
      </c>
      <c r="R9" s="3" t="str" cm="1">
        <f t="array" ref="R9">IFERROR(IF(_xlfn.XLOOKUP(t_eb[[#This Row],[Dato]]&amp;t_eb[[#This Row],[navn]],Regnskap!$C$10:$C$51&amp;Regnskap!$K$10:$K$51,Regnskap!$H$10:$H$51)&gt;0,Data!$AJ$3,""),"")</f>
        <v/>
      </c>
      <c r="S9" s="3" t="str" cm="1">
        <f t="array" ref="S9">IFERROR(IF(t_eb[[#This Row],[12_pLEV]]="",IF(_xlfn.XLOOKUP(t_eb[[#This Row],[Dato]]&amp;t_eb[[#This Row],[navn]],Regnskap!$C$10:$C$51&amp;Regnskap!$K$10:$K$51,Regnskap!$I$10:$I$51)&gt;0,Data!$AJ$2)),"")</f>
        <v/>
      </c>
      <c r="T9" s="3" t="str" cm="1">
        <f t="array" ref="T9">IFERROR(IF(t_eb[[#This Row],[11_pLEV]]="",IF(_xlfn.XLOOKUP(t_eb[[#This Row],[Dato]]&amp;t_eb[[#This Row],[navn]],Regnskap!$C$10:$C$51&amp;Regnskap!$K$10:$K$51,Regnskap!$J$10:$J$51)&gt;0,Data!$AJ$1),""),"")</f>
        <v/>
      </c>
      <c r="U9" s="3">
        <f>SUM(t_eb[[#This Row],[12_pLEV]:[10_pLEV]])</f>
        <v>0</v>
      </c>
      <c r="V9" s="3" cm="1">
        <f t="array" aca="1" ref="V9" ca="1">SUM(t_eb[[#This Row],[Summert]]+t_eb[[#This Row],[12_poeng]:[10_poeng]]+t_eb[[#This Row],[LEV_poeng]])</f>
        <v>2603</v>
      </c>
    </row>
    <row r="10" spans="1:36" x14ac:dyDescent="0.2">
      <c r="A10" s="3" t="s">
        <v>907</v>
      </c>
      <c r="B10">
        <f>IF(t_eb[[#This Row],[Dato]]&lt;&gt;"",WEEKNUM(t_eb[[#This Row],[Dato]]),"")</f>
        <v>41</v>
      </c>
      <c r="C10" s="22">
        <f>Data!AL9</f>
        <v>46305</v>
      </c>
      <c r="D10">
        <f ca="1">IFERROR(IF(t_eb[[#This Row],[Dato]]="","",OFFSET(_xlfn.XLOOKUP(C10,Kuponger!E:E,Kuponger!AI:AI),15,0)),"")</f>
        <v>0</v>
      </c>
      <c r="E10">
        <f ca="1">IFERROR(OFFSET(_xlfn.XLOOKUP(C10,Kuponger!E:E,Kuponger!AI:AI),15,1),"")</f>
        <v>888</v>
      </c>
      <c r="F10">
        <f ca="1">IFERROR(IF(t_eb[[#This Row],[Dato]]="","",OFFSET(_xlfn.XLOOKUP(C10,Kuponger!E:E,Kuponger!AI:AI),15,2)),"")</f>
        <v>0</v>
      </c>
      <c r="G10">
        <f ca="1">IFERROR(IF(OFFSET(_xlfn.XLOOKUP(C10,Kuponger!E:E,Kuponger!AI:AI),0,2)=0,"",OFFSET(_xlfn.XLOOKUP(C10,Kuponger!E:E,Kuponger!AI:AI),1,2))*-1,"")</f>
        <v>0</v>
      </c>
      <c r="H10">
        <f t="shared" ca="1" si="1"/>
        <v>888</v>
      </c>
      <c r="I10">
        <f ca="1">IFERROR(IF(t_eb[[#This Row],[tp]]&lt;&gt;"",OFFSET(_xlfn.XLOOKUP(C10,Kuponger!E:E,Kuponger!AI:AI),1,1),""),"")</f>
        <v>1</v>
      </c>
      <c r="J10" s="3">
        <f ca="1">IFERROR(IF(t_eb[[#This Row],[Dato]]="",0,OFFSET(_xlfn.XLOOKUP(t_eb[[#This Row],[Dato]],Kuponger!E:E,Kuponger!AI:AI),1,7)),"")</f>
        <v>12</v>
      </c>
      <c r="K10" s="3">
        <f ca="1">IFERROR(SUM(t_eb[[#This Row],[tp]]),0)</f>
        <v>888</v>
      </c>
      <c r="L10" s="3">
        <f ca="1">IF(t_eb[[#This Row],[Antall_rette]]=12,1,"")</f>
        <v>1</v>
      </c>
      <c r="M10" s="3" t="str">
        <f ca="1">IF(t_eb[[#This Row],[Antall_rette]]=11,1,"")</f>
        <v/>
      </c>
      <c r="N10" s="3" t="str">
        <f ca="1">IF(t_eb[[#This Row],[Antall_rette]]=10,1,"")</f>
        <v/>
      </c>
      <c r="O10" s="3">
        <f ca="1">IF(t_eb[[#This Row],[12_Antall]]=1,Data!$AJ$3,0)</f>
        <v>1070</v>
      </c>
      <c r="P10" s="3">
        <f ca="1">IF(t_eb[[#This Row],[11_Antall]]=1,Data!$AJ$2,0)</f>
        <v>0</v>
      </c>
      <c r="Q10" s="3">
        <f ca="1">IF(t_eb[[#This Row],[10_Antall]]=1,Data!$AJ$1,0)</f>
        <v>0</v>
      </c>
      <c r="R10" s="3" t="str" cm="1">
        <f t="array" ref="R10">IFERROR(IF(_xlfn.XLOOKUP(t_eb[[#This Row],[Dato]]&amp;t_eb[[#This Row],[navn]],Regnskap!$C$10:$C$51&amp;Regnskap!$K$10:$K$51,Regnskap!$H$10:$H$51)&gt;0,Data!$AJ$3,""),"")</f>
        <v/>
      </c>
      <c r="S10" s="3" t="str" cm="1">
        <f t="array" ref="S10">IFERROR(IF(t_eb[[#This Row],[12_pLEV]]="",IF(_xlfn.XLOOKUP(t_eb[[#This Row],[Dato]]&amp;t_eb[[#This Row],[navn]],Regnskap!$C$10:$C$51&amp;Regnskap!$K$10:$K$51,Regnskap!$I$10:$I$51)&gt;0,Data!$AJ$2)),"")</f>
        <v/>
      </c>
      <c r="T10" s="3" t="str" cm="1">
        <f t="array" ref="T10">IFERROR(IF(t_eb[[#This Row],[11_pLEV]]="",IF(_xlfn.XLOOKUP(t_eb[[#This Row],[Dato]]&amp;t_eb[[#This Row],[navn]],Regnskap!$C$10:$C$51&amp;Regnskap!$K$10:$K$51,Regnskap!$J$10:$J$51)&gt;0,Data!$AJ$1),""),"")</f>
        <v/>
      </c>
      <c r="U10" s="3">
        <f>SUM(t_eb[[#This Row],[12_pLEV]:[10_pLEV]])</f>
        <v>0</v>
      </c>
      <c r="V10" s="3" cm="1">
        <f t="array" aca="1" ref="V10" ca="1">SUM(t_eb[[#This Row],[Summert]]+t_eb[[#This Row],[12_poeng]:[10_poeng]]+t_eb[[#This Row],[LEV_poeng]])</f>
        <v>3734</v>
      </c>
    </row>
    <row r="11" spans="1:36" x14ac:dyDescent="0.2">
      <c r="A11" s="3" t="s">
        <v>907</v>
      </c>
      <c r="B11">
        <f>IF(t_eb[[#This Row],[Dato]]&lt;&gt;"",WEEKNUM(t_eb[[#This Row],[Dato]]),"")</f>
        <v>42</v>
      </c>
      <c r="C11" s="22">
        <f>Data!AL10</f>
        <v>46312</v>
      </c>
      <c r="D11">
        <f ca="1">IFERROR(IF(t_eb[[#This Row],[Dato]]="","",OFFSET(_xlfn.XLOOKUP(C11,Kuponger!E:E,Kuponger!AI:AI),15,0)),"")</f>
        <v>0</v>
      </c>
      <c r="E11">
        <f ca="1">IF(t_eb[[#This Row],[Dato]]="","",OFFSET(_xlfn.XLOOKUP(C11,Kuponger!E:E,Kuponger!AI:AI),15,1))</f>
        <v>0</v>
      </c>
      <c r="F11">
        <f ca="1">IFERROR(IF(t_eb[[#This Row],[Dato]]="","",OFFSET(_xlfn.XLOOKUP(C11,Kuponger!E:E,Kuponger!AI:AI),15,2)),"")</f>
        <v>0</v>
      </c>
      <c r="G11">
        <f ca="1">IFERROR(IF(OFFSET(_xlfn.XLOOKUP(C11,Kuponger!E:E,Kuponger!AI:AI),0,2)=0,"",OFFSET(_xlfn.XLOOKUP(C11,Kuponger!E:E,Kuponger!AI:AI),1,2))*-1,"")</f>
        <v>0</v>
      </c>
      <c r="H11" t="str">
        <f t="shared" ca="1" si="1"/>
        <v/>
      </c>
      <c r="I11" t="str">
        <f ca="1">IFERROR(IF(t_eb[[#This Row],[tp]]&lt;&gt;"",OFFSET(_xlfn.XLOOKUP(C11,Kuponger!E:E,Kuponger!AI:AI),1,1),""),"")</f>
        <v/>
      </c>
      <c r="J11" s="3">
        <f ca="1">IFERROR(IF(t_eb[[#This Row],[Dato]]="",0,OFFSET(_xlfn.XLOOKUP(t_eb[[#This Row],[Dato]],Kuponger!E:E,Kuponger!AI:AI),1,7)),"")</f>
        <v>0</v>
      </c>
      <c r="K11" s="3">
        <f ca="1">IFERROR(SUM(t_eb[[#This Row],[tp]]),0)</f>
        <v>0</v>
      </c>
      <c r="L11" s="3" t="str">
        <f ca="1">IF(t_eb[[#This Row],[Antall_rette]]=12,1,"")</f>
        <v/>
      </c>
      <c r="M11" s="3" t="str">
        <f ca="1">IF(t_eb[[#This Row],[Antall_rette]]=11,1,"")</f>
        <v/>
      </c>
      <c r="N11" s="3" t="str">
        <f ca="1">IF(t_eb[[#This Row],[Antall_rette]]=10,1,"")</f>
        <v/>
      </c>
      <c r="O11" s="3">
        <f ca="1">IF(t_eb[[#This Row],[12_Antall]]=1,Data!$AJ$3,0)</f>
        <v>0</v>
      </c>
      <c r="P11" s="3">
        <f ca="1">IF(t_eb[[#This Row],[11_Antall]]=1,Data!$AJ$2,0)</f>
        <v>0</v>
      </c>
      <c r="Q11" s="3">
        <f ca="1">IF(t_eb[[#This Row],[10_Antall]]=1,Data!$AJ$1,0)</f>
        <v>0</v>
      </c>
      <c r="R11" s="3" t="str" cm="1">
        <f t="array" ref="R11">IFERROR(IF(_xlfn.XLOOKUP(t_eb[[#This Row],[Dato]]&amp;t_eb[[#This Row],[navn]],Regnskap!$C$10:$C$51&amp;Regnskap!$K$10:$K$51,Regnskap!$H$10:$H$51)&gt;0,Data!$AJ$3,""),"")</f>
        <v/>
      </c>
      <c r="S11" s="3" t="str" cm="1">
        <f t="array" ref="S11">IFERROR(IF(t_eb[[#This Row],[12_pLEV]]="",IF(_xlfn.XLOOKUP(t_eb[[#This Row],[Dato]]&amp;t_eb[[#This Row],[navn]],Regnskap!$C$10:$C$51&amp;Regnskap!$K$10:$K$51,Regnskap!$I$10:$I$51)&gt;0,Data!$AJ$2)),"")</f>
        <v/>
      </c>
      <c r="T11" s="3" t="str" cm="1">
        <f t="array" ref="T11">IFERROR(IF(t_eb[[#This Row],[11_pLEV]]="",IF(_xlfn.XLOOKUP(t_eb[[#This Row],[Dato]]&amp;t_eb[[#This Row],[navn]],Regnskap!$C$10:$C$51&amp;Regnskap!$K$10:$K$51,Regnskap!$J$10:$J$51)&gt;0,Data!$AJ$1),""),"")</f>
        <v/>
      </c>
      <c r="U11" s="3">
        <f>SUM(t_eb[[#This Row],[12_pLEV]:[10_pLEV]])</f>
        <v>0</v>
      </c>
      <c r="V11" s="3" cm="1">
        <f t="array" aca="1" ref="V11" ca="1">SUM(t_eb[[#This Row],[Summert]]+t_eb[[#This Row],[12_poeng]:[10_poeng]]+t_eb[[#This Row],[LEV_poeng]])</f>
        <v>0</v>
      </c>
    </row>
    <row r="12" spans="1:36" x14ac:dyDescent="0.2">
      <c r="A12" s="3" t="s">
        <v>907</v>
      </c>
      <c r="B12">
        <f>IF(t_eb[[#This Row],[Dato]]&lt;&gt;"",WEEKNUM(t_eb[[#This Row],[Dato]]),"")</f>
        <v>43</v>
      </c>
      <c r="C12" s="22">
        <f>Data!AL11</f>
        <v>46319</v>
      </c>
      <c r="D12">
        <f ca="1">IFERROR(IF(t_eb[[#This Row],[Dato]]="","",OFFSET(_xlfn.XLOOKUP(C12,Kuponger!E:E,Kuponger!AI:AI),15,0)),"")</f>
        <v>0</v>
      </c>
      <c r="E12">
        <f ca="1">IF(t_eb[[#This Row],[Dato]]="","",OFFSET(_xlfn.XLOOKUP(C12,Kuponger!E:E,Kuponger!AI:AI),15,1))</f>
        <v>0</v>
      </c>
      <c r="F12">
        <f ca="1">IFERROR(IF(t_eb[[#This Row],[Dato]]="","",OFFSET(_xlfn.XLOOKUP(C12,Kuponger!E:E,Kuponger!AI:AI),15,2)),"")</f>
        <v>0</v>
      </c>
      <c r="G12">
        <f ca="1">IFERROR(IF(OFFSET(_xlfn.XLOOKUP(C12,Kuponger!E:E,Kuponger!AI:AI),0,2)=0,"",OFFSET(_xlfn.XLOOKUP(C12,Kuponger!E:E,Kuponger!AI:AI),1,2))*-1,"")</f>
        <v>0</v>
      </c>
      <c r="H12" t="str">
        <f t="shared" ca="1" si="1"/>
        <v/>
      </c>
      <c r="I12" t="str">
        <f ca="1">IFERROR(IF(t_eb[[#This Row],[tp]]&lt;&gt;"",OFFSET(_xlfn.XLOOKUP(C12,Kuponger!E:E,Kuponger!AI:AI),1,1),""),"")</f>
        <v/>
      </c>
      <c r="J12" s="3">
        <f ca="1">IFERROR(IF(t_eb[[#This Row],[Dato]]="",0,OFFSET(_xlfn.XLOOKUP(t_eb[[#This Row],[Dato]],Kuponger!E:E,Kuponger!AI:AI),1,7)),"")</f>
        <v>0</v>
      </c>
      <c r="K12" s="3">
        <f ca="1">IFERROR(SUM(t_eb[[#This Row],[tp]]),0)</f>
        <v>0</v>
      </c>
      <c r="L12" s="3" t="str">
        <f ca="1">IF(t_eb[[#This Row],[Antall_rette]]=12,1,"")</f>
        <v/>
      </c>
      <c r="M12" s="3" t="str">
        <f ca="1">IF(t_eb[[#This Row],[Antall_rette]]=11,1,"")</f>
        <v/>
      </c>
      <c r="N12" s="3" t="str">
        <f ca="1">IF(t_eb[[#This Row],[Antall_rette]]=10,1,"")</f>
        <v/>
      </c>
      <c r="O12" s="3">
        <f ca="1">IF(t_eb[[#This Row],[12_Antall]]=1,Data!$AJ$3,0)</f>
        <v>0</v>
      </c>
      <c r="P12" s="3">
        <f ca="1">IF(t_eb[[#This Row],[11_Antall]]=1,Data!$AJ$2,0)</f>
        <v>0</v>
      </c>
      <c r="Q12" s="3">
        <f ca="1">IF(t_eb[[#This Row],[10_Antall]]=1,Data!$AJ$1,0)</f>
        <v>0</v>
      </c>
      <c r="R12" s="3" t="str" cm="1">
        <f t="array" ref="R12">IFERROR(IF(_xlfn.XLOOKUP(t_eb[[#This Row],[Dato]]&amp;t_eb[[#This Row],[navn]],Regnskap!$C$10:$C$51&amp;Regnskap!$K$10:$K$51,Regnskap!$H$10:$H$51)&gt;0,Data!$AJ$3,""),"")</f>
        <v/>
      </c>
      <c r="S12" s="3" t="str" cm="1">
        <f t="array" ref="S12">IFERROR(IF(t_eb[[#This Row],[12_pLEV]]="",IF(_xlfn.XLOOKUP(t_eb[[#This Row],[Dato]]&amp;t_eb[[#This Row],[navn]],Regnskap!$C$10:$C$51&amp;Regnskap!$K$10:$K$51,Regnskap!$I$10:$I$51)&gt;0,Data!$AJ$2)),"")</f>
        <v/>
      </c>
      <c r="T12" s="3" t="str" cm="1">
        <f t="array" ref="T12">IFERROR(IF(t_eb[[#This Row],[11_pLEV]]="",IF(_xlfn.XLOOKUP(t_eb[[#This Row],[Dato]]&amp;t_eb[[#This Row],[navn]],Regnskap!$C$10:$C$51&amp;Regnskap!$K$10:$K$51,Regnskap!$J$10:$J$51)&gt;0,Data!$AJ$1),""),"")</f>
        <v/>
      </c>
      <c r="U12" s="3">
        <f>SUM(t_eb[[#This Row],[12_pLEV]:[10_pLEV]])</f>
        <v>0</v>
      </c>
      <c r="V12" s="3" cm="1">
        <f t="array" aca="1" ref="V12" ca="1">SUM(t_eb[[#This Row],[Summert]]+t_eb[[#This Row],[12_poeng]:[10_poeng]]+t_eb[[#This Row],[LEV_poeng]])</f>
        <v>0</v>
      </c>
    </row>
    <row r="13" spans="1:36" ht="15" x14ac:dyDescent="0.25">
      <c r="A13" s="3" t="s">
        <v>907</v>
      </c>
      <c r="B13">
        <f>IF(t_eb[[#This Row],[Dato]]&lt;&gt;"",WEEKNUM(t_eb[[#This Row],[Dato]]),"")</f>
        <v>44</v>
      </c>
      <c r="C13" s="22">
        <f>Data!AL12</f>
        <v>46326</v>
      </c>
      <c r="D13">
        <f ca="1">IFERROR(IF(t_eb[[#This Row],[Dato]]="","",OFFSET(_xlfn.XLOOKUP(C13,Kuponger!E:E,Kuponger!AI:AI),15,0)),"")</f>
        <v>0</v>
      </c>
      <c r="E13">
        <f ca="1">IF(t_eb[[#This Row],[Dato]]="","",OFFSET(_xlfn.XLOOKUP(C13,Kuponger!E:E,Kuponger!AI:AI),15,1))</f>
        <v>0</v>
      </c>
      <c r="F13">
        <f ca="1">IFERROR(IF(t_eb[[#This Row],[Dato]]="","",OFFSET(_xlfn.XLOOKUP(C13,Kuponger!E:E,Kuponger!AI:AI),15,2)),"")</f>
        <v>0</v>
      </c>
      <c r="G13">
        <f ca="1">IFERROR(IF(OFFSET(_xlfn.XLOOKUP(C13,Kuponger!E:E,Kuponger!AI:AI),0,2)=0,"",OFFSET(_xlfn.XLOOKUP(C13,Kuponger!E:E,Kuponger!AI:AI),1,2))*-1,"")</f>
        <v>0</v>
      </c>
      <c r="H13" t="str">
        <f t="shared" ca="1" si="1"/>
        <v/>
      </c>
      <c r="I13" t="str">
        <f ca="1">IFERROR(IF(t_eb[[#This Row],[tp]]&lt;&gt;"",OFFSET(_xlfn.XLOOKUP(C13,Kuponger!E:E,Kuponger!AI:AI),1,1),""),"")</f>
        <v/>
      </c>
      <c r="J13" s="3">
        <f ca="1">IFERROR(IF(t_eb[[#This Row],[Dato]]="",0,OFFSET(_xlfn.XLOOKUP(t_eb[[#This Row],[Dato]],Kuponger!E:E,Kuponger!AI:AI),1,7)),"")</f>
        <v>0</v>
      </c>
      <c r="K13" s="3">
        <f ca="1">IFERROR(SUM(t_eb[[#This Row],[tp]]),0)</f>
        <v>0</v>
      </c>
      <c r="L13" s="3" t="str">
        <f ca="1">IF(t_eb[[#This Row],[Antall_rette]]=12,1,"")</f>
        <v/>
      </c>
      <c r="M13" s="3" t="str">
        <f ca="1">IF(t_eb[[#This Row],[Antall_rette]]=11,1,"")</f>
        <v/>
      </c>
      <c r="N13" s="3" t="str">
        <f ca="1">IF(t_eb[[#This Row],[Antall_rette]]=10,1,"")</f>
        <v/>
      </c>
      <c r="O13" s="3">
        <f ca="1">IF(t_eb[[#This Row],[12_Antall]]=1,Data!$AJ$3,0)</f>
        <v>0</v>
      </c>
      <c r="P13" s="3">
        <f ca="1">IF(t_eb[[#This Row],[11_Antall]]=1,Data!$AJ$2,0)</f>
        <v>0</v>
      </c>
      <c r="Q13" s="3">
        <f ca="1">IF(t_eb[[#This Row],[10_Antall]]=1,Data!$AJ$1,0)</f>
        <v>0</v>
      </c>
      <c r="R13" s="3" t="str" cm="1">
        <f t="array" ref="R13">IFERROR(IF(_xlfn.XLOOKUP(t_eb[[#This Row],[Dato]]&amp;t_eb[[#This Row],[navn]],Regnskap!$C$10:$C$51&amp;Regnskap!$K$10:$K$51,Regnskap!$H$10:$H$51)&gt;0,Data!$AJ$3,""),"")</f>
        <v/>
      </c>
      <c r="S13" s="3" t="str" cm="1">
        <f t="array" ref="S13">IFERROR(IF(t_eb[[#This Row],[12_pLEV]]="",IF(_xlfn.XLOOKUP(t_eb[[#This Row],[Dato]]&amp;t_eb[[#This Row],[navn]],Regnskap!$C$10:$C$51&amp;Regnskap!$K$10:$K$51,Regnskap!$I$10:$I$51)&gt;0,Data!$AJ$2)),"")</f>
        <v/>
      </c>
      <c r="T13" s="3" t="str" cm="1">
        <f t="array" ref="T13">IFERROR(IF(t_eb[[#This Row],[11_pLEV]]="",IF(_xlfn.XLOOKUP(t_eb[[#This Row],[Dato]]&amp;t_eb[[#This Row],[navn]],Regnskap!$C$10:$C$51&amp;Regnskap!$K$10:$K$51,Regnskap!$J$10:$J$51)&gt;0,Data!$AJ$1),""),"")</f>
        <v/>
      </c>
      <c r="U13" s="3">
        <f>SUM(t_eb[[#This Row],[12_pLEV]:[10_pLEV]])</f>
        <v>0</v>
      </c>
      <c r="V13" s="3" cm="1">
        <f t="array" aca="1" ref="V13" ca="1">SUM(t_eb[[#This Row],[Summert]]+t_eb[[#This Row],[12_poeng]:[10_poeng]]+t_eb[[#This Row],[LEV_poeng]])</f>
        <v>0</v>
      </c>
      <c r="W13" s="671"/>
      <c r="X13" s="671"/>
      <c r="Y13" s="671"/>
      <c r="Z13" s="671"/>
      <c r="AA13" s="671"/>
      <c r="AB13" s="671"/>
      <c r="AC13" s="23"/>
    </row>
    <row r="14" spans="1:36" x14ac:dyDescent="0.2">
      <c r="A14" s="3" t="s">
        <v>907</v>
      </c>
      <c r="B14">
        <f>IF(t_eb[[#This Row],[Dato]]&lt;&gt;"",WEEKNUM(t_eb[[#This Row],[Dato]]),"")</f>
        <v>45</v>
      </c>
      <c r="C14" s="22">
        <f>Data!AL13</f>
        <v>46333</v>
      </c>
      <c r="D14">
        <f ca="1">IFERROR(IF(t_eb[[#This Row],[Dato]]="","",OFFSET(_xlfn.XLOOKUP(C14,Kuponger!E:E,Kuponger!AI:AI),15,0)),"")</f>
        <v>0</v>
      </c>
      <c r="E14">
        <f ca="1">IF(t_eb[[#This Row],[Dato]]="","",OFFSET(_xlfn.XLOOKUP(C14,Kuponger!E:E,Kuponger!AI:AI),15,1))</f>
        <v>0</v>
      </c>
      <c r="F14">
        <f ca="1">IFERROR(IF(t_eb[[#This Row],[Dato]]="","",OFFSET(_xlfn.XLOOKUP(C14,Kuponger!E:E,Kuponger!AI:AI),15,2)),"")</f>
        <v>0</v>
      </c>
      <c r="G14">
        <f ca="1">IFERROR(IF(OFFSET(_xlfn.XLOOKUP(C14,Kuponger!E:E,Kuponger!AI:AI),0,2)=0,"",OFFSET(_xlfn.XLOOKUP(C14,Kuponger!E:E,Kuponger!AI:AI),1,2))*-1,"")</f>
        <v>0</v>
      </c>
      <c r="H14" t="str">
        <f t="shared" ca="1" si="1"/>
        <v/>
      </c>
      <c r="I14" t="str">
        <f ca="1">IFERROR(IF(t_eb[[#This Row],[tp]]&lt;&gt;"",OFFSET(_xlfn.XLOOKUP(C14,Kuponger!E:E,Kuponger!AI:AI),1,1),""),"")</f>
        <v/>
      </c>
      <c r="J14" s="3">
        <f ca="1">IFERROR(IF(t_eb[[#This Row],[Dato]]="",0,OFFSET(_xlfn.XLOOKUP(t_eb[[#This Row],[Dato]],Kuponger!E:E,Kuponger!AI:AI),1,7)),"")</f>
        <v>0</v>
      </c>
      <c r="K14" s="3">
        <f ca="1">IFERROR(SUM(t_eb[[#This Row],[tp]]),0)</f>
        <v>0</v>
      </c>
      <c r="L14" s="3" t="str">
        <f ca="1">IF(t_eb[[#This Row],[Antall_rette]]=12,1,"")</f>
        <v/>
      </c>
      <c r="M14" s="3" t="str">
        <f ca="1">IF(t_eb[[#This Row],[Antall_rette]]=11,1,"")</f>
        <v/>
      </c>
      <c r="N14" s="3" t="str">
        <f ca="1">IF(t_eb[[#This Row],[Antall_rette]]=10,1,"")</f>
        <v/>
      </c>
      <c r="O14" s="3">
        <f ca="1">IF(t_eb[[#This Row],[12_Antall]]=1,Data!$AJ$3,0)</f>
        <v>0</v>
      </c>
      <c r="P14" s="3">
        <f ca="1">IF(t_eb[[#This Row],[11_Antall]]=1,Data!$AJ$2,0)</f>
        <v>0</v>
      </c>
      <c r="Q14" s="3">
        <f ca="1">IF(t_eb[[#This Row],[10_Antall]]=1,Data!$AJ$1,0)</f>
        <v>0</v>
      </c>
      <c r="R14" s="3" t="str" cm="1">
        <f t="array" ref="R14">IFERROR(IF(_xlfn.XLOOKUP(t_eb[[#This Row],[Dato]]&amp;t_eb[[#This Row],[navn]],Regnskap!$C$10:$C$51&amp;Regnskap!$K$10:$K$51,Regnskap!$H$10:$H$51)&gt;0,Data!$AJ$3,""),"")</f>
        <v/>
      </c>
      <c r="S14" s="3" t="str" cm="1">
        <f t="array" ref="S14">IFERROR(IF(t_eb[[#This Row],[12_pLEV]]="",IF(_xlfn.XLOOKUP(t_eb[[#This Row],[Dato]]&amp;t_eb[[#This Row],[navn]],Regnskap!$C$10:$C$51&amp;Regnskap!$K$10:$K$51,Regnskap!$I$10:$I$51)&gt;0,Data!$AJ$2)),"")</f>
        <v/>
      </c>
      <c r="T14" s="3" t="str" cm="1">
        <f t="array" ref="T14">IFERROR(IF(t_eb[[#This Row],[11_pLEV]]="",IF(_xlfn.XLOOKUP(t_eb[[#This Row],[Dato]]&amp;t_eb[[#This Row],[navn]],Regnskap!$C$10:$C$51&amp;Regnskap!$K$10:$K$51,Regnskap!$J$10:$J$51)&gt;0,Data!$AJ$1),""),"")</f>
        <v/>
      </c>
      <c r="U14" s="3">
        <f>SUM(t_eb[[#This Row],[12_pLEV]:[10_pLEV]])</f>
        <v>0</v>
      </c>
      <c r="V14" s="3" cm="1">
        <f t="array" aca="1" ref="V14" ca="1">SUM(t_eb[[#This Row],[Summert]]+t_eb[[#This Row],[12_poeng]:[10_poeng]]+t_eb[[#This Row],[LEV_poeng]])</f>
        <v>0</v>
      </c>
    </row>
    <row r="15" spans="1:36" x14ac:dyDescent="0.2">
      <c r="A15" s="3" t="s">
        <v>907</v>
      </c>
      <c r="B15">
        <f>IF(t_eb[[#This Row],[Dato]]&lt;&gt;"",WEEKNUM(t_eb[[#This Row],[Dato]]),"")</f>
        <v>46</v>
      </c>
      <c r="C15" s="22">
        <f>Data!AL14</f>
        <v>46340</v>
      </c>
      <c r="D15">
        <f ca="1">IFERROR(IF(t_eb[[#This Row],[Dato]]="","",OFFSET(_xlfn.XLOOKUP(C15,Kuponger!E:E,Kuponger!AI:AI),15,0)),"")</f>
        <v>0</v>
      </c>
      <c r="E15">
        <f ca="1">IF(t_eb[[#This Row],[Dato]]="","",OFFSET(_xlfn.XLOOKUP(C15,Kuponger!E:E,Kuponger!AI:AI),15,1))</f>
        <v>0</v>
      </c>
      <c r="F15">
        <f ca="1">IFERROR(IF(t_eb[[#This Row],[Dato]]="","",OFFSET(_xlfn.XLOOKUP(C15,Kuponger!E:E,Kuponger!AI:AI),15,2)),"")</f>
        <v>0</v>
      </c>
      <c r="G15">
        <f ca="1">IFERROR(IF(OFFSET(_xlfn.XLOOKUP(C15,Kuponger!E:E,Kuponger!AI:AI),0,2)=0,"",OFFSET(_xlfn.XLOOKUP(C15,Kuponger!E:E,Kuponger!AI:AI),1,2))*-1,"")</f>
        <v>0</v>
      </c>
      <c r="H15" t="str">
        <f t="shared" ca="1" si="1"/>
        <v/>
      </c>
      <c r="I15" t="str">
        <f ca="1">IFERROR(IF(t_eb[[#This Row],[tp]]&lt;&gt;"",OFFSET(_xlfn.XLOOKUP(C15,Kuponger!E:E,Kuponger!AI:AI),1,1),""),"")</f>
        <v/>
      </c>
      <c r="J15" s="3">
        <f ca="1">IFERROR(IF(t_eb[[#This Row],[Dato]]="",0,OFFSET(_xlfn.XLOOKUP(t_eb[[#This Row],[Dato]],Kuponger!E:E,Kuponger!AI:AI),1,7)),"")</f>
        <v>0</v>
      </c>
      <c r="K15" s="3">
        <f ca="1">IFERROR(SUM(t_eb[[#This Row],[tp]]),0)</f>
        <v>0</v>
      </c>
      <c r="L15" s="3" t="str">
        <f ca="1">IF(t_eb[[#This Row],[Antall_rette]]=12,1,"")</f>
        <v/>
      </c>
      <c r="M15" s="3" t="str">
        <f ca="1">IF(t_eb[[#This Row],[Antall_rette]]=11,1,"")</f>
        <v/>
      </c>
      <c r="N15" s="3" t="str">
        <f ca="1">IF(t_eb[[#This Row],[Antall_rette]]=10,1,"")</f>
        <v/>
      </c>
      <c r="O15" s="3">
        <f ca="1">IF(t_eb[[#This Row],[12_Antall]]=1,Data!$AJ$3,0)</f>
        <v>0</v>
      </c>
      <c r="P15" s="3">
        <f ca="1">IF(t_eb[[#This Row],[11_Antall]]=1,Data!$AJ$2,0)</f>
        <v>0</v>
      </c>
      <c r="Q15" s="3">
        <f ca="1">IF(t_eb[[#This Row],[10_Antall]]=1,Data!$AJ$1,0)</f>
        <v>0</v>
      </c>
      <c r="R15" s="3" t="str" cm="1">
        <f t="array" ref="R15">IFERROR(IF(_xlfn.XLOOKUP(t_eb[[#This Row],[Dato]]&amp;t_eb[[#This Row],[navn]],Regnskap!$C$10:$C$51&amp;Regnskap!$K$10:$K$51,Regnskap!$H$10:$H$51)&gt;0,Data!$AJ$3,""),"")</f>
        <v/>
      </c>
      <c r="S15" s="3" cm="1">
        <f t="array" ref="S15">IFERROR(IF(t_eb[[#This Row],[12_pLEV]]="",IF(_xlfn.XLOOKUP(t_eb[[#This Row],[Dato]]&amp;t_eb[[#This Row],[navn]],Regnskap!$C$10:$C$51&amp;Regnskap!$K$10:$K$51,Regnskap!$I$10:$I$51)&gt;0,Data!$AJ$2)),"")</f>
        <v>161</v>
      </c>
      <c r="T15" s="3" t="str" cm="1">
        <f t="array" ref="T15">IFERROR(IF(t_eb[[#This Row],[11_pLEV]]="",IF(_xlfn.XLOOKUP(t_eb[[#This Row],[Dato]]&amp;t_eb[[#This Row],[navn]],Regnskap!$C$10:$C$51&amp;Regnskap!$K$10:$K$51,Regnskap!$J$10:$J$51)&gt;0,Data!$AJ$1),""),"")</f>
        <v/>
      </c>
      <c r="U15" s="3">
        <f>SUM(t_eb[[#This Row],[12_pLEV]:[10_pLEV]])</f>
        <v>161</v>
      </c>
      <c r="V15" s="3" cm="1">
        <f t="array" aca="1" ref="V15" ca="1">SUM(t_eb[[#This Row],[Summert]]+t_eb[[#This Row],[12_poeng]:[10_poeng]]+t_eb[[#This Row],[LEV_poeng]])</f>
        <v>483</v>
      </c>
    </row>
    <row r="16" spans="1:36" x14ac:dyDescent="0.2">
      <c r="A16" s="3" t="s">
        <v>907</v>
      </c>
      <c r="B16">
        <f>IF(t_eb[[#This Row],[Dato]]&lt;&gt;"",WEEKNUM(t_eb[[#This Row],[Dato]]),"")</f>
        <v>47</v>
      </c>
      <c r="C16" s="22">
        <f>Data!AL15</f>
        <v>46347</v>
      </c>
      <c r="D16">
        <f ca="1">IFERROR(IF(t_eb[[#This Row],[Dato]]="","",OFFSET(_xlfn.XLOOKUP(C16,Kuponger!E:E,Kuponger!AI:AI),15,0)),"")</f>
        <v>0</v>
      </c>
      <c r="E16">
        <f ca="1">IF(t_eb[[#This Row],[Dato]]="","",OFFSET(_xlfn.XLOOKUP(C16,Kuponger!E:E,Kuponger!AI:AI),15,1))</f>
        <v>0</v>
      </c>
      <c r="F16">
        <f ca="1">IFERROR(IF(t_eb[[#This Row],[Dato]]="","",OFFSET(_xlfn.XLOOKUP(C16,Kuponger!E:E,Kuponger!AI:AI),15,2)),"")</f>
        <v>0</v>
      </c>
      <c r="G16">
        <f ca="1">IFERROR(IF(OFFSET(_xlfn.XLOOKUP(C16,Kuponger!E:E,Kuponger!AI:AI),0,2)=0,"",OFFSET(_xlfn.XLOOKUP(C16,Kuponger!E:E,Kuponger!AI:AI),1,2))*-1,"")</f>
        <v>0</v>
      </c>
      <c r="H16" t="str">
        <f t="shared" ca="1" si="1"/>
        <v/>
      </c>
      <c r="I16" t="str">
        <f ca="1">IFERROR(IF(t_eb[[#This Row],[tp]]&lt;&gt;"",OFFSET(_xlfn.XLOOKUP(C16,Kuponger!E:E,Kuponger!AI:AI),1,1),""),"")</f>
        <v/>
      </c>
      <c r="J16" s="3">
        <f ca="1">IFERROR(IF(t_eb[[#This Row],[Dato]]="",0,OFFSET(_xlfn.XLOOKUP(t_eb[[#This Row],[Dato]],Kuponger!E:E,Kuponger!AI:AI),1,7)),"")</f>
        <v>0</v>
      </c>
      <c r="K16" s="3">
        <f ca="1">IFERROR(SUM(t_eb[[#This Row],[tp]]),0)</f>
        <v>0</v>
      </c>
      <c r="L16" s="3" t="str">
        <f ca="1">IF(t_eb[[#This Row],[Antall_rette]]=12,1,"")</f>
        <v/>
      </c>
      <c r="M16" s="3" t="str">
        <f ca="1">IF(t_eb[[#This Row],[Antall_rette]]=11,1,"")</f>
        <v/>
      </c>
      <c r="N16" s="3" t="str">
        <f ca="1">IF(t_eb[[#This Row],[Antall_rette]]=10,1,"")</f>
        <v/>
      </c>
      <c r="O16" s="3">
        <f ca="1">IF(t_eb[[#This Row],[12_Antall]]=1,Data!$AJ$3,0)</f>
        <v>0</v>
      </c>
      <c r="P16" s="3">
        <f ca="1">IF(t_eb[[#This Row],[11_Antall]]=1,Data!$AJ$2,0)</f>
        <v>0</v>
      </c>
      <c r="Q16" s="3">
        <f ca="1">IF(t_eb[[#This Row],[10_Antall]]=1,Data!$AJ$1,0)</f>
        <v>0</v>
      </c>
      <c r="R16" s="3" t="str" cm="1">
        <f t="array" ref="R16">IFERROR(IF(_xlfn.XLOOKUP(t_eb[[#This Row],[Dato]]&amp;t_eb[[#This Row],[navn]],Regnskap!$C$10:$C$51&amp;Regnskap!$K$10:$K$51,Regnskap!$H$10:$H$51)&gt;0,Data!$AJ$3,""),"")</f>
        <v/>
      </c>
      <c r="S16" s="3" t="str" cm="1">
        <f t="array" ref="S16">IFERROR(IF(t_eb[[#This Row],[12_pLEV]]="",IF(_xlfn.XLOOKUP(t_eb[[#This Row],[Dato]]&amp;t_eb[[#This Row],[navn]],Regnskap!$C$10:$C$51&amp;Regnskap!$K$10:$K$51,Regnskap!$I$10:$I$51)&gt;0,Data!$AJ$2)),"")</f>
        <v/>
      </c>
      <c r="T16" s="3" t="str" cm="1">
        <f t="array" ref="T16">IFERROR(IF(t_eb[[#This Row],[11_pLEV]]="",IF(_xlfn.XLOOKUP(t_eb[[#This Row],[Dato]]&amp;t_eb[[#This Row],[navn]],Regnskap!$C$10:$C$51&amp;Regnskap!$K$10:$K$51,Regnskap!$J$10:$J$51)&gt;0,Data!$AJ$1),""),"")</f>
        <v/>
      </c>
      <c r="U16" s="3">
        <f>SUM(t_eb[[#This Row],[12_pLEV]:[10_pLEV]])</f>
        <v>0</v>
      </c>
      <c r="V16" s="3" cm="1">
        <f t="array" aca="1" ref="V16" ca="1">SUM(t_eb[[#This Row],[Summert]]+t_eb[[#This Row],[12_poeng]:[10_poeng]]+t_eb[[#This Row],[LEV_poeng]])</f>
        <v>0</v>
      </c>
    </row>
    <row r="17" spans="1:28" x14ac:dyDescent="0.2">
      <c r="A17" s="3" t="s">
        <v>907</v>
      </c>
      <c r="B17">
        <f>IF(t_eb[[#This Row],[Dato]]&lt;&gt;"",WEEKNUM(t_eb[[#This Row],[Dato]]),"")</f>
        <v>48</v>
      </c>
      <c r="C17" s="22">
        <f>Data!AL16</f>
        <v>46354</v>
      </c>
      <c r="D17">
        <f ca="1">IFERROR(IF(t_eb[[#This Row],[Dato]]="","",OFFSET(_xlfn.XLOOKUP(C17,Kuponger!E:E,Kuponger!AI:AI),15,0)),"")</f>
        <v>0</v>
      </c>
      <c r="E17">
        <f ca="1">IF(t_eb[[#This Row],[Dato]]="","",OFFSET(_xlfn.XLOOKUP(C17,Kuponger!E:E,Kuponger!AI:AI),15,1))</f>
        <v>0</v>
      </c>
      <c r="F17">
        <f ca="1">IFERROR(IF(t_eb[[#This Row],[Dato]]="","",OFFSET(_xlfn.XLOOKUP(C17,Kuponger!E:E,Kuponger!AI:AI),15,2)),"")</f>
        <v>0</v>
      </c>
      <c r="G17">
        <f ca="1">IFERROR(IF(OFFSET(_xlfn.XLOOKUP(C17,Kuponger!E:E,Kuponger!AI:AI),0,2)=0,"",OFFSET(_xlfn.XLOOKUP(C17,Kuponger!E:E,Kuponger!AI:AI),1,2))*-1,"")</f>
        <v>0</v>
      </c>
      <c r="H17" t="str">
        <f t="shared" ca="1" si="1"/>
        <v/>
      </c>
      <c r="I17" t="str">
        <f ca="1">IFERROR(IF(t_eb[[#This Row],[tp]]&lt;&gt;"",OFFSET(_xlfn.XLOOKUP(C17,Kuponger!E:E,Kuponger!AI:AI),1,1),""),"")</f>
        <v/>
      </c>
      <c r="J17" s="3">
        <f ca="1">IFERROR(IF(t_eb[[#This Row],[Dato]]="",0,OFFSET(_xlfn.XLOOKUP(t_eb[[#This Row],[Dato]],Kuponger!E:E,Kuponger!AI:AI),1,7)),"")</f>
        <v>0</v>
      </c>
      <c r="K17" s="3">
        <f ca="1">IFERROR(SUM(t_eb[[#This Row],[tp]]),0)</f>
        <v>0</v>
      </c>
      <c r="L17" s="3" t="str">
        <f ca="1">IF(t_eb[[#This Row],[Antall_rette]]=12,1,"")</f>
        <v/>
      </c>
      <c r="M17" s="3" t="str">
        <f ca="1">IF(t_eb[[#This Row],[Antall_rette]]=11,1,"")</f>
        <v/>
      </c>
      <c r="N17" s="3" t="str">
        <f ca="1">IF(t_eb[[#This Row],[Antall_rette]]=10,1,"")</f>
        <v/>
      </c>
      <c r="O17" s="3">
        <f ca="1">IF(t_eb[[#This Row],[12_Antall]]=1,Data!$AJ$3,0)</f>
        <v>0</v>
      </c>
      <c r="P17" s="3">
        <f ca="1">IF(t_eb[[#This Row],[11_Antall]]=1,Data!$AJ$2,0)</f>
        <v>0</v>
      </c>
      <c r="Q17" s="3">
        <f ca="1">IF(t_eb[[#This Row],[10_Antall]]=1,Data!$AJ$1,0)</f>
        <v>0</v>
      </c>
      <c r="R17" s="3" t="str" cm="1">
        <f t="array" ref="R17">IFERROR(IF(_xlfn.XLOOKUP(t_eb[[#This Row],[Dato]]&amp;t_eb[[#This Row],[navn]],Regnskap!$C$10:$C$51&amp;Regnskap!$K$10:$K$51,Regnskap!$H$10:$H$51)&gt;0,Data!$AJ$3,""),"")</f>
        <v/>
      </c>
      <c r="S17" s="3" t="str" cm="1">
        <f t="array" ref="S17">IFERROR(IF(t_eb[[#This Row],[12_pLEV]]="",IF(_xlfn.XLOOKUP(t_eb[[#This Row],[Dato]]&amp;t_eb[[#This Row],[navn]],Regnskap!$C$10:$C$51&amp;Regnskap!$K$10:$K$51,Regnskap!$I$10:$I$51)&gt;0,Data!$AJ$2)),"")</f>
        <v/>
      </c>
      <c r="T17" s="3" t="str" cm="1">
        <f t="array" ref="T17">IFERROR(IF(t_eb[[#This Row],[11_pLEV]]="",IF(_xlfn.XLOOKUP(t_eb[[#This Row],[Dato]]&amp;t_eb[[#This Row],[navn]],Regnskap!$C$10:$C$51&amp;Regnskap!$K$10:$K$51,Regnskap!$J$10:$J$51)&gt;0,Data!$AJ$1),""),"")</f>
        <v/>
      </c>
      <c r="U17" s="3">
        <f>SUM(t_eb[[#This Row],[12_pLEV]:[10_pLEV]])</f>
        <v>0</v>
      </c>
      <c r="V17" s="3" cm="1">
        <f t="array" aca="1" ref="V17" ca="1">SUM(t_eb[[#This Row],[Summert]]+t_eb[[#This Row],[12_poeng]:[10_poeng]]+t_eb[[#This Row],[LEV_poeng]])</f>
        <v>0</v>
      </c>
    </row>
    <row r="18" spans="1:28" x14ac:dyDescent="0.2">
      <c r="A18" s="3" t="s">
        <v>907</v>
      </c>
      <c r="B18">
        <f>IF(t_eb[[#This Row],[Dato]]&lt;&gt;"",WEEKNUM(t_eb[[#This Row],[Dato]]),"")</f>
        <v>49</v>
      </c>
      <c r="C18" s="22">
        <f>Data!AL17</f>
        <v>46361</v>
      </c>
      <c r="D18">
        <f ca="1">IFERROR(IF(t_eb[[#This Row],[Dato]]="","",OFFSET(_xlfn.XLOOKUP(C18,Kuponger!E:E,Kuponger!AI:AI),15,0)),"")</f>
        <v>0</v>
      </c>
      <c r="E18">
        <f ca="1">IF(t_eb[[#This Row],[Dato]]="","",OFFSET(_xlfn.XLOOKUP(C18,Kuponger!E:E,Kuponger!AI:AI),15,1))</f>
        <v>0</v>
      </c>
      <c r="F18">
        <f ca="1">IFERROR(IF(t_eb[[#This Row],[Dato]]="","",OFFSET(_xlfn.XLOOKUP(C18,Kuponger!E:E,Kuponger!AI:AI),15,2)),"")</f>
        <v>0</v>
      </c>
      <c r="G18">
        <f ca="1">IFERROR(IF(OFFSET(_xlfn.XLOOKUP(C18,Kuponger!E:E,Kuponger!AI:AI),0,2)=0,"",OFFSET(_xlfn.XLOOKUP(C18,Kuponger!E:E,Kuponger!AI:AI),1,2))*-1,"")</f>
        <v>0</v>
      </c>
      <c r="H18" t="str">
        <f t="shared" ca="1" si="1"/>
        <v/>
      </c>
      <c r="I18" t="str">
        <f ca="1">IFERROR(IF(t_eb[[#This Row],[tp]]&lt;&gt;"",OFFSET(_xlfn.XLOOKUP(C18,Kuponger!E:E,Kuponger!AI:AI),1,1),""),"")</f>
        <v/>
      </c>
      <c r="J18" s="3">
        <f ca="1">IFERROR(IF(t_eb[[#This Row],[Dato]]="",0,OFFSET(_xlfn.XLOOKUP(t_eb[[#This Row],[Dato]],Kuponger!E:E,Kuponger!AI:AI),1,7)),"")</f>
        <v>0</v>
      </c>
      <c r="K18" s="3">
        <f ca="1">IFERROR(SUM(t_eb[[#This Row],[tp]]),0)</f>
        <v>0</v>
      </c>
      <c r="L18" s="3" t="str">
        <f ca="1">IF(t_eb[[#This Row],[Antall_rette]]=12,1,"")</f>
        <v/>
      </c>
      <c r="M18" s="3" t="str">
        <f ca="1">IF(t_eb[[#This Row],[Antall_rette]]=11,1,"")</f>
        <v/>
      </c>
      <c r="N18" s="3" t="str">
        <f ca="1">IF(t_eb[[#This Row],[Antall_rette]]=10,1,"")</f>
        <v/>
      </c>
      <c r="O18" s="3">
        <f ca="1">IF(t_eb[[#This Row],[12_Antall]]=1,Data!$AJ$3,0)</f>
        <v>0</v>
      </c>
      <c r="P18" s="3">
        <f ca="1">IF(t_eb[[#This Row],[11_Antall]]=1,Data!$AJ$2,0)</f>
        <v>0</v>
      </c>
      <c r="Q18" s="3">
        <f ca="1">IF(t_eb[[#This Row],[10_Antall]]=1,Data!$AJ$1,0)</f>
        <v>0</v>
      </c>
      <c r="R18" s="3" t="str" cm="1">
        <f t="array" ref="R18">IFERROR(IF(_xlfn.XLOOKUP(t_eb[[#This Row],[Dato]]&amp;t_eb[[#This Row],[navn]],Regnskap!$C$10:$C$51&amp;Regnskap!$K$10:$K$51,Regnskap!$H$10:$H$51)&gt;0,Data!$AJ$3,""),"")</f>
        <v/>
      </c>
      <c r="S18" s="3" t="str" cm="1">
        <f t="array" ref="S18">IFERROR(IF(t_eb[[#This Row],[12_pLEV]]="",IF(_xlfn.XLOOKUP(t_eb[[#This Row],[Dato]]&amp;t_eb[[#This Row],[navn]],Regnskap!$C$10:$C$51&amp;Regnskap!$K$10:$K$51,Regnskap!$I$10:$I$51)&gt;0,Data!$AJ$2)),"")</f>
        <v/>
      </c>
      <c r="T18" s="3" t="str" cm="1">
        <f t="array" ref="T18">IFERROR(IF(t_eb[[#This Row],[11_pLEV]]="",IF(_xlfn.XLOOKUP(t_eb[[#This Row],[Dato]]&amp;t_eb[[#This Row],[navn]],Regnskap!$C$10:$C$51&amp;Regnskap!$K$10:$K$51,Regnskap!$J$10:$J$51)&gt;0,Data!$AJ$1),""),"")</f>
        <v/>
      </c>
      <c r="U18" s="3">
        <f>SUM(t_eb[[#This Row],[12_pLEV]:[10_pLEV]])</f>
        <v>0</v>
      </c>
      <c r="V18" s="3" cm="1">
        <f t="array" aca="1" ref="V18" ca="1">SUM(t_eb[[#This Row],[Summert]]+t_eb[[#This Row],[12_poeng]:[10_poeng]]+t_eb[[#This Row],[LEV_poeng]])</f>
        <v>0</v>
      </c>
    </row>
    <row r="19" spans="1:28" x14ac:dyDescent="0.2">
      <c r="A19" s="3" t="s">
        <v>907</v>
      </c>
      <c r="B19">
        <f>IF(t_eb[[#This Row],[Dato]]&lt;&gt;"",WEEKNUM(t_eb[[#This Row],[Dato]]),"")</f>
        <v>50</v>
      </c>
      <c r="C19" s="22">
        <f>Data!AL18</f>
        <v>46368</v>
      </c>
      <c r="D19">
        <f ca="1">IFERROR(IF(t_eb[[#This Row],[Dato]]="","",OFFSET(_xlfn.XLOOKUP(C19,Kuponger!E:E,Kuponger!AI:AI),15,0)),"")</f>
        <v>0</v>
      </c>
      <c r="E19">
        <f ca="1">IF(t_eb[[#This Row],[Dato]]="","",OFFSET(_xlfn.XLOOKUP(C19,Kuponger!E:E,Kuponger!AI:AI),15,1))</f>
        <v>0</v>
      </c>
      <c r="F19">
        <f ca="1">IFERROR(IF(t_eb[[#This Row],[Dato]]="","",OFFSET(_xlfn.XLOOKUP(C19,Kuponger!E:E,Kuponger!AI:AI),15,2)),"")</f>
        <v>0</v>
      </c>
      <c r="G19">
        <f ca="1">IFERROR(IF(OFFSET(_xlfn.XLOOKUP(C19,Kuponger!E:E,Kuponger!AI:AI),0,2)=0,"",OFFSET(_xlfn.XLOOKUP(C19,Kuponger!E:E,Kuponger!AI:AI),1,2))*-1,"")</f>
        <v>0</v>
      </c>
      <c r="H19" t="str">
        <f t="shared" ca="1" si="1"/>
        <v/>
      </c>
      <c r="I19" t="str">
        <f ca="1">IFERROR(IF(t_eb[[#This Row],[tp]]&lt;&gt;"",OFFSET(_xlfn.XLOOKUP(C19,Kuponger!E:E,Kuponger!AI:AI),1,1),""),"")</f>
        <v/>
      </c>
      <c r="J19" s="3">
        <f ca="1">IFERROR(IF(t_eb[[#This Row],[Dato]]="",0,OFFSET(_xlfn.XLOOKUP(t_eb[[#This Row],[Dato]],Kuponger!E:E,Kuponger!AI:AI),1,7)),"")</f>
        <v>0</v>
      </c>
      <c r="K19" s="3">
        <f ca="1">IFERROR(SUM(t_eb[[#This Row],[tp]]),0)</f>
        <v>0</v>
      </c>
      <c r="L19" s="3" t="str">
        <f ca="1">IF(t_eb[[#This Row],[Antall_rette]]=12,1,"")</f>
        <v/>
      </c>
      <c r="M19" s="3" t="str">
        <f ca="1">IF(t_eb[[#This Row],[Antall_rette]]=11,1,"")</f>
        <v/>
      </c>
      <c r="N19" s="3" t="str">
        <f ca="1">IF(t_eb[[#This Row],[Antall_rette]]=10,1,"")</f>
        <v/>
      </c>
      <c r="O19" s="3">
        <f ca="1">IF(t_eb[[#This Row],[12_Antall]]=1,Data!$AJ$3,0)</f>
        <v>0</v>
      </c>
      <c r="P19" s="3">
        <f ca="1">IF(t_eb[[#This Row],[11_Antall]]=1,Data!$AJ$2,0)</f>
        <v>0</v>
      </c>
      <c r="Q19" s="3">
        <f ca="1">IF(t_eb[[#This Row],[10_Antall]]=1,Data!$AJ$1,0)</f>
        <v>0</v>
      </c>
      <c r="R19" s="3" t="str" cm="1">
        <f t="array" ref="R19">IFERROR(IF(_xlfn.XLOOKUP(t_eb[[#This Row],[Dato]]&amp;t_eb[[#This Row],[navn]],Regnskap!$C$10:$C$51&amp;Regnskap!$K$10:$K$51,Regnskap!$H$10:$H$51)&gt;0,Data!$AJ$3,""),"")</f>
        <v/>
      </c>
      <c r="S19" s="3" t="str" cm="1">
        <f t="array" ref="S19">IFERROR(IF(t_eb[[#This Row],[12_pLEV]]="",IF(_xlfn.XLOOKUP(t_eb[[#This Row],[Dato]]&amp;t_eb[[#This Row],[navn]],Regnskap!$C$10:$C$51&amp;Regnskap!$K$10:$K$51,Regnskap!$I$10:$I$51)&gt;0,Data!$AJ$2)),"")</f>
        <v/>
      </c>
      <c r="T19" s="3" t="str" cm="1">
        <f t="array" ref="T19">IFERROR(IF(t_eb[[#This Row],[11_pLEV]]="",IF(_xlfn.XLOOKUP(t_eb[[#This Row],[Dato]]&amp;t_eb[[#This Row],[navn]],Regnskap!$C$10:$C$51&amp;Regnskap!$K$10:$K$51,Regnskap!$J$10:$J$51)&gt;0,Data!$AJ$1),""),"")</f>
        <v/>
      </c>
      <c r="U19" s="3">
        <f>SUM(t_eb[[#This Row],[12_pLEV]:[10_pLEV]])</f>
        <v>0</v>
      </c>
      <c r="V19" s="3" cm="1">
        <f t="array" aca="1" ref="V19" ca="1">SUM(t_eb[[#This Row],[Summert]]+t_eb[[#This Row],[12_poeng]:[10_poeng]]+t_eb[[#This Row],[LEV_poeng]])</f>
        <v>0</v>
      </c>
      <c r="W19" s="2"/>
      <c r="X19" s="2"/>
      <c r="Y19" s="2"/>
      <c r="Z19" s="2"/>
      <c r="AA19" s="2"/>
      <c r="AB19" s="2"/>
    </row>
    <row r="20" spans="1:28" x14ac:dyDescent="0.2">
      <c r="A20" s="3" t="s">
        <v>907</v>
      </c>
      <c r="B20">
        <f>IF(t_eb[[#This Row],[Dato]]&lt;&gt;"",WEEKNUM(t_eb[[#This Row],[Dato]]),"")</f>
        <v>51</v>
      </c>
      <c r="C20" s="22">
        <f>Data!AL19</f>
        <v>46375</v>
      </c>
      <c r="D20">
        <f ca="1">IFERROR(IF(t_eb[[#This Row],[Dato]]="","",OFFSET(_xlfn.XLOOKUP(C20,Kuponger!E:E,Kuponger!AI:AI),15,0)),"")</f>
        <v>0</v>
      </c>
      <c r="E20">
        <f ca="1">IF(t_eb[[#This Row],[Dato]]="","",OFFSET(_xlfn.XLOOKUP(C20,Kuponger!E:E,Kuponger!AI:AI),15,1))</f>
        <v>0</v>
      </c>
      <c r="F20">
        <f ca="1">IFERROR(IF(t_eb[[#This Row],[Dato]]="","",OFFSET(_xlfn.XLOOKUP(C20,Kuponger!E:E,Kuponger!AI:AI),15,2)),"")</f>
        <v>0</v>
      </c>
      <c r="G20">
        <f ca="1">IFERROR(IF(OFFSET(_xlfn.XLOOKUP(C20,Kuponger!E:E,Kuponger!AI:AI),0,2)=0,"",OFFSET(_xlfn.XLOOKUP(C20,Kuponger!E:E,Kuponger!AI:AI),1,2))*-1,"")</f>
        <v>0</v>
      </c>
      <c r="H20" t="str">
        <f t="shared" ca="1" si="1"/>
        <v/>
      </c>
      <c r="I20" t="str">
        <f ca="1">IFERROR(IF(t_eb[[#This Row],[tp]]&lt;&gt;"",OFFSET(_xlfn.XLOOKUP(C20,Kuponger!E:E,Kuponger!AI:AI),1,1),""),"")</f>
        <v/>
      </c>
      <c r="J20" s="3">
        <f ca="1">IFERROR(IF(t_eb[[#This Row],[Dato]]="",0,OFFSET(_xlfn.XLOOKUP(t_eb[[#This Row],[Dato]],Kuponger!E:E,Kuponger!AI:AI),1,7)),"")</f>
        <v>0</v>
      </c>
      <c r="K20" s="3">
        <f ca="1">IFERROR(SUM(t_eb[[#This Row],[tp]]),0)</f>
        <v>0</v>
      </c>
      <c r="L20" s="3" t="str">
        <f ca="1">IF(t_eb[[#This Row],[Antall_rette]]=12,1,"")</f>
        <v/>
      </c>
      <c r="M20" s="3" t="str">
        <f ca="1">IF(t_eb[[#This Row],[Antall_rette]]=11,1,"")</f>
        <v/>
      </c>
      <c r="N20" s="3" t="str">
        <f ca="1">IF(t_eb[[#This Row],[Antall_rette]]=10,1,"")</f>
        <v/>
      </c>
      <c r="O20" s="3">
        <f ca="1">IF(t_eb[[#This Row],[12_Antall]]=1,Data!$AJ$3,0)</f>
        <v>0</v>
      </c>
      <c r="P20" s="3">
        <f ca="1">IF(t_eb[[#This Row],[11_Antall]]=1,Data!$AJ$2,0)</f>
        <v>0</v>
      </c>
      <c r="Q20" s="3">
        <f ca="1">IF(t_eb[[#This Row],[10_Antall]]=1,Data!$AJ$1,0)</f>
        <v>0</v>
      </c>
      <c r="R20" s="3" t="str" cm="1">
        <f t="array" ref="R20">IFERROR(IF(_xlfn.XLOOKUP(t_eb[[#This Row],[Dato]]&amp;t_eb[[#This Row],[navn]],Regnskap!$C$10:$C$51&amp;Regnskap!$K$10:$K$51,Regnskap!$H$10:$H$51)&gt;0,Data!$AJ$3,""),"")</f>
        <v/>
      </c>
      <c r="S20" s="3" t="str" cm="1">
        <f t="array" ref="S20">IFERROR(IF(t_eb[[#This Row],[12_pLEV]]="",IF(_xlfn.XLOOKUP(t_eb[[#This Row],[Dato]]&amp;t_eb[[#This Row],[navn]],Regnskap!$C$10:$C$51&amp;Regnskap!$K$10:$K$51,Regnskap!$I$10:$I$51)&gt;0,Data!$AJ$2)),"")</f>
        <v/>
      </c>
      <c r="T20" s="3" t="str" cm="1">
        <f t="array" ref="T20">IFERROR(IF(t_eb[[#This Row],[11_pLEV]]="",IF(_xlfn.XLOOKUP(t_eb[[#This Row],[Dato]]&amp;t_eb[[#This Row],[navn]],Regnskap!$C$10:$C$51&amp;Regnskap!$K$10:$K$51,Regnskap!$J$10:$J$51)&gt;0,Data!$AJ$1),""),"")</f>
        <v/>
      </c>
      <c r="U20" s="3">
        <f>SUM(t_eb[[#This Row],[12_pLEV]:[10_pLEV]])</f>
        <v>0</v>
      </c>
      <c r="V20" s="3" cm="1">
        <f t="array" aca="1" ref="V20" ca="1">SUM(t_eb[[#This Row],[Summert]]+t_eb[[#This Row],[12_poeng]:[10_poeng]]+t_eb[[#This Row],[LEV_poeng]])</f>
        <v>0</v>
      </c>
    </row>
    <row r="21" spans="1:28" x14ac:dyDescent="0.2">
      <c r="A21" s="3" t="s">
        <v>907</v>
      </c>
      <c r="B21">
        <f>IF(t_eb[[#This Row],[Dato]]&lt;&gt;"",WEEKNUM(t_eb[[#This Row],[Dato]]),"")</f>
        <v>52</v>
      </c>
      <c r="C21" s="22">
        <f>Data!AL20</f>
        <v>46382</v>
      </c>
      <c r="D21">
        <f ca="1">IFERROR(IF(t_eb[[#This Row],[Dato]]="","",OFFSET(_xlfn.XLOOKUP(C21,Kuponger!E:E,Kuponger!AI:AI),15,0)),"")</f>
        <v>0</v>
      </c>
      <c r="E21">
        <f ca="1">IF(t_eb[[#This Row],[Dato]]="","",OFFSET(_xlfn.XLOOKUP(C21,Kuponger!E:E,Kuponger!AI:AI),15,1))</f>
        <v>0</v>
      </c>
      <c r="F21">
        <f ca="1">IFERROR(IF(t_eb[[#This Row],[Dato]]="","",OFFSET(_xlfn.XLOOKUP(C21,Kuponger!E:E,Kuponger!AI:AI),15,2)),"")</f>
        <v>0</v>
      </c>
      <c r="G21">
        <f ca="1">IFERROR(IF(OFFSET(_xlfn.XLOOKUP(C21,Kuponger!E:E,Kuponger!AI:AI),0,2)=0,"",OFFSET(_xlfn.XLOOKUP(C21,Kuponger!E:E,Kuponger!AI:AI),1,2))*-1,"")</f>
        <v>0</v>
      </c>
      <c r="H21" t="str">
        <f t="shared" ca="1" si="1"/>
        <v/>
      </c>
      <c r="I21" t="str">
        <f ca="1">IFERROR(IF(t_eb[[#This Row],[tp]]&lt;&gt;"",OFFSET(_xlfn.XLOOKUP(C21,Kuponger!E:E,Kuponger!AI:AI),1,1),""),"")</f>
        <v/>
      </c>
      <c r="J21" s="3">
        <f ca="1">IFERROR(IF(t_eb[[#This Row],[Dato]]="",0,OFFSET(_xlfn.XLOOKUP(t_eb[[#This Row],[Dato]],Kuponger!E:E,Kuponger!AI:AI),1,7)),"")</f>
        <v>0</v>
      </c>
      <c r="K21" s="3">
        <f ca="1">IFERROR(SUM(t_eb[[#This Row],[tp]]),0)</f>
        <v>0</v>
      </c>
      <c r="L21" s="3" t="str">
        <f ca="1">IF(t_eb[[#This Row],[Antall_rette]]=12,1,"")</f>
        <v/>
      </c>
      <c r="M21" s="3" t="str">
        <f ca="1">IF(t_eb[[#This Row],[Antall_rette]]=11,1,"")</f>
        <v/>
      </c>
      <c r="N21" s="3" t="str">
        <f ca="1">IF(t_eb[[#This Row],[Antall_rette]]=10,1,"")</f>
        <v/>
      </c>
      <c r="O21" s="3">
        <f ca="1">IF(t_eb[[#This Row],[12_Antall]]=1,Data!$AJ$3,0)</f>
        <v>0</v>
      </c>
      <c r="P21" s="3">
        <f ca="1">IF(t_eb[[#This Row],[11_Antall]]=1,Data!$AJ$2,0)</f>
        <v>0</v>
      </c>
      <c r="Q21" s="3">
        <f ca="1">IF(t_eb[[#This Row],[10_Antall]]=1,Data!$AJ$1,0)</f>
        <v>0</v>
      </c>
      <c r="R21" s="3" t="str" cm="1">
        <f t="array" ref="R21">IFERROR(IF(_xlfn.XLOOKUP(t_eb[[#This Row],[Dato]]&amp;t_eb[[#This Row],[navn]],Regnskap!$C$10:$C$51&amp;Regnskap!$K$10:$K$51,Regnskap!$H$10:$H$51)&gt;0,Data!$AJ$3,""),"")</f>
        <v/>
      </c>
      <c r="S21" s="3" t="str" cm="1">
        <f t="array" ref="S21">IFERROR(IF(t_eb[[#This Row],[12_pLEV]]="",IF(_xlfn.XLOOKUP(t_eb[[#This Row],[Dato]]&amp;t_eb[[#This Row],[navn]],Regnskap!$C$10:$C$51&amp;Regnskap!$K$10:$K$51,Regnskap!$I$10:$I$51)&gt;0,Data!$AJ$2)),"")</f>
        <v/>
      </c>
      <c r="T21" s="3" t="str" cm="1">
        <f t="array" ref="T21">IFERROR(IF(t_eb[[#This Row],[11_pLEV]]="",IF(_xlfn.XLOOKUP(t_eb[[#This Row],[Dato]]&amp;t_eb[[#This Row],[navn]],Regnskap!$C$10:$C$51&amp;Regnskap!$K$10:$K$51,Regnskap!$J$10:$J$51)&gt;0,Data!$AJ$1),""),"")</f>
        <v/>
      </c>
      <c r="U21" s="3">
        <f>SUM(t_eb[[#This Row],[12_pLEV]:[10_pLEV]])</f>
        <v>0</v>
      </c>
      <c r="V21" s="3" cm="1">
        <f t="array" aca="1" ref="V21" ca="1">SUM(t_eb[[#This Row],[Summert]]+t_eb[[#This Row],[12_poeng]:[10_poeng]]+t_eb[[#This Row],[LEV_poeng]])</f>
        <v>0</v>
      </c>
    </row>
    <row r="22" spans="1:28" x14ac:dyDescent="0.2">
      <c r="A22" s="3" t="s">
        <v>907</v>
      </c>
      <c r="B22">
        <f>IF(t_eb[[#This Row],[Dato]]&lt;&gt;"",WEEKNUM(t_eb[[#This Row],[Dato]]),"")</f>
        <v>1</v>
      </c>
      <c r="C22" s="22">
        <f>Data!AL21</f>
        <v>46389</v>
      </c>
      <c r="D22">
        <f ca="1">IFERROR(IF(t_eb[[#This Row],[Dato]]="","",OFFSET(_xlfn.XLOOKUP(C22,Kuponger!E:E,Kuponger!AI:AI),15,0)),"")</f>
        <v>0</v>
      </c>
      <c r="E22">
        <f ca="1">IF(t_eb[[#This Row],[Dato]]="","",OFFSET(_xlfn.XLOOKUP(C22,Kuponger!E:E,Kuponger!AI:AI),15,1))</f>
        <v>0</v>
      </c>
      <c r="F22">
        <f ca="1">IFERROR(IF(t_eb[[#This Row],[Dato]]="","",OFFSET(_xlfn.XLOOKUP(C22,Kuponger!E:E,Kuponger!AI:AI),15,2)),"")</f>
        <v>0</v>
      </c>
      <c r="G22">
        <f ca="1">IFERROR(IF(OFFSET(_xlfn.XLOOKUP(C22,Kuponger!E:E,Kuponger!AI:AI),0,2)=0,"",OFFSET(_xlfn.XLOOKUP(C22,Kuponger!E:E,Kuponger!AI:AI),1,2))*-1,"")</f>
        <v>0</v>
      </c>
      <c r="H22" t="str">
        <f t="shared" ca="1" si="1"/>
        <v/>
      </c>
      <c r="I22" t="str">
        <f ca="1">IFERROR(IF(t_eb[[#This Row],[tp]]&lt;&gt;"",OFFSET(_xlfn.XLOOKUP(C22,Kuponger!E:E,Kuponger!AI:AI),1,1),""),"")</f>
        <v/>
      </c>
      <c r="J22" s="3">
        <f ca="1">IFERROR(IF(t_eb[[#This Row],[Dato]]="",0,OFFSET(_xlfn.XLOOKUP(t_eb[[#This Row],[Dato]],Kuponger!E:E,Kuponger!AI:AI),1,7)),"")</f>
        <v>0</v>
      </c>
      <c r="K22" s="3">
        <f ca="1">IFERROR(SUM(t_eb[[#This Row],[tp]]),0)</f>
        <v>0</v>
      </c>
      <c r="L22" s="3" t="str">
        <f ca="1">IF(t_eb[[#This Row],[Antall_rette]]=12,1,"")</f>
        <v/>
      </c>
      <c r="M22" s="3" t="str">
        <f ca="1">IF(t_eb[[#This Row],[Antall_rette]]=11,1,"")</f>
        <v/>
      </c>
      <c r="N22" s="3" t="str">
        <f ca="1">IF(t_eb[[#This Row],[Antall_rette]]=10,1,"")</f>
        <v/>
      </c>
      <c r="O22" s="3">
        <f ca="1">IF(t_eb[[#This Row],[12_Antall]]=1,Data!$AJ$3,0)</f>
        <v>0</v>
      </c>
      <c r="P22" s="3">
        <f ca="1">IF(t_eb[[#This Row],[11_Antall]]=1,Data!$AJ$2,0)</f>
        <v>0</v>
      </c>
      <c r="Q22" s="3">
        <f ca="1">IF(t_eb[[#This Row],[10_Antall]]=1,Data!$AJ$1,0)</f>
        <v>0</v>
      </c>
      <c r="R22" s="3" t="str" cm="1">
        <f t="array" ref="R22">IFERROR(IF(_xlfn.XLOOKUP(t_eb[[#This Row],[Dato]]&amp;t_eb[[#This Row],[navn]],Regnskap!$C$10:$C$51&amp;Regnskap!$K$10:$K$51,Regnskap!$H$10:$H$51)&gt;0,Data!$AJ$3,""),"")</f>
        <v/>
      </c>
      <c r="S22" s="3" t="str" cm="1">
        <f t="array" ref="S22">IFERROR(IF(t_eb[[#This Row],[12_pLEV]]="",IF(_xlfn.XLOOKUP(t_eb[[#This Row],[Dato]]&amp;t_eb[[#This Row],[navn]],Regnskap!$C$10:$C$51&amp;Regnskap!$K$10:$K$51,Regnskap!$I$10:$I$51)&gt;0,Data!$AJ$2)),"")</f>
        <v/>
      </c>
      <c r="T22" s="3" t="str" cm="1">
        <f t="array" ref="T22">IFERROR(IF(t_eb[[#This Row],[11_pLEV]]="",IF(_xlfn.XLOOKUP(t_eb[[#This Row],[Dato]]&amp;t_eb[[#This Row],[navn]],Regnskap!$C$10:$C$51&amp;Regnskap!$K$10:$K$51,Regnskap!$J$10:$J$51)&gt;0,Data!$AJ$1),""),"")</f>
        <v/>
      </c>
      <c r="U22" s="3">
        <f>SUM(t_eb[[#This Row],[12_pLEV]:[10_pLEV]])</f>
        <v>0</v>
      </c>
      <c r="V22" s="3" cm="1">
        <f t="array" aca="1" ref="V22" ca="1">SUM(t_eb[[#This Row],[Summert]]+t_eb[[#This Row],[12_poeng]:[10_poeng]]+t_eb[[#This Row],[LEV_poeng]])</f>
        <v>0</v>
      </c>
    </row>
    <row r="23" spans="1:28" x14ac:dyDescent="0.2">
      <c r="A23" s="3" t="s">
        <v>907</v>
      </c>
      <c r="B23">
        <f>IF(t_eb[[#This Row],[Dato]]&lt;&gt;"",WEEKNUM(t_eb[[#This Row],[Dato]]),"")</f>
        <v>2</v>
      </c>
      <c r="C23" s="22">
        <f>Data!AL22</f>
        <v>46396</v>
      </c>
      <c r="D23">
        <f ca="1">IFERROR(IF(t_eb[[#This Row],[Dato]]="","",OFFSET(_xlfn.XLOOKUP(C23,Kuponger!E:E,Kuponger!AI:AI),15,0)),"")</f>
        <v>0</v>
      </c>
      <c r="E23">
        <f ca="1">IF(t_eb[[#This Row],[Dato]]="","",OFFSET(_xlfn.XLOOKUP(C23,Kuponger!E:E,Kuponger!AI:AI),15,1))</f>
        <v>0</v>
      </c>
      <c r="F23">
        <f ca="1">IFERROR(IF(t_eb[[#This Row],[Dato]]="","",OFFSET(_xlfn.XLOOKUP(C23,Kuponger!E:E,Kuponger!AI:AI),15,2)),"")</f>
        <v>0</v>
      </c>
      <c r="G23">
        <f ca="1">IFERROR(IF(OFFSET(_xlfn.XLOOKUP(C23,Kuponger!E:E,Kuponger!AI:AI),0,2)=0,"",OFFSET(_xlfn.XLOOKUP(C23,Kuponger!E:E,Kuponger!AI:AI),1,2))*-1,"")</f>
        <v>0</v>
      </c>
      <c r="H23" t="str">
        <f t="shared" ca="1" si="1"/>
        <v/>
      </c>
      <c r="I23" t="str">
        <f ca="1">IFERROR(IF(t_eb[[#This Row],[tp]]&lt;&gt;"",OFFSET(_xlfn.XLOOKUP(C23,Kuponger!E:E,Kuponger!AI:AI),1,1),""),"")</f>
        <v/>
      </c>
      <c r="J23" s="3">
        <f ca="1">IFERROR(IF(t_eb[[#This Row],[Dato]]="",0,OFFSET(_xlfn.XLOOKUP(t_eb[[#This Row],[Dato]],Kuponger!E:E,Kuponger!AI:AI),1,7)),"")</f>
        <v>0</v>
      </c>
      <c r="K23" s="3">
        <f ca="1">IFERROR(SUM(t_eb[[#This Row],[tp]]),0)</f>
        <v>0</v>
      </c>
      <c r="L23" s="3" t="str">
        <f ca="1">IF(t_eb[[#This Row],[Antall_rette]]=12,1,"")</f>
        <v/>
      </c>
      <c r="M23" s="3" t="str">
        <f ca="1">IF(t_eb[[#This Row],[Antall_rette]]=11,1,"")</f>
        <v/>
      </c>
      <c r="N23" s="3" t="str">
        <f ca="1">IF(t_eb[[#This Row],[Antall_rette]]=10,1,"")</f>
        <v/>
      </c>
      <c r="O23" s="3">
        <f ca="1">IF(t_eb[[#This Row],[12_Antall]]=1,Data!$AJ$3,0)</f>
        <v>0</v>
      </c>
      <c r="P23" s="3">
        <f ca="1">IF(t_eb[[#This Row],[11_Antall]]=1,Data!$AJ$2,0)</f>
        <v>0</v>
      </c>
      <c r="Q23" s="3">
        <f ca="1">IF(t_eb[[#This Row],[10_Antall]]=1,Data!$AJ$1,0)</f>
        <v>0</v>
      </c>
      <c r="R23" s="3" t="str" cm="1">
        <f t="array" ref="R23">IFERROR(IF(_xlfn.XLOOKUP(t_eb[[#This Row],[Dato]]&amp;t_eb[[#This Row],[navn]],Regnskap!$C$10:$C$51&amp;Regnskap!$K$10:$K$51,Regnskap!$H$10:$H$51)&gt;0,Data!$AJ$3,""),"")</f>
        <v/>
      </c>
      <c r="S23" s="3" t="str" cm="1">
        <f t="array" ref="S23">IFERROR(IF(t_eb[[#This Row],[12_pLEV]]="",IF(_xlfn.XLOOKUP(t_eb[[#This Row],[Dato]]&amp;t_eb[[#This Row],[navn]],Regnskap!$C$10:$C$51&amp;Regnskap!$K$10:$K$51,Regnskap!$I$10:$I$51)&gt;0,Data!$AJ$2)),"")</f>
        <v/>
      </c>
      <c r="T23" s="3" t="str" cm="1">
        <f t="array" ref="T23">IFERROR(IF(t_eb[[#This Row],[11_pLEV]]="",IF(_xlfn.XLOOKUP(t_eb[[#This Row],[Dato]]&amp;t_eb[[#This Row],[navn]],Regnskap!$C$10:$C$51&amp;Regnskap!$K$10:$K$51,Regnskap!$J$10:$J$51)&gt;0,Data!$AJ$1),""),"")</f>
        <v/>
      </c>
      <c r="U23" s="3">
        <f>SUM(t_eb[[#This Row],[12_pLEV]:[10_pLEV]])</f>
        <v>0</v>
      </c>
      <c r="V23" s="3" cm="1">
        <f t="array" aca="1" ref="V23" ca="1">SUM(t_eb[[#This Row],[Summert]]+t_eb[[#This Row],[12_poeng]:[10_poeng]]+t_eb[[#This Row],[LEV_poeng]])</f>
        <v>0</v>
      </c>
    </row>
    <row r="24" spans="1:28" x14ac:dyDescent="0.2">
      <c r="A24" s="3" t="s">
        <v>907</v>
      </c>
      <c r="B24">
        <f>IF(t_eb[[#This Row],[Dato]]&lt;&gt;"",WEEKNUM(t_eb[[#This Row],[Dato]]),"")</f>
        <v>3</v>
      </c>
      <c r="C24" s="22">
        <f>Data!AL23</f>
        <v>46403</v>
      </c>
      <c r="D24">
        <f ca="1">IFERROR(IF(t_eb[[#This Row],[Dato]]="","",OFFSET(_xlfn.XLOOKUP(C24,Kuponger!E:E,Kuponger!AI:AI),15,0)),"")</f>
        <v>0</v>
      </c>
      <c r="E24">
        <f ca="1">IF(t_eb[[#This Row],[Dato]]="","",OFFSET(_xlfn.XLOOKUP(C24,Kuponger!E:E,Kuponger!AI:AI),15,1))</f>
        <v>0</v>
      </c>
      <c r="F24">
        <f ca="1">IFERROR(IF(t_eb[[#This Row],[Dato]]="","",OFFSET(_xlfn.XLOOKUP(C24,Kuponger!E:E,Kuponger!AI:AI),15,2)),"")</f>
        <v>0</v>
      </c>
      <c r="G24">
        <f ca="1">IFERROR(IF(OFFSET(_xlfn.XLOOKUP(C24,Kuponger!E:E,Kuponger!AI:AI),0,2)=0,"",OFFSET(_xlfn.XLOOKUP(C24,Kuponger!E:E,Kuponger!AI:AI),1,2))*-1,"")</f>
        <v>0</v>
      </c>
      <c r="H24" t="str">
        <f t="shared" ca="1" si="1"/>
        <v/>
      </c>
      <c r="I24" t="str">
        <f ca="1">IFERROR(IF(t_eb[[#This Row],[tp]]&lt;&gt;"",OFFSET(_xlfn.XLOOKUP(C24,Kuponger!E:E,Kuponger!AI:AI),1,1),""),"")</f>
        <v/>
      </c>
      <c r="J24" s="3">
        <f ca="1">IFERROR(IF(t_eb[[#This Row],[Dato]]="",0,OFFSET(_xlfn.XLOOKUP(t_eb[[#This Row],[Dato]],Kuponger!E:E,Kuponger!AI:AI),1,7)),"")</f>
        <v>0</v>
      </c>
      <c r="K24" s="3">
        <f ca="1">IFERROR(SUM(t_eb[[#This Row],[tp]]),0)</f>
        <v>0</v>
      </c>
      <c r="L24" s="3" t="str">
        <f ca="1">IF(t_eb[[#This Row],[Antall_rette]]=12,1,"")</f>
        <v/>
      </c>
      <c r="M24" s="3" t="str">
        <f ca="1">IF(t_eb[[#This Row],[Antall_rette]]=11,1,"")</f>
        <v/>
      </c>
      <c r="N24" s="3" t="str">
        <f ca="1">IF(t_eb[[#This Row],[Antall_rette]]=10,1,"")</f>
        <v/>
      </c>
      <c r="O24" s="3">
        <f ca="1">IF(t_eb[[#This Row],[12_Antall]]=1,Data!$AJ$3,0)</f>
        <v>0</v>
      </c>
      <c r="P24" s="3">
        <f ca="1">IF(t_eb[[#This Row],[11_Antall]]=1,Data!$AJ$2,0)</f>
        <v>0</v>
      </c>
      <c r="Q24" s="3">
        <f ca="1">IF(t_eb[[#This Row],[10_Antall]]=1,Data!$AJ$1,0)</f>
        <v>0</v>
      </c>
      <c r="R24" s="3" t="str" cm="1">
        <f t="array" ref="R24">IFERROR(IF(_xlfn.XLOOKUP(t_eb[[#This Row],[Dato]]&amp;t_eb[[#This Row],[navn]],Regnskap!$C$10:$C$51&amp;Regnskap!$K$10:$K$51,Regnskap!$H$10:$H$51)&gt;0,Data!$AJ$3,""),"")</f>
        <v/>
      </c>
      <c r="S24" s="3" t="b" cm="1">
        <f t="array" ref="S24">IFERROR(IF(t_eb[[#This Row],[12_pLEV]]="",IF(_xlfn.XLOOKUP(t_eb[[#This Row],[Dato]]&amp;t_eb[[#This Row],[navn]],Regnskap!$C$10:$C$51&amp;Regnskap!$K$10:$K$51,Regnskap!$I$10:$I$51)&gt;0,Data!$AJ$2)),"")</f>
        <v>0</v>
      </c>
      <c r="T24" s="3" t="str" cm="1">
        <f t="array" ref="T24">IFERROR(IF(t_eb[[#This Row],[11_pLEV]]="",IF(_xlfn.XLOOKUP(t_eb[[#This Row],[Dato]]&amp;t_eb[[#This Row],[navn]],Regnskap!$C$10:$C$51&amp;Regnskap!$K$10:$K$51,Regnskap!$J$10:$J$51)&gt;0,Data!$AJ$1),""),"")</f>
        <v/>
      </c>
      <c r="U24" s="3">
        <f>SUM(t_eb[[#This Row],[12_pLEV]:[10_pLEV]])</f>
        <v>0</v>
      </c>
      <c r="V24" s="3" cm="1">
        <f t="array" aca="1" ref="V24" ca="1">SUM(t_eb[[#This Row],[Summert]]+t_eb[[#This Row],[12_poeng]:[10_poeng]]+t_eb[[#This Row],[LEV_poeng]])</f>
        <v>0</v>
      </c>
    </row>
    <row r="25" spans="1:28" x14ac:dyDescent="0.2">
      <c r="A25" s="3" t="s">
        <v>907</v>
      </c>
      <c r="B25">
        <f>IF(t_eb[[#This Row],[Dato]]&lt;&gt;"",WEEKNUM(t_eb[[#This Row],[Dato]]),"")</f>
        <v>4</v>
      </c>
      <c r="C25" s="22">
        <f>Data!AL24</f>
        <v>46410</v>
      </c>
      <c r="D25">
        <f ca="1">IFERROR(IF(t_eb[[#This Row],[Dato]]="","",OFFSET(_xlfn.XLOOKUP(C25,Kuponger!E:E,Kuponger!AI:AI),15,0)),"")</f>
        <v>0</v>
      </c>
      <c r="E25">
        <f ca="1">IF(t_eb[[#This Row],[Dato]]="","",OFFSET(_xlfn.XLOOKUP(C25,Kuponger!E:E,Kuponger!AI:AI),15,1))</f>
        <v>0</v>
      </c>
      <c r="F25">
        <f ca="1">IFERROR(IF(t_eb[[#This Row],[Dato]]="","",OFFSET(_xlfn.XLOOKUP(C25,Kuponger!E:E,Kuponger!AI:AI),15,2)),"")</f>
        <v>0</v>
      </c>
      <c r="G25">
        <f ca="1">IFERROR(IF(OFFSET(_xlfn.XLOOKUP(C25,Kuponger!E:E,Kuponger!AI:AI),0,2)=0,"",OFFSET(_xlfn.XLOOKUP(C25,Kuponger!E:E,Kuponger!AI:AI),1,2))*-1,"")</f>
        <v>0</v>
      </c>
      <c r="H25" t="str">
        <f t="shared" ca="1" si="1"/>
        <v/>
      </c>
      <c r="I25" t="str">
        <f ca="1">IFERROR(IF(t_eb[[#This Row],[tp]]&lt;&gt;"",OFFSET(_xlfn.XLOOKUP(C25,Kuponger!E:E,Kuponger!AI:AI),1,1),""),"")</f>
        <v/>
      </c>
      <c r="J25" s="3">
        <f ca="1">IFERROR(IF(t_eb[[#This Row],[Dato]]="",0,OFFSET(_xlfn.XLOOKUP(t_eb[[#This Row],[Dato]],Kuponger!E:E,Kuponger!AI:AI),1,7)),"")</f>
        <v>0</v>
      </c>
      <c r="K25" s="3">
        <f ca="1">IFERROR(SUM(t_eb[[#This Row],[tp]]),0)</f>
        <v>0</v>
      </c>
      <c r="L25" s="3" t="str">
        <f ca="1">IF(t_eb[[#This Row],[Antall_rette]]=12,1,"")</f>
        <v/>
      </c>
      <c r="M25" s="3" t="str">
        <f ca="1">IF(t_eb[[#This Row],[Antall_rette]]=11,1,"")</f>
        <v/>
      </c>
      <c r="N25" s="3" t="str">
        <f ca="1">IF(t_eb[[#This Row],[Antall_rette]]=10,1,"")</f>
        <v/>
      </c>
      <c r="O25" s="3">
        <f ca="1">IF(t_eb[[#This Row],[12_Antall]]=1,Data!$AJ$3,0)</f>
        <v>0</v>
      </c>
      <c r="P25" s="3">
        <f ca="1">IF(t_eb[[#This Row],[11_Antall]]=1,Data!$AJ$2,0)</f>
        <v>0</v>
      </c>
      <c r="Q25" s="3">
        <f ca="1">IF(t_eb[[#This Row],[10_Antall]]=1,Data!$AJ$1,0)</f>
        <v>0</v>
      </c>
      <c r="R25" s="3" t="str" cm="1">
        <f t="array" ref="R25">IFERROR(IF(_xlfn.XLOOKUP(t_eb[[#This Row],[Dato]]&amp;t_eb[[#This Row],[navn]],Regnskap!$C$10:$C$51&amp;Regnskap!$K$10:$K$51,Regnskap!$H$10:$H$51)&gt;0,Data!$AJ$3,""),"")</f>
        <v/>
      </c>
      <c r="S25" s="3" t="str" cm="1">
        <f t="array" ref="S25">IFERROR(IF(t_eb[[#This Row],[12_pLEV]]="",IF(_xlfn.XLOOKUP(t_eb[[#This Row],[Dato]]&amp;t_eb[[#This Row],[navn]],Regnskap!$C$10:$C$51&amp;Regnskap!$K$10:$K$51,Regnskap!$I$10:$I$51)&gt;0,Data!$AJ$2)),"")</f>
        <v/>
      </c>
      <c r="T25" s="3" t="str" cm="1">
        <f t="array" ref="T25">IFERROR(IF(t_eb[[#This Row],[11_pLEV]]="",IF(_xlfn.XLOOKUP(t_eb[[#This Row],[Dato]]&amp;t_eb[[#This Row],[navn]],Regnskap!$C$10:$C$51&amp;Regnskap!$K$10:$K$51,Regnskap!$J$10:$J$51)&gt;0,Data!$AJ$1),""),"")</f>
        <v/>
      </c>
      <c r="U25" s="3">
        <f>SUM(t_eb[[#This Row],[12_pLEV]:[10_pLEV]])</f>
        <v>0</v>
      </c>
      <c r="V25" s="3" cm="1">
        <f t="array" aca="1" ref="V25" ca="1">SUM(t_eb[[#This Row],[Summert]]+t_eb[[#This Row],[12_poeng]:[10_poeng]]+t_eb[[#This Row],[LEV_poeng]])</f>
        <v>0</v>
      </c>
      <c r="W25" s="2"/>
      <c r="X25" s="2"/>
      <c r="Y25" s="2"/>
      <c r="Z25" s="2"/>
      <c r="AA25" s="2"/>
      <c r="AB25" s="2"/>
    </row>
    <row r="26" spans="1:28" x14ac:dyDescent="0.2">
      <c r="A26" s="3" t="s">
        <v>907</v>
      </c>
      <c r="B26">
        <f>IF(t_eb[[#This Row],[Dato]]&lt;&gt;"",WEEKNUM(t_eb[[#This Row],[Dato]]),"")</f>
        <v>5</v>
      </c>
      <c r="C26" s="22">
        <f>Data!AL25</f>
        <v>46417</v>
      </c>
      <c r="D26">
        <f ca="1">IFERROR(IF(t_eb[[#This Row],[Dato]]="","",OFFSET(_xlfn.XLOOKUP(C26,Kuponger!E:E,Kuponger!AI:AI),15,0)),"")</f>
        <v>0</v>
      </c>
      <c r="E26">
        <f ca="1">IF(t_eb[[#This Row],[Dato]]="","",OFFSET(_xlfn.XLOOKUP(C26,Kuponger!E:E,Kuponger!AI:AI),15,1))</f>
        <v>0</v>
      </c>
      <c r="F26">
        <f ca="1">IFERROR(IF(t_eb[[#This Row],[Dato]]="","",OFFSET(_xlfn.XLOOKUP(C26,Kuponger!E:E,Kuponger!AI:AI),15,2)),"")</f>
        <v>0</v>
      </c>
      <c r="G26">
        <f ca="1">IFERROR(IF(OFFSET(_xlfn.XLOOKUP(C26,Kuponger!E:E,Kuponger!AI:AI),0,2)=0,"",OFFSET(_xlfn.XLOOKUP(C26,Kuponger!E:E,Kuponger!AI:AI),1,2))*-1,"")</f>
        <v>0</v>
      </c>
      <c r="H26" t="str">
        <f t="shared" ca="1" si="1"/>
        <v/>
      </c>
      <c r="I26" t="str">
        <f ca="1">IFERROR(IF(t_eb[[#This Row],[tp]]&lt;&gt;"",OFFSET(_xlfn.XLOOKUP(C26,Kuponger!E:E,Kuponger!AI:AI),1,1),""),"")</f>
        <v/>
      </c>
      <c r="J26" s="3">
        <f ca="1">IFERROR(IF(t_eb[[#This Row],[Dato]]="",0,OFFSET(_xlfn.XLOOKUP(t_eb[[#This Row],[Dato]],Kuponger!E:E,Kuponger!AI:AI),1,7)),"")</f>
        <v>0</v>
      </c>
      <c r="K26" s="3">
        <f ca="1">IFERROR(SUM(t_eb[[#This Row],[tp]]),0)</f>
        <v>0</v>
      </c>
      <c r="L26" s="3" t="str">
        <f ca="1">IF(t_eb[[#This Row],[Antall_rette]]=12,1,"")</f>
        <v/>
      </c>
      <c r="M26" s="3" t="str">
        <f ca="1">IF(t_eb[[#This Row],[Antall_rette]]=11,1,"")</f>
        <v/>
      </c>
      <c r="N26" s="3" t="str">
        <f ca="1">IF(t_eb[[#This Row],[Antall_rette]]=10,1,"")</f>
        <v/>
      </c>
      <c r="O26" s="3">
        <f ca="1">IF(t_eb[[#This Row],[12_Antall]]=1,Data!$AJ$3,0)</f>
        <v>0</v>
      </c>
      <c r="P26" s="3">
        <f ca="1">IF(t_eb[[#This Row],[11_Antall]]=1,Data!$AJ$2,0)</f>
        <v>0</v>
      </c>
      <c r="Q26" s="3">
        <f ca="1">IF(t_eb[[#This Row],[10_Antall]]=1,Data!$AJ$1,0)</f>
        <v>0</v>
      </c>
      <c r="R26" s="3" t="str" cm="1">
        <f t="array" ref="R26">IFERROR(IF(_xlfn.XLOOKUP(t_eb[[#This Row],[Dato]]&amp;t_eb[[#This Row],[navn]],Regnskap!$C$10:$C$51&amp;Regnskap!$K$10:$K$51,Regnskap!$H$10:$H$51)&gt;0,Data!$AJ$3,""),"")</f>
        <v/>
      </c>
      <c r="S26" s="3" t="str" cm="1">
        <f t="array" ref="S26">IFERROR(IF(t_eb[[#This Row],[12_pLEV]]="",IF(_xlfn.XLOOKUP(t_eb[[#This Row],[Dato]]&amp;t_eb[[#This Row],[navn]],Regnskap!$C$10:$C$51&amp;Regnskap!$K$10:$K$51,Regnskap!$I$10:$I$51)&gt;0,Data!$AJ$2)),"")</f>
        <v/>
      </c>
      <c r="T26" s="3" t="str" cm="1">
        <f t="array" ref="T26">IFERROR(IF(t_eb[[#This Row],[11_pLEV]]="",IF(_xlfn.XLOOKUP(t_eb[[#This Row],[Dato]]&amp;t_eb[[#This Row],[navn]],Regnskap!$C$10:$C$51&amp;Regnskap!$K$10:$K$51,Regnskap!$J$10:$J$51)&gt;0,Data!$AJ$1),""),"")</f>
        <v/>
      </c>
      <c r="U26" s="3">
        <f>SUM(t_eb[[#This Row],[12_pLEV]:[10_pLEV]])</f>
        <v>0</v>
      </c>
      <c r="V26" s="3" cm="1">
        <f t="array" aca="1" ref="V26" ca="1">SUM(t_eb[[#This Row],[Summert]]+t_eb[[#This Row],[12_poeng]:[10_poeng]]+t_eb[[#This Row],[LEV_poeng]])</f>
        <v>0</v>
      </c>
    </row>
    <row r="27" spans="1:28" x14ac:dyDescent="0.2">
      <c r="A27" s="3" t="s">
        <v>907</v>
      </c>
      <c r="B27">
        <f>IF(t_eb[[#This Row],[Dato]]&lt;&gt;"",WEEKNUM(t_eb[[#This Row],[Dato]]),"")</f>
        <v>6</v>
      </c>
      <c r="C27" s="22">
        <f>Data!AL26</f>
        <v>46424</v>
      </c>
      <c r="D27">
        <f ca="1">IFERROR(IF(t_eb[[#This Row],[Dato]]="","",OFFSET(_xlfn.XLOOKUP(C27,Kuponger!E:E,Kuponger!AI:AI),15,0)),"")</f>
        <v>0</v>
      </c>
      <c r="E27">
        <f ca="1">IF(t_eb[[#This Row],[Dato]]="","",OFFSET(_xlfn.XLOOKUP(C27,Kuponger!E:E,Kuponger!AI:AI),15,1))</f>
        <v>0</v>
      </c>
      <c r="F27">
        <f ca="1">IFERROR(IF(t_eb[[#This Row],[Dato]]="","",OFFSET(_xlfn.XLOOKUP(C27,Kuponger!E:E,Kuponger!AI:AI),15,2)),"")</f>
        <v>0</v>
      </c>
      <c r="G27">
        <f ca="1">IFERROR(IF(OFFSET(_xlfn.XLOOKUP(C27,Kuponger!E:E,Kuponger!AI:AI),0,2)=0,"",OFFSET(_xlfn.XLOOKUP(C27,Kuponger!E:E,Kuponger!AI:AI),1,2))*-1,"")</f>
        <v>0</v>
      </c>
      <c r="H27" t="str">
        <f t="shared" ca="1" si="1"/>
        <v/>
      </c>
      <c r="I27" t="str">
        <f ca="1">IFERROR(IF(t_eb[[#This Row],[tp]]&lt;&gt;"",OFFSET(_xlfn.XLOOKUP(C27,Kuponger!E:E,Kuponger!AI:AI),1,1),""),"")</f>
        <v/>
      </c>
      <c r="J27" s="3">
        <f ca="1">IFERROR(IF(t_eb[[#This Row],[Dato]]="",0,OFFSET(_xlfn.XLOOKUP(t_eb[[#This Row],[Dato]],Kuponger!E:E,Kuponger!AI:AI),1,7)),"")</f>
        <v>0</v>
      </c>
      <c r="K27" s="3">
        <f ca="1">IFERROR(SUM(t_eb[[#This Row],[tp]]),0)</f>
        <v>0</v>
      </c>
      <c r="L27" s="3" t="str">
        <f ca="1">IF(t_eb[[#This Row],[Antall_rette]]=12,1,"")</f>
        <v/>
      </c>
      <c r="M27" s="3" t="str">
        <f ca="1">IF(t_eb[[#This Row],[Antall_rette]]=11,1,"")</f>
        <v/>
      </c>
      <c r="N27" s="3" t="str">
        <f ca="1">IF(t_eb[[#This Row],[Antall_rette]]=10,1,"")</f>
        <v/>
      </c>
      <c r="O27" s="3">
        <f ca="1">IF(t_eb[[#This Row],[12_Antall]]=1,Data!$AJ$3,0)</f>
        <v>0</v>
      </c>
      <c r="P27" s="3">
        <f ca="1">IF(t_eb[[#This Row],[11_Antall]]=1,Data!$AJ$2,0)</f>
        <v>0</v>
      </c>
      <c r="Q27" s="3">
        <f ca="1">IF(t_eb[[#This Row],[10_Antall]]=1,Data!$AJ$1,0)</f>
        <v>0</v>
      </c>
      <c r="R27" s="3" t="str" cm="1">
        <f t="array" ref="R27">IFERROR(IF(_xlfn.XLOOKUP(t_eb[[#This Row],[Dato]]&amp;t_eb[[#This Row],[navn]],Regnskap!$C$10:$C$51&amp;Regnskap!$K$10:$K$51,Regnskap!$H$10:$H$51)&gt;0,Data!$AJ$3,""),"")</f>
        <v/>
      </c>
      <c r="S27" s="3" t="b" cm="1">
        <f t="array" ref="S27">IFERROR(IF(t_eb[[#This Row],[12_pLEV]]="",IF(_xlfn.XLOOKUP(t_eb[[#This Row],[Dato]]&amp;t_eb[[#This Row],[navn]],Regnskap!$C$10:$C$51&amp;Regnskap!$K$10:$K$51,Regnskap!$I$10:$I$51)&gt;0,Data!$AJ$2)),"")</f>
        <v>0</v>
      </c>
      <c r="T27" s="3" t="str" cm="1">
        <f t="array" ref="T27">IFERROR(IF(t_eb[[#This Row],[11_pLEV]]="",IF(_xlfn.XLOOKUP(t_eb[[#This Row],[Dato]]&amp;t_eb[[#This Row],[navn]],Regnskap!$C$10:$C$51&amp;Regnskap!$K$10:$K$51,Regnskap!$J$10:$J$51)&gt;0,Data!$AJ$1),""),"")</f>
        <v/>
      </c>
      <c r="U27" s="3">
        <f>SUM(t_eb[[#This Row],[12_pLEV]:[10_pLEV]])</f>
        <v>0</v>
      </c>
      <c r="V27" s="3" cm="1">
        <f t="array" aca="1" ref="V27" ca="1">SUM(t_eb[[#This Row],[Summert]]+t_eb[[#This Row],[12_poeng]:[10_poeng]]+t_eb[[#This Row],[LEV_poeng]])</f>
        <v>0</v>
      </c>
    </row>
    <row r="28" spans="1:28" x14ac:dyDescent="0.2">
      <c r="A28" s="3" t="s">
        <v>907</v>
      </c>
      <c r="B28">
        <f>IF(t_eb[[#This Row],[Dato]]&lt;&gt;"",WEEKNUM(t_eb[[#This Row],[Dato]]),"")</f>
        <v>7</v>
      </c>
      <c r="C28" s="22">
        <f>Data!AL27</f>
        <v>46431</v>
      </c>
      <c r="D28">
        <f ca="1">IFERROR(IF(t_eb[[#This Row],[Dato]]="","",OFFSET(_xlfn.XLOOKUP(C28,Kuponger!E:E,Kuponger!AI:AI),15,0)),"")</f>
        <v>0</v>
      </c>
      <c r="E28">
        <f ca="1">IF(t_eb[[#This Row],[Dato]]="","",OFFSET(_xlfn.XLOOKUP(C28,Kuponger!E:E,Kuponger!AI:AI),15,1))</f>
        <v>0</v>
      </c>
      <c r="F28">
        <f ca="1">IFERROR(IF(t_eb[[#This Row],[Dato]]="","",OFFSET(_xlfn.XLOOKUP(C28,Kuponger!E:E,Kuponger!AI:AI),15,2)),"")</f>
        <v>0</v>
      </c>
      <c r="G28">
        <f ca="1">IFERROR(IF(OFFSET(_xlfn.XLOOKUP(C28,Kuponger!E:E,Kuponger!AI:AI),0,2)=0,"",OFFSET(_xlfn.XLOOKUP(C28,Kuponger!E:E,Kuponger!AI:AI),1,2))*-1,"")</f>
        <v>0</v>
      </c>
      <c r="H28" t="str">
        <f t="shared" ca="1" si="1"/>
        <v/>
      </c>
      <c r="I28" t="str">
        <f ca="1">IFERROR(IF(t_eb[[#This Row],[tp]]&lt;&gt;"",OFFSET(_xlfn.XLOOKUP(C28,Kuponger!E:E,Kuponger!AI:AI),1,1),""),"")</f>
        <v/>
      </c>
      <c r="J28" s="3">
        <f ca="1">IFERROR(IF(t_eb[[#This Row],[Dato]]="",0,OFFSET(_xlfn.XLOOKUP(t_eb[[#This Row],[Dato]],Kuponger!E:E,Kuponger!AI:AI),1,7)),"")</f>
        <v>0</v>
      </c>
      <c r="K28" s="3">
        <f ca="1">IFERROR(SUM(t_eb[[#This Row],[tp]]),0)</f>
        <v>0</v>
      </c>
      <c r="L28" s="3" t="str">
        <f ca="1">IF(t_eb[[#This Row],[Antall_rette]]=12,1,"")</f>
        <v/>
      </c>
      <c r="M28" s="3" t="str">
        <f ca="1">IF(t_eb[[#This Row],[Antall_rette]]=11,1,"")</f>
        <v/>
      </c>
      <c r="N28" s="3" t="str">
        <f ca="1">IF(t_eb[[#This Row],[Antall_rette]]=10,1,"")</f>
        <v/>
      </c>
      <c r="O28" s="3">
        <f ca="1">IF(t_eb[[#This Row],[12_Antall]]=1,Data!$AJ$3,0)</f>
        <v>0</v>
      </c>
      <c r="P28" s="3">
        <f ca="1">IF(t_eb[[#This Row],[11_Antall]]=1,Data!$AJ$2,0)</f>
        <v>0</v>
      </c>
      <c r="Q28" s="3">
        <f ca="1">IF(t_eb[[#This Row],[10_Antall]]=1,Data!$AJ$1,0)</f>
        <v>0</v>
      </c>
      <c r="R28" s="3" t="str" cm="1">
        <f t="array" ref="R28">IFERROR(IF(_xlfn.XLOOKUP(t_eb[[#This Row],[Dato]]&amp;t_eb[[#This Row],[navn]],Regnskap!$C$10:$C$51&amp;Regnskap!$K$10:$K$51,Regnskap!$H$10:$H$51)&gt;0,Data!$AJ$3,""),"")</f>
        <v/>
      </c>
      <c r="S28" s="3" t="str" cm="1">
        <f t="array" ref="S28">IFERROR(IF(t_eb[[#This Row],[12_pLEV]]="",IF(_xlfn.XLOOKUP(t_eb[[#This Row],[Dato]]&amp;t_eb[[#This Row],[navn]],Regnskap!$C$10:$C$51&amp;Regnskap!$K$10:$K$51,Regnskap!$I$10:$I$51)&gt;0,Data!$AJ$2)),"")</f>
        <v/>
      </c>
      <c r="T28" s="3" t="str" cm="1">
        <f t="array" ref="T28">IFERROR(IF(t_eb[[#This Row],[11_pLEV]]="",IF(_xlfn.XLOOKUP(t_eb[[#This Row],[Dato]]&amp;t_eb[[#This Row],[navn]],Regnskap!$C$10:$C$51&amp;Regnskap!$K$10:$K$51,Regnskap!$J$10:$J$51)&gt;0,Data!$AJ$1),""),"")</f>
        <v/>
      </c>
      <c r="U28" s="3">
        <f>SUM(t_eb[[#This Row],[12_pLEV]:[10_pLEV]])</f>
        <v>0</v>
      </c>
      <c r="V28" s="3" cm="1">
        <f t="array" aca="1" ref="V28" ca="1">SUM(t_eb[[#This Row],[Summert]]+t_eb[[#This Row],[12_poeng]:[10_poeng]]+t_eb[[#This Row],[LEV_poeng]])</f>
        <v>0</v>
      </c>
    </row>
    <row r="29" spans="1:28" x14ac:dyDescent="0.2">
      <c r="A29" s="3" t="s">
        <v>907</v>
      </c>
      <c r="B29">
        <f>IF(t_eb[[#This Row],[Dato]]&lt;&gt;"",WEEKNUM(t_eb[[#This Row],[Dato]]),"")</f>
        <v>8</v>
      </c>
      <c r="C29" s="22">
        <f>Data!AL28</f>
        <v>46438</v>
      </c>
      <c r="D29">
        <f ca="1">IFERROR(IF(t_eb[[#This Row],[Dato]]="","",OFFSET(_xlfn.XLOOKUP(C29,Kuponger!E:E,Kuponger!AI:AI),15,0)),"")</f>
        <v>0</v>
      </c>
      <c r="E29">
        <f ca="1">IF(t_eb[[#This Row],[Dato]]="","",OFFSET(_xlfn.XLOOKUP(C29,Kuponger!E:E,Kuponger!AI:AI),15,1))</f>
        <v>0</v>
      </c>
      <c r="F29">
        <f ca="1">IFERROR(IF(t_eb[[#This Row],[Dato]]="","",OFFSET(_xlfn.XLOOKUP(C29,Kuponger!E:E,Kuponger!AI:AI),15,2)),"")</f>
        <v>0</v>
      </c>
      <c r="G29">
        <f ca="1">IFERROR(IF(OFFSET(_xlfn.XLOOKUP(C29,Kuponger!E:E,Kuponger!AI:AI),0,2)=0,"",OFFSET(_xlfn.XLOOKUP(C29,Kuponger!E:E,Kuponger!AI:AI),1,2))*-1,"")</f>
        <v>0</v>
      </c>
      <c r="H29" t="str">
        <f t="shared" ca="1" si="1"/>
        <v/>
      </c>
      <c r="I29" t="str">
        <f ca="1">IFERROR(IF(t_eb[[#This Row],[tp]]&lt;&gt;"",OFFSET(_xlfn.XLOOKUP(C29,Kuponger!E:E,Kuponger!AI:AI),1,1),""),"")</f>
        <v/>
      </c>
      <c r="J29" s="3">
        <f ca="1">IFERROR(IF(t_eb[[#This Row],[Dato]]="",0,OFFSET(_xlfn.XLOOKUP(t_eb[[#This Row],[Dato]],Kuponger!E:E,Kuponger!AI:AI),1,7)),"")</f>
        <v>0</v>
      </c>
      <c r="K29" s="3">
        <f ca="1">IFERROR(SUM(t_eb[[#This Row],[tp]]),0)</f>
        <v>0</v>
      </c>
      <c r="L29" s="3" t="str">
        <f ca="1">IF(t_eb[[#This Row],[Antall_rette]]=12,1,"")</f>
        <v/>
      </c>
      <c r="M29" s="3" t="str">
        <f ca="1">IF(t_eb[[#This Row],[Antall_rette]]=11,1,"")</f>
        <v/>
      </c>
      <c r="N29" s="3" t="str">
        <f ca="1">IF(t_eb[[#This Row],[Antall_rette]]=10,1,"")</f>
        <v/>
      </c>
      <c r="O29" s="3">
        <f ca="1">IF(t_eb[[#This Row],[12_Antall]]=1,Data!$AJ$3,0)</f>
        <v>0</v>
      </c>
      <c r="P29" s="3">
        <f ca="1">IF(t_eb[[#This Row],[11_Antall]]=1,Data!$AJ$2,0)</f>
        <v>0</v>
      </c>
      <c r="Q29" s="3">
        <f ca="1">IF(t_eb[[#This Row],[10_Antall]]=1,Data!$AJ$1,0)</f>
        <v>0</v>
      </c>
      <c r="R29" s="3" t="str" cm="1">
        <f t="array" ref="R29">IFERROR(IF(_xlfn.XLOOKUP(t_eb[[#This Row],[Dato]]&amp;t_eb[[#This Row],[navn]],Regnskap!$C$10:$C$51&amp;Regnskap!$K$10:$K$51,Regnskap!$H$10:$H$51)&gt;0,Data!$AJ$3,""),"")</f>
        <v/>
      </c>
      <c r="S29" s="3" t="str" cm="1">
        <f t="array" ref="S29">IFERROR(IF(t_eb[[#This Row],[12_pLEV]]="",IF(_xlfn.XLOOKUP(t_eb[[#This Row],[Dato]]&amp;t_eb[[#This Row],[navn]],Regnskap!$C$10:$C$51&amp;Regnskap!$K$10:$K$51,Regnskap!$I$10:$I$51)&gt;0,Data!$AJ$2)),"")</f>
        <v/>
      </c>
      <c r="T29" s="3" t="str" cm="1">
        <f t="array" ref="T29">IFERROR(IF(t_eb[[#This Row],[11_pLEV]]="",IF(_xlfn.XLOOKUP(t_eb[[#This Row],[Dato]]&amp;t_eb[[#This Row],[navn]],Regnskap!$C$10:$C$51&amp;Regnskap!$K$10:$K$51,Regnskap!$J$10:$J$51)&gt;0,Data!$AJ$1),""),"")</f>
        <v/>
      </c>
      <c r="U29" s="3">
        <f>SUM(t_eb[[#This Row],[12_pLEV]:[10_pLEV]])</f>
        <v>0</v>
      </c>
      <c r="V29" s="3" cm="1">
        <f t="array" aca="1" ref="V29" ca="1">SUM(t_eb[[#This Row],[Summert]]+t_eb[[#This Row],[12_poeng]:[10_poeng]]+t_eb[[#This Row],[LEV_poeng]])</f>
        <v>0</v>
      </c>
    </row>
    <row r="30" spans="1:28" x14ac:dyDescent="0.2">
      <c r="A30" s="3" t="s">
        <v>907</v>
      </c>
      <c r="B30">
        <f>IF(t_eb[[#This Row],[Dato]]&lt;&gt;"",WEEKNUM(t_eb[[#This Row],[Dato]]),"")</f>
        <v>9</v>
      </c>
      <c r="C30" s="22">
        <f>Data!AL29</f>
        <v>46445</v>
      </c>
      <c r="D30">
        <f ca="1">IFERROR(IF(t_eb[[#This Row],[Dato]]="","",OFFSET(_xlfn.XLOOKUP(C30,Kuponger!E:E,Kuponger!AI:AI),15,0)),"")</f>
        <v>0</v>
      </c>
      <c r="E30">
        <f ca="1">IF(t_eb[[#This Row],[Dato]]="","",OFFSET(_xlfn.XLOOKUP(C30,Kuponger!E:E,Kuponger!AI:AI),15,1))</f>
        <v>0</v>
      </c>
      <c r="F30">
        <f ca="1">IFERROR(IF(t_eb[[#This Row],[Dato]]="","",OFFSET(_xlfn.XLOOKUP(C30,Kuponger!E:E,Kuponger!AI:AI),15,2)),"")</f>
        <v>0</v>
      </c>
      <c r="G30">
        <f ca="1">IFERROR(IF(OFFSET(_xlfn.XLOOKUP(C30,Kuponger!E:E,Kuponger!AI:AI),0,2)=0,"",OFFSET(_xlfn.XLOOKUP(C30,Kuponger!E:E,Kuponger!AI:AI),1,2))*-1,"")</f>
        <v>0</v>
      </c>
      <c r="H30" t="str">
        <f t="shared" ca="1" si="1"/>
        <v/>
      </c>
      <c r="I30" t="str">
        <f ca="1">IFERROR(IF(t_eb[[#This Row],[tp]]&lt;&gt;"",OFFSET(_xlfn.XLOOKUP(C30,Kuponger!E:E,Kuponger!AI:AI),1,1),""),"")</f>
        <v/>
      </c>
      <c r="J30" s="3">
        <f ca="1">IFERROR(IF(t_eb[[#This Row],[Dato]]="",0,OFFSET(_xlfn.XLOOKUP(t_eb[[#This Row],[Dato]],Kuponger!E:E,Kuponger!AI:AI),1,7)),"")</f>
        <v>0</v>
      </c>
      <c r="K30" s="3">
        <f ca="1">IFERROR(SUM(t_eb[[#This Row],[tp]]),0)</f>
        <v>0</v>
      </c>
      <c r="L30" s="3" t="str">
        <f ca="1">IF(t_eb[[#This Row],[Antall_rette]]=12,1,"")</f>
        <v/>
      </c>
      <c r="M30" s="3" t="str">
        <f ca="1">IF(t_eb[[#This Row],[Antall_rette]]=11,1,"")</f>
        <v/>
      </c>
      <c r="N30" s="3" t="str">
        <f ca="1">IF(t_eb[[#This Row],[Antall_rette]]=10,1,"")</f>
        <v/>
      </c>
      <c r="O30" s="3">
        <f ca="1">IF(t_eb[[#This Row],[12_Antall]]=1,Data!$AJ$3,0)</f>
        <v>0</v>
      </c>
      <c r="P30" s="3">
        <f ca="1">IF(t_eb[[#This Row],[11_Antall]]=1,Data!$AJ$2,0)</f>
        <v>0</v>
      </c>
      <c r="Q30" s="3">
        <f ca="1">IF(t_eb[[#This Row],[10_Antall]]=1,Data!$AJ$1,0)</f>
        <v>0</v>
      </c>
      <c r="R30" s="3" t="str" cm="1">
        <f t="array" ref="R30">IFERROR(IF(_xlfn.XLOOKUP(t_eb[[#This Row],[Dato]]&amp;t_eb[[#This Row],[navn]],Regnskap!$C$10:$C$51&amp;Regnskap!$K$10:$K$51,Regnskap!$H$10:$H$51)&gt;0,Data!$AJ$3,""),"")</f>
        <v/>
      </c>
      <c r="S30" s="3" t="str" cm="1">
        <f t="array" ref="S30">IFERROR(IF(t_eb[[#This Row],[12_pLEV]]="",IF(_xlfn.XLOOKUP(t_eb[[#This Row],[Dato]]&amp;t_eb[[#This Row],[navn]],Regnskap!$C$10:$C$51&amp;Regnskap!$K$10:$K$51,Regnskap!$I$10:$I$51)&gt;0,Data!$AJ$2)),"")</f>
        <v/>
      </c>
      <c r="T30" s="3" t="str" cm="1">
        <f t="array" ref="T30">IFERROR(IF(t_eb[[#This Row],[11_pLEV]]="",IF(_xlfn.XLOOKUP(t_eb[[#This Row],[Dato]]&amp;t_eb[[#This Row],[navn]],Regnskap!$C$10:$C$51&amp;Regnskap!$K$10:$K$51,Regnskap!$J$10:$J$51)&gt;0,Data!$AJ$1),""),"")</f>
        <v/>
      </c>
      <c r="U30" s="3">
        <f>SUM(t_eb[[#This Row],[12_pLEV]:[10_pLEV]])</f>
        <v>0</v>
      </c>
      <c r="V30" s="3" cm="1">
        <f t="array" aca="1" ref="V30" ca="1">SUM(t_eb[[#This Row],[Summert]]+t_eb[[#This Row],[12_poeng]:[10_poeng]]+t_eb[[#This Row],[LEV_poeng]])</f>
        <v>0</v>
      </c>
    </row>
    <row r="31" spans="1:28" x14ac:dyDescent="0.2">
      <c r="A31" s="3" t="s">
        <v>907</v>
      </c>
      <c r="B31">
        <f>IF(t_eb[[#This Row],[Dato]]&lt;&gt;"",WEEKNUM(t_eb[[#This Row],[Dato]]),"")</f>
        <v>10</v>
      </c>
      <c r="C31" s="22">
        <f>Data!AL30</f>
        <v>46452</v>
      </c>
      <c r="D31">
        <f ca="1">IFERROR(IF(t_eb[[#This Row],[Dato]]="","",OFFSET(_xlfn.XLOOKUP(C31,Kuponger!E:E,Kuponger!AI:AI),15,0)),"")</f>
        <v>0</v>
      </c>
      <c r="E31">
        <f ca="1">IF(t_eb[[#This Row],[Dato]]="","",OFFSET(_xlfn.XLOOKUP(C31,Kuponger!E:E,Kuponger!AI:AI),15,1))</f>
        <v>0</v>
      </c>
      <c r="F31">
        <f ca="1">IFERROR(IF(t_eb[[#This Row],[Dato]]="","",OFFSET(_xlfn.XLOOKUP(C31,Kuponger!E:E,Kuponger!AI:AI),15,2)),"")</f>
        <v>0</v>
      </c>
      <c r="G31">
        <f ca="1">IFERROR(IF(OFFSET(_xlfn.XLOOKUP(C31,Kuponger!E:E,Kuponger!AI:AI),0,2)=0,"",OFFSET(_xlfn.XLOOKUP(C31,Kuponger!E:E,Kuponger!AI:AI),1,2))*-1,"")</f>
        <v>0</v>
      </c>
      <c r="H31" t="str">
        <f t="shared" ca="1" si="1"/>
        <v/>
      </c>
      <c r="I31" t="str">
        <f ca="1">IFERROR(IF(t_eb[[#This Row],[tp]]&lt;&gt;"",OFFSET(_xlfn.XLOOKUP(C31,Kuponger!E:E,Kuponger!AI:AI),1,1),""),"")</f>
        <v/>
      </c>
      <c r="J31" s="3">
        <f ca="1">IFERROR(IF(t_eb[[#This Row],[Dato]]="",0,OFFSET(_xlfn.XLOOKUP(t_eb[[#This Row],[Dato]],Kuponger!E:E,Kuponger!AI:AI),1,7)),"")</f>
        <v>0</v>
      </c>
      <c r="K31" s="3">
        <f ca="1">IFERROR(SUM(t_eb[[#This Row],[tp]]),0)</f>
        <v>0</v>
      </c>
      <c r="L31" s="3" t="str">
        <f ca="1">IF(t_eb[[#This Row],[Antall_rette]]=12,1,"")</f>
        <v/>
      </c>
      <c r="M31" s="3" t="str">
        <f ca="1">IF(t_eb[[#This Row],[Antall_rette]]=11,1,"")</f>
        <v/>
      </c>
      <c r="N31" s="3" t="str">
        <f ca="1">IF(t_eb[[#This Row],[Antall_rette]]=10,1,"")</f>
        <v/>
      </c>
      <c r="O31" s="3">
        <f ca="1">IF(t_eb[[#This Row],[12_Antall]]=1,Data!$AJ$3,0)</f>
        <v>0</v>
      </c>
      <c r="P31" s="3">
        <f ca="1">IF(t_eb[[#This Row],[11_Antall]]=1,Data!$AJ$2,0)</f>
        <v>0</v>
      </c>
      <c r="Q31" s="3">
        <f ca="1">IF(t_eb[[#This Row],[10_Antall]]=1,Data!$AJ$1,0)</f>
        <v>0</v>
      </c>
      <c r="R31" s="3" t="str" cm="1">
        <f t="array" ref="R31">IFERROR(IF(_xlfn.XLOOKUP(t_eb[[#This Row],[Dato]]&amp;t_eb[[#This Row],[navn]],Regnskap!$C$10:$C$51&amp;Regnskap!$K$10:$K$51,Regnskap!$H$10:$H$51)&gt;0,Data!$AJ$3,""),"")</f>
        <v/>
      </c>
      <c r="S31" s="3" t="str" cm="1">
        <f t="array" ref="S31">IFERROR(IF(t_eb[[#This Row],[12_pLEV]]="",IF(_xlfn.XLOOKUP(t_eb[[#This Row],[Dato]]&amp;t_eb[[#This Row],[navn]],Regnskap!$C$10:$C$51&amp;Regnskap!$K$10:$K$51,Regnskap!$I$10:$I$51)&gt;0,Data!$AJ$2)),"")</f>
        <v/>
      </c>
      <c r="T31" s="3" t="str" cm="1">
        <f t="array" ref="T31">IFERROR(IF(t_eb[[#This Row],[11_pLEV]]="",IF(_xlfn.XLOOKUP(t_eb[[#This Row],[Dato]]&amp;t_eb[[#This Row],[navn]],Regnskap!$C$10:$C$51&amp;Regnskap!$K$10:$K$51,Regnskap!$J$10:$J$51)&gt;0,Data!$AJ$1),""),"")</f>
        <v/>
      </c>
      <c r="U31" s="3">
        <f>SUM(t_eb[[#This Row],[12_pLEV]:[10_pLEV]])</f>
        <v>0</v>
      </c>
      <c r="V31" s="3" cm="1">
        <f t="array" aca="1" ref="V31" ca="1">SUM(t_eb[[#This Row],[Summert]]+t_eb[[#This Row],[12_poeng]:[10_poeng]]+t_eb[[#This Row],[LEV_poeng]])</f>
        <v>0</v>
      </c>
    </row>
    <row r="32" spans="1:28" x14ac:dyDescent="0.2">
      <c r="A32" s="3" t="s">
        <v>907</v>
      </c>
      <c r="B32">
        <f>IF(t_eb[[#This Row],[Dato]]&lt;&gt;"",WEEKNUM(t_eb[[#This Row],[Dato]]),"")</f>
        <v>11</v>
      </c>
      <c r="C32" s="22">
        <f>Data!AL31</f>
        <v>46459</v>
      </c>
      <c r="D32">
        <f ca="1">IFERROR(IF(t_eb[[#This Row],[Dato]]="","",OFFSET(_xlfn.XLOOKUP(C32,Kuponger!E:E,Kuponger!AI:AI),15,0)),"")</f>
        <v>0</v>
      </c>
      <c r="E32">
        <f ca="1">IF(t_eb[[#This Row],[Dato]]="","",OFFSET(_xlfn.XLOOKUP(C32,Kuponger!E:E,Kuponger!AI:AI),15,1))</f>
        <v>0</v>
      </c>
      <c r="F32">
        <f ca="1">IFERROR(IF(t_eb[[#This Row],[Dato]]="","",OFFSET(_xlfn.XLOOKUP(C32,Kuponger!E:E,Kuponger!AI:AI),15,2)),"")</f>
        <v>0</v>
      </c>
      <c r="G32">
        <f ca="1">IFERROR(IF(OFFSET(_xlfn.XLOOKUP(C32,Kuponger!E:E,Kuponger!AI:AI),0,2)=0,"",OFFSET(_xlfn.XLOOKUP(C32,Kuponger!E:E,Kuponger!AI:AI),1,2))*-1,"")</f>
        <v>0</v>
      </c>
      <c r="H32" t="str">
        <f t="shared" ca="1" si="1"/>
        <v/>
      </c>
      <c r="I32" t="str">
        <f ca="1">IFERROR(IF(t_eb[[#This Row],[tp]]&lt;&gt;"",OFFSET(_xlfn.XLOOKUP(C32,Kuponger!E:E,Kuponger!AI:AI),1,1),""),"")</f>
        <v/>
      </c>
      <c r="J32" s="3">
        <f ca="1">IFERROR(IF(t_eb[[#This Row],[Dato]]="",0,OFFSET(_xlfn.XLOOKUP(t_eb[[#This Row],[Dato]],Kuponger!E:E,Kuponger!AI:AI),1,7)),"")</f>
        <v>0</v>
      </c>
      <c r="K32" s="3">
        <f ca="1">IFERROR(SUM(t_eb[[#This Row],[tp]]),0)</f>
        <v>0</v>
      </c>
      <c r="L32" s="3" t="str">
        <f ca="1">IF(t_eb[[#This Row],[Antall_rette]]=12,1,"")</f>
        <v/>
      </c>
      <c r="M32" s="3" t="str">
        <f ca="1">IF(t_eb[[#This Row],[Antall_rette]]=11,1,"")</f>
        <v/>
      </c>
      <c r="N32" s="3" t="str">
        <f ca="1">IF(t_eb[[#This Row],[Antall_rette]]=10,1,"")</f>
        <v/>
      </c>
      <c r="O32" s="3">
        <f ca="1">IF(t_eb[[#This Row],[12_Antall]]=1,Data!$AJ$3,0)</f>
        <v>0</v>
      </c>
      <c r="P32" s="3">
        <f ca="1">IF(t_eb[[#This Row],[11_Antall]]=1,Data!$AJ$2,0)</f>
        <v>0</v>
      </c>
      <c r="Q32" s="3">
        <f ca="1">IF(t_eb[[#This Row],[10_Antall]]=1,Data!$AJ$1,0)</f>
        <v>0</v>
      </c>
      <c r="R32" s="3" t="str" cm="1">
        <f t="array" ref="R32">IFERROR(IF(_xlfn.XLOOKUP(t_eb[[#This Row],[Dato]]&amp;t_eb[[#This Row],[navn]],Regnskap!$C$10:$C$51&amp;Regnskap!$K$10:$K$51,Regnskap!$H$10:$H$51)&gt;0,Data!$AJ$3,""),"")</f>
        <v/>
      </c>
      <c r="S32" s="3" t="b" cm="1">
        <f t="array" ref="S32">IFERROR(IF(t_eb[[#This Row],[12_pLEV]]="",IF(_xlfn.XLOOKUP(t_eb[[#This Row],[Dato]]&amp;t_eb[[#This Row],[navn]],Regnskap!$C$10:$C$51&amp;Regnskap!$K$10:$K$51,Regnskap!$I$10:$I$51)&gt;0,Data!$AJ$2)),"")</f>
        <v>0</v>
      </c>
      <c r="T32" s="3" t="str" cm="1">
        <f t="array" ref="T32">IFERROR(IF(t_eb[[#This Row],[11_pLEV]]="",IF(_xlfn.XLOOKUP(t_eb[[#This Row],[Dato]]&amp;t_eb[[#This Row],[navn]],Regnskap!$C$10:$C$51&amp;Regnskap!$K$10:$K$51,Regnskap!$J$10:$J$51)&gt;0,Data!$AJ$1),""),"")</f>
        <v/>
      </c>
      <c r="U32" s="3">
        <f>SUM(t_eb[[#This Row],[12_pLEV]:[10_pLEV]])</f>
        <v>0</v>
      </c>
      <c r="V32" s="3" cm="1">
        <f t="array" aca="1" ref="V32" ca="1">SUM(t_eb[[#This Row],[Summert]]+t_eb[[#This Row],[12_poeng]:[10_poeng]]+t_eb[[#This Row],[LEV_poeng]])</f>
        <v>0</v>
      </c>
    </row>
    <row r="33" spans="1:22" x14ac:dyDescent="0.2">
      <c r="A33" s="3" t="s">
        <v>907</v>
      </c>
      <c r="B33">
        <f>IF(t_eb[[#This Row],[Dato]]&lt;&gt;"",WEEKNUM(t_eb[[#This Row],[Dato]]),"")</f>
        <v>12</v>
      </c>
      <c r="C33" s="22">
        <f>Data!AL32</f>
        <v>46466</v>
      </c>
      <c r="D33">
        <f ca="1">IFERROR(IF(t_eb[[#This Row],[Dato]]="","",OFFSET(_xlfn.XLOOKUP(C33,Kuponger!E:E,Kuponger!AI:AI),15,0)),"")</f>
        <v>0</v>
      </c>
      <c r="E33">
        <f ca="1">IF(t_eb[[#This Row],[Dato]]="","",OFFSET(_xlfn.XLOOKUP(C33,Kuponger!E:E,Kuponger!AI:AI),15,1))</f>
        <v>0</v>
      </c>
      <c r="F33">
        <f ca="1">IFERROR(IF(t_eb[[#This Row],[Dato]]="","",OFFSET(_xlfn.XLOOKUP(C33,Kuponger!E:E,Kuponger!AI:AI),15,2)),"")</f>
        <v>0</v>
      </c>
      <c r="G33">
        <f ca="1">IFERROR(IF(OFFSET(_xlfn.XLOOKUP(C33,Kuponger!E:E,Kuponger!AI:AI),0,2)=0,"",OFFSET(_xlfn.XLOOKUP(C33,Kuponger!E:E,Kuponger!AI:AI),1,2))*-1,"")</f>
        <v>0</v>
      </c>
      <c r="H33" t="str">
        <f t="shared" ca="1" si="1"/>
        <v/>
      </c>
      <c r="I33" t="str">
        <f ca="1">IFERROR(IF(t_eb[[#This Row],[tp]]&lt;&gt;"",OFFSET(_xlfn.XLOOKUP(C33,Kuponger!E:E,Kuponger!AI:AI),1,1),""),"")</f>
        <v/>
      </c>
      <c r="J33" s="3">
        <f ca="1">IFERROR(IF(t_eb[[#This Row],[Dato]]="",0,OFFSET(_xlfn.XLOOKUP(t_eb[[#This Row],[Dato]],Kuponger!E:E,Kuponger!AI:AI),1,7)),"")</f>
        <v>0</v>
      </c>
      <c r="K33" s="3">
        <f ca="1">IFERROR(SUM(t_eb[[#This Row],[tp]]),0)</f>
        <v>0</v>
      </c>
      <c r="L33" s="3" t="str">
        <f ca="1">IF(t_eb[[#This Row],[Antall_rette]]=12,1,"")</f>
        <v/>
      </c>
      <c r="M33" s="3" t="str">
        <f ca="1">IF(t_eb[[#This Row],[Antall_rette]]=11,1,"")</f>
        <v/>
      </c>
      <c r="N33" s="3" t="str">
        <f ca="1">IF(t_eb[[#This Row],[Antall_rette]]=10,1,"")</f>
        <v/>
      </c>
      <c r="O33" s="3">
        <f ca="1">IF(t_eb[[#This Row],[12_Antall]]=1,Data!$AJ$3,0)</f>
        <v>0</v>
      </c>
      <c r="P33" s="3">
        <f ca="1">IF(t_eb[[#This Row],[11_Antall]]=1,Data!$AJ$2,0)</f>
        <v>0</v>
      </c>
      <c r="Q33" s="3">
        <f ca="1">IF(t_eb[[#This Row],[10_Antall]]=1,Data!$AJ$1,0)</f>
        <v>0</v>
      </c>
      <c r="R33" s="3" t="str" cm="1">
        <f t="array" ref="R33">IFERROR(IF(_xlfn.XLOOKUP(t_eb[[#This Row],[Dato]]&amp;t_eb[[#This Row],[navn]],Regnskap!$C$10:$C$51&amp;Regnskap!$K$10:$K$51,Regnskap!$H$10:$H$51)&gt;0,Data!$AJ$3,""),"")</f>
        <v/>
      </c>
      <c r="S33" s="3" t="str" cm="1">
        <f t="array" ref="S33">IFERROR(IF(t_eb[[#This Row],[12_pLEV]]="",IF(_xlfn.XLOOKUP(t_eb[[#This Row],[Dato]]&amp;t_eb[[#This Row],[navn]],Regnskap!$C$10:$C$51&amp;Regnskap!$K$10:$K$51,Regnskap!$I$10:$I$51)&gt;0,Data!$AJ$2)),"")</f>
        <v/>
      </c>
      <c r="T33" s="3" t="str" cm="1">
        <f t="array" ref="T33">IFERROR(IF(t_eb[[#This Row],[11_pLEV]]="",IF(_xlfn.XLOOKUP(t_eb[[#This Row],[Dato]]&amp;t_eb[[#This Row],[navn]],Regnskap!$C$10:$C$51&amp;Regnskap!$K$10:$K$51,Regnskap!$J$10:$J$51)&gt;0,Data!$AJ$1),""),"")</f>
        <v/>
      </c>
      <c r="U33" s="3">
        <f>SUM(t_eb[[#This Row],[12_pLEV]:[10_pLEV]])</f>
        <v>0</v>
      </c>
      <c r="V33" s="3" cm="1">
        <f t="array" aca="1" ref="V33" ca="1">SUM(t_eb[[#This Row],[Summert]]+t_eb[[#This Row],[12_poeng]:[10_poeng]]+t_eb[[#This Row],[LEV_poeng]])</f>
        <v>0</v>
      </c>
    </row>
    <row r="34" spans="1:22" x14ac:dyDescent="0.2">
      <c r="A34" s="3" t="s">
        <v>907</v>
      </c>
      <c r="B34">
        <f>IF(t_eb[[#This Row],[Dato]]&lt;&gt;"",WEEKNUM(t_eb[[#This Row],[Dato]]),"")</f>
        <v>13</v>
      </c>
      <c r="C34" s="22">
        <f>Data!AL33</f>
        <v>46473</v>
      </c>
      <c r="D34">
        <f ca="1">IFERROR(IF(t_eb[[#This Row],[Dato]]="","",OFFSET(_xlfn.XLOOKUP(C34,Kuponger!E:E,Kuponger!Q:Q),15,0)),"")</f>
        <v>0</v>
      </c>
      <c r="E34">
        <f ca="1">IFERROR(OFFSET(_xlfn.XLOOKUP(C34,Kuponger!E:E,Kuponger!Q:Q),15,1),"")</f>
        <v>0</v>
      </c>
      <c r="F34">
        <f ca="1">IFERROR(IF(t_eb[[#This Row],[Dato]]="","",OFFSET(_xlfn.XLOOKUP(C34,Kuponger!E:E,Kuponger!Q:Q),15,2)),"")</f>
        <v>0</v>
      </c>
      <c r="G34">
        <f ca="1">IFERROR(IF(OFFSET(_xlfn.XLOOKUP(C34,Kuponger!E:E,Kuponger!Q:Q),0,2)=0,"",OFFSET(_xlfn.XLOOKUP(C34,Kuponger!E:E,Kuponger!Q:Q),1,2))*-1,"")</f>
        <v>0</v>
      </c>
      <c r="H34" t="str">
        <f ca="1">IF(SUMIF(D34:G34,"&lt;&gt;""")=0,"",SUMIF(D34:G34,"&lt;&gt;"""))</f>
        <v/>
      </c>
      <c r="I34" t="str">
        <f ca="1">IFERROR(IF(t_eb[[#This Row],[tp]]&lt;&gt;"",OFFSET(_xlfn.XLOOKUP(C34,Kuponger!E:E,Kuponger!Q:Q),1,1),""),"")</f>
        <v/>
      </c>
      <c r="J34">
        <f ca="1">IFERROR(IF(t_eb[[#This Row],[Dato]]="",0,OFFSET(_xlfn.XLOOKUP(t_eb[[#This Row],[Dato]],Kuponger!E:E,Kuponger!Q:Q),1,7)),"")</f>
        <v>0</v>
      </c>
      <c r="K34">
        <f ca="1">IFERROR(SUM(t_eb[[#This Row],[tp]]),0)</f>
        <v>0</v>
      </c>
      <c r="L34" s="3" t="str">
        <f ca="1">IF(t_eb[[#This Row],[Antall_rette]]=12,1,"")</f>
        <v/>
      </c>
      <c r="M34" s="15" t="str">
        <f ca="1">IF(t_eb[[#This Row],[Antall_rette]]=11,1,"")</f>
        <v/>
      </c>
      <c r="N34" s="3" t="str">
        <f ca="1">IF(t_eb[[#This Row],[Antall_rette]]=10,1,"")</f>
        <v/>
      </c>
      <c r="O34" s="3">
        <f ca="1">IF(t_eb[[#This Row],[12_Antall]]=1,Data!$AJ$3,0)</f>
        <v>0</v>
      </c>
      <c r="P34" s="3">
        <f ca="1">IF(t_eb[[#This Row],[11_Antall]]=1,Data!$AJ$2,0)</f>
        <v>0</v>
      </c>
      <c r="Q34" s="3">
        <f ca="1">IF(t_eb[[#This Row],[10_Antall]]=1,Data!$AJ$1,0)</f>
        <v>0</v>
      </c>
      <c r="R34" t="str" cm="1">
        <f t="array" ref="R34">IFERROR(IF(_xlfn.XLOOKUP(t_ahh[[#This Row],[Dato]]&amp;t_ahh[[#This Row],[navn]],Regnskap!$C$10:$C$51&amp;Regnskap!$K$10:$K$51,Regnskap!$H$10:$H$51)&gt;0,Data!$AJ$3,""),"")</f>
        <v/>
      </c>
      <c r="S34" t="str" cm="1">
        <f t="array" ref="S34">IFERROR(IF(t_ahh[[#This Row],[12_pLEV]]="",IF(_xlfn.XLOOKUP(t_ahh[[#This Row],[Dato]]&amp;t_ahh[[#This Row],[navn]],Regnskap!$C$10:$C$51&amp;Regnskap!$K$10:$K$51,Regnskap!$I$10:$I$51)&gt;0,Data!$AJ$2)),"")</f>
        <v/>
      </c>
      <c r="T34" s="3" t="str" cm="1">
        <f t="array" ref="T34">IFERROR(IF(t_ahh[[#This Row],[11_pLEV]]="",IF(_xlfn.XLOOKUP(t_ahh[[#This Row],[Dato]]&amp;t_ahh[[#This Row],[navn]],Regnskap!$C$10:$C$51&amp;Regnskap!$K$10:$K$51,Regnskap!$J$10:$J$51)&gt;0,Data!$AJ$1),""),"")</f>
        <v/>
      </c>
      <c r="V34" s="3" cm="1">
        <f t="array" aca="1" ref="V34" ca="1">SUM(t_eb[[#This Row],[Summert]]+t_eb[[#This Row],[12_poeng]:[10_poeng]]+t_eb[[#This Row],[LEV_poeng]])</f>
        <v>0</v>
      </c>
    </row>
    <row r="35" spans="1:22" x14ac:dyDescent="0.2">
      <c r="M35" s="4"/>
      <c r="N35" s="678"/>
    </row>
    <row r="36" spans="1:22" x14ac:dyDescent="0.2">
      <c r="M36" s="4"/>
      <c r="N36" s="677"/>
      <c r="V36" s="3"/>
    </row>
    <row r="37" spans="1:22" x14ac:dyDescent="0.2">
      <c r="M37" s="4"/>
      <c r="N37" s="678"/>
    </row>
    <row r="39" spans="1:22" x14ac:dyDescent="0.2">
      <c r="M39" s="4"/>
      <c r="N39" s="679"/>
    </row>
    <row r="68" spans="27:27" x14ac:dyDescent="0.2">
      <c r="AA68" s="22"/>
    </row>
  </sheetData>
  <sheetProtection selectLockedCells="1" selectUnlockedCells="1"/>
  <phoneticPr fontId="6" type="noConversion"/>
  <pageMargins left="0.7" right="0.7" top="0.75" bottom="0.75" header="0.3" footer="0.3"/>
  <pageSetup paperSize="9"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6" ht="15.75" thickBot="1" x14ac:dyDescent="0.3">
      <c r="A1" s="23" t="s">
        <v>954</v>
      </c>
      <c r="B1" s="23" t="s">
        <v>955</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6"/>
      <c r="AD1" s="23"/>
      <c r="AF1" s="468"/>
      <c r="AG1" s="468"/>
      <c r="AH1" s="468"/>
      <c r="AI1" s="468"/>
      <c r="AJ1" s="468"/>
    </row>
    <row r="2" spans="1:36" ht="13.5" thickTop="1" x14ac:dyDescent="0.2">
      <c r="A2" s="3" t="s">
        <v>956</v>
      </c>
      <c r="B2">
        <f>IF(t_kaf[[#This Row],[Dato]]&lt;&gt;"",WEEKNUM(t_kaf[[#This Row],[Dato]]),"")</f>
        <v>33</v>
      </c>
      <c r="C2" s="22">
        <f>Data!AL1</f>
        <v>46249</v>
      </c>
      <c r="D2">
        <f ca="1">IFERROR(IF(t_kaf[[#This Row],[Dato]]="","",OFFSET(_xlfn.XLOOKUP(C2,Kuponger!E:E,Kuponger!AR:AR),15,0)),"")</f>
        <v>0</v>
      </c>
      <c r="E2">
        <f ca="1">IFERROR(OFFSET(_xlfn.XLOOKUP(C2,Kuponger!E:E,Kuponger!AR:AR),15,1),"")</f>
        <v>0</v>
      </c>
      <c r="F2">
        <f ca="1">IFERROR(IF(t_kaf[[#This Row],[Dato]]="","",OFFSET(_xlfn.XLOOKUP(C2,Kuponger!E:E,Kuponger!AR:AR),15,2)),"")</f>
        <v>0</v>
      </c>
      <c r="G2">
        <f ca="1">IFERROR(IF(OFFSET(_xlfn.XLOOKUP(C2,Kuponger!E:E,Kuponger!AR:AR),0,2)=0,"",OFFSET(_xlfn.XLOOKUP(C2,Kuponger!E:E,Kuponger!AR:AR),1,2))*-1,"")</f>
        <v>0</v>
      </c>
      <c r="H2" t="str">
        <f t="shared" ref="H2" ca="1" si="0">IF(SUMIF(D2:G2,"&lt;&gt;""")=0,"",SUMIF(D2:G2,"&lt;&gt;"""))</f>
        <v/>
      </c>
      <c r="I2" t="str">
        <f ca="1">IFERROR(IF(t_kaf[[#This Row],[tp]]&lt;&gt;"",OFFSET(_xlfn.XLOOKUP(C2,Kuponger!E:E,Kuponger!AR:AR),1,1),""),"")</f>
        <v/>
      </c>
      <c r="J2" s="3">
        <f ca="1">IFERROR(IF(t_kaf[[#This Row],[Dato]]="",0,OFFSET(_xlfn.XLOOKUP(t_kaf[[#This Row],[Dato]],Kuponger!E:E,Kuponger!AR:AR),1,7)),"")</f>
        <v>0</v>
      </c>
      <c r="K2" s="3">
        <f ca="1">IFERROR(SUM(t_kaf[[#This Row],[tp]]),0)</f>
        <v>0</v>
      </c>
      <c r="L2" s="3" t="str">
        <f ca="1">IF(t_rb[[#This Row],[Antall_rette]]=12,1,"")</f>
        <v/>
      </c>
      <c r="M2" s="3" t="str">
        <f ca="1">IF(t_rb[[#This Row],[Antall_rette]]=11,1,"")</f>
        <v/>
      </c>
      <c r="N2" s="3" t="str">
        <f ca="1">IF(t_rb[[#This Row],[Antall_rette]]=10,1,"")</f>
        <v/>
      </c>
      <c r="O2" s="3">
        <f ca="1">IF(t_kaf[[#This Row],[12_Antall]]=1,Data!$AJ$3,0)</f>
        <v>0</v>
      </c>
      <c r="P2" s="3">
        <f ca="1">IF(t_kaf[[#This Row],[11_Antall]]=1,Data!$AJ$2,0)</f>
        <v>0</v>
      </c>
      <c r="Q2" s="3">
        <f ca="1">IF(t_kaf[[#This Row],[10_Antall]]=1,Data!$AJ$1,0)</f>
        <v>0</v>
      </c>
      <c r="R2" s="3" t="str" cm="1">
        <f t="array" ref="R2">IFERROR(IF(_xlfn.XLOOKUP(t_kaf[[#This Row],[Dato]]&amp;t_kaf[[#This Row],[navn]],Regnskap!$C$10:$C$51&amp;Regnskap!$K$10:$K$51,Regnskap!$H$10:$H$51)&gt;0,Data!$AJ$3,""),"")</f>
        <v/>
      </c>
      <c r="S2" s="3" t="str" cm="1">
        <f t="array" ref="S2">IFERROR(IF(t_kaf[[#This Row],[12_pLEV]]="",IF(_xlfn.XLOOKUP(t_kaf[[#This Row],[Dato]]&amp;t_kaf[[#This Row],[navn]],Regnskap!$C$10:$C$51&amp;Regnskap!$K$10:$K$51,Regnskap!$I$10:$I$51)&gt;0,Data!$AJ$2)),"")</f>
        <v/>
      </c>
      <c r="T2" s="3" t="str" cm="1">
        <f t="array" ref="T2">IFERROR(IF(t_kaf[[#This Row],[11_pLEV]]="",IF(_xlfn.XLOOKUP(t_kaf[[#This Row],[Dato]]&amp;t_kaf[[#This Row],[navn]],Regnskap!$C$10:$C$51&amp;Regnskap!$K$10:$K$51,Regnskap!$J$10:$J$51)&gt;0,Data!$AJ$1),""),"")</f>
        <v/>
      </c>
      <c r="U2">
        <f ca="1">SUM(t_kaf[[#This Row],[12_poeng]:[10_pLEV]])</f>
        <v>0</v>
      </c>
      <c r="V2" s="3">
        <f ca="1">SUM(t_kaf[[#This Row],[Summert]]+t_kaf[[#This Row],[LEV_poeng]])</f>
        <v>0</v>
      </c>
      <c r="AF2" s="3"/>
      <c r="AG2" s="3"/>
      <c r="AH2" s="3"/>
      <c r="AI2" s="3"/>
      <c r="AJ2" s="3"/>
    </row>
    <row r="3" spans="1:36" x14ac:dyDescent="0.2">
      <c r="A3" s="3" t="s">
        <v>956</v>
      </c>
      <c r="B3">
        <f>IF(t_kaf[[#This Row],[Dato]]&lt;&gt;"",WEEKNUM(t_kaf[[#This Row],[Dato]]),"")</f>
        <v>34</v>
      </c>
      <c r="C3" s="22">
        <f>Data!AL2</f>
        <v>46256</v>
      </c>
      <c r="D3">
        <f ca="1">IFERROR(IF(t_kaf[[#This Row],[Dato]]="","",OFFSET(_xlfn.XLOOKUP(C3,Kuponger!E:E,Kuponger!AR:AR),15,0)),"")</f>
        <v>780</v>
      </c>
      <c r="E3">
        <f ca="1">IFERROR(OFFSET(_xlfn.XLOOKUP(C3,Kuponger!E:E,Kuponger!AR:AR),15,1),"")</f>
        <v>0</v>
      </c>
      <c r="F3">
        <f ca="1">IFERROR(IF(t_kaf[[#This Row],[Dato]]="","",OFFSET(_xlfn.XLOOKUP(C3,Kuponger!E:E,Kuponger!AR:AR),15,2)),"")</f>
        <v>0</v>
      </c>
      <c r="G3">
        <f ca="1">IFERROR(IF(OFFSET(_xlfn.XLOOKUP(C3,Kuponger!E:E,Kuponger!AR:AR),0,2)=0,"",OFFSET(_xlfn.XLOOKUP(C3,Kuponger!E:E,Kuponger!AR:AR),1,2))*-1,"")</f>
        <v>0</v>
      </c>
      <c r="H3">
        <f t="shared" ref="H3:H33" ca="1" si="1">IF(SUMIF(D3:G3,"&lt;&gt;""")=0,"",SUMIF(D3:G3,"&lt;&gt;"""))</f>
        <v>780</v>
      </c>
      <c r="I3">
        <f ca="1">IFERROR(IF(t_kaf[[#This Row],[tp]]&lt;&gt;"",OFFSET(_xlfn.XLOOKUP(C3,Kuponger!E:E,Kuponger!AR:AR),1,1),""),"")</f>
        <v>1</v>
      </c>
      <c r="J3" s="3">
        <f ca="1">IFERROR(IF(t_kaf[[#This Row],[Dato]]="",0,OFFSET(_xlfn.XLOOKUP(t_kaf[[#This Row],[Dato]],Kuponger!E:E,Kuponger!AR:AR),1,7)),"")</f>
        <v>12</v>
      </c>
      <c r="K3" s="3">
        <f ca="1">IFERROR(SUM(t_kaf[[#This Row],[tp]]),0)</f>
        <v>780</v>
      </c>
      <c r="L3" s="3">
        <f ca="1">IF(t_rb[[#This Row],[Antall_rette]]=12,1,"")</f>
        <v>1</v>
      </c>
      <c r="M3" s="3" t="str">
        <f ca="1">IF(t_rb[[#This Row],[Antall_rette]]=11,1,"")</f>
        <v/>
      </c>
      <c r="N3" s="3" t="str">
        <f ca="1">IF(t_rb[[#This Row],[Antall_rette]]=10,1,"")</f>
        <v/>
      </c>
      <c r="O3" s="3">
        <f ca="1">IF(t_kaf[[#This Row],[12_Antall]]=1,Data!$AJ$3,0)</f>
        <v>1070</v>
      </c>
      <c r="P3" s="3">
        <f ca="1">IF(t_kaf[[#This Row],[11_Antall]]=1,Data!$AJ$2,0)</f>
        <v>0</v>
      </c>
      <c r="Q3" s="3">
        <f ca="1">IF(t_kaf[[#This Row],[10_Antall]]=1,Data!$AJ$1,0)</f>
        <v>0</v>
      </c>
      <c r="R3" s="3" t="str" cm="1">
        <f t="array" ref="R3">IFERROR(IF(_xlfn.XLOOKUP(t_kaf[[#This Row],[Dato]]&amp;t_kaf[[#This Row],[navn]],Regnskap!$C$10:$C$51&amp;Regnskap!$K$10:$K$51,Regnskap!$H$10:$H$51)&gt;0,Data!$AJ$3,""),"")</f>
        <v/>
      </c>
      <c r="S3" s="3" t="str" cm="1">
        <f t="array" ref="S3">IFERROR(IF(t_kaf[[#This Row],[12_pLEV]]="",IF(_xlfn.XLOOKUP(t_kaf[[#This Row],[Dato]]&amp;t_kaf[[#This Row],[navn]],Regnskap!$C$10:$C$51&amp;Regnskap!$K$10:$K$51,Regnskap!$I$10:$I$51)&gt;0,Data!$AJ$2)),"")</f>
        <v/>
      </c>
      <c r="T3" s="3" t="str" cm="1">
        <f t="array" ref="T3">IFERROR(IF(t_kaf[[#This Row],[11_pLEV]]="",IF(_xlfn.XLOOKUP(t_kaf[[#This Row],[Dato]]&amp;t_kaf[[#This Row],[navn]],Regnskap!$C$10:$C$51&amp;Regnskap!$K$10:$K$51,Regnskap!$J$10:$J$51)&gt;0,Data!$AJ$1),""),"")</f>
        <v/>
      </c>
      <c r="U3">
        <f ca="1">SUM(t_kaf[[#This Row],[12_poeng]:[10_pLEV]])</f>
        <v>1070</v>
      </c>
      <c r="V3" s="3">
        <f ca="1">SUM(t_kaf[[#This Row],[Summert]]+t_kaf[[#This Row],[LEV_poeng]])</f>
        <v>1850</v>
      </c>
    </row>
    <row r="4" spans="1:36" x14ac:dyDescent="0.2">
      <c r="A4" s="3" t="s">
        <v>956</v>
      </c>
      <c r="B4">
        <f>IF(t_kaf[[#This Row],[Dato]]&lt;&gt;"",WEEKNUM(t_kaf[[#This Row],[Dato]]),"")</f>
        <v>35</v>
      </c>
      <c r="C4" s="22">
        <f>Data!AL3</f>
        <v>46263</v>
      </c>
      <c r="D4">
        <f ca="1">IFERROR(IF(t_kaf[[#This Row],[Dato]]="","",OFFSET(_xlfn.XLOOKUP(C4,Kuponger!E:E,Kuponger!AR:AR),15,0)),"")</f>
        <v>780</v>
      </c>
      <c r="E4">
        <f ca="1">IFERROR(OFFSET(_xlfn.XLOOKUP(C4,Kuponger!E:E,Kuponger!AR:AR),15,1),"")</f>
        <v>0</v>
      </c>
      <c r="F4">
        <f ca="1">IFERROR(IF(t_kaf[[#This Row],[Dato]]="","",OFFSET(_xlfn.XLOOKUP(C4,Kuponger!E:E,Kuponger!AR:AR),15,2)),"")</f>
        <v>0</v>
      </c>
      <c r="G4">
        <f ca="1">IFERROR(IF(OFFSET(_xlfn.XLOOKUP(C4,Kuponger!E:E,Kuponger!AR:AR),0,2)=0,"",OFFSET(_xlfn.XLOOKUP(C4,Kuponger!E:E,Kuponger!AR:AR),1,2))*-1,"")</f>
        <v>0</v>
      </c>
      <c r="H4">
        <f t="shared" ca="1" si="1"/>
        <v>780</v>
      </c>
      <c r="I4">
        <f ca="1">IFERROR(IF(t_kaf[[#This Row],[tp]]&lt;&gt;"",OFFSET(_xlfn.XLOOKUP(C4,Kuponger!E:E,Kuponger!AR:AR),1,1),""),"")</f>
        <v>1</v>
      </c>
      <c r="J4" s="3">
        <f ca="1">IFERROR(IF(t_kaf[[#This Row],[Dato]]="",0,OFFSET(_xlfn.XLOOKUP(t_kaf[[#This Row],[Dato]],Kuponger!E:E,Kuponger!AR:AR),1,7)),"")</f>
        <v>12</v>
      </c>
      <c r="K4" s="3">
        <f ca="1">IFERROR(SUM(t_kaf[[#This Row],[tp]]),0)</f>
        <v>780</v>
      </c>
      <c r="L4" s="3">
        <f ca="1">IF(t_rb[[#This Row],[Antall_rette]]=12,1,"")</f>
        <v>1</v>
      </c>
      <c r="M4" s="3" t="str">
        <f ca="1">IF(t_rb[[#This Row],[Antall_rette]]=11,1,"")</f>
        <v/>
      </c>
      <c r="N4" s="3" t="str">
        <f ca="1">IF(t_rb[[#This Row],[Antall_rette]]=10,1,"")</f>
        <v/>
      </c>
      <c r="O4" s="3">
        <f ca="1">IF(t_kaf[[#This Row],[12_Antall]]=1,Data!$AJ$3,0)</f>
        <v>1070</v>
      </c>
      <c r="P4" s="3">
        <f ca="1">IF(t_kaf[[#This Row],[11_Antall]]=1,Data!$AJ$2,0)</f>
        <v>0</v>
      </c>
      <c r="Q4" s="3">
        <f ca="1">IF(t_kaf[[#This Row],[10_Antall]]=1,Data!$AJ$1,0)</f>
        <v>0</v>
      </c>
      <c r="R4" s="3" t="str" cm="1">
        <f t="array" ref="R4">IFERROR(IF(_xlfn.XLOOKUP(t_kaf[[#This Row],[Dato]]&amp;t_kaf[[#This Row],[navn]],Regnskap!$C$10:$C$51&amp;Regnskap!$K$10:$K$51,Regnskap!$H$10:$H$51)&gt;0,Data!$AJ$3,""),"")</f>
        <v/>
      </c>
      <c r="S4" s="3" t="str" cm="1">
        <f t="array" ref="S4">IFERROR(IF(t_kaf[[#This Row],[12_pLEV]]="",IF(_xlfn.XLOOKUP(t_kaf[[#This Row],[Dato]]&amp;t_kaf[[#This Row],[navn]],Regnskap!$C$10:$C$51&amp;Regnskap!$K$10:$K$51,Regnskap!$I$10:$I$51)&gt;0,Data!$AJ$2)),"")</f>
        <v/>
      </c>
      <c r="T4" s="3" t="str" cm="1">
        <f t="array" ref="T4">IFERROR(IF(t_kaf[[#This Row],[11_pLEV]]="",IF(_xlfn.XLOOKUP(t_kaf[[#This Row],[Dato]]&amp;t_kaf[[#This Row],[navn]],Regnskap!$C$10:$C$51&amp;Regnskap!$K$10:$K$51,Regnskap!$J$10:$J$51)&gt;0,Data!$AJ$1),""),"")</f>
        <v/>
      </c>
      <c r="U4">
        <f ca="1">SUM(t_kaf[[#This Row],[12_poeng]:[10_pLEV]])</f>
        <v>1070</v>
      </c>
      <c r="V4" s="3">
        <f ca="1">SUM(t_kaf[[#This Row],[Summert]]+t_kaf[[#This Row],[LEV_poeng]])</f>
        <v>1850</v>
      </c>
    </row>
    <row r="5" spans="1:36" x14ac:dyDescent="0.2">
      <c r="A5" s="3" t="s">
        <v>956</v>
      </c>
      <c r="B5">
        <f>IF(t_kaf[[#This Row],[Dato]]&lt;&gt;"",WEEKNUM(t_kaf[[#This Row],[Dato]]),"")</f>
        <v>36</v>
      </c>
      <c r="C5" s="22">
        <f>Data!AL4</f>
        <v>46270</v>
      </c>
      <c r="D5">
        <f ca="1">IFERROR(IF(t_kaf[[#This Row],[Dato]]="","",OFFSET(_xlfn.XLOOKUP(C5,Kuponger!E:E,Kuponger!AR:AR),15,0)),"")</f>
        <v>780</v>
      </c>
      <c r="E5">
        <f ca="1">IFERROR(OFFSET(_xlfn.XLOOKUP(C5,Kuponger!E:E,Kuponger!AR:AR),15,1),"")</f>
        <v>0</v>
      </c>
      <c r="F5">
        <f ca="1">IFERROR(IF(t_kaf[[#This Row],[Dato]]="","",OFFSET(_xlfn.XLOOKUP(C5,Kuponger!E:E,Kuponger!AR:AR),15,2)),"")</f>
        <v>0</v>
      </c>
      <c r="G5">
        <f ca="1">IFERROR(IF(OFFSET(_xlfn.XLOOKUP(C5,Kuponger!E:E,Kuponger!AR:AR),0,2)=0,"",OFFSET(_xlfn.XLOOKUP(C5,Kuponger!E:E,Kuponger!AR:AR),1,2))*-1,"")</f>
        <v>0</v>
      </c>
      <c r="H5">
        <f t="shared" ca="1" si="1"/>
        <v>780</v>
      </c>
      <c r="I5">
        <f ca="1">IFERROR(IF(t_kaf[[#This Row],[tp]]&lt;&gt;"",OFFSET(_xlfn.XLOOKUP(C5,Kuponger!E:E,Kuponger!AR:AR),1,1),""),"")</f>
        <v>1</v>
      </c>
      <c r="J5" s="3">
        <f ca="1">IFERROR(IF(t_kaf[[#This Row],[Dato]]="",0,OFFSET(_xlfn.XLOOKUP(t_kaf[[#This Row],[Dato]],Kuponger!E:E,Kuponger!AR:AR),1,7)),"")</f>
        <v>12</v>
      </c>
      <c r="K5" s="3">
        <f ca="1">IFERROR(SUM(t_kaf[[#This Row],[tp]]),0)</f>
        <v>780</v>
      </c>
      <c r="L5" s="3">
        <f ca="1">IF(t_rb[[#This Row],[Antall_rette]]=12,1,"")</f>
        <v>1</v>
      </c>
      <c r="M5" s="3" t="str">
        <f ca="1">IF(t_rb[[#This Row],[Antall_rette]]=11,1,"")</f>
        <v/>
      </c>
      <c r="N5" s="3" t="str">
        <f ca="1">IF(t_rb[[#This Row],[Antall_rette]]=10,1,"")</f>
        <v/>
      </c>
      <c r="O5" s="3">
        <f ca="1">IF(t_kaf[[#This Row],[12_Antall]]=1,Data!$AJ$3,0)</f>
        <v>1070</v>
      </c>
      <c r="P5" s="3">
        <f ca="1">IF(t_kaf[[#This Row],[11_Antall]]=1,Data!$AJ$2,0)</f>
        <v>0</v>
      </c>
      <c r="Q5" s="3">
        <f ca="1">IF(t_kaf[[#This Row],[10_Antall]]=1,Data!$AJ$1,0)</f>
        <v>0</v>
      </c>
      <c r="R5" s="3" t="str" cm="1">
        <f t="array" ref="R5">IFERROR(IF(_xlfn.XLOOKUP(t_kaf[[#This Row],[Dato]]&amp;t_kaf[[#This Row],[navn]],Regnskap!$C$10:$C$51&amp;Regnskap!$K$10:$K$51,Regnskap!$H$10:$H$51)&gt;0,Data!$AJ$3,""),"")</f>
        <v/>
      </c>
      <c r="S5" s="3" t="str" cm="1">
        <f t="array" ref="S5">IFERROR(IF(t_kaf[[#This Row],[12_pLEV]]="",IF(_xlfn.XLOOKUP(t_kaf[[#This Row],[Dato]]&amp;t_kaf[[#This Row],[navn]],Regnskap!$C$10:$C$51&amp;Regnskap!$K$10:$K$51,Regnskap!$I$10:$I$51)&gt;0,Data!$AJ$2)),"")</f>
        <v/>
      </c>
      <c r="T5" s="3" t="str" cm="1">
        <f t="array" ref="T5">IFERROR(IF(t_kaf[[#This Row],[11_pLEV]]="",IF(_xlfn.XLOOKUP(t_kaf[[#This Row],[Dato]]&amp;t_kaf[[#This Row],[navn]],Regnskap!$C$10:$C$51&amp;Regnskap!$K$10:$K$51,Regnskap!$J$10:$J$51)&gt;0,Data!$AJ$1),""),"")</f>
        <v/>
      </c>
      <c r="U5">
        <f ca="1">SUM(t_kaf[[#This Row],[12_poeng]:[10_pLEV]])</f>
        <v>1070</v>
      </c>
      <c r="V5" s="3">
        <f ca="1">SUM(t_kaf[[#This Row],[Summert]]+t_kaf[[#This Row],[LEV_poeng]])</f>
        <v>1850</v>
      </c>
    </row>
    <row r="6" spans="1:36" x14ac:dyDescent="0.2">
      <c r="A6" s="3" t="s">
        <v>956</v>
      </c>
      <c r="B6">
        <f>IF(t_kaf[[#This Row],[Dato]]&lt;&gt;"",WEEKNUM(t_kaf[[#This Row],[Dato]]),"")</f>
        <v>37</v>
      </c>
      <c r="C6" s="22">
        <f>Data!AL5</f>
        <v>46277</v>
      </c>
      <c r="D6">
        <f ca="1">IFERROR(IF(t_kaf[[#This Row],[Dato]]="","",OFFSET(_xlfn.XLOOKUP(C6,Kuponger!E:E,Kuponger!AR:AR),15,0)),"")</f>
        <v>0</v>
      </c>
      <c r="E6">
        <f ca="1">IFERROR(OFFSET(_xlfn.XLOOKUP(C6,Kuponger!E:E,Kuponger!AR:AR),15,1),"")</f>
        <v>0</v>
      </c>
      <c r="F6">
        <f ca="1">IFERROR(IF(t_kaf[[#This Row],[Dato]]="","",OFFSET(_xlfn.XLOOKUP(C6,Kuponger!E:E,Kuponger!AR:AR),15,2)),"")</f>
        <v>852</v>
      </c>
      <c r="G6">
        <f ca="1">IFERROR(IF(OFFSET(_xlfn.XLOOKUP(C6,Kuponger!E:E,Kuponger!AR:AR),0,2)=0,"",OFFSET(_xlfn.XLOOKUP(C6,Kuponger!E:E,Kuponger!AR:AR),1,2))*-1,"")</f>
        <v>0</v>
      </c>
      <c r="H6">
        <f t="shared" ca="1" si="1"/>
        <v>852</v>
      </c>
      <c r="I6" t="str">
        <f ca="1">IFERROR(IF(t_kaf[[#This Row],[tp]]&lt;&gt;"",OFFSET(_xlfn.XLOOKUP(C6,Kuponger!E:E,Kuponger!AR:AR),1,1),""),"")</f>
        <v/>
      </c>
      <c r="J6" s="3">
        <f ca="1">IFERROR(IF(t_kaf[[#This Row],[Dato]]="",0,OFFSET(_xlfn.XLOOKUP(t_kaf[[#This Row],[Dato]],Kuponger!E:E,Kuponger!AR:AR),1,7)),"")</f>
        <v>12</v>
      </c>
      <c r="K6" s="3">
        <f ca="1">IFERROR(SUM(t_kaf[[#This Row],[tp]]),0)</f>
        <v>852</v>
      </c>
      <c r="L6" s="3">
        <f ca="1">IF(t_rb[[#This Row],[Antall_rette]]=12,1,"")</f>
        <v>1</v>
      </c>
      <c r="M6" s="3" t="str">
        <f ca="1">IF(t_rb[[#This Row],[Antall_rette]]=11,1,"")</f>
        <v/>
      </c>
      <c r="N6" s="3" t="str">
        <f ca="1">IF(t_rb[[#This Row],[Antall_rette]]=10,1,"")</f>
        <v/>
      </c>
      <c r="O6" s="3">
        <f ca="1">IF(t_kaf[[#This Row],[12_Antall]]=1,Data!$AJ$3,0)</f>
        <v>1070</v>
      </c>
      <c r="P6" s="3">
        <f ca="1">IF(t_kaf[[#This Row],[11_Antall]]=1,Data!$AJ$2,0)</f>
        <v>0</v>
      </c>
      <c r="Q6" s="3">
        <f ca="1">IF(t_kaf[[#This Row],[10_Antall]]=1,Data!$AJ$1,0)</f>
        <v>0</v>
      </c>
      <c r="R6" s="3" t="str" cm="1">
        <f t="array" ref="R6">IFERROR(IF(_xlfn.XLOOKUP(t_kaf[[#This Row],[Dato]]&amp;t_kaf[[#This Row],[navn]],Regnskap!$C$10:$C$51&amp;Regnskap!$K$10:$K$51,Regnskap!$H$10:$H$51)&gt;0,Data!$AJ$3,""),"")</f>
        <v/>
      </c>
      <c r="S6" s="3" t="str" cm="1">
        <f t="array" ref="S6">IFERROR(IF(t_kaf[[#This Row],[12_pLEV]]="",IF(_xlfn.XLOOKUP(t_kaf[[#This Row],[Dato]]&amp;t_kaf[[#This Row],[navn]],Regnskap!$C$10:$C$51&amp;Regnskap!$K$10:$K$51,Regnskap!$I$10:$I$51)&gt;0,Data!$AJ$2)),"")</f>
        <v/>
      </c>
      <c r="T6" s="3" t="str" cm="1">
        <f t="array" ref="T6">IFERROR(IF(t_kaf[[#This Row],[11_pLEV]]="",IF(_xlfn.XLOOKUP(t_kaf[[#This Row],[Dato]]&amp;t_kaf[[#This Row],[navn]],Regnskap!$C$10:$C$51&amp;Regnskap!$K$10:$K$51,Regnskap!$J$10:$J$51)&gt;0,Data!$AJ$1),""),"")</f>
        <v/>
      </c>
      <c r="U6">
        <f ca="1">SUM(t_kaf[[#This Row],[12_poeng]:[10_pLEV]])</f>
        <v>1070</v>
      </c>
      <c r="V6" s="3">
        <f ca="1">SUM(t_kaf[[#This Row],[Summert]]+t_kaf[[#This Row],[LEV_poeng]])</f>
        <v>1922</v>
      </c>
    </row>
    <row r="7" spans="1:36" ht="15" x14ac:dyDescent="0.25">
      <c r="A7" s="3" t="s">
        <v>956</v>
      </c>
      <c r="B7">
        <f>IF(t_kaf[[#This Row],[Dato]]&lt;&gt;"",WEEKNUM(t_kaf[[#This Row],[Dato]]),"")</f>
        <v>38</v>
      </c>
      <c r="C7" s="22">
        <f>Data!AL6</f>
        <v>46284</v>
      </c>
      <c r="D7">
        <f ca="1">IFERROR(IF(t_kaf[[#This Row],[Dato]]="","",OFFSET(_xlfn.XLOOKUP(C7,Kuponger!E:E,Kuponger!AR:AR),15,0)),"")</f>
        <v>0</v>
      </c>
      <c r="E7">
        <f ca="1">IFERROR(OFFSET(_xlfn.XLOOKUP(C7,Kuponger!E:E,Kuponger!AR:AR),15,1),"")</f>
        <v>0</v>
      </c>
      <c r="F7">
        <f ca="1">IFERROR(IF(t_kaf[[#This Row],[Dato]]="","",OFFSET(_xlfn.XLOOKUP(C7,Kuponger!E:E,Kuponger!AR:AR),15,2)),"")</f>
        <v>852</v>
      </c>
      <c r="G7">
        <f ca="1">IFERROR(IF(OFFSET(_xlfn.XLOOKUP(C7,Kuponger!E:E,Kuponger!AR:AR),0,2)=0,"",OFFSET(_xlfn.XLOOKUP(C7,Kuponger!E:E,Kuponger!AR:AR),1,2))*-1,"")</f>
        <v>0</v>
      </c>
      <c r="H7">
        <f t="shared" ca="1" si="1"/>
        <v>852</v>
      </c>
      <c r="I7" t="str">
        <f ca="1">IFERROR(IF(t_kaf[[#This Row],[tp]]&lt;&gt;"",OFFSET(_xlfn.XLOOKUP(C7,Kuponger!E:E,Kuponger!AR:AR),1,1),""),"")</f>
        <v/>
      </c>
      <c r="J7" s="3">
        <f ca="1">IFERROR(IF(t_kaf[[#This Row],[Dato]]="",0,OFFSET(_xlfn.XLOOKUP(t_kaf[[#This Row],[Dato]],Kuponger!E:E,Kuponger!AR:AR),1,7)),"")</f>
        <v>12</v>
      </c>
      <c r="K7" s="3">
        <f ca="1">IFERROR(SUM(t_kaf[[#This Row],[tp]]),0)</f>
        <v>852</v>
      </c>
      <c r="L7" s="3">
        <f ca="1">IF(t_rb[[#This Row],[Antall_rette]]=12,1,"")</f>
        <v>1</v>
      </c>
      <c r="M7" s="3" t="str">
        <f ca="1">IF(t_rb[[#This Row],[Antall_rette]]=11,1,"")</f>
        <v/>
      </c>
      <c r="N7" s="3" t="str">
        <f ca="1">IF(t_rb[[#This Row],[Antall_rette]]=10,1,"")</f>
        <v/>
      </c>
      <c r="O7" s="3">
        <f ca="1">IF(t_kaf[[#This Row],[12_Antall]]=1,Data!$AJ$3,0)</f>
        <v>1070</v>
      </c>
      <c r="P7" s="3">
        <f ca="1">IF(t_kaf[[#This Row],[11_Antall]]=1,Data!$AJ$2,0)</f>
        <v>0</v>
      </c>
      <c r="Q7" s="3">
        <f ca="1">IF(t_kaf[[#This Row],[10_Antall]]=1,Data!$AJ$1,0)</f>
        <v>0</v>
      </c>
      <c r="R7" s="3" t="str" cm="1">
        <f t="array" ref="R7">IFERROR(IF(_xlfn.XLOOKUP(t_kaf[[#This Row],[Dato]]&amp;t_kaf[[#This Row],[navn]],Regnskap!$C$10:$C$51&amp;Regnskap!$K$10:$K$51,Regnskap!$H$10:$H$51)&gt;0,Data!$AJ$3,""),"")</f>
        <v/>
      </c>
      <c r="S7" s="3" t="str" cm="1">
        <f t="array" ref="S7">IFERROR(IF(t_kaf[[#This Row],[12_pLEV]]="",IF(_xlfn.XLOOKUP(t_kaf[[#This Row],[Dato]]&amp;t_kaf[[#This Row],[navn]],Regnskap!$C$10:$C$51&amp;Regnskap!$K$10:$K$51,Regnskap!$I$10:$I$51)&gt;0,Data!$AJ$2)),"")</f>
        <v/>
      </c>
      <c r="T7" s="3" t="str" cm="1">
        <f t="array" ref="T7">IFERROR(IF(t_kaf[[#This Row],[11_pLEV]]="",IF(_xlfn.XLOOKUP(t_kaf[[#This Row],[Dato]]&amp;t_kaf[[#This Row],[navn]],Regnskap!$C$10:$C$51&amp;Regnskap!$K$10:$K$51,Regnskap!$J$10:$J$51)&gt;0,Data!$AJ$1),""),"")</f>
        <v/>
      </c>
      <c r="U7">
        <f ca="1">SUM(t_kaf[[#This Row],[12_poeng]:[10_pLEV]])</f>
        <v>1070</v>
      </c>
      <c r="V7" s="3">
        <f ca="1">SUM(t_kaf[[#This Row],[Summert]]+t_kaf[[#This Row],[LEV_poeng]])</f>
        <v>1922</v>
      </c>
      <c r="W7" s="671"/>
      <c r="X7" s="671"/>
      <c r="Y7" s="671"/>
      <c r="Z7" s="671"/>
      <c r="AA7" s="671"/>
      <c r="AB7" s="671"/>
      <c r="AC7" s="23"/>
    </row>
    <row r="8" spans="1:36" x14ac:dyDescent="0.2">
      <c r="A8" s="3" t="s">
        <v>956</v>
      </c>
      <c r="B8">
        <f>IF(t_kaf[[#This Row],[Dato]]&lt;&gt;"",WEEKNUM(t_kaf[[#This Row],[Dato]]),"")</f>
        <v>39</v>
      </c>
      <c r="C8" s="22">
        <f>Data!AL7</f>
        <v>46291</v>
      </c>
      <c r="D8">
        <f ca="1">IFERROR(IF(t_kaf[[#This Row],[Dato]]="","",OFFSET(_xlfn.XLOOKUP(C8,Kuponger!E:E,Kuponger!AR:AR),15,0)),"")</f>
        <v>0</v>
      </c>
      <c r="E8">
        <f ca="1">IFERROR(OFFSET(_xlfn.XLOOKUP(C8,Kuponger!E:E,Kuponger!AR:AR),15,1),"")</f>
        <v>0</v>
      </c>
      <c r="F8">
        <f ca="1">IFERROR(IF(t_kaf[[#This Row],[Dato]]="","",OFFSET(_xlfn.XLOOKUP(C8,Kuponger!E:E,Kuponger!AR:AR),15,2)),"")</f>
        <v>710</v>
      </c>
      <c r="G8">
        <f ca="1">IFERROR(IF(OFFSET(_xlfn.XLOOKUP(C8,Kuponger!E:E,Kuponger!AR:AR),0,2)=0,"",OFFSET(_xlfn.XLOOKUP(C8,Kuponger!E:E,Kuponger!AR:AR),1,2))*-1,"")</f>
        <v>0</v>
      </c>
      <c r="H8">
        <f t="shared" ca="1" si="1"/>
        <v>710</v>
      </c>
      <c r="I8" t="str">
        <f ca="1">IFERROR(IF(t_kaf[[#This Row],[tp]]&lt;&gt;"",OFFSET(_xlfn.XLOOKUP(C8,Kuponger!E:E,Kuponger!AR:AR),1,1),""),"")</f>
        <v/>
      </c>
      <c r="J8" s="3">
        <f ca="1">IFERROR(IF(t_kaf[[#This Row],[Dato]]="",0,OFFSET(_xlfn.XLOOKUP(t_kaf[[#This Row],[Dato]],Kuponger!E:E,Kuponger!AR:AR),1,7)),"")</f>
        <v>10</v>
      </c>
      <c r="K8" s="3">
        <f ca="1">IFERROR(SUM(t_kaf[[#This Row],[tp]]),0)</f>
        <v>710</v>
      </c>
      <c r="L8" s="3" t="str">
        <f ca="1">IF(t_rb[[#This Row],[Antall_rette]]=12,1,"")</f>
        <v/>
      </c>
      <c r="M8" s="3" t="str">
        <f ca="1">IF(t_rb[[#This Row],[Antall_rette]]=11,1,"")</f>
        <v/>
      </c>
      <c r="N8" s="3">
        <f ca="1">IF(t_rb[[#This Row],[Antall_rette]]=10,1,"")</f>
        <v>1</v>
      </c>
      <c r="O8" s="3">
        <f ca="1">IF(t_kaf[[#This Row],[12_Antall]]=1,Data!$AJ$3,0)</f>
        <v>0</v>
      </c>
      <c r="P8" s="3">
        <f ca="1">IF(t_kaf[[#This Row],[11_Antall]]=1,Data!$AJ$2,0)</f>
        <v>0</v>
      </c>
      <c r="Q8" s="3">
        <f ca="1">IF(t_kaf[[#This Row],[10_Antall]]=1,Data!$AJ$1,0)</f>
        <v>58</v>
      </c>
      <c r="R8" s="3" t="str" cm="1">
        <f t="array" ref="R8">IFERROR(IF(_xlfn.XLOOKUP(t_kaf[[#This Row],[Dato]]&amp;t_kaf[[#This Row],[navn]],Regnskap!$C$10:$C$51&amp;Regnskap!$K$10:$K$51,Regnskap!$H$10:$H$51)&gt;0,Data!$AJ$3,""),"")</f>
        <v/>
      </c>
      <c r="S8" s="3" t="str" cm="1">
        <f t="array" ref="S8">IFERROR(IF(t_kaf[[#This Row],[12_pLEV]]="",IF(_xlfn.XLOOKUP(t_kaf[[#This Row],[Dato]]&amp;t_kaf[[#This Row],[navn]],Regnskap!$C$10:$C$51&amp;Regnskap!$K$10:$K$51,Regnskap!$I$10:$I$51)&gt;0,Data!$AJ$2)),"")</f>
        <v/>
      </c>
      <c r="T8" s="3" t="str" cm="1">
        <f t="array" ref="T8">IFERROR(IF(t_kaf[[#This Row],[11_pLEV]]="",IF(_xlfn.XLOOKUP(t_kaf[[#This Row],[Dato]]&amp;t_kaf[[#This Row],[navn]],Regnskap!$C$10:$C$51&amp;Regnskap!$K$10:$K$51,Regnskap!$J$10:$J$51)&gt;0,Data!$AJ$1),""),"")</f>
        <v/>
      </c>
      <c r="U8">
        <f ca="1">SUM(t_kaf[[#This Row],[12_poeng]:[10_pLEV]])</f>
        <v>58</v>
      </c>
      <c r="V8" s="3">
        <f ca="1">SUM(t_kaf[[#This Row],[Summert]]+t_kaf[[#This Row],[LEV_poeng]])</f>
        <v>768</v>
      </c>
    </row>
    <row r="9" spans="1:36" x14ac:dyDescent="0.2">
      <c r="A9" s="3" t="s">
        <v>956</v>
      </c>
      <c r="B9">
        <f>IF(t_kaf[[#This Row],[Dato]]&lt;&gt;"",WEEKNUM(t_kaf[[#This Row],[Dato]]),"")</f>
        <v>40</v>
      </c>
      <c r="C9" s="22">
        <f>Data!AL8</f>
        <v>46298</v>
      </c>
      <c r="D9">
        <f ca="1">IFERROR(IF(t_kaf[[#This Row],[Dato]]="","",OFFSET(_xlfn.XLOOKUP(C9,Kuponger!E:E,Kuponger!AR:AR),15,0)),"")</f>
        <v>0</v>
      </c>
      <c r="E9">
        <f ca="1">IFERROR(OFFSET(_xlfn.XLOOKUP(C9,Kuponger!E:E,Kuponger!AR:AR),15,1),"")</f>
        <v>814</v>
      </c>
      <c r="F9">
        <f ca="1">IFERROR(IF(t_kaf[[#This Row],[Dato]]="","",OFFSET(_xlfn.XLOOKUP(C9,Kuponger!E:E,Kuponger!AR:AR),15,2)),"")</f>
        <v>0</v>
      </c>
      <c r="G9">
        <f ca="1">IFERROR(IF(OFFSET(_xlfn.XLOOKUP(C9,Kuponger!E:E,Kuponger!AR:AR),0,2)=0,"",OFFSET(_xlfn.XLOOKUP(C9,Kuponger!E:E,Kuponger!AR:AR),1,2))*-1,"")</f>
        <v>0</v>
      </c>
      <c r="H9">
        <f t="shared" ca="1" si="1"/>
        <v>814</v>
      </c>
      <c r="I9">
        <f ca="1">IFERROR(IF(t_kaf[[#This Row],[tp]]&lt;&gt;"",OFFSET(_xlfn.XLOOKUP(C9,Kuponger!E:E,Kuponger!AR:AR),1,1),""),"")</f>
        <v>1</v>
      </c>
      <c r="J9" s="3">
        <f ca="1">IFERROR(IF(t_kaf[[#This Row],[Dato]]="",0,OFFSET(_xlfn.XLOOKUP(t_kaf[[#This Row],[Dato]],Kuponger!E:E,Kuponger!AR:AR),1,7)),"")</f>
        <v>11</v>
      </c>
      <c r="K9" s="3">
        <f ca="1">IFERROR(SUM(t_kaf[[#This Row],[tp]]),0)</f>
        <v>814</v>
      </c>
      <c r="L9" s="3" t="str">
        <f ca="1">IF(t_rb[[#This Row],[Antall_rette]]=12,1,"")</f>
        <v/>
      </c>
      <c r="M9" s="3">
        <f ca="1">IF(t_rb[[#This Row],[Antall_rette]]=11,1,"")</f>
        <v>1</v>
      </c>
      <c r="N9" s="3" t="str">
        <f ca="1">IF(t_rb[[#This Row],[Antall_rette]]=10,1,"")</f>
        <v/>
      </c>
      <c r="O9" s="3">
        <f ca="1">IF(t_kaf[[#This Row],[12_Antall]]=1,Data!$AJ$3,0)</f>
        <v>0</v>
      </c>
      <c r="P9" s="3">
        <f ca="1">IF(t_kaf[[#This Row],[11_Antall]]=1,Data!$AJ$2,0)</f>
        <v>161</v>
      </c>
      <c r="Q9" s="3">
        <f ca="1">IF(t_kaf[[#This Row],[10_Antall]]=1,Data!$AJ$1,0)</f>
        <v>0</v>
      </c>
      <c r="R9" s="3" t="str" cm="1">
        <f t="array" ref="R9">IFERROR(IF(_xlfn.XLOOKUP(t_kaf[[#This Row],[Dato]]&amp;t_kaf[[#This Row],[navn]],Regnskap!$C$10:$C$51&amp;Regnskap!$K$10:$K$51,Regnskap!$H$10:$H$51)&gt;0,Data!$AJ$3,""),"")</f>
        <v/>
      </c>
      <c r="S9" s="3" t="str" cm="1">
        <f t="array" ref="S9">IFERROR(IF(t_kaf[[#This Row],[12_pLEV]]="",IF(_xlfn.XLOOKUP(t_kaf[[#This Row],[Dato]]&amp;t_kaf[[#This Row],[navn]],Regnskap!$C$10:$C$51&amp;Regnskap!$K$10:$K$51,Regnskap!$I$10:$I$51)&gt;0,Data!$AJ$2)),"")</f>
        <v/>
      </c>
      <c r="T9" s="3" t="str" cm="1">
        <f t="array" ref="T9">IFERROR(IF(t_kaf[[#This Row],[11_pLEV]]="",IF(_xlfn.XLOOKUP(t_kaf[[#This Row],[Dato]]&amp;t_kaf[[#This Row],[navn]],Regnskap!$C$10:$C$51&amp;Regnskap!$K$10:$K$51,Regnskap!$J$10:$J$51)&gt;0,Data!$AJ$1),""),"")</f>
        <v/>
      </c>
      <c r="U9">
        <f ca="1">SUM(t_kaf[[#This Row],[12_poeng]:[10_pLEV]])</f>
        <v>161</v>
      </c>
      <c r="V9" s="3">
        <f ca="1">SUM(t_kaf[[#This Row],[Summert]]+t_kaf[[#This Row],[LEV_poeng]])</f>
        <v>975</v>
      </c>
    </row>
    <row r="10" spans="1:36" x14ac:dyDescent="0.2">
      <c r="A10" s="3" t="s">
        <v>956</v>
      </c>
      <c r="B10">
        <f>IF(t_kaf[[#This Row],[Dato]]&lt;&gt;"",WEEKNUM(t_kaf[[#This Row],[Dato]]),"")</f>
        <v>41</v>
      </c>
      <c r="C10" s="22">
        <f>Data!AL9</f>
        <v>46305</v>
      </c>
      <c r="D10">
        <f ca="1">IFERROR(IF(t_kaf[[#This Row],[Dato]]="","",OFFSET(_xlfn.XLOOKUP(C10,Kuponger!E:E,Kuponger!AR:AR),15,0)),"")</f>
        <v>0</v>
      </c>
      <c r="E10">
        <f ca="1">IFERROR(OFFSET(_xlfn.XLOOKUP(C10,Kuponger!E:E,Kuponger!AR:AR),15,1),"")</f>
        <v>888</v>
      </c>
      <c r="F10">
        <f ca="1">IFERROR(IF(t_kaf[[#This Row],[Dato]]="","",OFFSET(_xlfn.XLOOKUP(C10,Kuponger!E:E,Kuponger!AR:AR),15,2)),"")</f>
        <v>0</v>
      </c>
      <c r="G10">
        <f ca="1">IFERROR(IF(OFFSET(_xlfn.XLOOKUP(C10,Kuponger!E:E,Kuponger!AR:AR),0,2)=0,"",OFFSET(_xlfn.XLOOKUP(C10,Kuponger!E:E,Kuponger!AR:AR),1,2))*-1,"")</f>
        <v>0</v>
      </c>
      <c r="H10">
        <f t="shared" ca="1" si="1"/>
        <v>888</v>
      </c>
      <c r="I10">
        <f ca="1">IFERROR(IF(t_kaf[[#This Row],[tp]]&lt;&gt;"",OFFSET(_xlfn.XLOOKUP(C10,Kuponger!E:E,Kuponger!AR:AR),1,1),""),"")</f>
        <v>1</v>
      </c>
      <c r="J10" s="3">
        <f ca="1">IFERROR(IF(t_kaf[[#This Row],[Dato]]="",0,OFFSET(_xlfn.XLOOKUP(t_kaf[[#This Row],[Dato]],Kuponger!E:E,Kuponger!AR:AR),1,7)),"")</f>
        <v>12</v>
      </c>
      <c r="K10" s="3">
        <f ca="1">IFERROR(SUM(t_kaf[[#This Row],[tp]]),0)</f>
        <v>888</v>
      </c>
      <c r="L10" s="3">
        <f ca="1">IF(t_rb[[#This Row],[Antall_rette]]=12,1,"")</f>
        <v>1</v>
      </c>
      <c r="M10" s="3" t="str">
        <f ca="1">IF(t_rb[[#This Row],[Antall_rette]]=11,1,"")</f>
        <v/>
      </c>
      <c r="N10" s="3" t="str">
        <f ca="1">IF(t_rb[[#This Row],[Antall_rette]]=10,1,"")</f>
        <v/>
      </c>
      <c r="O10" s="3">
        <f ca="1">IF(t_kaf[[#This Row],[12_Antall]]=1,Data!$AJ$3,0)</f>
        <v>1070</v>
      </c>
      <c r="P10" s="3">
        <f ca="1">IF(t_kaf[[#This Row],[11_Antall]]=1,Data!$AJ$2,0)</f>
        <v>0</v>
      </c>
      <c r="Q10" s="3">
        <f ca="1">IF(t_kaf[[#This Row],[10_Antall]]=1,Data!$AJ$1,0)</f>
        <v>0</v>
      </c>
      <c r="R10" s="3" t="str" cm="1">
        <f t="array" ref="R10">IFERROR(IF(_xlfn.XLOOKUP(t_kaf[[#This Row],[Dato]]&amp;t_kaf[[#This Row],[navn]],Regnskap!$C$10:$C$51&amp;Regnskap!$K$10:$K$51,Regnskap!$H$10:$H$51)&gt;0,Data!$AJ$3,""),"")</f>
        <v/>
      </c>
      <c r="S10" s="3" t="str" cm="1">
        <f t="array" ref="S10">IFERROR(IF(t_kaf[[#This Row],[12_pLEV]]="",IF(_xlfn.XLOOKUP(t_kaf[[#This Row],[Dato]]&amp;t_kaf[[#This Row],[navn]],Regnskap!$C$10:$C$51&amp;Regnskap!$K$10:$K$51,Regnskap!$I$10:$I$51)&gt;0,Data!$AJ$2)),"")</f>
        <v/>
      </c>
      <c r="T10" s="3" t="str" cm="1">
        <f t="array" ref="T10">IFERROR(IF(t_kaf[[#This Row],[11_pLEV]]="",IF(_xlfn.XLOOKUP(t_kaf[[#This Row],[Dato]]&amp;t_kaf[[#This Row],[navn]],Regnskap!$C$10:$C$51&amp;Regnskap!$K$10:$K$51,Regnskap!$J$10:$J$51)&gt;0,Data!$AJ$1),""),"")</f>
        <v/>
      </c>
      <c r="U10">
        <f ca="1">SUM(t_kaf[[#This Row],[12_poeng]:[10_pLEV]])</f>
        <v>1070</v>
      </c>
      <c r="V10" s="3">
        <f ca="1">SUM(t_kaf[[#This Row],[Summert]]+t_kaf[[#This Row],[LEV_poeng]])</f>
        <v>1958</v>
      </c>
    </row>
    <row r="11" spans="1:36" x14ac:dyDescent="0.2">
      <c r="A11" s="3" t="s">
        <v>956</v>
      </c>
      <c r="B11">
        <f>IF(t_kaf[[#This Row],[Dato]]&lt;&gt;"",WEEKNUM(t_kaf[[#This Row],[Dato]]),"")</f>
        <v>42</v>
      </c>
      <c r="C11" s="22">
        <f>Data!AL10</f>
        <v>46312</v>
      </c>
      <c r="D11">
        <f ca="1">IFERROR(IF(t_kaf[[#This Row],[Dato]]="","",OFFSET(_xlfn.XLOOKUP(C11,Kuponger!E:E,Kuponger!AR:AR),15,0)),"")</f>
        <v>0</v>
      </c>
      <c r="E11">
        <f ca="1">IFERROR(OFFSET(_xlfn.XLOOKUP(C11,Kuponger!E:E,Kuponger!AR:AR),15,1),"")</f>
        <v>0</v>
      </c>
      <c r="F11">
        <f ca="1">IFERROR(IF(t_kaf[[#This Row],[Dato]]="","",OFFSET(_xlfn.XLOOKUP(C11,Kuponger!E:E,Kuponger!AR:AR),15,2)),"")</f>
        <v>0</v>
      </c>
      <c r="G11">
        <f ca="1">IFERROR(IF(OFFSET(_xlfn.XLOOKUP(C11,Kuponger!E:E,Kuponger!AR:AR),0,2)=0,"",OFFSET(_xlfn.XLOOKUP(C11,Kuponger!E:E,Kuponger!AR:AR),1,2))*-1,"")</f>
        <v>0</v>
      </c>
      <c r="H11" t="str">
        <f t="shared" ca="1" si="1"/>
        <v/>
      </c>
      <c r="I11" t="str">
        <f ca="1">IFERROR(IF(t_kaf[[#This Row],[tp]]&lt;&gt;"",OFFSET(_xlfn.XLOOKUP(C11,Kuponger!E:E,Kuponger!AR:AR),1,1),""),"")</f>
        <v/>
      </c>
      <c r="J11" s="3">
        <f ca="1">IFERROR(IF(t_kaf[[#This Row],[Dato]]="",0,OFFSET(_xlfn.XLOOKUP(t_kaf[[#This Row],[Dato]],Kuponger!E:E,Kuponger!AR:AR),1,7)),"")</f>
        <v>0</v>
      </c>
      <c r="K11" s="3">
        <f ca="1">IFERROR(SUM(t_kaf[[#This Row],[tp]]),0)</f>
        <v>0</v>
      </c>
      <c r="L11" s="3" t="str">
        <f ca="1">IF(t_rb[[#This Row],[Antall_rette]]=12,1,"")</f>
        <v/>
      </c>
      <c r="M11" s="3" t="str">
        <f ca="1">IF(t_rb[[#This Row],[Antall_rette]]=11,1,"")</f>
        <v/>
      </c>
      <c r="N11" s="3" t="str">
        <f ca="1">IF(t_rb[[#This Row],[Antall_rette]]=10,1,"")</f>
        <v/>
      </c>
      <c r="O11" s="3">
        <f ca="1">IF(t_kaf[[#This Row],[12_Antall]]=1,Data!$AJ$3,0)</f>
        <v>0</v>
      </c>
      <c r="P11" s="3">
        <f ca="1">IF(t_kaf[[#This Row],[11_Antall]]=1,Data!$AJ$2,0)</f>
        <v>0</v>
      </c>
      <c r="Q11" s="3">
        <f ca="1">IF(t_kaf[[#This Row],[10_Antall]]=1,Data!$AJ$1,0)</f>
        <v>0</v>
      </c>
      <c r="R11" s="3" t="str" cm="1">
        <f t="array" ref="R11">IFERROR(IF(_xlfn.XLOOKUP(t_kaf[[#This Row],[Dato]]&amp;t_kaf[[#This Row],[navn]],Regnskap!$C$10:$C$51&amp;Regnskap!$K$10:$K$51,Regnskap!$H$10:$H$51)&gt;0,Data!$AJ$3,""),"")</f>
        <v/>
      </c>
      <c r="S11" s="3" t="str" cm="1">
        <f t="array" ref="S11">IFERROR(IF(t_kaf[[#This Row],[12_pLEV]]="",IF(_xlfn.XLOOKUP(t_kaf[[#This Row],[Dato]]&amp;t_kaf[[#This Row],[navn]],Regnskap!$C$10:$C$51&amp;Regnskap!$K$10:$K$51,Regnskap!$I$10:$I$51)&gt;0,Data!$AJ$2)),"")</f>
        <v/>
      </c>
      <c r="T11" s="3" t="str" cm="1">
        <f t="array" ref="T11">IFERROR(IF(t_kaf[[#This Row],[11_pLEV]]="",IF(_xlfn.XLOOKUP(t_kaf[[#This Row],[Dato]]&amp;t_kaf[[#This Row],[navn]],Regnskap!$C$10:$C$51&amp;Regnskap!$K$10:$K$51,Regnskap!$J$10:$J$51)&gt;0,Data!$AJ$1),""),"")</f>
        <v/>
      </c>
      <c r="U11">
        <f ca="1">SUM(t_kaf[[#This Row],[12_poeng]:[10_pLEV]])</f>
        <v>0</v>
      </c>
      <c r="V11" s="3">
        <f ca="1">SUM(t_kaf[[#This Row],[Summert]]+t_kaf[[#This Row],[LEV_poeng]])</f>
        <v>0</v>
      </c>
    </row>
    <row r="12" spans="1:36" x14ac:dyDescent="0.2">
      <c r="A12" s="3" t="s">
        <v>956</v>
      </c>
      <c r="B12">
        <f>IF(t_kaf[[#This Row],[Dato]]&lt;&gt;"",WEEKNUM(t_kaf[[#This Row],[Dato]]),"")</f>
        <v>43</v>
      </c>
      <c r="C12" s="22">
        <f>Data!AL11</f>
        <v>46319</v>
      </c>
      <c r="D12">
        <f ca="1">IFERROR(IF(t_kaf[[#This Row],[Dato]]="","",OFFSET(_xlfn.XLOOKUP(C12,Kuponger!E:E,Kuponger!AR:AR),15,0)),"")</f>
        <v>0</v>
      </c>
      <c r="E12">
        <f ca="1">IFERROR(OFFSET(_xlfn.XLOOKUP(C12,Kuponger!E:E,Kuponger!AR:AR),15,1),"")</f>
        <v>0</v>
      </c>
      <c r="F12">
        <f ca="1">IFERROR(IF(t_kaf[[#This Row],[Dato]]="","",OFFSET(_xlfn.XLOOKUP(C12,Kuponger!E:E,Kuponger!AR:AR),15,2)),"")</f>
        <v>0</v>
      </c>
      <c r="G12">
        <f ca="1">IFERROR(IF(OFFSET(_xlfn.XLOOKUP(C12,Kuponger!E:E,Kuponger!AR:AR),0,2)=0,"",OFFSET(_xlfn.XLOOKUP(C12,Kuponger!E:E,Kuponger!AR:AR),1,2))*-1,"")</f>
        <v>0</v>
      </c>
      <c r="H12" t="str">
        <f t="shared" ca="1" si="1"/>
        <v/>
      </c>
      <c r="I12" t="str">
        <f ca="1">IFERROR(IF(t_kaf[[#This Row],[tp]]&lt;&gt;"",OFFSET(_xlfn.XLOOKUP(C12,Kuponger!E:E,Kuponger!AR:AR),1,1),""),"")</f>
        <v/>
      </c>
      <c r="J12" s="3">
        <f ca="1">IFERROR(IF(t_kaf[[#This Row],[Dato]]="",0,OFFSET(_xlfn.XLOOKUP(t_kaf[[#This Row],[Dato]],Kuponger!E:E,Kuponger!AR:AR),1,7)),"")</f>
        <v>0</v>
      </c>
      <c r="K12" s="3">
        <f ca="1">IFERROR(SUM(t_kaf[[#This Row],[tp]]),0)</f>
        <v>0</v>
      </c>
      <c r="L12" s="3" t="str">
        <f ca="1">IF(t_rb[[#This Row],[Antall_rette]]=12,1,"")</f>
        <v/>
      </c>
      <c r="M12" s="3" t="str">
        <f ca="1">IF(t_rb[[#This Row],[Antall_rette]]=11,1,"")</f>
        <v/>
      </c>
      <c r="N12" s="3" t="str">
        <f ca="1">IF(t_rb[[#This Row],[Antall_rette]]=10,1,"")</f>
        <v/>
      </c>
      <c r="O12" s="3">
        <f ca="1">IF(t_kaf[[#This Row],[12_Antall]]=1,Data!$AJ$3,0)</f>
        <v>0</v>
      </c>
      <c r="P12" s="3">
        <f ca="1">IF(t_kaf[[#This Row],[11_Antall]]=1,Data!$AJ$2,0)</f>
        <v>0</v>
      </c>
      <c r="Q12" s="3">
        <f ca="1">IF(t_kaf[[#This Row],[10_Antall]]=1,Data!$AJ$1,0)</f>
        <v>0</v>
      </c>
      <c r="R12" s="3" t="str" cm="1">
        <f t="array" ref="R12">IFERROR(IF(_xlfn.XLOOKUP(t_kaf[[#This Row],[Dato]]&amp;t_kaf[[#This Row],[navn]],Regnskap!$C$10:$C$51&amp;Regnskap!$K$10:$K$51,Regnskap!$H$10:$H$51)&gt;0,Data!$AJ$3,""),"")</f>
        <v/>
      </c>
      <c r="S12" s="3" t="str" cm="1">
        <f t="array" ref="S12">IFERROR(IF(t_kaf[[#This Row],[12_pLEV]]="",IF(_xlfn.XLOOKUP(t_kaf[[#This Row],[Dato]]&amp;t_kaf[[#This Row],[navn]],Regnskap!$C$10:$C$51&amp;Regnskap!$K$10:$K$51,Regnskap!$I$10:$I$51)&gt;0,Data!$AJ$2)),"")</f>
        <v/>
      </c>
      <c r="T12" s="3" t="str" cm="1">
        <f t="array" ref="T12">IFERROR(IF(t_kaf[[#This Row],[11_pLEV]]="",IF(_xlfn.XLOOKUP(t_kaf[[#This Row],[Dato]]&amp;t_kaf[[#This Row],[navn]],Regnskap!$C$10:$C$51&amp;Regnskap!$K$10:$K$51,Regnskap!$J$10:$J$51)&gt;0,Data!$AJ$1),""),"")</f>
        <v/>
      </c>
      <c r="U12">
        <f ca="1">SUM(t_kaf[[#This Row],[12_poeng]:[10_pLEV]])</f>
        <v>0</v>
      </c>
      <c r="V12" s="3">
        <f ca="1">SUM(t_kaf[[#This Row],[Summert]]+t_kaf[[#This Row],[LEV_poeng]])</f>
        <v>0</v>
      </c>
    </row>
    <row r="13" spans="1:36" ht="15" x14ac:dyDescent="0.25">
      <c r="A13" s="3" t="s">
        <v>956</v>
      </c>
      <c r="B13">
        <f>IF(t_kaf[[#This Row],[Dato]]&lt;&gt;"",WEEKNUM(t_kaf[[#This Row],[Dato]]),"")</f>
        <v>44</v>
      </c>
      <c r="C13" s="22">
        <f>Data!AL12</f>
        <v>46326</v>
      </c>
      <c r="D13">
        <f ca="1">IFERROR(IF(t_kaf[[#This Row],[Dato]]="","",OFFSET(_xlfn.XLOOKUP(C13,Kuponger!E:E,Kuponger!AR:AR),15,0)),"")</f>
        <v>0</v>
      </c>
      <c r="E13">
        <f ca="1">IFERROR(OFFSET(_xlfn.XLOOKUP(C13,Kuponger!E:E,Kuponger!AR:AR),15,1),"")</f>
        <v>0</v>
      </c>
      <c r="F13">
        <f ca="1">IFERROR(IF(t_kaf[[#This Row],[Dato]]="","",OFFSET(_xlfn.XLOOKUP(C13,Kuponger!E:E,Kuponger!AR:AR),15,2)),"")</f>
        <v>0</v>
      </c>
      <c r="G13">
        <f ca="1">IFERROR(IF(OFFSET(_xlfn.XLOOKUP(C13,Kuponger!E:E,Kuponger!AR:AR),0,2)=0,"",OFFSET(_xlfn.XLOOKUP(C13,Kuponger!E:E,Kuponger!AR:AR),1,2))*-1,"")</f>
        <v>0</v>
      </c>
      <c r="H13" t="str">
        <f t="shared" ca="1" si="1"/>
        <v/>
      </c>
      <c r="I13" t="str">
        <f ca="1">IFERROR(IF(t_kaf[[#This Row],[tp]]&lt;&gt;"",OFFSET(_xlfn.XLOOKUP(C13,Kuponger!E:E,Kuponger!AR:AR),1,1),""),"")</f>
        <v/>
      </c>
      <c r="J13" s="3">
        <f ca="1">IFERROR(IF(t_kaf[[#This Row],[Dato]]="",0,OFFSET(_xlfn.XLOOKUP(t_kaf[[#This Row],[Dato]],Kuponger!E:E,Kuponger!AR:AR),1,7)),"")</f>
        <v>0</v>
      </c>
      <c r="K13" s="3">
        <f ca="1">IFERROR(SUM(t_kaf[[#This Row],[tp]]),0)</f>
        <v>0</v>
      </c>
      <c r="L13" s="3" t="str">
        <f ca="1">IF(t_rb[[#This Row],[Antall_rette]]=12,1,"")</f>
        <v/>
      </c>
      <c r="M13" s="3" t="str">
        <f ca="1">IF(t_rb[[#This Row],[Antall_rette]]=11,1,"")</f>
        <v/>
      </c>
      <c r="N13" s="3" t="str">
        <f ca="1">IF(t_rb[[#This Row],[Antall_rette]]=10,1,"")</f>
        <v/>
      </c>
      <c r="O13" s="3">
        <f ca="1">IF(t_kaf[[#This Row],[12_Antall]]=1,Data!$AJ$3,0)</f>
        <v>0</v>
      </c>
      <c r="P13" s="3">
        <f ca="1">IF(t_kaf[[#This Row],[11_Antall]]=1,Data!$AJ$2,0)</f>
        <v>0</v>
      </c>
      <c r="Q13" s="3">
        <f ca="1">IF(t_kaf[[#This Row],[10_Antall]]=1,Data!$AJ$1,0)</f>
        <v>0</v>
      </c>
      <c r="R13" s="3" t="str" cm="1">
        <f t="array" ref="R13">IFERROR(IF(_xlfn.XLOOKUP(t_kaf[[#This Row],[Dato]]&amp;t_kaf[[#This Row],[navn]],Regnskap!$C$10:$C$51&amp;Regnskap!$K$10:$K$51,Regnskap!$H$10:$H$51)&gt;0,Data!$AJ$3,""),"")</f>
        <v/>
      </c>
      <c r="S13" s="3" t="str" cm="1">
        <f t="array" ref="S13">IFERROR(IF(t_kaf[[#This Row],[12_pLEV]]="",IF(_xlfn.XLOOKUP(t_kaf[[#This Row],[Dato]]&amp;t_kaf[[#This Row],[navn]],Regnskap!$C$10:$C$51&amp;Regnskap!$K$10:$K$51,Regnskap!$I$10:$I$51)&gt;0,Data!$AJ$2)),"")</f>
        <v/>
      </c>
      <c r="T13" s="3" t="str" cm="1">
        <f t="array" ref="T13">IFERROR(IF(t_kaf[[#This Row],[11_pLEV]]="",IF(_xlfn.XLOOKUP(t_kaf[[#This Row],[Dato]]&amp;t_kaf[[#This Row],[navn]],Regnskap!$C$10:$C$51&amp;Regnskap!$K$10:$K$51,Regnskap!$J$10:$J$51)&gt;0,Data!$AJ$1),""),"")</f>
        <v/>
      </c>
      <c r="U13">
        <f ca="1">SUM(t_kaf[[#This Row],[12_poeng]:[10_pLEV]])</f>
        <v>0</v>
      </c>
      <c r="V13" s="3">
        <f ca="1">SUM(t_kaf[[#This Row],[Summert]]+t_kaf[[#This Row],[LEV_poeng]])</f>
        <v>0</v>
      </c>
      <c r="W13" s="671"/>
      <c r="X13" s="671"/>
      <c r="Y13" s="671"/>
      <c r="Z13" s="671"/>
      <c r="AA13" s="671"/>
      <c r="AB13" s="671"/>
      <c r="AC13" s="23"/>
    </row>
    <row r="14" spans="1:36" x14ac:dyDescent="0.2">
      <c r="A14" s="3" t="s">
        <v>956</v>
      </c>
      <c r="B14">
        <f>IF(t_kaf[[#This Row],[Dato]]&lt;&gt;"",WEEKNUM(t_kaf[[#This Row],[Dato]]),"")</f>
        <v>45</v>
      </c>
      <c r="C14" s="22">
        <f>Data!AL13</f>
        <v>46333</v>
      </c>
      <c r="D14">
        <f ca="1">IFERROR(IF(t_kaf[[#This Row],[Dato]]="","",OFFSET(_xlfn.XLOOKUP(C14,Kuponger!E:E,Kuponger!AR:AR),15,0)),"")</f>
        <v>0</v>
      </c>
      <c r="E14">
        <f ca="1">IFERROR(OFFSET(_xlfn.XLOOKUP(C14,Kuponger!E:E,Kuponger!AR:AR),15,1),"")</f>
        <v>0</v>
      </c>
      <c r="F14">
        <f ca="1">IFERROR(IF(t_kaf[[#This Row],[Dato]]="","",OFFSET(_xlfn.XLOOKUP(C14,Kuponger!E:E,Kuponger!AR:AR),15,2)),"")</f>
        <v>0</v>
      </c>
      <c r="G14">
        <f ca="1">IFERROR(IF(OFFSET(_xlfn.XLOOKUP(C14,Kuponger!E:E,Kuponger!AR:AR),0,2)=0,"",OFFSET(_xlfn.XLOOKUP(C14,Kuponger!E:E,Kuponger!AR:AR),1,2))*-1,"")</f>
        <v>0</v>
      </c>
      <c r="H14" t="str">
        <f t="shared" ca="1" si="1"/>
        <v/>
      </c>
      <c r="I14" t="str">
        <f ca="1">IFERROR(IF(t_kaf[[#This Row],[tp]]&lt;&gt;"",OFFSET(_xlfn.XLOOKUP(C14,Kuponger!E:E,Kuponger!AR:AR),1,1),""),"")</f>
        <v/>
      </c>
      <c r="J14" s="3">
        <f ca="1">IFERROR(IF(t_kaf[[#This Row],[Dato]]="",0,OFFSET(_xlfn.XLOOKUP(t_kaf[[#This Row],[Dato]],Kuponger!E:E,Kuponger!AR:AR),1,7)),"")</f>
        <v>0</v>
      </c>
      <c r="K14" s="3">
        <f ca="1">IFERROR(SUM(t_kaf[[#This Row],[tp]]),0)</f>
        <v>0</v>
      </c>
      <c r="L14" s="3" t="str">
        <f ca="1">IF(t_rb[[#This Row],[Antall_rette]]=12,1,"")</f>
        <v/>
      </c>
      <c r="M14" s="3" t="str">
        <f ca="1">IF(t_rb[[#This Row],[Antall_rette]]=11,1,"")</f>
        <v/>
      </c>
      <c r="N14" s="3" t="str">
        <f ca="1">IF(t_rb[[#This Row],[Antall_rette]]=10,1,"")</f>
        <v/>
      </c>
      <c r="O14" s="3">
        <f ca="1">IF(t_kaf[[#This Row],[12_Antall]]=1,Data!$AJ$3,0)</f>
        <v>0</v>
      </c>
      <c r="P14" s="3">
        <f ca="1">IF(t_kaf[[#This Row],[11_Antall]]=1,Data!$AJ$2,0)</f>
        <v>0</v>
      </c>
      <c r="Q14" s="3">
        <f ca="1">IF(t_kaf[[#This Row],[10_Antall]]=1,Data!$AJ$1,0)</f>
        <v>0</v>
      </c>
      <c r="R14" s="3" t="str" cm="1">
        <f t="array" ref="R14">IFERROR(IF(_xlfn.XLOOKUP(t_kaf[[#This Row],[Dato]]&amp;t_kaf[[#This Row],[navn]],Regnskap!$C$10:$C$51&amp;Regnskap!$K$10:$K$51,Regnskap!$H$10:$H$51)&gt;0,Data!$AJ$3,""),"")</f>
        <v/>
      </c>
      <c r="S14" s="3" t="str" cm="1">
        <f t="array" ref="S14">IFERROR(IF(t_kaf[[#This Row],[12_pLEV]]="",IF(_xlfn.XLOOKUP(t_kaf[[#This Row],[Dato]]&amp;t_kaf[[#This Row],[navn]],Regnskap!$C$10:$C$51&amp;Regnskap!$K$10:$K$51,Regnskap!$I$10:$I$51)&gt;0,Data!$AJ$2)),"")</f>
        <v/>
      </c>
      <c r="T14" s="3" t="str" cm="1">
        <f t="array" ref="T14">IFERROR(IF(t_kaf[[#This Row],[11_pLEV]]="",IF(_xlfn.XLOOKUP(t_kaf[[#This Row],[Dato]]&amp;t_kaf[[#This Row],[navn]],Regnskap!$C$10:$C$51&amp;Regnskap!$K$10:$K$51,Regnskap!$J$10:$J$51)&gt;0,Data!$AJ$1),""),"")</f>
        <v/>
      </c>
      <c r="U14">
        <f ca="1">SUM(t_kaf[[#This Row],[12_poeng]:[10_pLEV]])</f>
        <v>0</v>
      </c>
      <c r="V14" s="3">
        <f ca="1">SUM(t_kaf[[#This Row],[Summert]]+t_kaf[[#This Row],[LEV_poeng]])</f>
        <v>0</v>
      </c>
    </row>
    <row r="15" spans="1:36" x14ac:dyDescent="0.2">
      <c r="A15" s="3" t="s">
        <v>956</v>
      </c>
      <c r="B15">
        <f>IF(t_kaf[[#This Row],[Dato]]&lt;&gt;"",WEEKNUM(t_kaf[[#This Row],[Dato]]),"")</f>
        <v>46</v>
      </c>
      <c r="C15" s="22">
        <f>Data!AL14</f>
        <v>46340</v>
      </c>
      <c r="D15">
        <f ca="1">IFERROR(IF(t_kaf[[#This Row],[Dato]]="","",OFFSET(_xlfn.XLOOKUP(C15,Kuponger!E:E,Kuponger!AR:AR),15,0)),"")</f>
        <v>0</v>
      </c>
      <c r="E15">
        <f ca="1">IFERROR(OFFSET(_xlfn.XLOOKUP(C15,Kuponger!E:E,Kuponger!AR:AR),15,1),"")</f>
        <v>0</v>
      </c>
      <c r="F15">
        <f ca="1">IFERROR(IF(t_kaf[[#This Row],[Dato]]="","",OFFSET(_xlfn.XLOOKUP(C15,Kuponger!E:E,Kuponger!AR:AR),15,2)),"")</f>
        <v>0</v>
      </c>
      <c r="G15">
        <f ca="1">IFERROR(IF(OFFSET(_xlfn.XLOOKUP(C15,Kuponger!E:E,Kuponger!AR:AR),0,2)=0,"",OFFSET(_xlfn.XLOOKUP(C15,Kuponger!E:E,Kuponger!AR:AR),1,2))*-1,"")</f>
        <v>0</v>
      </c>
      <c r="H15" t="str">
        <f t="shared" ca="1" si="1"/>
        <v/>
      </c>
      <c r="I15" t="str">
        <f ca="1">IFERROR(IF(t_kaf[[#This Row],[tp]]&lt;&gt;"",OFFSET(_xlfn.XLOOKUP(C15,Kuponger!E:E,Kuponger!AR:AR),1,1),""),"")</f>
        <v/>
      </c>
      <c r="J15" s="3">
        <f ca="1">IFERROR(IF(t_kaf[[#This Row],[Dato]]="",0,OFFSET(_xlfn.XLOOKUP(t_kaf[[#This Row],[Dato]],Kuponger!E:E,Kuponger!AR:AR),1,7)),"")</f>
        <v>0</v>
      </c>
      <c r="K15" s="3">
        <f ca="1">IFERROR(SUM(t_kaf[[#This Row],[tp]]),0)</f>
        <v>0</v>
      </c>
      <c r="L15" s="3" t="str">
        <f ca="1">IF(t_rb[[#This Row],[Antall_rette]]=12,1,"")</f>
        <v/>
      </c>
      <c r="M15" s="3" t="str">
        <f ca="1">IF(t_rb[[#This Row],[Antall_rette]]=11,1,"")</f>
        <v/>
      </c>
      <c r="N15" s="3" t="str">
        <f ca="1">IF(t_rb[[#This Row],[Antall_rette]]=10,1,"")</f>
        <v/>
      </c>
      <c r="O15" s="3">
        <f ca="1">IF(t_kaf[[#This Row],[12_Antall]]=1,Data!$AJ$3,0)</f>
        <v>0</v>
      </c>
      <c r="P15" s="3">
        <f ca="1">IF(t_kaf[[#This Row],[11_Antall]]=1,Data!$AJ$2,0)</f>
        <v>0</v>
      </c>
      <c r="Q15" s="3">
        <f ca="1">IF(t_kaf[[#This Row],[10_Antall]]=1,Data!$AJ$1,0)</f>
        <v>0</v>
      </c>
      <c r="R15" s="3" t="str" cm="1">
        <f t="array" ref="R15">IFERROR(IF(_xlfn.XLOOKUP(t_kaf[[#This Row],[Dato]]&amp;t_kaf[[#This Row],[navn]],Regnskap!$C$10:$C$51&amp;Regnskap!$K$10:$K$51,Regnskap!$H$10:$H$51)&gt;0,Data!$AJ$3,""),"")</f>
        <v/>
      </c>
      <c r="S15" s="3" t="str" cm="1">
        <f t="array" ref="S15">IFERROR(IF(t_kaf[[#This Row],[12_pLEV]]="",IF(_xlfn.XLOOKUP(t_kaf[[#This Row],[Dato]]&amp;t_kaf[[#This Row],[navn]],Regnskap!$C$10:$C$51&amp;Regnskap!$K$10:$K$51,Regnskap!$I$10:$I$51)&gt;0,Data!$AJ$2)),"")</f>
        <v/>
      </c>
      <c r="T15" s="3" t="str" cm="1">
        <f t="array" ref="T15">IFERROR(IF(t_kaf[[#This Row],[11_pLEV]]="",IF(_xlfn.XLOOKUP(t_kaf[[#This Row],[Dato]]&amp;t_kaf[[#This Row],[navn]],Regnskap!$C$10:$C$51&amp;Regnskap!$K$10:$K$51,Regnskap!$J$10:$J$51)&gt;0,Data!$AJ$1),""),"")</f>
        <v/>
      </c>
      <c r="U15">
        <f ca="1">SUM(t_kaf[[#This Row],[12_poeng]:[10_pLEV]])</f>
        <v>0</v>
      </c>
      <c r="V15" s="3">
        <f ca="1">SUM(t_kaf[[#This Row],[Summert]]+t_kaf[[#This Row],[LEV_poeng]])</f>
        <v>0</v>
      </c>
    </row>
    <row r="16" spans="1:36" x14ac:dyDescent="0.2">
      <c r="A16" s="3" t="s">
        <v>956</v>
      </c>
      <c r="B16">
        <f>IF(t_kaf[[#This Row],[Dato]]&lt;&gt;"",WEEKNUM(t_kaf[[#This Row],[Dato]]),"")</f>
        <v>47</v>
      </c>
      <c r="C16" s="22">
        <f>Data!AL15</f>
        <v>46347</v>
      </c>
      <c r="D16">
        <f ca="1">IFERROR(IF(t_kaf[[#This Row],[Dato]]="","",OFFSET(_xlfn.XLOOKUP(C16,Kuponger!E:E,Kuponger!AR:AR),15,0)),"")</f>
        <v>0</v>
      </c>
      <c r="E16">
        <f ca="1">IFERROR(OFFSET(_xlfn.XLOOKUP(C16,Kuponger!E:E,Kuponger!AR:AR),15,1),"")</f>
        <v>0</v>
      </c>
      <c r="F16">
        <f ca="1">IFERROR(IF(t_kaf[[#This Row],[Dato]]="","",OFFSET(_xlfn.XLOOKUP(C16,Kuponger!E:E,Kuponger!AR:AR),15,2)),"")</f>
        <v>0</v>
      </c>
      <c r="G16">
        <f ca="1">IFERROR(IF(OFFSET(_xlfn.XLOOKUP(C16,Kuponger!E:E,Kuponger!AR:AR),0,2)=0,"",OFFSET(_xlfn.XLOOKUP(C16,Kuponger!E:E,Kuponger!AR:AR),1,2))*-1,"")</f>
        <v>0</v>
      </c>
      <c r="H16" t="str">
        <f t="shared" ca="1" si="1"/>
        <v/>
      </c>
      <c r="I16" t="str">
        <f ca="1">IFERROR(IF(t_kaf[[#This Row],[tp]]&lt;&gt;"",OFFSET(_xlfn.XLOOKUP(C16,Kuponger!E:E,Kuponger!AR:AR),1,1),""),"")</f>
        <v/>
      </c>
      <c r="J16" s="3">
        <f ca="1">IFERROR(IF(t_kaf[[#This Row],[Dato]]="",0,OFFSET(_xlfn.XLOOKUP(t_kaf[[#This Row],[Dato]],Kuponger!E:E,Kuponger!AR:AR),1,7)),"")</f>
        <v>0</v>
      </c>
      <c r="K16" s="3">
        <f ca="1">IFERROR(SUM(t_kaf[[#This Row],[tp]]),0)</f>
        <v>0</v>
      </c>
      <c r="L16" s="3" t="str">
        <f ca="1">IF(t_rb[[#This Row],[Antall_rette]]=12,1,"")</f>
        <v/>
      </c>
      <c r="M16" s="3" t="str">
        <f ca="1">IF(t_rb[[#This Row],[Antall_rette]]=11,1,"")</f>
        <v/>
      </c>
      <c r="N16" s="3" t="str">
        <f ca="1">IF(t_rb[[#This Row],[Antall_rette]]=10,1,"")</f>
        <v/>
      </c>
      <c r="O16" s="3">
        <f ca="1">IF(t_kaf[[#This Row],[12_Antall]]=1,Data!$AJ$3,0)</f>
        <v>0</v>
      </c>
      <c r="P16" s="3">
        <f ca="1">IF(t_kaf[[#This Row],[11_Antall]]=1,Data!$AJ$2,0)</f>
        <v>0</v>
      </c>
      <c r="Q16" s="3">
        <f ca="1">IF(t_kaf[[#This Row],[10_Antall]]=1,Data!$AJ$1,0)</f>
        <v>0</v>
      </c>
      <c r="R16" s="3" t="str" cm="1">
        <f t="array" ref="R16">IFERROR(IF(_xlfn.XLOOKUP(t_kaf[[#This Row],[Dato]]&amp;t_kaf[[#This Row],[navn]],Regnskap!$C$10:$C$51&amp;Regnskap!$K$10:$K$51,Regnskap!$H$10:$H$51)&gt;0,Data!$AJ$3,""),"")</f>
        <v/>
      </c>
      <c r="S16" s="3" t="str" cm="1">
        <f t="array" ref="S16">IFERROR(IF(t_kaf[[#This Row],[12_pLEV]]="",IF(_xlfn.XLOOKUP(t_kaf[[#This Row],[Dato]]&amp;t_kaf[[#This Row],[navn]],Regnskap!$C$10:$C$51&amp;Regnskap!$K$10:$K$51,Regnskap!$I$10:$I$51)&gt;0,Data!$AJ$2)),"")</f>
        <v/>
      </c>
      <c r="T16" s="3" t="str" cm="1">
        <f t="array" ref="T16">IFERROR(IF(t_kaf[[#This Row],[11_pLEV]]="",IF(_xlfn.XLOOKUP(t_kaf[[#This Row],[Dato]]&amp;t_kaf[[#This Row],[navn]],Regnskap!$C$10:$C$51&amp;Regnskap!$K$10:$K$51,Regnskap!$J$10:$J$51)&gt;0,Data!$AJ$1),""),"")</f>
        <v/>
      </c>
      <c r="U16">
        <f ca="1">SUM(t_kaf[[#This Row],[12_poeng]:[10_pLEV]])</f>
        <v>0</v>
      </c>
      <c r="V16" s="3">
        <f ca="1">SUM(t_kaf[[#This Row],[Summert]]+t_kaf[[#This Row],[LEV_poeng]])</f>
        <v>0</v>
      </c>
    </row>
    <row r="17" spans="1:28" x14ac:dyDescent="0.2">
      <c r="A17" s="3" t="s">
        <v>956</v>
      </c>
      <c r="B17">
        <f>IF(t_kaf[[#This Row],[Dato]]&lt;&gt;"",WEEKNUM(t_kaf[[#This Row],[Dato]]),"")</f>
        <v>48</v>
      </c>
      <c r="C17" s="22">
        <f>Data!AL16</f>
        <v>46354</v>
      </c>
      <c r="D17">
        <f ca="1">IFERROR(IF(t_kaf[[#This Row],[Dato]]="","",OFFSET(_xlfn.XLOOKUP(C17,Kuponger!E:E,Kuponger!AR:AR),15,0)),"")</f>
        <v>0</v>
      </c>
      <c r="E17">
        <f ca="1">IFERROR(OFFSET(_xlfn.XLOOKUP(C17,Kuponger!E:E,Kuponger!AR:AR),15,1),"")</f>
        <v>0</v>
      </c>
      <c r="F17">
        <f ca="1">IFERROR(IF(t_kaf[[#This Row],[Dato]]="","",OFFSET(_xlfn.XLOOKUP(C17,Kuponger!E:E,Kuponger!AR:AR),15,2)),"")</f>
        <v>0</v>
      </c>
      <c r="G17">
        <f ca="1">IFERROR(IF(OFFSET(_xlfn.XLOOKUP(C17,Kuponger!E:E,Kuponger!AR:AR),0,2)=0,"",OFFSET(_xlfn.XLOOKUP(C17,Kuponger!E:E,Kuponger!AR:AR),1,2))*-1,"")</f>
        <v>0</v>
      </c>
      <c r="H17" t="str">
        <f t="shared" ca="1" si="1"/>
        <v/>
      </c>
      <c r="I17" t="str">
        <f ca="1">IFERROR(IF(t_kaf[[#This Row],[tp]]&lt;&gt;"",OFFSET(_xlfn.XLOOKUP(C17,Kuponger!E:E,Kuponger!AR:AR),1,1),""),"")</f>
        <v/>
      </c>
      <c r="J17" s="3">
        <f ca="1">IFERROR(IF(t_kaf[[#This Row],[Dato]]="",0,OFFSET(_xlfn.XLOOKUP(t_kaf[[#This Row],[Dato]],Kuponger!E:E,Kuponger!AR:AR),1,7)),"")</f>
        <v>0</v>
      </c>
      <c r="K17" s="3">
        <f ca="1">IFERROR(SUM(t_kaf[[#This Row],[tp]]),0)</f>
        <v>0</v>
      </c>
      <c r="L17" s="3" t="str">
        <f ca="1">IF(t_rb[[#This Row],[Antall_rette]]=12,1,"")</f>
        <v/>
      </c>
      <c r="M17" s="3" t="str">
        <f ca="1">IF(t_rb[[#This Row],[Antall_rette]]=11,1,"")</f>
        <v/>
      </c>
      <c r="N17" s="3" t="str">
        <f ca="1">IF(t_rb[[#This Row],[Antall_rette]]=10,1,"")</f>
        <v/>
      </c>
      <c r="O17" s="3">
        <f ca="1">IF(t_kaf[[#This Row],[12_Antall]]=1,Data!$AJ$3,0)</f>
        <v>0</v>
      </c>
      <c r="P17" s="3">
        <f ca="1">IF(t_kaf[[#This Row],[11_Antall]]=1,Data!$AJ$2,0)</f>
        <v>0</v>
      </c>
      <c r="Q17" s="3">
        <f ca="1">IF(t_kaf[[#This Row],[10_Antall]]=1,Data!$AJ$1,0)</f>
        <v>0</v>
      </c>
      <c r="R17" s="3" t="str" cm="1">
        <f t="array" ref="R17">IFERROR(IF(_xlfn.XLOOKUP(t_kaf[[#This Row],[Dato]]&amp;t_kaf[[#This Row],[navn]],Regnskap!$C$10:$C$51&amp;Regnskap!$K$10:$K$51,Regnskap!$H$10:$H$51)&gt;0,Data!$AJ$3,""),"")</f>
        <v/>
      </c>
      <c r="S17" s="3" t="str" cm="1">
        <f t="array" ref="S17">IFERROR(IF(t_kaf[[#This Row],[12_pLEV]]="",IF(_xlfn.XLOOKUP(t_kaf[[#This Row],[Dato]]&amp;t_kaf[[#This Row],[navn]],Regnskap!$C$10:$C$51&amp;Regnskap!$K$10:$K$51,Regnskap!$I$10:$I$51)&gt;0,Data!$AJ$2)),"")</f>
        <v/>
      </c>
      <c r="T17" s="3" t="str" cm="1">
        <f t="array" ref="T17">IFERROR(IF(t_kaf[[#This Row],[11_pLEV]]="",IF(_xlfn.XLOOKUP(t_kaf[[#This Row],[Dato]]&amp;t_kaf[[#This Row],[navn]],Regnskap!$C$10:$C$51&amp;Regnskap!$K$10:$K$51,Regnskap!$J$10:$J$51)&gt;0,Data!$AJ$1),""),"")</f>
        <v/>
      </c>
      <c r="U17">
        <f ca="1">SUM(t_kaf[[#This Row],[12_poeng]:[10_pLEV]])</f>
        <v>0</v>
      </c>
      <c r="V17" s="3">
        <f ca="1">SUM(t_kaf[[#This Row],[Summert]]+t_kaf[[#This Row],[LEV_poeng]])</f>
        <v>0</v>
      </c>
    </row>
    <row r="18" spans="1:28" x14ac:dyDescent="0.2">
      <c r="A18" s="3" t="s">
        <v>956</v>
      </c>
      <c r="B18">
        <f>IF(t_kaf[[#This Row],[Dato]]&lt;&gt;"",WEEKNUM(t_kaf[[#This Row],[Dato]]),"")</f>
        <v>49</v>
      </c>
      <c r="C18" s="22">
        <f>Data!AL17</f>
        <v>46361</v>
      </c>
      <c r="D18">
        <f ca="1">IFERROR(IF(t_kaf[[#This Row],[Dato]]="","",OFFSET(_xlfn.XLOOKUP(C18,Kuponger!E:E,Kuponger!AR:AR),15,0)),"")</f>
        <v>0</v>
      </c>
      <c r="E18">
        <f ca="1">IFERROR(OFFSET(_xlfn.XLOOKUP(C18,Kuponger!E:E,Kuponger!AR:AR),15,1),"")</f>
        <v>0</v>
      </c>
      <c r="F18">
        <f ca="1">IFERROR(IF(t_kaf[[#This Row],[Dato]]="","",OFFSET(_xlfn.XLOOKUP(C18,Kuponger!E:E,Kuponger!AR:AR),15,2)),"")</f>
        <v>0</v>
      </c>
      <c r="G18">
        <f ca="1">IFERROR(IF(OFFSET(_xlfn.XLOOKUP(C18,Kuponger!E:E,Kuponger!AR:AR),0,2)=0,"",OFFSET(_xlfn.XLOOKUP(C18,Kuponger!E:E,Kuponger!AR:AR),1,2))*-1,"")</f>
        <v>0</v>
      </c>
      <c r="H18" t="str">
        <f t="shared" ca="1" si="1"/>
        <v/>
      </c>
      <c r="I18" t="str">
        <f ca="1">IFERROR(IF(t_kaf[[#This Row],[tp]]&lt;&gt;"",OFFSET(_xlfn.XLOOKUP(C18,Kuponger!E:E,Kuponger!AR:AR),1,1),""),"")</f>
        <v/>
      </c>
      <c r="J18" s="3">
        <f ca="1">IFERROR(IF(t_kaf[[#This Row],[Dato]]="",0,OFFSET(_xlfn.XLOOKUP(t_kaf[[#This Row],[Dato]],Kuponger!E:E,Kuponger!AR:AR),1,7)),"")</f>
        <v>0</v>
      </c>
      <c r="K18" s="3">
        <f ca="1">IFERROR(SUM(t_kaf[[#This Row],[tp]]),0)</f>
        <v>0</v>
      </c>
      <c r="L18" s="3" t="str">
        <f ca="1">IF(t_rb[[#This Row],[Antall_rette]]=12,1,"")</f>
        <v/>
      </c>
      <c r="M18" s="3" t="str">
        <f ca="1">IF(t_rb[[#This Row],[Antall_rette]]=11,1,"")</f>
        <v/>
      </c>
      <c r="N18" s="3" t="str">
        <f ca="1">IF(t_rb[[#This Row],[Antall_rette]]=10,1,"")</f>
        <v/>
      </c>
      <c r="O18" s="3">
        <f ca="1">IF(t_kaf[[#This Row],[12_Antall]]=1,Data!$AJ$3,0)</f>
        <v>0</v>
      </c>
      <c r="P18" s="3">
        <f ca="1">IF(t_kaf[[#This Row],[11_Antall]]=1,Data!$AJ$2,0)</f>
        <v>0</v>
      </c>
      <c r="Q18" s="3">
        <f ca="1">IF(t_kaf[[#This Row],[10_Antall]]=1,Data!$AJ$1,0)</f>
        <v>0</v>
      </c>
      <c r="R18" s="3" t="str" cm="1">
        <f t="array" ref="R18">IFERROR(IF(_xlfn.XLOOKUP(t_kaf[[#This Row],[Dato]]&amp;t_kaf[[#This Row],[navn]],Regnskap!$C$10:$C$51&amp;Regnskap!$K$10:$K$51,Regnskap!$H$10:$H$51)&gt;0,Data!$AJ$3,""),"")</f>
        <v/>
      </c>
      <c r="S18" s="3" t="str" cm="1">
        <f t="array" ref="S18">IFERROR(IF(t_kaf[[#This Row],[12_pLEV]]="",IF(_xlfn.XLOOKUP(t_kaf[[#This Row],[Dato]]&amp;t_kaf[[#This Row],[navn]],Regnskap!$C$10:$C$51&amp;Regnskap!$K$10:$K$51,Regnskap!$I$10:$I$51)&gt;0,Data!$AJ$2)),"")</f>
        <v/>
      </c>
      <c r="T18" s="3" t="str" cm="1">
        <f t="array" ref="T18">IFERROR(IF(t_kaf[[#This Row],[11_pLEV]]="",IF(_xlfn.XLOOKUP(t_kaf[[#This Row],[Dato]]&amp;t_kaf[[#This Row],[navn]],Regnskap!$C$10:$C$51&amp;Regnskap!$K$10:$K$51,Regnskap!$J$10:$J$51)&gt;0,Data!$AJ$1),""),"")</f>
        <v/>
      </c>
      <c r="U18">
        <f ca="1">SUM(t_kaf[[#This Row],[12_poeng]:[10_pLEV]])</f>
        <v>0</v>
      </c>
      <c r="V18" s="3">
        <f ca="1">SUM(t_kaf[[#This Row],[Summert]]+t_kaf[[#This Row],[LEV_poeng]])</f>
        <v>0</v>
      </c>
    </row>
    <row r="19" spans="1:28" x14ac:dyDescent="0.2">
      <c r="A19" s="3" t="s">
        <v>956</v>
      </c>
      <c r="B19">
        <f>IF(t_kaf[[#This Row],[Dato]]&lt;&gt;"",WEEKNUM(t_kaf[[#This Row],[Dato]]),"")</f>
        <v>50</v>
      </c>
      <c r="C19" s="22">
        <f>Data!AL18</f>
        <v>46368</v>
      </c>
      <c r="D19">
        <f ca="1">IFERROR(IF(t_kaf[[#This Row],[Dato]]="","",OFFSET(_xlfn.XLOOKUP(C19,Kuponger!E:E,Kuponger!AR:AR),15,0)),"")</f>
        <v>0</v>
      </c>
      <c r="E19">
        <f ca="1">IFERROR(OFFSET(_xlfn.XLOOKUP(C19,Kuponger!E:E,Kuponger!AR:AR),15,1),"")</f>
        <v>0</v>
      </c>
      <c r="F19">
        <f ca="1">IFERROR(IF(t_kaf[[#This Row],[Dato]]="","",OFFSET(_xlfn.XLOOKUP(C19,Kuponger!E:E,Kuponger!AR:AR),15,2)),"")</f>
        <v>0</v>
      </c>
      <c r="G19">
        <f ca="1">IFERROR(IF(OFFSET(_xlfn.XLOOKUP(C19,Kuponger!E:E,Kuponger!AR:AR),0,2)=0,"",OFFSET(_xlfn.XLOOKUP(C19,Kuponger!E:E,Kuponger!AR:AR),1,2))*-1,"")</f>
        <v>0</v>
      </c>
      <c r="H19" t="str">
        <f t="shared" ca="1" si="1"/>
        <v/>
      </c>
      <c r="I19" t="str">
        <f ca="1">IFERROR(IF(t_kaf[[#This Row],[tp]]&lt;&gt;"",OFFSET(_xlfn.XLOOKUP(C19,Kuponger!E:E,Kuponger!AR:AR),1,1),""),"")</f>
        <v/>
      </c>
      <c r="J19" s="3">
        <f ca="1">IFERROR(IF(t_kaf[[#This Row],[Dato]]="",0,OFFSET(_xlfn.XLOOKUP(t_kaf[[#This Row],[Dato]],Kuponger!E:E,Kuponger!AR:AR),1,7)),"")</f>
        <v>0</v>
      </c>
      <c r="K19" s="3">
        <f ca="1">IFERROR(SUM(t_kaf[[#This Row],[tp]]),0)</f>
        <v>0</v>
      </c>
      <c r="L19" s="3" t="str">
        <f ca="1">IF(t_rb[[#This Row],[Antall_rette]]=12,1,"")</f>
        <v/>
      </c>
      <c r="M19" s="3" t="str">
        <f ca="1">IF(t_rb[[#This Row],[Antall_rette]]=11,1,"")</f>
        <v/>
      </c>
      <c r="N19" s="3" t="str">
        <f ca="1">IF(t_rb[[#This Row],[Antall_rette]]=10,1,"")</f>
        <v/>
      </c>
      <c r="O19" s="3">
        <f ca="1">IF(t_kaf[[#This Row],[12_Antall]]=1,Data!$AJ$3,0)</f>
        <v>0</v>
      </c>
      <c r="P19" s="3">
        <f ca="1">IF(t_kaf[[#This Row],[11_Antall]]=1,Data!$AJ$2,0)</f>
        <v>0</v>
      </c>
      <c r="Q19" s="3">
        <f ca="1">IF(t_kaf[[#This Row],[10_Antall]]=1,Data!$AJ$1,0)</f>
        <v>0</v>
      </c>
      <c r="R19" s="3" t="str" cm="1">
        <f t="array" ref="R19">IFERROR(IF(_xlfn.XLOOKUP(t_kaf[[#This Row],[Dato]]&amp;t_kaf[[#This Row],[navn]],Regnskap!$C$10:$C$51&amp;Regnskap!$K$10:$K$51,Regnskap!$H$10:$H$51)&gt;0,Data!$AJ$3,""),"")</f>
        <v/>
      </c>
      <c r="S19" s="3" t="str" cm="1">
        <f t="array" ref="S19">IFERROR(IF(t_kaf[[#This Row],[12_pLEV]]="",IF(_xlfn.XLOOKUP(t_kaf[[#This Row],[Dato]]&amp;t_kaf[[#This Row],[navn]],Regnskap!$C$10:$C$51&amp;Regnskap!$K$10:$K$51,Regnskap!$I$10:$I$51)&gt;0,Data!$AJ$2)),"")</f>
        <v/>
      </c>
      <c r="T19" s="3" t="str" cm="1">
        <f t="array" ref="T19">IFERROR(IF(t_kaf[[#This Row],[11_pLEV]]="",IF(_xlfn.XLOOKUP(t_kaf[[#This Row],[Dato]]&amp;t_kaf[[#This Row],[navn]],Regnskap!$C$10:$C$51&amp;Regnskap!$K$10:$K$51,Regnskap!$J$10:$J$51)&gt;0,Data!$AJ$1),""),"")</f>
        <v/>
      </c>
      <c r="U19">
        <f ca="1">SUM(t_kaf[[#This Row],[12_poeng]:[10_pLEV]])</f>
        <v>0</v>
      </c>
      <c r="V19" s="3">
        <f ca="1">SUM(t_kaf[[#This Row],[Summert]]+t_kaf[[#This Row],[LEV_poeng]])</f>
        <v>0</v>
      </c>
      <c r="W19" s="2"/>
      <c r="X19" s="2"/>
      <c r="Y19" s="2"/>
      <c r="Z19" s="2"/>
      <c r="AA19" s="2"/>
      <c r="AB19" s="2"/>
    </row>
    <row r="20" spans="1:28" x14ac:dyDescent="0.2">
      <c r="A20" s="3" t="s">
        <v>956</v>
      </c>
      <c r="B20">
        <f>IF(t_kaf[[#This Row],[Dato]]&lt;&gt;"",WEEKNUM(t_kaf[[#This Row],[Dato]]),"")</f>
        <v>51</v>
      </c>
      <c r="C20" s="22">
        <f>Data!AL19</f>
        <v>46375</v>
      </c>
      <c r="D20">
        <f ca="1">IFERROR(IF(t_kaf[[#This Row],[Dato]]="","",OFFSET(_xlfn.XLOOKUP(C20,Kuponger!E:E,Kuponger!AR:AR),15,0)),"")</f>
        <v>0</v>
      </c>
      <c r="E20">
        <f ca="1">IFERROR(OFFSET(_xlfn.XLOOKUP(C20,Kuponger!E:E,Kuponger!AR:AR),15,1),"")</f>
        <v>0</v>
      </c>
      <c r="F20">
        <f ca="1">IFERROR(IF(t_kaf[[#This Row],[Dato]]="","",OFFSET(_xlfn.XLOOKUP(C20,Kuponger!E:E,Kuponger!AR:AR),15,2)),"")</f>
        <v>0</v>
      </c>
      <c r="G20">
        <f ca="1">IFERROR(IF(OFFSET(_xlfn.XLOOKUP(C20,Kuponger!E:E,Kuponger!AR:AR),0,2)=0,"",OFFSET(_xlfn.XLOOKUP(C20,Kuponger!E:E,Kuponger!AR:AR),1,2))*-1,"")</f>
        <v>0</v>
      </c>
      <c r="H20" t="str">
        <f t="shared" ca="1" si="1"/>
        <v/>
      </c>
      <c r="I20" t="str">
        <f ca="1">IFERROR(IF(t_kaf[[#This Row],[tp]]&lt;&gt;"",OFFSET(_xlfn.XLOOKUP(C20,Kuponger!E:E,Kuponger!AR:AR),1,1),""),"")</f>
        <v/>
      </c>
      <c r="J20" s="3">
        <f ca="1">IFERROR(IF(t_kaf[[#This Row],[Dato]]="",0,OFFSET(_xlfn.XLOOKUP(t_kaf[[#This Row],[Dato]],Kuponger!E:E,Kuponger!AR:AR),1,7)),"")</f>
        <v>0</v>
      </c>
      <c r="K20" s="3">
        <f ca="1">IFERROR(SUM(t_kaf[[#This Row],[tp]]),0)</f>
        <v>0</v>
      </c>
      <c r="L20" s="3" t="str">
        <f ca="1">IF(t_rb[[#This Row],[Antall_rette]]=12,1,"")</f>
        <v/>
      </c>
      <c r="M20" s="3" t="str">
        <f ca="1">IF(t_rb[[#This Row],[Antall_rette]]=11,1,"")</f>
        <v/>
      </c>
      <c r="N20" s="3" t="str">
        <f ca="1">IF(t_rb[[#This Row],[Antall_rette]]=10,1,"")</f>
        <v/>
      </c>
      <c r="O20" s="3">
        <f ca="1">IF(t_kaf[[#This Row],[12_Antall]]=1,Data!$AJ$3,0)</f>
        <v>0</v>
      </c>
      <c r="P20" s="3">
        <f ca="1">IF(t_kaf[[#This Row],[11_Antall]]=1,Data!$AJ$2,0)</f>
        <v>0</v>
      </c>
      <c r="Q20" s="3">
        <f ca="1">IF(t_kaf[[#This Row],[10_Antall]]=1,Data!$AJ$1,0)</f>
        <v>0</v>
      </c>
      <c r="R20" s="3" t="str" cm="1">
        <f t="array" ref="R20">IFERROR(IF(_xlfn.XLOOKUP(t_kaf[[#This Row],[Dato]]&amp;t_kaf[[#This Row],[navn]],Regnskap!$C$10:$C$51&amp;Regnskap!$K$10:$K$51,Regnskap!$H$10:$H$51)&gt;0,Data!$AJ$3,""),"")</f>
        <v/>
      </c>
      <c r="S20" s="3" t="str" cm="1">
        <f t="array" ref="S20">IFERROR(IF(t_kaf[[#This Row],[12_pLEV]]="",IF(_xlfn.XLOOKUP(t_kaf[[#This Row],[Dato]]&amp;t_kaf[[#This Row],[navn]],Regnskap!$C$10:$C$51&amp;Regnskap!$K$10:$K$51,Regnskap!$I$10:$I$51)&gt;0,Data!$AJ$2)),"")</f>
        <v/>
      </c>
      <c r="T20" s="3" t="str" cm="1">
        <f t="array" ref="T20">IFERROR(IF(t_kaf[[#This Row],[11_pLEV]]="",IF(_xlfn.XLOOKUP(t_kaf[[#This Row],[Dato]]&amp;t_kaf[[#This Row],[navn]],Regnskap!$C$10:$C$51&amp;Regnskap!$K$10:$K$51,Regnskap!$J$10:$J$51)&gt;0,Data!$AJ$1),""),"")</f>
        <v/>
      </c>
      <c r="U20">
        <f ca="1">SUM(t_kaf[[#This Row],[12_poeng]:[10_pLEV]])</f>
        <v>0</v>
      </c>
      <c r="V20" s="3">
        <f ca="1">SUM(t_kaf[[#This Row],[Summert]]+t_kaf[[#This Row],[LEV_poeng]])</f>
        <v>0</v>
      </c>
    </row>
    <row r="21" spans="1:28" x14ac:dyDescent="0.2">
      <c r="A21" s="3" t="s">
        <v>956</v>
      </c>
      <c r="B21">
        <f>IF(t_kaf[[#This Row],[Dato]]&lt;&gt;"",WEEKNUM(t_kaf[[#This Row],[Dato]]),"")</f>
        <v>52</v>
      </c>
      <c r="C21" s="22">
        <f>Data!AL20</f>
        <v>46382</v>
      </c>
      <c r="D21">
        <f ca="1">IFERROR(IF(t_kaf[[#This Row],[Dato]]="","",OFFSET(_xlfn.XLOOKUP(C21,Kuponger!E:E,Kuponger!AR:AR),15,0)),"")</f>
        <v>0</v>
      </c>
      <c r="E21">
        <f ca="1">IFERROR(OFFSET(_xlfn.XLOOKUP(C21,Kuponger!E:E,Kuponger!AR:AR),15,1),"")</f>
        <v>0</v>
      </c>
      <c r="F21">
        <f ca="1">IFERROR(IF(t_kaf[[#This Row],[Dato]]="","",OFFSET(_xlfn.XLOOKUP(C21,Kuponger!E:E,Kuponger!AR:AR),15,2)),"")</f>
        <v>0</v>
      </c>
      <c r="G21">
        <f ca="1">IFERROR(IF(OFFSET(_xlfn.XLOOKUP(C21,Kuponger!E:E,Kuponger!AR:AR),0,2)=0,"",OFFSET(_xlfn.XLOOKUP(C21,Kuponger!E:E,Kuponger!AR:AR),1,2))*-1,"")</f>
        <v>0</v>
      </c>
      <c r="H21" t="str">
        <f t="shared" ca="1" si="1"/>
        <v/>
      </c>
      <c r="I21" t="str">
        <f ca="1">IFERROR(IF(t_kaf[[#This Row],[tp]]&lt;&gt;"",OFFSET(_xlfn.XLOOKUP(C21,Kuponger!E:E,Kuponger!AR:AR),1,1),""),"")</f>
        <v/>
      </c>
      <c r="J21" s="3">
        <f ca="1">IFERROR(IF(t_kaf[[#This Row],[Dato]]="",0,OFFSET(_xlfn.XLOOKUP(t_kaf[[#This Row],[Dato]],Kuponger!E:E,Kuponger!AR:AR),1,7)),"")</f>
        <v>0</v>
      </c>
      <c r="K21" s="3">
        <f ca="1">IFERROR(SUM(t_kaf[[#This Row],[tp]]),0)</f>
        <v>0</v>
      </c>
      <c r="L21" s="3" t="str">
        <f ca="1">IF(t_rb[[#This Row],[Antall_rette]]=12,1,"")</f>
        <v/>
      </c>
      <c r="M21" s="3" t="str">
        <f ca="1">IF(t_rb[[#This Row],[Antall_rette]]=11,1,"")</f>
        <v/>
      </c>
      <c r="N21" s="3" t="str">
        <f ca="1">IF(t_rb[[#This Row],[Antall_rette]]=10,1,"")</f>
        <v/>
      </c>
      <c r="O21" s="3">
        <f ca="1">IF(t_kaf[[#This Row],[12_Antall]]=1,Data!$AJ$3,0)</f>
        <v>0</v>
      </c>
      <c r="P21" s="3">
        <f ca="1">IF(t_kaf[[#This Row],[11_Antall]]=1,Data!$AJ$2,0)</f>
        <v>0</v>
      </c>
      <c r="Q21" s="3">
        <f ca="1">IF(t_kaf[[#This Row],[10_Antall]]=1,Data!$AJ$1,0)</f>
        <v>0</v>
      </c>
      <c r="R21" s="3" t="str" cm="1">
        <f t="array" ref="R21">IFERROR(IF(_xlfn.XLOOKUP(t_kaf[[#This Row],[Dato]]&amp;t_kaf[[#This Row],[navn]],Regnskap!$C$10:$C$51&amp;Regnskap!$K$10:$K$51,Regnskap!$H$10:$H$51)&gt;0,Data!$AJ$3,""),"")</f>
        <v/>
      </c>
      <c r="S21" s="3" t="str" cm="1">
        <f t="array" ref="S21">IFERROR(IF(t_kaf[[#This Row],[12_pLEV]]="",IF(_xlfn.XLOOKUP(t_kaf[[#This Row],[Dato]]&amp;t_kaf[[#This Row],[navn]],Regnskap!$C$10:$C$51&amp;Regnskap!$K$10:$K$51,Regnskap!$I$10:$I$51)&gt;0,Data!$AJ$2)),"")</f>
        <v/>
      </c>
      <c r="T21" s="3" t="str" cm="1">
        <f t="array" ref="T21">IFERROR(IF(t_kaf[[#This Row],[11_pLEV]]="",IF(_xlfn.XLOOKUP(t_kaf[[#This Row],[Dato]]&amp;t_kaf[[#This Row],[navn]],Regnskap!$C$10:$C$51&amp;Regnskap!$K$10:$K$51,Regnskap!$J$10:$J$51)&gt;0,Data!$AJ$1),""),"")</f>
        <v/>
      </c>
      <c r="U21">
        <f ca="1">SUM(t_kaf[[#This Row],[12_poeng]:[10_pLEV]])</f>
        <v>0</v>
      </c>
      <c r="V21" s="3">
        <f ca="1">SUM(t_kaf[[#This Row],[Summert]]+t_kaf[[#This Row],[LEV_poeng]])</f>
        <v>0</v>
      </c>
    </row>
    <row r="22" spans="1:28" x14ac:dyDescent="0.2">
      <c r="A22" s="3" t="s">
        <v>956</v>
      </c>
      <c r="B22">
        <f>IF(t_kaf[[#This Row],[Dato]]&lt;&gt;"",WEEKNUM(t_kaf[[#This Row],[Dato]]),"")</f>
        <v>1</v>
      </c>
      <c r="C22" s="22">
        <f>Data!AL21</f>
        <v>46389</v>
      </c>
      <c r="D22">
        <f ca="1">IFERROR(IF(t_kaf[[#This Row],[Dato]]="","",OFFSET(_xlfn.XLOOKUP(C22,Kuponger!E:E,Kuponger!AR:AR),15,0)),"")</f>
        <v>0</v>
      </c>
      <c r="E22">
        <f ca="1">IFERROR(OFFSET(_xlfn.XLOOKUP(C22,Kuponger!E:E,Kuponger!AR:AR),15,1),"")</f>
        <v>0</v>
      </c>
      <c r="F22">
        <f ca="1">IFERROR(IF(t_kaf[[#This Row],[Dato]]="","",OFFSET(_xlfn.XLOOKUP(C22,Kuponger!E:E,Kuponger!AR:AR),15,2)),"")</f>
        <v>0</v>
      </c>
      <c r="G22">
        <f ca="1">IFERROR(IF(OFFSET(_xlfn.XLOOKUP(C22,Kuponger!E:E,Kuponger!AR:AR),0,2)=0,"",OFFSET(_xlfn.XLOOKUP(C22,Kuponger!E:E,Kuponger!AR:AR),1,2))*-1,"")</f>
        <v>0</v>
      </c>
      <c r="H22" t="str">
        <f t="shared" ca="1" si="1"/>
        <v/>
      </c>
      <c r="I22" t="str">
        <f ca="1">IFERROR(IF(t_kaf[[#This Row],[tp]]&lt;&gt;"",OFFSET(_xlfn.XLOOKUP(C22,Kuponger!E:E,Kuponger!AR:AR),1,1),""),"")</f>
        <v/>
      </c>
      <c r="J22" s="3">
        <f ca="1">IFERROR(IF(t_kaf[[#This Row],[Dato]]="",0,OFFSET(_xlfn.XLOOKUP(t_kaf[[#This Row],[Dato]],Kuponger!E:E,Kuponger!AR:AR),1,7)),"")</f>
        <v>0</v>
      </c>
      <c r="K22" s="3">
        <f ca="1">IFERROR(SUM(t_kaf[[#This Row],[tp]]),0)</f>
        <v>0</v>
      </c>
      <c r="L22" s="3" t="str">
        <f ca="1">IF(t_rb[[#This Row],[Antall_rette]]=12,1,"")</f>
        <v/>
      </c>
      <c r="M22" s="3" t="str">
        <f ca="1">IF(t_rb[[#This Row],[Antall_rette]]=11,1,"")</f>
        <v/>
      </c>
      <c r="N22" s="3" t="str">
        <f ca="1">IF(t_rb[[#This Row],[Antall_rette]]=10,1,"")</f>
        <v/>
      </c>
      <c r="O22" s="3">
        <f ca="1">IF(t_kaf[[#This Row],[12_Antall]]=1,Data!$AJ$3,0)</f>
        <v>0</v>
      </c>
      <c r="P22" s="3">
        <f ca="1">IF(t_kaf[[#This Row],[11_Antall]]=1,Data!$AJ$2,0)</f>
        <v>0</v>
      </c>
      <c r="Q22" s="3">
        <f ca="1">IF(t_kaf[[#This Row],[10_Antall]]=1,Data!$AJ$1,0)</f>
        <v>0</v>
      </c>
      <c r="R22" s="3" t="str" cm="1">
        <f t="array" ref="R22">IFERROR(IF(_xlfn.XLOOKUP(t_kaf[[#This Row],[Dato]]&amp;t_kaf[[#This Row],[navn]],Regnskap!$C$10:$C$51&amp;Regnskap!$K$10:$K$51,Regnskap!$H$10:$H$51)&gt;0,Data!$AJ$3,""),"")</f>
        <v/>
      </c>
      <c r="S22" s="3" t="str" cm="1">
        <f t="array" ref="S22">IFERROR(IF(t_kaf[[#This Row],[12_pLEV]]="",IF(_xlfn.XLOOKUP(t_kaf[[#This Row],[Dato]]&amp;t_kaf[[#This Row],[navn]],Regnskap!$C$10:$C$51&amp;Regnskap!$K$10:$K$51,Regnskap!$I$10:$I$51)&gt;0,Data!$AJ$2)),"")</f>
        <v/>
      </c>
      <c r="T22" s="3" t="str" cm="1">
        <f t="array" ref="T22">IFERROR(IF(t_kaf[[#This Row],[11_pLEV]]="",IF(_xlfn.XLOOKUP(t_kaf[[#This Row],[Dato]]&amp;t_kaf[[#This Row],[navn]],Regnskap!$C$10:$C$51&amp;Regnskap!$K$10:$K$51,Regnskap!$J$10:$J$51)&gt;0,Data!$AJ$1),""),"")</f>
        <v/>
      </c>
      <c r="U22">
        <f ca="1">SUM(t_kaf[[#This Row],[12_poeng]:[10_pLEV]])</f>
        <v>0</v>
      </c>
      <c r="V22" s="3">
        <f ca="1">SUM(t_kaf[[#This Row],[Summert]]+t_kaf[[#This Row],[LEV_poeng]])</f>
        <v>0</v>
      </c>
    </row>
    <row r="23" spans="1:28" x14ac:dyDescent="0.2">
      <c r="A23" s="3" t="s">
        <v>956</v>
      </c>
      <c r="B23">
        <f>IF(t_kaf[[#This Row],[Dato]]&lt;&gt;"",WEEKNUM(t_kaf[[#This Row],[Dato]]),"")</f>
        <v>2</v>
      </c>
      <c r="C23" s="22">
        <f>Data!AL22</f>
        <v>46396</v>
      </c>
      <c r="D23">
        <f ca="1">IFERROR(IF(t_kaf[[#This Row],[Dato]]="","",OFFSET(_xlfn.XLOOKUP(C23,Kuponger!E:E,Kuponger!AR:AR),15,0)),"")</f>
        <v>0</v>
      </c>
      <c r="E23">
        <f ca="1">IFERROR(OFFSET(_xlfn.XLOOKUP(C23,Kuponger!E:E,Kuponger!AR:AR),15,1),"")</f>
        <v>0</v>
      </c>
      <c r="F23">
        <f ca="1">IFERROR(IF(t_kaf[[#This Row],[Dato]]="","",OFFSET(_xlfn.XLOOKUP(C23,Kuponger!E:E,Kuponger!AR:AR),15,2)),"")</f>
        <v>0</v>
      </c>
      <c r="G23">
        <f ca="1">IFERROR(IF(OFFSET(_xlfn.XLOOKUP(C23,Kuponger!E:E,Kuponger!AR:AR),0,2)=0,"",OFFSET(_xlfn.XLOOKUP(C23,Kuponger!E:E,Kuponger!AR:AR),1,2))*-1,"")</f>
        <v>0</v>
      </c>
      <c r="H23" t="str">
        <f t="shared" ca="1" si="1"/>
        <v/>
      </c>
      <c r="I23" t="str">
        <f ca="1">IFERROR(IF(t_kaf[[#This Row],[tp]]&lt;&gt;"",OFFSET(_xlfn.XLOOKUP(C23,Kuponger!E:E,Kuponger!AR:AR),1,1),""),"")</f>
        <v/>
      </c>
      <c r="J23" s="3">
        <f ca="1">IFERROR(IF(t_kaf[[#This Row],[Dato]]="",0,OFFSET(_xlfn.XLOOKUP(t_kaf[[#This Row],[Dato]],Kuponger!E:E,Kuponger!AR:AR),1,7)),"")</f>
        <v>0</v>
      </c>
      <c r="K23" s="3">
        <f ca="1">IFERROR(SUM(t_kaf[[#This Row],[tp]]),0)</f>
        <v>0</v>
      </c>
      <c r="L23" s="3" t="str">
        <f ca="1">IF(t_rb[[#This Row],[Antall_rette]]=12,1,"")</f>
        <v/>
      </c>
      <c r="M23" s="3" t="str">
        <f ca="1">IF(t_rb[[#This Row],[Antall_rette]]=11,1,"")</f>
        <v/>
      </c>
      <c r="N23" s="3" t="str">
        <f ca="1">IF(t_rb[[#This Row],[Antall_rette]]=10,1,"")</f>
        <v/>
      </c>
      <c r="O23" s="3">
        <f ca="1">IF(t_kaf[[#This Row],[12_Antall]]=1,Data!$AJ$3,0)</f>
        <v>0</v>
      </c>
      <c r="P23" s="3">
        <f ca="1">IF(t_kaf[[#This Row],[11_Antall]]=1,Data!$AJ$2,0)</f>
        <v>0</v>
      </c>
      <c r="Q23" s="3">
        <f ca="1">IF(t_kaf[[#This Row],[10_Antall]]=1,Data!$AJ$1,0)</f>
        <v>0</v>
      </c>
      <c r="R23" s="3" t="str" cm="1">
        <f t="array" ref="R23">IFERROR(IF(_xlfn.XLOOKUP(t_kaf[[#This Row],[Dato]]&amp;t_kaf[[#This Row],[navn]],Regnskap!$C$10:$C$51&amp;Regnskap!$K$10:$K$51,Regnskap!$H$10:$H$51)&gt;0,Data!$AJ$3,""),"")</f>
        <v/>
      </c>
      <c r="S23" s="3" t="str" cm="1">
        <f t="array" ref="S23">IFERROR(IF(t_kaf[[#This Row],[12_pLEV]]="",IF(_xlfn.XLOOKUP(t_kaf[[#This Row],[Dato]]&amp;t_kaf[[#This Row],[navn]],Regnskap!$C$10:$C$51&amp;Regnskap!$K$10:$K$51,Regnskap!$I$10:$I$51)&gt;0,Data!$AJ$2)),"")</f>
        <v/>
      </c>
      <c r="T23" s="3" t="str" cm="1">
        <f t="array" ref="T23">IFERROR(IF(t_kaf[[#This Row],[11_pLEV]]="",IF(_xlfn.XLOOKUP(t_kaf[[#This Row],[Dato]]&amp;t_kaf[[#This Row],[navn]],Regnskap!$C$10:$C$51&amp;Regnskap!$K$10:$K$51,Regnskap!$J$10:$J$51)&gt;0,Data!$AJ$1),""),"")</f>
        <v/>
      </c>
      <c r="U23">
        <f ca="1">SUM(t_kaf[[#This Row],[12_poeng]:[10_pLEV]])</f>
        <v>0</v>
      </c>
      <c r="V23" s="3">
        <f ca="1">SUM(t_kaf[[#This Row],[Summert]]+t_kaf[[#This Row],[LEV_poeng]])</f>
        <v>0</v>
      </c>
    </row>
    <row r="24" spans="1:28" x14ac:dyDescent="0.2">
      <c r="A24" s="3" t="s">
        <v>956</v>
      </c>
      <c r="B24">
        <f>IF(t_kaf[[#This Row],[Dato]]&lt;&gt;"",WEEKNUM(t_kaf[[#This Row],[Dato]]),"")</f>
        <v>3</v>
      </c>
      <c r="C24" s="22">
        <f>Data!AL23</f>
        <v>46403</v>
      </c>
      <c r="D24">
        <f ca="1">IFERROR(IF(t_kaf[[#This Row],[Dato]]="","",OFFSET(_xlfn.XLOOKUP(C24,Kuponger!E:E,Kuponger!AR:AR),15,0)),"")</f>
        <v>0</v>
      </c>
      <c r="E24">
        <f ca="1">IFERROR(OFFSET(_xlfn.XLOOKUP(C24,Kuponger!E:E,Kuponger!AR:AR),15,1),"")</f>
        <v>0</v>
      </c>
      <c r="F24">
        <f ca="1">IFERROR(IF(t_kaf[[#This Row],[Dato]]="","",OFFSET(_xlfn.XLOOKUP(C24,Kuponger!E:E,Kuponger!AR:AR),15,2)),"")</f>
        <v>0</v>
      </c>
      <c r="G24">
        <f ca="1">IFERROR(IF(OFFSET(_xlfn.XLOOKUP(C24,Kuponger!E:E,Kuponger!AR:AR),0,2)=0,"",OFFSET(_xlfn.XLOOKUP(C24,Kuponger!E:E,Kuponger!AR:AR),1,2))*-1,"")</f>
        <v>0</v>
      </c>
      <c r="H24" t="str">
        <f t="shared" ca="1" si="1"/>
        <v/>
      </c>
      <c r="I24" t="str">
        <f ca="1">IFERROR(IF(t_kaf[[#This Row],[tp]]&lt;&gt;"",OFFSET(_xlfn.XLOOKUP(C24,Kuponger!E:E,Kuponger!AR:AR),1,1),""),"")</f>
        <v/>
      </c>
      <c r="J24" s="3">
        <f ca="1">IFERROR(IF(t_kaf[[#This Row],[Dato]]="",0,OFFSET(_xlfn.XLOOKUP(t_kaf[[#This Row],[Dato]],Kuponger!E:E,Kuponger!AR:AR),1,7)),"")</f>
        <v>0</v>
      </c>
      <c r="K24" s="3">
        <f ca="1">IFERROR(SUM(t_kaf[[#This Row],[tp]]),0)</f>
        <v>0</v>
      </c>
      <c r="L24" s="3" t="str">
        <f ca="1">IF(t_rb[[#This Row],[Antall_rette]]=12,1,"")</f>
        <v/>
      </c>
      <c r="M24" s="3" t="str">
        <f ca="1">IF(t_rb[[#This Row],[Antall_rette]]=11,1,"")</f>
        <v/>
      </c>
      <c r="N24" s="3" t="str">
        <f ca="1">IF(t_rb[[#This Row],[Antall_rette]]=10,1,"")</f>
        <v/>
      </c>
      <c r="O24" s="3">
        <f ca="1">IF(t_kaf[[#This Row],[12_Antall]]=1,Data!$AJ$3,0)</f>
        <v>0</v>
      </c>
      <c r="P24" s="3">
        <f ca="1">IF(t_kaf[[#This Row],[11_Antall]]=1,Data!$AJ$2,0)</f>
        <v>0</v>
      </c>
      <c r="Q24" s="3">
        <f ca="1">IF(t_kaf[[#This Row],[10_Antall]]=1,Data!$AJ$1,0)</f>
        <v>0</v>
      </c>
      <c r="R24" s="3" t="str" cm="1">
        <f t="array" ref="R24">IFERROR(IF(_xlfn.XLOOKUP(t_kaf[[#This Row],[Dato]]&amp;t_kaf[[#This Row],[navn]],Regnskap!$C$10:$C$51&amp;Regnskap!$K$10:$K$51,Regnskap!$H$10:$H$51)&gt;0,Data!$AJ$3,""),"")</f>
        <v/>
      </c>
      <c r="S24" s="3" t="str" cm="1">
        <f t="array" ref="S24">IFERROR(IF(t_kaf[[#This Row],[12_pLEV]]="",IF(_xlfn.XLOOKUP(t_kaf[[#This Row],[Dato]]&amp;t_kaf[[#This Row],[navn]],Regnskap!$C$10:$C$51&amp;Regnskap!$K$10:$K$51,Regnskap!$I$10:$I$51)&gt;0,Data!$AJ$2)),"")</f>
        <v/>
      </c>
      <c r="T24" s="3" t="str" cm="1">
        <f t="array" ref="T24">IFERROR(IF(t_kaf[[#This Row],[11_pLEV]]="",IF(_xlfn.XLOOKUP(t_kaf[[#This Row],[Dato]]&amp;t_kaf[[#This Row],[navn]],Regnskap!$C$10:$C$51&amp;Regnskap!$K$10:$K$51,Regnskap!$J$10:$J$51)&gt;0,Data!$AJ$1),""),"")</f>
        <v/>
      </c>
      <c r="U24">
        <f ca="1">SUM(t_kaf[[#This Row],[12_poeng]:[10_pLEV]])</f>
        <v>0</v>
      </c>
      <c r="V24" s="3">
        <f ca="1">SUM(t_kaf[[#This Row],[Summert]]+t_kaf[[#This Row],[LEV_poeng]])</f>
        <v>0</v>
      </c>
    </row>
    <row r="25" spans="1:28" x14ac:dyDescent="0.2">
      <c r="A25" s="3" t="s">
        <v>956</v>
      </c>
      <c r="B25">
        <f>IF(t_kaf[[#This Row],[Dato]]&lt;&gt;"",WEEKNUM(t_kaf[[#This Row],[Dato]]),"")</f>
        <v>4</v>
      </c>
      <c r="C25" s="22">
        <f>Data!AL24</f>
        <v>46410</v>
      </c>
      <c r="D25">
        <f ca="1">IFERROR(IF(t_kaf[[#This Row],[Dato]]="","",OFFSET(_xlfn.XLOOKUP(C25,Kuponger!E:E,Kuponger!AR:AR),15,0)),"")</f>
        <v>0</v>
      </c>
      <c r="E25">
        <f ca="1">IFERROR(OFFSET(_xlfn.XLOOKUP(C25,Kuponger!E:E,Kuponger!AR:AR),15,1),"")</f>
        <v>0</v>
      </c>
      <c r="F25">
        <f ca="1">IFERROR(IF(t_kaf[[#This Row],[Dato]]="","",OFFSET(_xlfn.XLOOKUP(C25,Kuponger!E:E,Kuponger!AR:AR),15,2)),"")</f>
        <v>0</v>
      </c>
      <c r="G25">
        <f ca="1">IFERROR(IF(OFFSET(_xlfn.XLOOKUP(C25,Kuponger!E:E,Kuponger!AR:AR),0,2)=0,"",OFFSET(_xlfn.XLOOKUP(C25,Kuponger!E:E,Kuponger!AR:AR),1,2))*-1,"")</f>
        <v>0</v>
      </c>
      <c r="H25" t="str">
        <f t="shared" ca="1" si="1"/>
        <v/>
      </c>
      <c r="I25" t="str">
        <f ca="1">IFERROR(IF(t_kaf[[#This Row],[tp]]&lt;&gt;"",OFFSET(_xlfn.XLOOKUP(C25,Kuponger!E:E,Kuponger!AR:AR),1,1),""),"")</f>
        <v/>
      </c>
      <c r="J25" s="3">
        <f ca="1">IFERROR(IF(t_kaf[[#This Row],[Dato]]="",0,OFFSET(_xlfn.XLOOKUP(t_kaf[[#This Row],[Dato]],Kuponger!E:E,Kuponger!AR:AR),1,7)),"")</f>
        <v>0</v>
      </c>
      <c r="K25" s="3">
        <f ca="1">IFERROR(SUM(t_kaf[[#This Row],[tp]]),0)</f>
        <v>0</v>
      </c>
      <c r="L25" s="3" t="str">
        <f ca="1">IF(t_rb[[#This Row],[Antall_rette]]=12,1,"")</f>
        <v/>
      </c>
      <c r="M25" s="3" t="str">
        <f ca="1">IF(t_rb[[#This Row],[Antall_rette]]=11,1,"")</f>
        <v/>
      </c>
      <c r="N25" s="3" t="str">
        <f ca="1">IF(t_rb[[#This Row],[Antall_rette]]=10,1,"")</f>
        <v/>
      </c>
      <c r="O25" s="3">
        <f ca="1">IF(t_kaf[[#This Row],[12_Antall]]=1,Data!$AJ$3,0)</f>
        <v>0</v>
      </c>
      <c r="P25" s="3">
        <f ca="1">IF(t_kaf[[#This Row],[11_Antall]]=1,Data!$AJ$2,0)</f>
        <v>0</v>
      </c>
      <c r="Q25" s="3">
        <f ca="1">IF(t_kaf[[#This Row],[10_Antall]]=1,Data!$AJ$1,0)</f>
        <v>0</v>
      </c>
      <c r="R25" s="3" t="str" cm="1">
        <f t="array" ref="R25">IFERROR(IF(_xlfn.XLOOKUP(t_kaf[[#This Row],[Dato]]&amp;t_kaf[[#This Row],[navn]],Regnskap!$C$10:$C$51&amp;Regnskap!$K$10:$K$51,Regnskap!$H$10:$H$51)&gt;0,Data!$AJ$3,""),"")</f>
        <v/>
      </c>
      <c r="S25" s="3" t="str" cm="1">
        <f t="array" ref="S25">IFERROR(IF(t_kaf[[#This Row],[12_pLEV]]="",IF(_xlfn.XLOOKUP(t_kaf[[#This Row],[Dato]]&amp;t_kaf[[#This Row],[navn]],Regnskap!$C$10:$C$51&amp;Regnskap!$K$10:$K$51,Regnskap!$I$10:$I$51)&gt;0,Data!$AJ$2)),"")</f>
        <v/>
      </c>
      <c r="T25" s="3" t="str" cm="1">
        <f t="array" ref="T25">IFERROR(IF(t_kaf[[#This Row],[11_pLEV]]="",IF(_xlfn.XLOOKUP(t_kaf[[#This Row],[Dato]]&amp;t_kaf[[#This Row],[navn]],Regnskap!$C$10:$C$51&amp;Regnskap!$K$10:$K$51,Regnskap!$J$10:$J$51)&gt;0,Data!$AJ$1),""),"")</f>
        <v/>
      </c>
      <c r="U25">
        <f ca="1">SUM(t_kaf[[#This Row],[12_poeng]:[10_pLEV]])</f>
        <v>0</v>
      </c>
      <c r="V25" s="3">
        <f ca="1">SUM(t_kaf[[#This Row],[Summert]]+t_kaf[[#This Row],[LEV_poeng]])</f>
        <v>0</v>
      </c>
      <c r="W25" s="2"/>
      <c r="X25" s="2"/>
      <c r="Y25" s="2"/>
      <c r="Z25" s="2"/>
      <c r="AA25" s="2"/>
      <c r="AB25" s="2"/>
    </row>
    <row r="26" spans="1:28" x14ac:dyDescent="0.2">
      <c r="A26" s="3" t="s">
        <v>956</v>
      </c>
      <c r="B26">
        <f>IF(t_kaf[[#This Row],[Dato]]&lt;&gt;"",WEEKNUM(t_kaf[[#This Row],[Dato]]),"")</f>
        <v>5</v>
      </c>
      <c r="C26" s="22">
        <f>Data!AL25</f>
        <v>46417</v>
      </c>
      <c r="D26">
        <f ca="1">IFERROR(IF(t_kaf[[#This Row],[Dato]]="","",OFFSET(_xlfn.XLOOKUP(C26,Kuponger!E:E,Kuponger!AR:AR),15,0)),"")</f>
        <v>0</v>
      </c>
      <c r="E26">
        <f ca="1">IFERROR(OFFSET(_xlfn.XLOOKUP(C26,Kuponger!E:E,Kuponger!AR:AR),15,1),"")</f>
        <v>0</v>
      </c>
      <c r="F26">
        <f ca="1">IFERROR(IF(t_kaf[[#This Row],[Dato]]="","",OFFSET(_xlfn.XLOOKUP(C26,Kuponger!E:E,Kuponger!AR:AR),15,2)),"")</f>
        <v>0</v>
      </c>
      <c r="G26">
        <f ca="1">IFERROR(IF(OFFSET(_xlfn.XLOOKUP(C26,Kuponger!E:E,Kuponger!AR:AR),0,2)=0,"",OFFSET(_xlfn.XLOOKUP(C26,Kuponger!E:E,Kuponger!AR:AR),1,2))*-1,"")</f>
        <v>0</v>
      </c>
      <c r="H26" t="str">
        <f t="shared" ca="1" si="1"/>
        <v/>
      </c>
      <c r="I26" t="str">
        <f ca="1">IFERROR(IF(t_kaf[[#This Row],[tp]]&lt;&gt;"",OFFSET(_xlfn.XLOOKUP(C26,Kuponger!E:E,Kuponger!AR:AR),1,1),""),"")</f>
        <v/>
      </c>
      <c r="J26" s="3">
        <f ca="1">IFERROR(IF(t_kaf[[#This Row],[Dato]]="",0,OFFSET(_xlfn.XLOOKUP(t_kaf[[#This Row],[Dato]],Kuponger!E:E,Kuponger!AR:AR),1,7)),"")</f>
        <v>0</v>
      </c>
      <c r="K26" s="3">
        <f ca="1">IFERROR(SUM(t_kaf[[#This Row],[tp]]),0)</f>
        <v>0</v>
      </c>
      <c r="L26" s="3" t="str">
        <f ca="1">IF(t_rb[[#This Row],[Antall_rette]]=12,1,"")</f>
        <v/>
      </c>
      <c r="M26" s="3" t="str">
        <f ca="1">IF(t_rb[[#This Row],[Antall_rette]]=11,1,"")</f>
        <v/>
      </c>
      <c r="N26" s="3" t="str">
        <f ca="1">IF(t_rb[[#This Row],[Antall_rette]]=10,1,"")</f>
        <v/>
      </c>
      <c r="O26" s="3">
        <f ca="1">IF(t_kaf[[#This Row],[12_Antall]]=1,Data!$AJ$3,0)</f>
        <v>0</v>
      </c>
      <c r="P26" s="3">
        <f ca="1">IF(t_kaf[[#This Row],[11_Antall]]=1,Data!$AJ$2,0)</f>
        <v>0</v>
      </c>
      <c r="Q26" s="3">
        <f ca="1">IF(t_kaf[[#This Row],[10_Antall]]=1,Data!$AJ$1,0)</f>
        <v>0</v>
      </c>
      <c r="R26" s="3" t="str" cm="1">
        <f t="array" ref="R26">IFERROR(IF(_xlfn.XLOOKUP(t_kaf[[#This Row],[Dato]]&amp;t_kaf[[#This Row],[navn]],Regnskap!$C$10:$C$51&amp;Regnskap!$K$10:$K$51,Regnskap!$H$10:$H$51)&gt;0,Data!$AJ$3,""),"")</f>
        <v/>
      </c>
      <c r="S26" s="3" t="str" cm="1">
        <f t="array" ref="S26">IFERROR(IF(t_kaf[[#This Row],[12_pLEV]]="",IF(_xlfn.XLOOKUP(t_kaf[[#This Row],[Dato]]&amp;t_kaf[[#This Row],[navn]],Regnskap!$C$10:$C$51&amp;Regnskap!$K$10:$K$51,Regnskap!$I$10:$I$51)&gt;0,Data!$AJ$2)),"")</f>
        <v/>
      </c>
      <c r="T26" s="3" t="str" cm="1">
        <f t="array" ref="T26">IFERROR(IF(t_kaf[[#This Row],[11_pLEV]]="",IF(_xlfn.XLOOKUP(t_kaf[[#This Row],[Dato]]&amp;t_kaf[[#This Row],[navn]],Regnskap!$C$10:$C$51&amp;Regnskap!$K$10:$K$51,Regnskap!$J$10:$J$51)&gt;0,Data!$AJ$1),""),"")</f>
        <v/>
      </c>
      <c r="U26">
        <f ca="1">SUM(t_kaf[[#This Row],[12_poeng]:[10_pLEV]])</f>
        <v>0</v>
      </c>
      <c r="V26" s="3">
        <f ca="1">SUM(t_kaf[[#This Row],[Summert]]+t_kaf[[#This Row],[LEV_poeng]])</f>
        <v>0</v>
      </c>
    </row>
    <row r="27" spans="1:28" x14ac:dyDescent="0.2">
      <c r="A27" s="3" t="s">
        <v>956</v>
      </c>
      <c r="B27">
        <f>IF(t_kaf[[#This Row],[Dato]]&lt;&gt;"",WEEKNUM(t_kaf[[#This Row],[Dato]]),"")</f>
        <v>6</v>
      </c>
      <c r="C27" s="22">
        <f>Data!AL26</f>
        <v>46424</v>
      </c>
      <c r="D27">
        <f ca="1">IFERROR(IF(t_kaf[[#This Row],[Dato]]="","",OFFSET(_xlfn.XLOOKUP(C27,Kuponger!E:E,Kuponger!AR:AR),15,0)),"")</f>
        <v>0</v>
      </c>
      <c r="E27">
        <f ca="1">IFERROR(OFFSET(_xlfn.XLOOKUP(C27,Kuponger!E:E,Kuponger!AR:AR),15,1),"")</f>
        <v>0</v>
      </c>
      <c r="F27">
        <f ca="1">IFERROR(IF(t_kaf[[#This Row],[Dato]]="","",OFFSET(_xlfn.XLOOKUP(C27,Kuponger!E:E,Kuponger!AR:AR),15,2)),"")</f>
        <v>0</v>
      </c>
      <c r="G27">
        <f ca="1">IFERROR(IF(OFFSET(_xlfn.XLOOKUP(C27,Kuponger!E:E,Kuponger!AR:AR),0,2)=0,"",OFFSET(_xlfn.XLOOKUP(C27,Kuponger!E:E,Kuponger!AR:AR),1,2))*-1,"")</f>
        <v>0</v>
      </c>
      <c r="H27" t="str">
        <f t="shared" ca="1" si="1"/>
        <v/>
      </c>
      <c r="I27" t="str">
        <f ca="1">IFERROR(IF(t_kaf[[#This Row],[tp]]&lt;&gt;"",OFFSET(_xlfn.XLOOKUP(C27,Kuponger!E:E,Kuponger!AR:AR),1,1),""),"")</f>
        <v/>
      </c>
      <c r="J27" s="3">
        <f ca="1">IFERROR(IF(t_kaf[[#This Row],[Dato]]="",0,OFFSET(_xlfn.XLOOKUP(t_kaf[[#This Row],[Dato]],Kuponger!E:E,Kuponger!AR:AR),1,7)),"")</f>
        <v>0</v>
      </c>
      <c r="K27" s="3">
        <f ca="1">IFERROR(SUM(t_kaf[[#This Row],[tp]]),0)</f>
        <v>0</v>
      </c>
      <c r="L27" s="3" t="str">
        <f ca="1">IF(t_rb[[#This Row],[Antall_rette]]=12,1,"")</f>
        <v/>
      </c>
      <c r="M27" s="3" t="str">
        <f ca="1">IF(t_rb[[#This Row],[Antall_rette]]=11,1,"")</f>
        <v/>
      </c>
      <c r="N27" s="3" t="str">
        <f ca="1">IF(t_rb[[#This Row],[Antall_rette]]=10,1,"")</f>
        <v/>
      </c>
      <c r="O27" s="3">
        <f ca="1">IF(t_kaf[[#This Row],[12_Antall]]=1,Data!$AJ$3,0)</f>
        <v>0</v>
      </c>
      <c r="P27" s="3">
        <f ca="1">IF(t_kaf[[#This Row],[11_Antall]]=1,Data!$AJ$2,0)</f>
        <v>0</v>
      </c>
      <c r="Q27" s="3">
        <f ca="1">IF(t_kaf[[#This Row],[10_Antall]]=1,Data!$AJ$1,0)</f>
        <v>0</v>
      </c>
      <c r="R27" s="3" t="str" cm="1">
        <f t="array" ref="R27">IFERROR(IF(_xlfn.XLOOKUP(t_kaf[[#This Row],[Dato]]&amp;t_kaf[[#This Row],[navn]],Regnskap!$C$10:$C$51&amp;Regnskap!$K$10:$K$51,Regnskap!$H$10:$H$51)&gt;0,Data!$AJ$3,""),"")</f>
        <v/>
      </c>
      <c r="S27" s="3" t="str" cm="1">
        <f t="array" ref="S27">IFERROR(IF(t_kaf[[#This Row],[12_pLEV]]="",IF(_xlfn.XLOOKUP(t_kaf[[#This Row],[Dato]]&amp;t_kaf[[#This Row],[navn]],Regnskap!$C$10:$C$51&amp;Regnskap!$K$10:$K$51,Regnskap!$I$10:$I$51)&gt;0,Data!$AJ$2)),"")</f>
        <v/>
      </c>
      <c r="T27" s="3" t="str" cm="1">
        <f t="array" ref="T27">IFERROR(IF(t_kaf[[#This Row],[11_pLEV]]="",IF(_xlfn.XLOOKUP(t_kaf[[#This Row],[Dato]]&amp;t_kaf[[#This Row],[navn]],Regnskap!$C$10:$C$51&amp;Regnskap!$K$10:$K$51,Regnskap!$J$10:$J$51)&gt;0,Data!$AJ$1),""),"")</f>
        <v/>
      </c>
      <c r="U27">
        <f ca="1">SUM(t_kaf[[#This Row],[12_poeng]:[10_pLEV]])</f>
        <v>0</v>
      </c>
      <c r="V27" s="3">
        <f ca="1">SUM(t_kaf[[#This Row],[Summert]]+t_kaf[[#This Row],[LEV_poeng]])</f>
        <v>0</v>
      </c>
    </row>
    <row r="28" spans="1:28" x14ac:dyDescent="0.2">
      <c r="A28" s="3" t="s">
        <v>956</v>
      </c>
      <c r="B28">
        <f>IF(t_kaf[[#This Row],[Dato]]&lt;&gt;"",WEEKNUM(t_kaf[[#This Row],[Dato]]),"")</f>
        <v>7</v>
      </c>
      <c r="C28" s="22">
        <f>Data!AL27</f>
        <v>46431</v>
      </c>
      <c r="D28">
        <f ca="1">IFERROR(IF(t_kaf[[#This Row],[Dato]]="","",OFFSET(_xlfn.XLOOKUP(C28,Kuponger!E:E,Kuponger!AR:AR),15,0)),"")</f>
        <v>0</v>
      </c>
      <c r="E28">
        <f ca="1">IFERROR(OFFSET(_xlfn.XLOOKUP(C28,Kuponger!E:E,Kuponger!AR:AR),15,1),"")</f>
        <v>0</v>
      </c>
      <c r="F28">
        <f ca="1">IFERROR(IF(t_kaf[[#This Row],[Dato]]="","",OFFSET(_xlfn.XLOOKUP(C28,Kuponger!E:E,Kuponger!AR:AR),15,2)),"")</f>
        <v>0</v>
      </c>
      <c r="G28">
        <f ca="1">IFERROR(IF(OFFSET(_xlfn.XLOOKUP(C28,Kuponger!E:E,Kuponger!AR:AR),0,2)=0,"",OFFSET(_xlfn.XLOOKUP(C28,Kuponger!E:E,Kuponger!AR:AR),1,2))*-1,"")</f>
        <v>0</v>
      </c>
      <c r="H28" t="str">
        <f t="shared" ca="1" si="1"/>
        <v/>
      </c>
      <c r="I28" t="str">
        <f ca="1">IFERROR(IF(t_kaf[[#This Row],[tp]]&lt;&gt;"",OFFSET(_xlfn.XLOOKUP(C28,Kuponger!E:E,Kuponger!AR:AR),1,1),""),"")</f>
        <v/>
      </c>
      <c r="J28" s="3">
        <f ca="1">IFERROR(IF(t_kaf[[#This Row],[Dato]]="",0,OFFSET(_xlfn.XLOOKUP(t_kaf[[#This Row],[Dato]],Kuponger!E:E,Kuponger!AR:AR),1,7)),"")</f>
        <v>0</v>
      </c>
      <c r="K28" s="3">
        <f ca="1">IFERROR(SUM(t_kaf[[#This Row],[tp]]),0)</f>
        <v>0</v>
      </c>
      <c r="L28" s="3" t="str">
        <f ca="1">IF(t_rb[[#This Row],[Antall_rette]]=12,1,"")</f>
        <v/>
      </c>
      <c r="M28" s="3" t="str">
        <f ca="1">IF(t_rb[[#This Row],[Antall_rette]]=11,1,"")</f>
        <v/>
      </c>
      <c r="N28" s="3" t="str">
        <f ca="1">IF(t_rb[[#This Row],[Antall_rette]]=10,1,"")</f>
        <v/>
      </c>
      <c r="O28" s="3">
        <f ca="1">IF(t_kaf[[#This Row],[12_Antall]]=1,Data!$AJ$3,0)</f>
        <v>0</v>
      </c>
      <c r="P28" s="3">
        <f ca="1">IF(t_kaf[[#This Row],[11_Antall]]=1,Data!$AJ$2,0)</f>
        <v>0</v>
      </c>
      <c r="Q28" s="3">
        <f ca="1">IF(t_kaf[[#This Row],[10_Antall]]=1,Data!$AJ$1,0)</f>
        <v>0</v>
      </c>
      <c r="R28" s="3" t="str" cm="1">
        <f t="array" ref="R28">IFERROR(IF(_xlfn.XLOOKUP(t_kaf[[#This Row],[Dato]]&amp;t_kaf[[#This Row],[navn]],Regnskap!$C$10:$C$51&amp;Regnskap!$K$10:$K$51,Regnskap!$H$10:$H$51)&gt;0,Data!$AJ$3,""),"")</f>
        <v/>
      </c>
      <c r="S28" s="3" t="str" cm="1">
        <f t="array" ref="S28">IFERROR(IF(t_kaf[[#This Row],[12_pLEV]]="",IF(_xlfn.XLOOKUP(t_kaf[[#This Row],[Dato]]&amp;t_kaf[[#This Row],[navn]],Regnskap!$C$10:$C$51&amp;Regnskap!$K$10:$K$51,Regnskap!$I$10:$I$51)&gt;0,Data!$AJ$2)),"")</f>
        <v/>
      </c>
      <c r="T28" s="3" t="str" cm="1">
        <f t="array" ref="T28">IFERROR(IF(t_kaf[[#This Row],[11_pLEV]]="",IF(_xlfn.XLOOKUP(t_kaf[[#This Row],[Dato]]&amp;t_kaf[[#This Row],[navn]],Regnskap!$C$10:$C$51&amp;Regnskap!$K$10:$K$51,Regnskap!$J$10:$J$51)&gt;0,Data!$AJ$1),""),"")</f>
        <v/>
      </c>
      <c r="U28">
        <f ca="1">SUM(t_kaf[[#This Row],[12_poeng]:[10_pLEV]])</f>
        <v>0</v>
      </c>
      <c r="V28" s="3">
        <f ca="1">SUM(t_kaf[[#This Row],[Summert]]+t_kaf[[#This Row],[LEV_poeng]])</f>
        <v>0</v>
      </c>
    </row>
    <row r="29" spans="1:28" x14ac:dyDescent="0.2">
      <c r="A29" s="3" t="s">
        <v>956</v>
      </c>
      <c r="B29">
        <f>IF(t_kaf[[#This Row],[Dato]]&lt;&gt;"",WEEKNUM(t_kaf[[#This Row],[Dato]]),"")</f>
        <v>8</v>
      </c>
      <c r="C29" s="22">
        <f>Data!AL28</f>
        <v>46438</v>
      </c>
      <c r="D29">
        <f ca="1">IFERROR(IF(t_kaf[[#This Row],[Dato]]="","",OFFSET(_xlfn.XLOOKUP(C29,Kuponger!E:E,Kuponger!AR:AR),15,0)),"")</f>
        <v>0</v>
      </c>
      <c r="E29">
        <f ca="1">IFERROR(OFFSET(_xlfn.XLOOKUP(C29,Kuponger!E:E,Kuponger!AR:AR),15,1),"")</f>
        <v>0</v>
      </c>
      <c r="F29">
        <f ca="1">IFERROR(IF(t_kaf[[#This Row],[Dato]]="","",OFFSET(_xlfn.XLOOKUP(C29,Kuponger!E:E,Kuponger!AR:AR),15,2)),"")</f>
        <v>0</v>
      </c>
      <c r="G29">
        <f ca="1">IFERROR(IF(OFFSET(_xlfn.XLOOKUP(C29,Kuponger!E:E,Kuponger!AR:AR),0,2)=0,"",OFFSET(_xlfn.XLOOKUP(C29,Kuponger!E:E,Kuponger!AR:AR),1,2))*-1,"")</f>
        <v>0</v>
      </c>
      <c r="H29" t="str">
        <f t="shared" ca="1" si="1"/>
        <v/>
      </c>
      <c r="I29" t="str">
        <f ca="1">IFERROR(IF(t_kaf[[#This Row],[tp]]&lt;&gt;"",OFFSET(_xlfn.XLOOKUP(C29,Kuponger!E:E,Kuponger!AR:AR),1,1),""),"")</f>
        <v/>
      </c>
      <c r="J29" s="3">
        <f ca="1">IFERROR(IF(t_kaf[[#This Row],[Dato]]="",0,OFFSET(_xlfn.XLOOKUP(t_kaf[[#This Row],[Dato]],Kuponger!E:E,Kuponger!AR:AR),1,7)),"")</f>
        <v>0</v>
      </c>
      <c r="K29" s="3">
        <f ca="1">IFERROR(SUM(t_kaf[[#This Row],[tp]]),0)</f>
        <v>0</v>
      </c>
      <c r="L29" s="3" t="str">
        <f ca="1">IF(t_rb[[#This Row],[Antall_rette]]=12,1,"")</f>
        <v/>
      </c>
      <c r="M29" s="3" t="str">
        <f ca="1">IF(t_rb[[#This Row],[Antall_rette]]=11,1,"")</f>
        <v/>
      </c>
      <c r="N29" s="3" t="str">
        <f ca="1">IF(t_rb[[#This Row],[Antall_rette]]=10,1,"")</f>
        <v/>
      </c>
      <c r="O29" s="3">
        <f ca="1">IF(t_kaf[[#This Row],[12_Antall]]=1,Data!$AJ$3,0)</f>
        <v>0</v>
      </c>
      <c r="P29" s="3">
        <f ca="1">IF(t_kaf[[#This Row],[11_Antall]]=1,Data!$AJ$2,0)</f>
        <v>0</v>
      </c>
      <c r="Q29" s="3">
        <f ca="1">IF(t_kaf[[#This Row],[10_Antall]]=1,Data!$AJ$1,0)</f>
        <v>0</v>
      </c>
      <c r="R29" s="3" t="str" cm="1">
        <f t="array" ref="R29">IFERROR(IF(_xlfn.XLOOKUP(t_kaf[[#This Row],[Dato]]&amp;t_kaf[[#This Row],[navn]],Regnskap!$C$10:$C$51&amp;Regnskap!$K$10:$K$51,Regnskap!$H$10:$H$51)&gt;0,Data!$AJ$3,""),"")</f>
        <v/>
      </c>
      <c r="S29" s="3" t="str" cm="1">
        <f t="array" ref="S29">IFERROR(IF(t_kaf[[#This Row],[12_pLEV]]="",IF(_xlfn.XLOOKUP(t_kaf[[#This Row],[Dato]]&amp;t_kaf[[#This Row],[navn]],Regnskap!$C$10:$C$51&amp;Regnskap!$K$10:$K$51,Regnskap!$I$10:$I$51)&gt;0,Data!$AJ$2)),"")</f>
        <v/>
      </c>
      <c r="T29" s="3" t="str" cm="1">
        <f t="array" ref="T29">IFERROR(IF(t_kaf[[#This Row],[11_pLEV]]="",IF(_xlfn.XLOOKUP(t_kaf[[#This Row],[Dato]]&amp;t_kaf[[#This Row],[navn]],Regnskap!$C$10:$C$51&amp;Regnskap!$K$10:$K$51,Regnskap!$J$10:$J$51)&gt;0,Data!$AJ$1),""),"")</f>
        <v/>
      </c>
      <c r="U29">
        <f ca="1">SUM(t_kaf[[#This Row],[12_poeng]:[10_pLEV]])</f>
        <v>0</v>
      </c>
      <c r="V29" s="3">
        <f ca="1">SUM(t_kaf[[#This Row],[Summert]]+t_kaf[[#This Row],[LEV_poeng]])</f>
        <v>0</v>
      </c>
    </row>
    <row r="30" spans="1:28" x14ac:dyDescent="0.2">
      <c r="A30" s="3" t="s">
        <v>956</v>
      </c>
      <c r="B30">
        <f>IF(t_kaf[[#This Row],[Dato]]&lt;&gt;"",WEEKNUM(t_kaf[[#This Row],[Dato]]),"")</f>
        <v>9</v>
      </c>
      <c r="C30" s="22">
        <f>Data!AL29</f>
        <v>46445</v>
      </c>
      <c r="D30">
        <f ca="1">IFERROR(IF(t_kaf[[#This Row],[Dato]]="","",OFFSET(_xlfn.XLOOKUP(C30,Kuponger!E:E,Kuponger!AR:AR),15,0)),"")</f>
        <v>0</v>
      </c>
      <c r="E30">
        <f ca="1">IFERROR(OFFSET(_xlfn.XLOOKUP(C30,Kuponger!E:E,Kuponger!AR:AR),15,1),"")</f>
        <v>0</v>
      </c>
      <c r="F30">
        <f ca="1">IFERROR(IF(t_kaf[[#This Row],[Dato]]="","",OFFSET(_xlfn.XLOOKUP(C30,Kuponger!E:E,Kuponger!AR:AR),15,2)),"")</f>
        <v>0</v>
      </c>
      <c r="G30">
        <f ca="1">IFERROR(IF(OFFSET(_xlfn.XLOOKUP(C30,Kuponger!E:E,Kuponger!AR:AR),0,2)=0,"",OFFSET(_xlfn.XLOOKUP(C30,Kuponger!E:E,Kuponger!AR:AR),1,2))*-1,"")</f>
        <v>0</v>
      </c>
      <c r="H30" t="str">
        <f t="shared" ca="1" si="1"/>
        <v/>
      </c>
      <c r="I30" t="str">
        <f ca="1">IFERROR(IF(t_kaf[[#This Row],[tp]]&lt;&gt;"",OFFSET(_xlfn.XLOOKUP(C30,Kuponger!E:E,Kuponger!AR:AR),1,1),""),"")</f>
        <v/>
      </c>
      <c r="J30" s="3">
        <f ca="1">IFERROR(IF(t_kaf[[#This Row],[Dato]]="",0,OFFSET(_xlfn.XLOOKUP(t_kaf[[#This Row],[Dato]],Kuponger!E:E,Kuponger!AR:AR),1,7)),"")</f>
        <v>0</v>
      </c>
      <c r="K30" s="3">
        <f ca="1">IFERROR(SUM(t_kaf[[#This Row],[tp]]),0)</f>
        <v>0</v>
      </c>
      <c r="L30" s="3" t="str">
        <f ca="1">IF(t_rb[[#This Row],[Antall_rette]]=12,1,"")</f>
        <v/>
      </c>
      <c r="M30" s="3" t="str">
        <f ca="1">IF(t_rb[[#This Row],[Antall_rette]]=11,1,"")</f>
        <v/>
      </c>
      <c r="N30" s="3" t="str">
        <f ca="1">IF(t_rb[[#This Row],[Antall_rette]]=10,1,"")</f>
        <v/>
      </c>
      <c r="O30" s="3">
        <f ca="1">IF(t_kaf[[#This Row],[12_Antall]]=1,Data!$AJ$3,0)</f>
        <v>0</v>
      </c>
      <c r="P30" s="3">
        <f ca="1">IF(t_kaf[[#This Row],[11_Antall]]=1,Data!$AJ$2,0)</f>
        <v>0</v>
      </c>
      <c r="Q30" s="3">
        <f ca="1">IF(t_kaf[[#This Row],[10_Antall]]=1,Data!$AJ$1,0)</f>
        <v>0</v>
      </c>
      <c r="R30" s="3" t="str" cm="1">
        <f t="array" ref="R30">IFERROR(IF(_xlfn.XLOOKUP(t_kaf[[#This Row],[Dato]]&amp;t_kaf[[#This Row],[navn]],Regnskap!$C$10:$C$51&amp;Regnskap!$K$10:$K$51,Regnskap!$H$10:$H$51)&gt;0,Data!$AJ$3,""),"")</f>
        <v/>
      </c>
      <c r="S30" s="3" t="str" cm="1">
        <f t="array" ref="S30">IFERROR(IF(t_kaf[[#This Row],[12_pLEV]]="",IF(_xlfn.XLOOKUP(t_kaf[[#This Row],[Dato]]&amp;t_kaf[[#This Row],[navn]],Regnskap!$C$10:$C$51&amp;Regnskap!$K$10:$K$51,Regnskap!$I$10:$I$51)&gt;0,Data!$AJ$2)),"")</f>
        <v/>
      </c>
      <c r="T30" s="3" t="str" cm="1">
        <f t="array" ref="T30">IFERROR(IF(t_kaf[[#This Row],[11_pLEV]]="",IF(_xlfn.XLOOKUP(t_kaf[[#This Row],[Dato]]&amp;t_kaf[[#This Row],[navn]],Regnskap!$C$10:$C$51&amp;Regnskap!$K$10:$K$51,Regnskap!$J$10:$J$51)&gt;0,Data!$AJ$1),""),"")</f>
        <v/>
      </c>
      <c r="U30">
        <f ca="1">SUM(t_kaf[[#This Row],[12_poeng]:[10_pLEV]])</f>
        <v>0</v>
      </c>
      <c r="V30" s="3">
        <f ca="1">SUM(t_kaf[[#This Row],[Summert]]+t_kaf[[#This Row],[LEV_poeng]])</f>
        <v>0</v>
      </c>
    </row>
    <row r="31" spans="1:28" x14ac:dyDescent="0.2">
      <c r="A31" s="3" t="s">
        <v>956</v>
      </c>
      <c r="B31">
        <f>IF(t_kaf[[#This Row],[Dato]]&lt;&gt;"",WEEKNUM(t_kaf[[#This Row],[Dato]]),"")</f>
        <v>10</v>
      </c>
      <c r="C31" s="22">
        <f>Data!AL30</f>
        <v>46452</v>
      </c>
      <c r="D31">
        <f ca="1">IFERROR(IF(t_kaf[[#This Row],[Dato]]="","",OFFSET(_xlfn.XLOOKUP(C31,Kuponger!E:E,Kuponger!AR:AR),15,0)),"")</f>
        <v>0</v>
      </c>
      <c r="E31">
        <f ca="1">IFERROR(OFFSET(_xlfn.XLOOKUP(C31,Kuponger!E:E,Kuponger!AR:AR),15,1),"")</f>
        <v>0</v>
      </c>
      <c r="F31">
        <f ca="1">IFERROR(IF(t_kaf[[#This Row],[Dato]]="","",OFFSET(_xlfn.XLOOKUP(C31,Kuponger!E:E,Kuponger!AR:AR),15,2)),"")</f>
        <v>0</v>
      </c>
      <c r="G31">
        <f ca="1">IFERROR(IF(OFFSET(_xlfn.XLOOKUP(C31,Kuponger!E:E,Kuponger!AR:AR),0,2)=0,"",OFFSET(_xlfn.XLOOKUP(C31,Kuponger!E:E,Kuponger!AR:AR),1,2))*-1,"")</f>
        <v>0</v>
      </c>
      <c r="H31" t="str">
        <f t="shared" ca="1" si="1"/>
        <v/>
      </c>
      <c r="I31" t="str">
        <f ca="1">IFERROR(IF(t_kaf[[#This Row],[tp]]&lt;&gt;"",OFFSET(_xlfn.XLOOKUP(C31,Kuponger!E:E,Kuponger!AR:AR),1,1),""),"")</f>
        <v/>
      </c>
      <c r="J31" s="3">
        <f ca="1">IFERROR(IF(t_kaf[[#This Row],[Dato]]="",0,OFFSET(_xlfn.XLOOKUP(t_kaf[[#This Row],[Dato]],Kuponger!E:E,Kuponger!AR:AR),1,7)),"")</f>
        <v>0</v>
      </c>
      <c r="K31" s="3">
        <f ca="1">IFERROR(SUM(t_kaf[[#This Row],[tp]]),0)</f>
        <v>0</v>
      </c>
      <c r="L31" s="3" t="str">
        <f ca="1">IF(t_rb[[#This Row],[Antall_rette]]=12,1,"")</f>
        <v/>
      </c>
      <c r="M31" s="3" t="str">
        <f ca="1">IF(t_rb[[#This Row],[Antall_rette]]=11,1,"")</f>
        <v/>
      </c>
      <c r="N31" s="3" t="str">
        <f ca="1">IF(t_rb[[#This Row],[Antall_rette]]=10,1,"")</f>
        <v/>
      </c>
      <c r="O31" s="3">
        <f ca="1">IF(t_kaf[[#This Row],[12_Antall]]=1,Data!$AJ$3,0)</f>
        <v>0</v>
      </c>
      <c r="P31" s="3">
        <f ca="1">IF(t_kaf[[#This Row],[11_Antall]]=1,Data!$AJ$2,0)</f>
        <v>0</v>
      </c>
      <c r="Q31" s="3">
        <f ca="1">IF(t_kaf[[#This Row],[10_Antall]]=1,Data!$AJ$1,0)</f>
        <v>0</v>
      </c>
      <c r="R31" s="3" t="str" cm="1">
        <f t="array" ref="R31">IFERROR(IF(_xlfn.XLOOKUP(t_kaf[[#This Row],[Dato]]&amp;t_kaf[[#This Row],[navn]],Regnskap!$C$10:$C$51&amp;Regnskap!$K$10:$K$51,Regnskap!$H$10:$H$51)&gt;0,Data!$AJ$3,""),"")</f>
        <v/>
      </c>
      <c r="S31" s="3" t="str" cm="1">
        <f t="array" ref="S31">IFERROR(IF(t_kaf[[#This Row],[12_pLEV]]="",IF(_xlfn.XLOOKUP(t_kaf[[#This Row],[Dato]]&amp;t_kaf[[#This Row],[navn]],Regnskap!$C$10:$C$51&amp;Regnskap!$K$10:$K$51,Regnskap!$I$10:$I$51)&gt;0,Data!$AJ$2)),"")</f>
        <v/>
      </c>
      <c r="T31" s="3" t="str" cm="1">
        <f t="array" ref="T31">IFERROR(IF(t_kaf[[#This Row],[11_pLEV]]="",IF(_xlfn.XLOOKUP(t_kaf[[#This Row],[Dato]]&amp;t_kaf[[#This Row],[navn]],Regnskap!$C$10:$C$51&amp;Regnskap!$K$10:$K$51,Regnskap!$J$10:$J$51)&gt;0,Data!$AJ$1),""),"")</f>
        <v/>
      </c>
      <c r="U31">
        <f ca="1">SUM(t_kaf[[#This Row],[12_poeng]:[10_pLEV]])</f>
        <v>0</v>
      </c>
      <c r="V31" s="3">
        <f ca="1">SUM(t_kaf[[#This Row],[Summert]]+t_kaf[[#This Row],[LEV_poeng]])</f>
        <v>0</v>
      </c>
    </row>
    <row r="32" spans="1:28" x14ac:dyDescent="0.2">
      <c r="A32" s="3" t="s">
        <v>956</v>
      </c>
      <c r="B32">
        <f>IF(t_kaf[[#This Row],[Dato]]&lt;&gt;"",WEEKNUM(t_kaf[[#This Row],[Dato]]),"")</f>
        <v>11</v>
      </c>
      <c r="C32" s="22">
        <f>Data!AL31</f>
        <v>46459</v>
      </c>
      <c r="D32">
        <f ca="1">IFERROR(IF(t_kaf[[#This Row],[Dato]]="","",OFFSET(_xlfn.XLOOKUP(C32,Kuponger!E:E,Kuponger!AR:AR),15,0)),"")</f>
        <v>0</v>
      </c>
      <c r="E32">
        <f ca="1">IFERROR(OFFSET(_xlfn.XLOOKUP(C32,Kuponger!E:E,Kuponger!AR:AR),15,1),"")</f>
        <v>0</v>
      </c>
      <c r="F32">
        <f ca="1">IFERROR(IF(t_kaf[[#This Row],[Dato]]="","",OFFSET(_xlfn.XLOOKUP(C32,Kuponger!E:E,Kuponger!AR:AR),15,2)),"")</f>
        <v>0</v>
      </c>
      <c r="G32">
        <f ca="1">IFERROR(IF(OFFSET(_xlfn.XLOOKUP(C32,Kuponger!E:E,Kuponger!AR:AR),0,2)=0,"",OFFSET(_xlfn.XLOOKUP(C32,Kuponger!E:E,Kuponger!AR:AR),1,2))*-1,"")</f>
        <v>0</v>
      </c>
      <c r="H32" t="str">
        <f t="shared" ca="1" si="1"/>
        <v/>
      </c>
      <c r="I32" t="str">
        <f ca="1">IFERROR(IF(t_kaf[[#This Row],[tp]]&lt;&gt;"",OFFSET(_xlfn.XLOOKUP(C32,Kuponger!E:E,Kuponger!AR:AR),1,1),""),"")</f>
        <v/>
      </c>
      <c r="J32" s="3">
        <f ca="1">IFERROR(IF(t_kaf[[#This Row],[Dato]]="",0,OFFSET(_xlfn.XLOOKUP(t_kaf[[#This Row],[Dato]],Kuponger!E:E,Kuponger!AR:AR),1,7)),"")</f>
        <v>0</v>
      </c>
      <c r="K32" s="3">
        <f ca="1">IFERROR(SUM(t_kaf[[#This Row],[tp]]),0)</f>
        <v>0</v>
      </c>
      <c r="L32" s="3" t="str">
        <f ca="1">IF(t_rb[[#This Row],[Antall_rette]]=12,1,"")</f>
        <v/>
      </c>
      <c r="M32" s="3" t="str">
        <f ca="1">IF(t_rb[[#This Row],[Antall_rette]]=11,1,"")</f>
        <v/>
      </c>
      <c r="N32" s="3" t="str">
        <f ca="1">IF(t_rb[[#This Row],[Antall_rette]]=10,1,"")</f>
        <v/>
      </c>
      <c r="O32" s="3">
        <f ca="1">IF(t_kaf[[#This Row],[12_Antall]]=1,Data!$AJ$3,0)</f>
        <v>0</v>
      </c>
      <c r="P32" s="3">
        <f ca="1">IF(t_kaf[[#This Row],[11_Antall]]=1,Data!$AJ$2,0)</f>
        <v>0</v>
      </c>
      <c r="Q32" s="3">
        <f ca="1">IF(t_kaf[[#This Row],[10_Antall]]=1,Data!$AJ$1,0)</f>
        <v>0</v>
      </c>
      <c r="R32" s="3" t="str" cm="1">
        <f t="array" ref="R32">IFERROR(IF(_xlfn.XLOOKUP(t_kaf[[#This Row],[Dato]]&amp;t_kaf[[#This Row],[navn]],Regnskap!$C$10:$C$51&amp;Regnskap!$K$10:$K$51,Regnskap!$H$10:$H$51)&gt;0,Data!$AJ$3,""),"")</f>
        <v/>
      </c>
      <c r="S32" s="3" t="str" cm="1">
        <f t="array" ref="S32">IFERROR(IF(t_kaf[[#This Row],[12_pLEV]]="",IF(_xlfn.XLOOKUP(t_kaf[[#This Row],[Dato]]&amp;t_kaf[[#This Row],[navn]],Regnskap!$C$10:$C$51&amp;Regnskap!$K$10:$K$51,Regnskap!$I$10:$I$51)&gt;0,Data!$AJ$2)),"")</f>
        <v/>
      </c>
      <c r="T32" s="3" t="str" cm="1">
        <f t="array" ref="T32">IFERROR(IF(t_kaf[[#This Row],[11_pLEV]]="",IF(_xlfn.XLOOKUP(t_kaf[[#This Row],[Dato]]&amp;t_kaf[[#This Row],[navn]],Regnskap!$C$10:$C$51&amp;Regnskap!$K$10:$K$51,Regnskap!$J$10:$J$51)&gt;0,Data!$AJ$1),""),"")</f>
        <v/>
      </c>
      <c r="U32">
        <f ca="1">SUM(t_kaf[[#This Row],[12_poeng]:[10_pLEV]])</f>
        <v>0</v>
      </c>
      <c r="V32" s="3">
        <f ca="1">SUM(t_kaf[[#This Row],[Summert]]+t_kaf[[#This Row],[LEV_poeng]])</f>
        <v>0</v>
      </c>
    </row>
    <row r="33" spans="1:22" x14ac:dyDescent="0.2">
      <c r="A33" s="3" t="s">
        <v>956</v>
      </c>
      <c r="B33">
        <f>IF(t_kaf[[#This Row],[Dato]]&lt;&gt;"",WEEKNUM(t_kaf[[#This Row],[Dato]]),"")</f>
        <v>12</v>
      </c>
      <c r="C33" s="22">
        <f>Data!AL32</f>
        <v>46466</v>
      </c>
      <c r="D33">
        <f ca="1">IFERROR(IF(t_kaf[[#This Row],[Dato]]="","",OFFSET(_xlfn.XLOOKUP(C33,Kuponger!E:E,Kuponger!AR:AR),15,0)),"")</f>
        <v>0</v>
      </c>
      <c r="E33">
        <f ca="1">IFERROR(OFFSET(_xlfn.XLOOKUP(C33,Kuponger!E:E,Kuponger!AR:AR),15,1),"")</f>
        <v>0</v>
      </c>
      <c r="F33">
        <f ca="1">IFERROR(IF(t_kaf[[#This Row],[Dato]]="","",OFFSET(_xlfn.XLOOKUP(C33,Kuponger!E:E,Kuponger!AR:AR),15,2)),"")</f>
        <v>0</v>
      </c>
      <c r="G33">
        <f ca="1">IFERROR(IF(OFFSET(_xlfn.XLOOKUP(C33,Kuponger!E:E,Kuponger!AR:AR),0,2)=0,"",OFFSET(_xlfn.XLOOKUP(C33,Kuponger!E:E,Kuponger!AR:AR),1,2))*-1,"")</f>
        <v>0</v>
      </c>
      <c r="H33" t="str">
        <f t="shared" ca="1" si="1"/>
        <v/>
      </c>
      <c r="I33" t="str">
        <f ca="1">IFERROR(IF(t_kaf[[#This Row],[tp]]&lt;&gt;"",OFFSET(_xlfn.XLOOKUP(C33,Kuponger!E:E,Kuponger!AR:AR),1,1),""),"")</f>
        <v/>
      </c>
      <c r="J33" s="3">
        <f ca="1">IFERROR(IF(t_kaf[[#This Row],[Dato]]="",0,OFFSET(_xlfn.XLOOKUP(t_kaf[[#This Row],[Dato]],Kuponger!E:E,Kuponger!AR:AR),1,7)),"")</f>
        <v>0</v>
      </c>
      <c r="K33" s="3">
        <f ca="1">IFERROR(SUM(t_kaf[[#This Row],[tp]]),0)</f>
        <v>0</v>
      </c>
      <c r="L33" s="3" t="str">
        <f ca="1">IF(t_rb[[#This Row],[Antall_rette]]=12,1,"")</f>
        <v/>
      </c>
      <c r="M33" s="3" t="str">
        <f ca="1">IF(t_rb[[#This Row],[Antall_rette]]=11,1,"")</f>
        <v/>
      </c>
      <c r="N33" s="3" t="str">
        <f ca="1">IF(t_rb[[#This Row],[Antall_rette]]=10,1,"")</f>
        <v/>
      </c>
      <c r="O33" s="3">
        <f ca="1">IF(t_kaf[[#This Row],[12_Antall]]=1,Data!$AJ$3,0)</f>
        <v>0</v>
      </c>
      <c r="P33" s="3">
        <f ca="1">IF(t_kaf[[#This Row],[11_Antall]]=1,Data!$AJ$2,0)</f>
        <v>0</v>
      </c>
      <c r="Q33" s="3">
        <f ca="1">IF(t_kaf[[#This Row],[10_Antall]]=1,Data!$AJ$1,0)</f>
        <v>0</v>
      </c>
      <c r="R33" s="3" t="str" cm="1">
        <f t="array" ref="R33">IFERROR(IF(_xlfn.XLOOKUP(t_kaf[[#This Row],[Dato]]&amp;t_kaf[[#This Row],[navn]],Regnskap!$C$10:$C$51&amp;Regnskap!$K$10:$K$51,Regnskap!$H$10:$H$51)&gt;0,Data!$AJ$3,""),"")</f>
        <v/>
      </c>
      <c r="S33" s="3" t="str" cm="1">
        <f t="array" ref="S33">IFERROR(IF(t_kaf[[#This Row],[12_pLEV]]="",IF(_xlfn.XLOOKUP(t_kaf[[#This Row],[Dato]]&amp;t_kaf[[#This Row],[navn]],Regnskap!$C$10:$C$51&amp;Regnskap!$K$10:$K$51,Regnskap!$I$10:$I$51)&gt;0,Data!$AJ$2)),"")</f>
        <v/>
      </c>
      <c r="T33" s="3" t="str" cm="1">
        <f t="array" ref="T33">IFERROR(IF(t_kaf[[#This Row],[11_pLEV]]="",IF(_xlfn.XLOOKUP(t_kaf[[#This Row],[Dato]]&amp;t_kaf[[#This Row],[navn]],Regnskap!$C$10:$C$51&amp;Regnskap!$K$10:$K$51,Regnskap!$J$10:$J$51)&gt;0,Data!$AJ$1),""),"")</f>
        <v/>
      </c>
      <c r="U33">
        <f ca="1">SUM(t_kaf[[#This Row],[12_poeng]:[10_pLEV]])</f>
        <v>0</v>
      </c>
      <c r="V33" s="3">
        <f ca="1">SUM(t_kaf[[#This Row],[Summert]]+t_kaf[[#This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showZeros="0" workbookViewId="0">
      <pane ySplit="1" topLeftCell="A2" activePane="bottomLeft" state="frozen"/>
      <selection activeCell="K1" sqref="K1"/>
      <selection pane="bottomLeft" activeCell="S2" sqref="S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6"/>
      <c r="AD1" s="23"/>
      <c r="AF1" s="468"/>
      <c r="AG1" s="468"/>
      <c r="AH1" s="468"/>
      <c r="AI1" s="468"/>
      <c r="AJ1" s="468"/>
    </row>
    <row r="2" spans="1:36" ht="13.5" thickTop="1" x14ac:dyDescent="0.2">
      <c r="A2" s="3" t="s">
        <v>46</v>
      </c>
      <c r="B2">
        <f>IF(t_øg[[#This Row],[Dato]]&lt;&gt;"",WEEKNUM(t_øg[[#This Row],[Dato]]),"")</f>
        <v>33</v>
      </c>
      <c r="C2" s="22">
        <f>Data!AL1</f>
        <v>46249</v>
      </c>
      <c r="D2">
        <f ca="1">IFERROR(IF(t_øg[[#This Row],[Dato]]="","",OFFSET(_xlfn.XLOOKUP(C2,Kuponger!E:E,Kuponger!BA:BA),15,0)),"")</f>
        <v>0</v>
      </c>
      <c r="E2">
        <f ca="1">IFERROR(IF(t_øg[[#This Row],[hp]]&lt;&gt;"",OFFSET(_xlfn.XLOOKUP(C2,Kuponger!E:E,Kuponger!BA:BA),15,1),""),"")</f>
        <v>0</v>
      </c>
      <c r="F2">
        <f ca="1">IFERROR(IF(t_øg[[#This Row],[Dato]]="","",OFFSET(_xlfn.XLOOKUP(C2,Kuponger!E:E,Kuponger!BA:BA),15,2)),"")</f>
        <v>0</v>
      </c>
      <c r="G2">
        <f ca="1">IFERROR(IF(OFFSET(_xlfn.XLOOKUP(C2,Kuponger!E:E,Kuponger!BA:BA),0,2)=0,"",OFFSET(_xlfn.XLOOKUP(C2,Kuponger!E:E,Kuponger!BA:BA),1,2))*-1,"")</f>
        <v>0</v>
      </c>
      <c r="H2" t="str">
        <f t="shared" ref="H2" ca="1" si="0">IF(SUMIF(D2:G2,"&lt;&gt;""")=0,"",SUMIF(D2:G2,"&lt;&gt;"""))</f>
        <v/>
      </c>
      <c r="I2" t="str">
        <f ca="1">IFERROR(IF(t_øg[[#This Row],[tp]]&lt;&gt;"",OFFSET(_xlfn.XLOOKUP(C2,Kuponger!E:E,Kuponger!BA:BA),1,1),""),"")</f>
        <v/>
      </c>
      <c r="J2" s="3">
        <f ca="1">IFERROR(IF(t_øg[[#This Row],[Dato]]="",0,OFFSET(_xlfn.XLOOKUP(t_øg[[#This Row],[Dato]],Kuponger!E:E,Kuponger!BA:BA),1,7)),"")</f>
        <v>0</v>
      </c>
      <c r="K2" s="3">
        <f ca="1">IFERROR(SUM(t_øg[[#This Row],[tp]]),0)</f>
        <v>0</v>
      </c>
      <c r="L2" s="3" t="str">
        <f ca="1">IF(t_rb[[#This Row],[Antall_rette]]=12,1,"")</f>
        <v/>
      </c>
      <c r="M2" s="3" t="str">
        <f ca="1">IF(t_rb[[#This Row],[Antall_rette]]=11,1,"")</f>
        <v/>
      </c>
      <c r="N2" s="3" t="str">
        <f ca="1">IF(t_rb[[#This Row],[Antall_rette]]=10,1,"")</f>
        <v/>
      </c>
      <c r="O2" s="3">
        <f ca="1">IF(t_øg[[#This Row],[12_Antall]]=1,Data!$AJ$3,0)</f>
        <v>0</v>
      </c>
      <c r="P2" s="3">
        <f ca="1">IF(t_øg[[#This Row],[11_Antall]]=1,Data!$AJ$2,0)</f>
        <v>0</v>
      </c>
      <c r="Q2" s="3">
        <f ca="1">IF(t_øg[[#This Row],[10_Antall]]=1,Data!$AJ$1,0)</f>
        <v>0</v>
      </c>
      <c r="R2" s="3" t="str" cm="1">
        <f t="array" ref="R2">IFERROR(IF(_xlfn.XLOOKUP(t_øg[[#This Row],[Dato]]&amp;t_øg[[#This Row],[navn]],Regnskap!$C$10:$C$51&amp;Regnskap!$K$10:$K$51,Regnskap!$H$10:$H$51)&gt;0,Data!$AJ$3,""),"")</f>
        <v/>
      </c>
      <c r="S2" s="3" t="b" cm="1">
        <f t="array" ref="S2">IFERROR(IF(t_øg[[#This Row],[12_pLEV]]="",IF(_xlfn.XLOOKUP(t_øg[[#This Row],[Dato]]&amp;t_øg[[#This Row],[navn]],Regnskap!$C$10:$C$51&amp;Regnskap!$K$10:$K$51,Regnskap!$I$10:$I$51)&gt;0,Data!$AJ$2)),"")</f>
        <v>0</v>
      </c>
      <c r="T2" s="3" t="str" cm="1">
        <f t="array" ref="T2">IFERROR(IF(t_øg[[#This Row],[11_pLEV]]="",IF(_xlfn.XLOOKUP(t_øg[[#This Row],[Dato]]&amp;t_øg[[#This Row],[navn]],Regnskap!$C$10:$C$51&amp;Regnskap!$K$10:$K$51,Regnskap!$J$10:$J$51)&gt;0,Data!$AJ$1),""),"")</f>
        <v/>
      </c>
      <c r="U2" s="3">
        <f ca="1">SUM(t_øg[[#This Row],[12_poeng]:[10_pLEV]])</f>
        <v>0</v>
      </c>
      <c r="V2" s="3">
        <f ca="1">SUM(t_øg[[#This Row],[Summert]]+t_øg[[#This Row],[LEV_poeng]])</f>
        <v>0</v>
      </c>
      <c r="AF2" s="3"/>
      <c r="AG2" s="3"/>
      <c r="AH2" s="3"/>
      <c r="AI2" s="3"/>
      <c r="AJ2" s="3"/>
    </row>
    <row r="3" spans="1:36" x14ac:dyDescent="0.2">
      <c r="A3" s="3" t="s">
        <v>46</v>
      </c>
      <c r="B3">
        <f>IF(t_øg[[#This Row],[Dato]]&lt;&gt;"",WEEKNUM(t_øg[[#This Row],[Dato]]),"")</f>
        <v>34</v>
      </c>
      <c r="C3" s="22">
        <f>Data!AL2</f>
        <v>46256</v>
      </c>
      <c r="D3">
        <f ca="1">IFERROR(IF(t_øg[[#This Row],[Dato]]="","",OFFSET(_xlfn.XLOOKUP(C3,Kuponger!E:E,Kuponger!BA:BA),15,0)),"")</f>
        <v>780</v>
      </c>
      <c r="E3">
        <f ca="1">IFERROR(IF(t_øg[[#This Row],[hp]]&lt;&gt;"",OFFSET(_xlfn.XLOOKUP(C3,Kuponger!E:E,Kuponger!BA:BA),15,1),""),"")</f>
        <v>0</v>
      </c>
      <c r="F3">
        <f ca="1">IFERROR(IF(t_øg[[#This Row],[Dato]]="","",OFFSET(_xlfn.XLOOKUP(C3,Kuponger!E:E,Kuponger!BA:BA),15,2)),"")</f>
        <v>0</v>
      </c>
      <c r="G3">
        <f ca="1">IFERROR(IF(OFFSET(_xlfn.XLOOKUP(C3,Kuponger!E:E,Kuponger!BA:BA),0,2)=0,"",OFFSET(_xlfn.XLOOKUP(C3,Kuponger!E:E,Kuponger!BA:BA),1,2))*-1,"")</f>
        <v>0</v>
      </c>
      <c r="H3">
        <f t="shared" ref="H3:H33" ca="1" si="1">IF(SUMIF(D3:G3,"&lt;&gt;""")=0,"",SUMIF(D3:G3,"&lt;&gt;"""))</f>
        <v>780</v>
      </c>
      <c r="I3">
        <f ca="1">IFERROR(IF(t_øg[[#This Row],[tp]]&lt;&gt;"",OFFSET(_xlfn.XLOOKUP(C3,Kuponger!E:E,Kuponger!BA:BA),1,1),""),"")</f>
        <v>1</v>
      </c>
      <c r="J3" s="3">
        <f ca="1">IFERROR(IF(t_øg[[#This Row],[Dato]]="",0,OFFSET(_xlfn.XLOOKUP(t_øg[[#This Row],[Dato]],Kuponger!E:E,Kuponger!BA:BA),1,7)),"")</f>
        <v>12</v>
      </c>
      <c r="K3" s="3">
        <f ca="1">IFERROR(SUM(t_øg[[#This Row],[tp]]),0)</f>
        <v>780</v>
      </c>
      <c r="L3" s="3">
        <f ca="1">IF(t_rb[[#This Row],[Antall_rette]]=12,1,"")</f>
        <v>1</v>
      </c>
      <c r="M3" s="3" t="str">
        <f ca="1">IF(t_rb[[#This Row],[Antall_rette]]=11,1,"")</f>
        <v/>
      </c>
      <c r="N3" s="3" t="str">
        <f ca="1">IF(t_rb[[#This Row],[Antall_rette]]=10,1,"")</f>
        <v/>
      </c>
      <c r="O3" s="3">
        <f ca="1">IF(t_øg[[#This Row],[12_Antall]]=1,Data!$AJ$3,0)</f>
        <v>1070</v>
      </c>
      <c r="P3" s="3">
        <f ca="1">IF(t_øg[[#This Row],[11_Antall]]=1,Data!$AJ$2,0)</f>
        <v>0</v>
      </c>
      <c r="Q3" s="3">
        <f ca="1">IF(t_øg[[#This Row],[10_Antall]]=1,Data!$AJ$1,0)</f>
        <v>0</v>
      </c>
      <c r="R3" s="3" t="str" cm="1">
        <f t="array" ref="R3">IFERROR(IF(_xlfn.XLOOKUP(t_øg[[#This Row],[Dato]]&amp;t_øg[[#This Row],[navn]],Regnskap!$C$10:$C$51&amp;Regnskap!$K$10:$K$51,Regnskap!$H$10:$H$51)&gt;0,Data!$AJ$3,""),"")</f>
        <v/>
      </c>
      <c r="S3" s="3" t="str" cm="1">
        <f t="array" ref="S3">IFERROR(IF(t_øg[[#This Row],[12_pLEV]]="",IF(_xlfn.XLOOKUP(t_øg[[#This Row],[Dato]]&amp;t_øg[[#This Row],[navn]],Regnskap!$C$10:$C$51&amp;Regnskap!$K$10:$K$51,Regnskap!$I$10:$I$51)&gt;0,Data!$AJ$2)),"")</f>
        <v/>
      </c>
      <c r="T3" s="3" t="str" cm="1">
        <f t="array" ref="T3">IFERROR(IF(t_øg[[#This Row],[11_pLEV]]="",IF(_xlfn.XLOOKUP(t_øg[[#This Row],[Dato]]&amp;t_øg[[#This Row],[navn]],Regnskap!$C$10:$C$51&amp;Regnskap!$K$10:$K$51,Regnskap!$J$10:$J$51)&gt;0,Data!$AJ$1),""),"")</f>
        <v/>
      </c>
      <c r="U3" s="3">
        <f ca="1">SUM(t_øg[[#This Row],[12_poeng]:[10_pLEV]])</f>
        <v>1070</v>
      </c>
      <c r="V3" s="3">
        <f ca="1">SUM(t_øg[[#This Row],[Summert]]+t_øg[[#This Row],[LEV_poeng]])</f>
        <v>1850</v>
      </c>
    </row>
    <row r="4" spans="1:36" x14ac:dyDescent="0.2">
      <c r="A4" s="3" t="s">
        <v>46</v>
      </c>
      <c r="B4">
        <f>IF(t_øg[[#This Row],[Dato]]&lt;&gt;"",WEEKNUM(t_øg[[#This Row],[Dato]]),"")</f>
        <v>35</v>
      </c>
      <c r="C4" s="22">
        <f>Data!AL3</f>
        <v>46263</v>
      </c>
      <c r="D4">
        <f ca="1">IFERROR(IF(t_øg[[#This Row],[Dato]]="","",OFFSET(_xlfn.XLOOKUP(C4,Kuponger!E:E,Kuponger!BA:BA),15,0)),"")</f>
        <v>780</v>
      </c>
      <c r="E4">
        <f ca="1">IFERROR(IF(t_øg[[#This Row],[hp]]&lt;&gt;"",OFFSET(_xlfn.XLOOKUP(C4,Kuponger!E:E,Kuponger!BA:BA),15,1),""),"")</f>
        <v>0</v>
      </c>
      <c r="F4">
        <f ca="1">IFERROR(IF(t_øg[[#This Row],[Dato]]="","",OFFSET(_xlfn.XLOOKUP(C4,Kuponger!E:E,Kuponger!BA:BA),15,2)),"")</f>
        <v>0</v>
      </c>
      <c r="G4">
        <f ca="1">IFERROR(IF(OFFSET(_xlfn.XLOOKUP(C4,Kuponger!E:E,Kuponger!BA:BA),0,2)=0,"",OFFSET(_xlfn.XLOOKUP(C4,Kuponger!E:E,Kuponger!BA:BA),1,2))*-1,"")</f>
        <v>0</v>
      </c>
      <c r="H4">
        <f t="shared" ca="1" si="1"/>
        <v>780</v>
      </c>
      <c r="I4">
        <f ca="1">IFERROR(IF(t_øg[[#This Row],[tp]]&lt;&gt;"",OFFSET(_xlfn.XLOOKUP(C4,Kuponger!E:E,Kuponger!BA:BA),1,1),""),"")</f>
        <v>1</v>
      </c>
      <c r="J4" s="3">
        <f ca="1">IFERROR(IF(t_øg[[#This Row],[Dato]]="",0,OFFSET(_xlfn.XLOOKUP(t_øg[[#This Row],[Dato]],Kuponger!E:E,Kuponger!BA:BA),1,7)),"")</f>
        <v>12</v>
      </c>
      <c r="K4" s="3">
        <f ca="1">IFERROR(SUM(t_øg[[#This Row],[tp]]),0)</f>
        <v>780</v>
      </c>
      <c r="L4" s="3">
        <f ca="1">IF(t_rb[[#This Row],[Antall_rette]]=12,1,"")</f>
        <v>1</v>
      </c>
      <c r="M4" s="3" t="str">
        <f ca="1">IF(t_rb[[#This Row],[Antall_rette]]=11,1,"")</f>
        <v/>
      </c>
      <c r="N4" s="3" t="str">
        <f ca="1">IF(t_rb[[#This Row],[Antall_rette]]=10,1,"")</f>
        <v/>
      </c>
      <c r="O4" s="3">
        <f ca="1">IF(t_øg[[#This Row],[12_Antall]]=1,Data!$AJ$3,0)</f>
        <v>1070</v>
      </c>
      <c r="P4" s="3">
        <f ca="1">IF(t_øg[[#This Row],[11_Antall]]=1,Data!$AJ$2,0)</f>
        <v>0</v>
      </c>
      <c r="Q4" s="3">
        <f ca="1">IF(t_øg[[#This Row],[10_Antall]]=1,Data!$AJ$1,0)</f>
        <v>0</v>
      </c>
      <c r="R4" s="3" t="str" cm="1">
        <f t="array" ref="R4">IFERROR(IF(_xlfn.XLOOKUP(t_øg[[#This Row],[Dato]]&amp;t_øg[[#This Row],[navn]],Regnskap!$C$10:$C$51&amp;Regnskap!$K$10:$K$51,Regnskap!$H$10:$H$51)&gt;0,Data!$AJ$3,""),"")</f>
        <v/>
      </c>
      <c r="S4" s="3" t="str" cm="1">
        <f t="array" ref="S4">IFERROR(IF(t_øg[[#This Row],[12_pLEV]]="",IF(_xlfn.XLOOKUP(t_øg[[#This Row],[Dato]]&amp;t_øg[[#This Row],[navn]],Regnskap!$C$10:$C$51&amp;Regnskap!$K$10:$K$51,Regnskap!$I$10:$I$51)&gt;0,Data!$AJ$2)),"")</f>
        <v/>
      </c>
      <c r="T4" s="3" t="str" cm="1">
        <f t="array" ref="T4">IFERROR(IF(t_øg[[#This Row],[11_pLEV]]="",IF(_xlfn.XLOOKUP(t_øg[[#This Row],[Dato]]&amp;t_øg[[#This Row],[navn]],Regnskap!$C$10:$C$51&amp;Regnskap!$K$10:$K$51,Regnskap!$J$10:$J$51)&gt;0,Data!$AJ$1),""),"")</f>
        <v/>
      </c>
      <c r="U4" s="3">
        <f ca="1">SUM(t_øg[[#This Row],[12_poeng]:[10_pLEV]])</f>
        <v>1070</v>
      </c>
      <c r="V4" s="3">
        <f ca="1">SUM(t_øg[[#This Row],[Summert]]+t_øg[[#This Row],[LEV_poeng]])</f>
        <v>1850</v>
      </c>
    </row>
    <row r="5" spans="1:36" x14ac:dyDescent="0.2">
      <c r="A5" s="3" t="s">
        <v>46</v>
      </c>
      <c r="B5">
        <f>IF(t_øg[[#This Row],[Dato]]&lt;&gt;"",WEEKNUM(t_øg[[#This Row],[Dato]]),"")</f>
        <v>36</v>
      </c>
      <c r="C5" s="22">
        <f>Data!AL4</f>
        <v>46270</v>
      </c>
      <c r="D5">
        <f ca="1">IFERROR(IF(t_øg[[#This Row],[Dato]]="","",OFFSET(_xlfn.XLOOKUP(C5,Kuponger!E:E,Kuponger!BA:BA),15,0)),"")</f>
        <v>780</v>
      </c>
      <c r="E5">
        <f ca="1">IFERROR(IF(t_øg[[#This Row],[hp]]&lt;&gt;"",OFFSET(_xlfn.XLOOKUP(C5,Kuponger!E:E,Kuponger!BA:BA),15,1),""),"")</f>
        <v>0</v>
      </c>
      <c r="F5">
        <f ca="1">IFERROR(IF(t_øg[[#This Row],[Dato]]="","",OFFSET(_xlfn.XLOOKUP(C5,Kuponger!E:E,Kuponger!BA:BA),15,2)),"")</f>
        <v>0</v>
      </c>
      <c r="G5">
        <f ca="1">IFERROR(IF(OFFSET(_xlfn.XLOOKUP(C5,Kuponger!E:E,Kuponger!BA:BA),0,2)=0,"",OFFSET(_xlfn.XLOOKUP(C5,Kuponger!E:E,Kuponger!BA:BA),1,2))*-1,"")</f>
        <v>0</v>
      </c>
      <c r="H5">
        <f t="shared" ca="1" si="1"/>
        <v>780</v>
      </c>
      <c r="I5">
        <f ca="1">IFERROR(IF(t_øg[[#This Row],[tp]]&lt;&gt;"",OFFSET(_xlfn.XLOOKUP(C5,Kuponger!E:E,Kuponger!BA:BA),1,1),""),"")</f>
        <v>1</v>
      </c>
      <c r="J5" s="3">
        <f ca="1">IFERROR(IF(t_øg[[#This Row],[Dato]]="",0,OFFSET(_xlfn.XLOOKUP(t_øg[[#This Row],[Dato]],Kuponger!E:E,Kuponger!BA:BA),1,7)),"")</f>
        <v>12</v>
      </c>
      <c r="K5" s="3">
        <f ca="1">IFERROR(SUM(t_øg[[#This Row],[tp]]),0)</f>
        <v>780</v>
      </c>
      <c r="L5" s="3">
        <f ca="1">IF(t_rb[[#This Row],[Antall_rette]]=12,1,"")</f>
        <v>1</v>
      </c>
      <c r="M5" s="3" t="str">
        <f ca="1">IF(t_rb[[#This Row],[Antall_rette]]=11,1,"")</f>
        <v/>
      </c>
      <c r="N5" s="3" t="str">
        <f ca="1">IF(t_rb[[#This Row],[Antall_rette]]=10,1,"")</f>
        <v/>
      </c>
      <c r="O5" s="3">
        <f ca="1">IF(t_øg[[#This Row],[12_Antall]]=1,Data!$AJ$3,0)</f>
        <v>1070</v>
      </c>
      <c r="P5" s="3">
        <f ca="1">IF(t_øg[[#This Row],[11_Antall]]=1,Data!$AJ$2,0)</f>
        <v>0</v>
      </c>
      <c r="Q5" s="3">
        <f ca="1">IF(t_øg[[#This Row],[10_Antall]]=1,Data!$AJ$1,0)</f>
        <v>0</v>
      </c>
      <c r="R5" s="3" t="str" cm="1">
        <f t="array" ref="R5">IFERROR(IF(_xlfn.XLOOKUP(t_øg[[#This Row],[Dato]]&amp;t_øg[[#This Row],[navn]],Regnskap!$C$10:$C$51&amp;Regnskap!$K$10:$K$51,Regnskap!$H$10:$H$51)&gt;0,Data!$AJ$3,""),"")</f>
        <v/>
      </c>
      <c r="S5" s="3" t="str" cm="1">
        <f t="array" ref="S5">IFERROR(IF(t_øg[[#This Row],[12_pLEV]]="",IF(_xlfn.XLOOKUP(t_øg[[#This Row],[Dato]]&amp;t_øg[[#This Row],[navn]],Regnskap!$C$10:$C$51&amp;Regnskap!$K$10:$K$51,Regnskap!$I$10:$I$51)&gt;0,Data!$AJ$2)),"")</f>
        <v/>
      </c>
      <c r="T5" s="3" t="str" cm="1">
        <f t="array" ref="T5">IFERROR(IF(t_øg[[#This Row],[11_pLEV]]="",IF(_xlfn.XLOOKUP(t_øg[[#This Row],[Dato]]&amp;t_øg[[#This Row],[navn]],Regnskap!$C$10:$C$51&amp;Regnskap!$K$10:$K$51,Regnskap!$J$10:$J$51)&gt;0,Data!$AJ$1),""),"")</f>
        <v/>
      </c>
      <c r="U5" s="3">
        <f ca="1">SUM(t_øg[[#This Row],[12_poeng]:[10_pLEV]])</f>
        <v>1070</v>
      </c>
      <c r="V5" s="3">
        <f ca="1">SUM(t_øg[[#This Row],[Summert]]+t_øg[[#This Row],[LEV_poeng]])</f>
        <v>1850</v>
      </c>
    </row>
    <row r="6" spans="1:36" x14ac:dyDescent="0.2">
      <c r="A6" s="3" t="s">
        <v>46</v>
      </c>
      <c r="B6">
        <f>IF(t_øg[[#This Row],[Dato]]&lt;&gt;"",WEEKNUM(t_øg[[#This Row],[Dato]]),"")</f>
        <v>37</v>
      </c>
      <c r="C6" s="22">
        <f>Data!AL5</f>
        <v>46277</v>
      </c>
      <c r="D6">
        <f ca="1">IFERROR(IF(t_øg[[#This Row],[Dato]]="","",OFFSET(_xlfn.XLOOKUP(C6,Kuponger!E:E,Kuponger!BA:BA),15,0)),"")</f>
        <v>0</v>
      </c>
      <c r="E6">
        <f ca="1">IFERROR(IF(t_øg[[#This Row],[hp]]&lt;&gt;"",OFFSET(_xlfn.XLOOKUP(C6,Kuponger!E:E,Kuponger!BA:BA),15,1),""),"")</f>
        <v>0</v>
      </c>
      <c r="F6">
        <f ca="1">IFERROR(IF(t_øg[[#This Row],[Dato]]="","",OFFSET(_xlfn.XLOOKUP(C6,Kuponger!E:E,Kuponger!BA:BA),15,2)),"")</f>
        <v>852</v>
      </c>
      <c r="G6">
        <f ca="1">IFERROR(IF(OFFSET(_xlfn.XLOOKUP(C6,Kuponger!E:E,Kuponger!BA:BA),0,2)=0,"",OFFSET(_xlfn.XLOOKUP(C6,Kuponger!E:E,Kuponger!BA:BA),1,2))*-1,"")</f>
        <v>0</v>
      </c>
      <c r="H6">
        <f t="shared" ca="1" si="1"/>
        <v>852</v>
      </c>
      <c r="I6" t="str">
        <f ca="1">IFERROR(IF(t_øg[[#This Row],[tp]]&lt;&gt;"",OFFSET(_xlfn.XLOOKUP(C6,Kuponger!E:E,Kuponger!BA:BA),1,1),""),"")</f>
        <v/>
      </c>
      <c r="J6" s="3">
        <f ca="1">IFERROR(IF(t_øg[[#This Row],[Dato]]="",0,OFFSET(_xlfn.XLOOKUP(t_øg[[#This Row],[Dato]],Kuponger!E:E,Kuponger!BA:BA),1,7)),"")</f>
        <v>12</v>
      </c>
      <c r="K6" s="3">
        <f ca="1">IFERROR(SUM(t_øg[[#This Row],[tp]]),0)</f>
        <v>852</v>
      </c>
      <c r="L6" s="3">
        <f ca="1">IF(t_rb[[#This Row],[Antall_rette]]=12,1,"")</f>
        <v>1</v>
      </c>
      <c r="M6" s="3" t="str">
        <f ca="1">IF(t_rb[[#This Row],[Antall_rette]]=11,1,"")</f>
        <v/>
      </c>
      <c r="N6" s="3" t="str">
        <f ca="1">IF(t_rb[[#This Row],[Antall_rette]]=10,1,"")</f>
        <v/>
      </c>
      <c r="O6" s="3">
        <f ca="1">IF(t_øg[[#This Row],[12_Antall]]=1,Data!$AJ$3,0)</f>
        <v>1070</v>
      </c>
      <c r="P6" s="3">
        <f ca="1">IF(t_øg[[#This Row],[11_Antall]]=1,Data!$AJ$2,0)</f>
        <v>0</v>
      </c>
      <c r="Q6" s="3">
        <f ca="1">IF(t_øg[[#This Row],[10_Antall]]=1,Data!$AJ$1,0)</f>
        <v>0</v>
      </c>
      <c r="R6" s="3" t="str" cm="1">
        <f t="array" ref="R6">IFERROR(IF(_xlfn.XLOOKUP(t_øg[[#This Row],[Dato]]&amp;t_øg[[#This Row],[navn]],Regnskap!$C$10:$C$51&amp;Regnskap!$K$10:$K$51,Regnskap!$H$10:$H$51)&gt;0,Data!$AJ$3,""),"")</f>
        <v/>
      </c>
      <c r="S6" s="3" t="str" cm="1">
        <f t="array" ref="S6">IFERROR(IF(t_øg[[#This Row],[12_pLEV]]="",IF(_xlfn.XLOOKUP(t_øg[[#This Row],[Dato]]&amp;t_øg[[#This Row],[navn]],Regnskap!$C$10:$C$51&amp;Regnskap!$K$10:$K$51,Regnskap!$I$10:$I$51)&gt;0,Data!$AJ$2)),"")</f>
        <v/>
      </c>
      <c r="T6" s="3" t="str" cm="1">
        <f t="array" ref="T6">IFERROR(IF(t_øg[[#This Row],[11_pLEV]]="",IF(_xlfn.XLOOKUP(t_øg[[#This Row],[Dato]]&amp;t_øg[[#This Row],[navn]],Regnskap!$C$10:$C$51&amp;Regnskap!$K$10:$K$51,Regnskap!$J$10:$J$51)&gt;0,Data!$AJ$1),""),"")</f>
        <v/>
      </c>
      <c r="U6" s="3">
        <f ca="1">SUM(t_øg[[#This Row],[12_poeng]:[10_pLEV]])</f>
        <v>1070</v>
      </c>
      <c r="V6" s="3">
        <f ca="1">SUM(t_øg[[#This Row],[Summert]]+t_øg[[#This Row],[LEV_poeng]])</f>
        <v>1922</v>
      </c>
    </row>
    <row r="7" spans="1:36" ht="15" x14ac:dyDescent="0.25">
      <c r="A7" s="3" t="s">
        <v>46</v>
      </c>
      <c r="B7">
        <f>IF(t_øg[[#This Row],[Dato]]&lt;&gt;"",WEEKNUM(t_øg[[#This Row],[Dato]]),"")</f>
        <v>38</v>
      </c>
      <c r="C7" s="22">
        <f>Data!AL6</f>
        <v>46284</v>
      </c>
      <c r="D7">
        <f ca="1">IFERROR(IF(t_øg[[#This Row],[Dato]]="","",OFFSET(_xlfn.XLOOKUP(C7,Kuponger!E:E,Kuponger!BA:BA),15,0)),"")</f>
        <v>0</v>
      </c>
      <c r="E7">
        <f ca="1">IFERROR(IF(t_øg[[#This Row],[hp]]&lt;&gt;"",OFFSET(_xlfn.XLOOKUP(C7,Kuponger!E:E,Kuponger!BA:BA),15,1),""),"")</f>
        <v>0</v>
      </c>
      <c r="F7">
        <f ca="1">IFERROR(IF(t_øg[[#This Row],[Dato]]="","",OFFSET(_xlfn.XLOOKUP(C7,Kuponger!E:E,Kuponger!BA:BA),15,2)),"")</f>
        <v>852</v>
      </c>
      <c r="G7">
        <f ca="1">IFERROR(IF(OFFSET(_xlfn.XLOOKUP(C7,Kuponger!E:E,Kuponger!BA:BA),0,2)=0,"",OFFSET(_xlfn.XLOOKUP(C7,Kuponger!E:E,Kuponger!BA:BA),1,2))*-1,"")</f>
        <v>0</v>
      </c>
      <c r="H7">
        <f t="shared" ca="1" si="1"/>
        <v>852</v>
      </c>
      <c r="I7" t="str">
        <f ca="1">IFERROR(IF(t_øg[[#This Row],[tp]]&lt;&gt;"",OFFSET(_xlfn.XLOOKUP(C7,Kuponger!E:E,Kuponger!BA:BA),1,1),""),"")</f>
        <v/>
      </c>
      <c r="J7" s="3">
        <f ca="1">IFERROR(IF(t_øg[[#This Row],[Dato]]="",0,OFFSET(_xlfn.XLOOKUP(t_øg[[#This Row],[Dato]],Kuponger!E:E,Kuponger!BA:BA),1,7)),"")</f>
        <v>12</v>
      </c>
      <c r="K7" s="3">
        <f ca="1">IFERROR(SUM(t_øg[[#This Row],[tp]]),0)</f>
        <v>852</v>
      </c>
      <c r="L7" s="3">
        <f ca="1">IF(t_rb[[#This Row],[Antall_rette]]=12,1,"")</f>
        <v>1</v>
      </c>
      <c r="M7" s="3" t="str">
        <f ca="1">IF(t_rb[[#This Row],[Antall_rette]]=11,1,"")</f>
        <v/>
      </c>
      <c r="N7" s="3" t="str">
        <f ca="1">IF(t_rb[[#This Row],[Antall_rette]]=10,1,"")</f>
        <v/>
      </c>
      <c r="O7" s="3">
        <f ca="1">IF(t_øg[[#This Row],[12_Antall]]=1,Data!$AJ$3,0)</f>
        <v>1070</v>
      </c>
      <c r="P7" s="3">
        <f ca="1">IF(t_øg[[#This Row],[11_Antall]]=1,Data!$AJ$2,0)</f>
        <v>0</v>
      </c>
      <c r="Q7" s="3">
        <f ca="1">IF(t_øg[[#This Row],[10_Antall]]=1,Data!$AJ$1,0)</f>
        <v>0</v>
      </c>
      <c r="R7" s="3" t="str" cm="1">
        <f t="array" ref="R7">IFERROR(IF(_xlfn.XLOOKUP(t_øg[[#This Row],[Dato]]&amp;t_øg[[#This Row],[navn]],Regnskap!$C$10:$C$51&amp;Regnskap!$K$10:$K$51,Regnskap!$H$10:$H$51)&gt;0,Data!$AJ$3,""),"")</f>
        <v/>
      </c>
      <c r="S7" s="3" t="str" cm="1">
        <f t="array" ref="S7">IFERROR(IF(t_øg[[#This Row],[12_pLEV]]="",IF(_xlfn.XLOOKUP(t_øg[[#This Row],[Dato]]&amp;t_øg[[#This Row],[navn]],Regnskap!$C$10:$C$51&amp;Regnskap!$K$10:$K$51,Regnskap!$I$10:$I$51)&gt;0,Data!$AJ$2)),"")</f>
        <v/>
      </c>
      <c r="T7" s="3" t="str" cm="1">
        <f t="array" ref="T7">IFERROR(IF(t_øg[[#This Row],[11_pLEV]]="",IF(_xlfn.XLOOKUP(t_øg[[#This Row],[Dato]]&amp;t_øg[[#This Row],[navn]],Regnskap!$C$10:$C$51&amp;Regnskap!$K$10:$K$51,Regnskap!$J$10:$J$51)&gt;0,Data!$AJ$1),""),"")</f>
        <v/>
      </c>
      <c r="U7" s="3">
        <f ca="1">SUM(t_øg[[#This Row],[12_poeng]:[10_pLEV]])</f>
        <v>1070</v>
      </c>
      <c r="V7" s="3">
        <f ca="1">SUM(t_øg[[#This Row],[Summert]]+t_øg[[#This Row],[LEV_poeng]])</f>
        <v>1922</v>
      </c>
      <c r="W7" s="671"/>
      <c r="X7" s="671"/>
      <c r="Y7" s="671"/>
      <c r="Z7" s="671"/>
      <c r="AA7" s="671"/>
      <c r="AB7" s="671"/>
      <c r="AC7" s="23"/>
    </row>
    <row r="8" spans="1:36" x14ac:dyDescent="0.2">
      <c r="A8" s="3" t="s">
        <v>46</v>
      </c>
      <c r="B8">
        <f>IF(t_øg[[#This Row],[Dato]]&lt;&gt;"",WEEKNUM(t_øg[[#This Row],[Dato]]),"")</f>
        <v>39</v>
      </c>
      <c r="C8" s="22">
        <f>Data!AL7</f>
        <v>46291</v>
      </c>
      <c r="D8">
        <f ca="1">IFERROR(IF(t_øg[[#This Row],[Dato]]="","",OFFSET(_xlfn.XLOOKUP(C8,Kuponger!E:E,Kuponger!BA:BA),15,0)),"")</f>
        <v>0</v>
      </c>
      <c r="E8">
        <f ca="1">IFERROR(IF(t_øg[[#This Row],[hp]]&lt;&gt;"",OFFSET(_xlfn.XLOOKUP(C8,Kuponger!E:E,Kuponger!BA:BA),15,1),""),"")</f>
        <v>0</v>
      </c>
      <c r="F8">
        <f ca="1">IFERROR(IF(t_øg[[#This Row],[Dato]]="","",OFFSET(_xlfn.XLOOKUP(C8,Kuponger!E:E,Kuponger!BA:BA),15,2)),"")</f>
        <v>710</v>
      </c>
      <c r="G8">
        <f ca="1">IFERROR(IF(OFFSET(_xlfn.XLOOKUP(C8,Kuponger!E:E,Kuponger!BA:BA),0,2)=0,"",OFFSET(_xlfn.XLOOKUP(C8,Kuponger!E:E,Kuponger!BA:BA),1,2))*-1,"")</f>
        <v>0</v>
      </c>
      <c r="H8">
        <f t="shared" ca="1" si="1"/>
        <v>710</v>
      </c>
      <c r="I8" t="str">
        <f ca="1">IFERROR(IF(t_øg[[#This Row],[tp]]&lt;&gt;"",OFFSET(_xlfn.XLOOKUP(C8,Kuponger!E:E,Kuponger!BA:BA),1,1),""),"")</f>
        <v/>
      </c>
      <c r="J8" s="3">
        <f ca="1">IFERROR(IF(t_øg[[#This Row],[Dato]]="",0,OFFSET(_xlfn.XLOOKUP(t_øg[[#This Row],[Dato]],Kuponger!E:E,Kuponger!BA:BA),1,7)),"")</f>
        <v>10</v>
      </c>
      <c r="K8" s="3">
        <f ca="1">IFERROR(SUM(t_øg[[#This Row],[tp]]),0)</f>
        <v>710</v>
      </c>
      <c r="L8" s="3" t="str">
        <f ca="1">IF(t_rb[[#This Row],[Antall_rette]]=12,1,"")</f>
        <v/>
      </c>
      <c r="M8" s="3" t="str">
        <f ca="1">IF(t_rb[[#This Row],[Antall_rette]]=11,1,"")</f>
        <v/>
      </c>
      <c r="N8" s="3">
        <f ca="1">IF(t_rb[[#This Row],[Antall_rette]]=10,1,"")</f>
        <v>1</v>
      </c>
      <c r="O8" s="3">
        <f ca="1">IF(t_øg[[#This Row],[12_Antall]]=1,Data!$AJ$3,0)</f>
        <v>0</v>
      </c>
      <c r="P8" s="3">
        <f ca="1">IF(t_øg[[#This Row],[11_Antall]]=1,Data!$AJ$2,0)</f>
        <v>0</v>
      </c>
      <c r="Q8" s="3">
        <f ca="1">IF(t_øg[[#This Row],[10_Antall]]=1,Data!$AJ$1,0)</f>
        <v>58</v>
      </c>
      <c r="R8" s="3" t="str" cm="1">
        <f t="array" ref="R8">IFERROR(IF(_xlfn.XLOOKUP(t_øg[[#This Row],[Dato]]&amp;t_øg[[#This Row],[navn]],Regnskap!$C$10:$C$51&amp;Regnskap!$K$10:$K$51,Regnskap!$H$10:$H$51)&gt;0,Data!$AJ$3,""),"")</f>
        <v/>
      </c>
      <c r="S8" s="3" t="str" cm="1">
        <f t="array" ref="S8">IFERROR(IF(t_øg[[#This Row],[12_pLEV]]="",IF(_xlfn.XLOOKUP(t_øg[[#This Row],[Dato]]&amp;t_øg[[#This Row],[navn]],Regnskap!$C$10:$C$51&amp;Regnskap!$K$10:$K$51,Regnskap!$I$10:$I$51)&gt;0,Data!$AJ$2)),"")</f>
        <v/>
      </c>
      <c r="T8" s="3" t="str" cm="1">
        <f t="array" ref="T8">IFERROR(IF(t_øg[[#This Row],[11_pLEV]]="",IF(_xlfn.XLOOKUP(t_øg[[#This Row],[Dato]]&amp;t_øg[[#This Row],[navn]],Regnskap!$C$10:$C$51&amp;Regnskap!$K$10:$K$51,Regnskap!$J$10:$J$51)&gt;0,Data!$AJ$1),""),"")</f>
        <v/>
      </c>
      <c r="U8" s="3">
        <f ca="1">SUM(t_øg[[#This Row],[12_poeng]:[10_pLEV]])</f>
        <v>58</v>
      </c>
      <c r="V8" s="3">
        <f ca="1">SUM(t_øg[[#This Row],[Summert]]+t_øg[[#This Row],[LEV_poeng]])</f>
        <v>768</v>
      </c>
    </row>
    <row r="9" spans="1:36" x14ac:dyDescent="0.2">
      <c r="A9" s="3" t="s">
        <v>46</v>
      </c>
      <c r="B9">
        <f>IF(t_øg[[#This Row],[Dato]]&lt;&gt;"",WEEKNUM(t_øg[[#This Row],[Dato]]),"")</f>
        <v>40</v>
      </c>
      <c r="C9" s="22">
        <f>Data!AL8</f>
        <v>46298</v>
      </c>
      <c r="D9">
        <f ca="1">IFERROR(IF(t_øg[[#This Row],[Dato]]="","",OFFSET(_xlfn.XLOOKUP(C9,Kuponger!E:E,Kuponger!BA:BA),15,0)),"")</f>
        <v>0</v>
      </c>
      <c r="E9">
        <f ca="1">IFERROR(IF(t_øg[[#This Row],[hp]]&lt;&gt;"",OFFSET(_xlfn.XLOOKUP(C9,Kuponger!E:E,Kuponger!BA:BA),15,1),""),"")</f>
        <v>814</v>
      </c>
      <c r="F9">
        <f ca="1">IFERROR(IF(t_øg[[#This Row],[Dato]]="","",OFFSET(_xlfn.XLOOKUP(C9,Kuponger!E:E,Kuponger!BA:BA),15,2)),"")</f>
        <v>0</v>
      </c>
      <c r="G9">
        <f ca="1">IFERROR(IF(OFFSET(_xlfn.XLOOKUP(C9,Kuponger!E:E,Kuponger!BA:BA),0,2)=0,"",OFFSET(_xlfn.XLOOKUP(C9,Kuponger!E:E,Kuponger!BA:BA),1,2))*-1,"")</f>
        <v>0</v>
      </c>
      <c r="H9">
        <f t="shared" ca="1" si="1"/>
        <v>814</v>
      </c>
      <c r="I9">
        <f ca="1">IFERROR(IF(t_øg[[#This Row],[tp]]&lt;&gt;"",OFFSET(_xlfn.XLOOKUP(C9,Kuponger!E:E,Kuponger!BA:BA),1,1),""),"")</f>
        <v>1</v>
      </c>
      <c r="J9" s="3">
        <f ca="1">IFERROR(IF(t_øg[[#This Row],[Dato]]="",0,OFFSET(_xlfn.XLOOKUP(t_øg[[#This Row],[Dato]],Kuponger!E:E,Kuponger!BA:BA),1,7)),"")</f>
        <v>11</v>
      </c>
      <c r="K9" s="3">
        <f ca="1">IFERROR(SUM(t_øg[[#This Row],[tp]]),0)</f>
        <v>814</v>
      </c>
      <c r="L9" s="3" t="str">
        <f ca="1">IF(t_rb[[#This Row],[Antall_rette]]=12,1,"")</f>
        <v/>
      </c>
      <c r="M9" s="3">
        <f ca="1">IF(t_rb[[#This Row],[Antall_rette]]=11,1,"")</f>
        <v>1</v>
      </c>
      <c r="N9" s="3" t="str">
        <f ca="1">IF(t_rb[[#This Row],[Antall_rette]]=10,1,"")</f>
        <v/>
      </c>
      <c r="O9" s="3">
        <f ca="1">IF(t_øg[[#This Row],[12_Antall]]=1,Data!$AJ$3,0)</f>
        <v>0</v>
      </c>
      <c r="P9" s="3">
        <f ca="1">IF(t_øg[[#This Row],[11_Antall]]=1,Data!$AJ$2,0)</f>
        <v>161</v>
      </c>
      <c r="Q9" s="3">
        <f ca="1">IF(t_øg[[#This Row],[10_Antall]]=1,Data!$AJ$1,0)</f>
        <v>0</v>
      </c>
      <c r="R9" s="3" t="str" cm="1">
        <f t="array" ref="R9">IFERROR(IF(_xlfn.XLOOKUP(t_øg[[#This Row],[Dato]]&amp;t_øg[[#This Row],[navn]],Regnskap!$C$10:$C$51&amp;Regnskap!$K$10:$K$51,Regnskap!$H$10:$H$51)&gt;0,Data!$AJ$3,""),"")</f>
        <v/>
      </c>
      <c r="S9" s="3" t="str" cm="1">
        <f t="array" ref="S9">IFERROR(IF(t_øg[[#This Row],[12_pLEV]]="",IF(_xlfn.XLOOKUP(t_øg[[#This Row],[Dato]]&amp;t_øg[[#This Row],[navn]],Regnskap!$C$10:$C$51&amp;Regnskap!$K$10:$K$51,Regnskap!$I$10:$I$51)&gt;0,Data!$AJ$2)),"")</f>
        <v/>
      </c>
      <c r="T9" s="3" t="str" cm="1">
        <f t="array" ref="T9">IFERROR(IF(t_øg[[#This Row],[11_pLEV]]="",IF(_xlfn.XLOOKUP(t_øg[[#This Row],[Dato]]&amp;t_øg[[#This Row],[navn]],Regnskap!$C$10:$C$51&amp;Regnskap!$K$10:$K$51,Regnskap!$J$10:$J$51)&gt;0,Data!$AJ$1),""),"")</f>
        <v/>
      </c>
      <c r="U9" s="3">
        <f ca="1">SUM(t_øg[[#This Row],[12_poeng]:[10_pLEV]])</f>
        <v>161</v>
      </c>
      <c r="V9" s="3">
        <f ca="1">SUM(t_øg[[#This Row],[Summert]]+t_øg[[#This Row],[LEV_poeng]])</f>
        <v>975</v>
      </c>
    </row>
    <row r="10" spans="1:36" x14ac:dyDescent="0.2">
      <c r="A10" s="3" t="s">
        <v>46</v>
      </c>
      <c r="B10">
        <f>IF(t_øg[[#This Row],[Dato]]&lt;&gt;"",WEEKNUM(t_øg[[#This Row],[Dato]]),"")</f>
        <v>41</v>
      </c>
      <c r="C10" s="22">
        <f>Data!AL9</f>
        <v>46305</v>
      </c>
      <c r="D10">
        <f ca="1">IFERROR(IF(t_øg[[#This Row],[Dato]]="","",OFFSET(_xlfn.XLOOKUP(C10,Kuponger!E:E,Kuponger!BA:BA),15,0)),"")</f>
        <v>0</v>
      </c>
      <c r="E10">
        <f ca="1">IFERROR(IF(t_øg[[#This Row],[hp]]&lt;&gt;"",OFFSET(_xlfn.XLOOKUP(C10,Kuponger!E:E,Kuponger!BA:BA),15,1),""),"")</f>
        <v>888</v>
      </c>
      <c r="F10">
        <f ca="1">IFERROR(IF(t_øg[[#This Row],[Dato]]="","",OFFSET(_xlfn.XLOOKUP(C10,Kuponger!E:E,Kuponger!BA:BA),15,2)),"")</f>
        <v>0</v>
      </c>
      <c r="G10">
        <f ca="1">IFERROR(IF(OFFSET(_xlfn.XLOOKUP(C10,Kuponger!E:E,Kuponger!BA:BA),0,2)=0,"",OFFSET(_xlfn.XLOOKUP(C10,Kuponger!E:E,Kuponger!BA:BA),1,2))*-1,"")</f>
        <v>0</v>
      </c>
      <c r="H10">
        <f t="shared" ca="1" si="1"/>
        <v>888</v>
      </c>
      <c r="I10">
        <f ca="1">IFERROR(IF(t_øg[[#This Row],[tp]]&lt;&gt;"",OFFSET(_xlfn.XLOOKUP(C10,Kuponger!E:E,Kuponger!BA:BA),1,1),""),"")</f>
        <v>1</v>
      </c>
      <c r="J10" s="3">
        <f ca="1">IFERROR(IF(t_øg[[#This Row],[Dato]]="",0,OFFSET(_xlfn.XLOOKUP(t_øg[[#This Row],[Dato]],Kuponger!E:E,Kuponger!BA:BA),1,7)),"")</f>
        <v>12</v>
      </c>
      <c r="K10" s="3">
        <f ca="1">IFERROR(SUM(t_øg[[#This Row],[tp]]),0)</f>
        <v>888</v>
      </c>
      <c r="L10" s="3">
        <f ca="1">IF(t_rb[[#This Row],[Antall_rette]]=12,1,"")</f>
        <v>1</v>
      </c>
      <c r="M10" s="3" t="str">
        <f ca="1">IF(t_rb[[#This Row],[Antall_rette]]=11,1,"")</f>
        <v/>
      </c>
      <c r="N10" s="3" t="str">
        <f ca="1">IF(t_rb[[#This Row],[Antall_rette]]=10,1,"")</f>
        <v/>
      </c>
      <c r="O10" s="3">
        <f ca="1">IF(t_øg[[#This Row],[12_Antall]]=1,Data!$AJ$3,0)</f>
        <v>1070</v>
      </c>
      <c r="P10" s="3">
        <f ca="1">IF(t_øg[[#This Row],[11_Antall]]=1,Data!$AJ$2,0)</f>
        <v>0</v>
      </c>
      <c r="Q10" s="3">
        <f ca="1">IF(t_øg[[#This Row],[10_Antall]]=1,Data!$AJ$1,0)</f>
        <v>0</v>
      </c>
      <c r="R10" s="3" t="str" cm="1">
        <f t="array" ref="R10">IFERROR(IF(_xlfn.XLOOKUP(t_øg[[#This Row],[Dato]]&amp;t_øg[[#This Row],[navn]],Regnskap!$C$10:$C$51&amp;Regnskap!$K$10:$K$51,Regnskap!$H$10:$H$51)&gt;0,Data!$AJ$3,""),"")</f>
        <v/>
      </c>
      <c r="S10" s="3" t="str" cm="1">
        <f t="array" ref="S10">IFERROR(IF(t_øg[[#This Row],[12_pLEV]]="",IF(_xlfn.XLOOKUP(t_øg[[#This Row],[Dato]]&amp;t_øg[[#This Row],[navn]],Regnskap!$C$10:$C$51&amp;Regnskap!$K$10:$K$51,Regnskap!$I$10:$I$51)&gt;0,Data!$AJ$2)),"")</f>
        <v/>
      </c>
      <c r="T10" s="3" t="str" cm="1">
        <f t="array" ref="T10">IFERROR(IF(t_øg[[#This Row],[11_pLEV]]="",IF(_xlfn.XLOOKUP(t_øg[[#This Row],[Dato]]&amp;t_øg[[#This Row],[navn]],Regnskap!$C$10:$C$51&amp;Regnskap!$K$10:$K$51,Regnskap!$J$10:$J$51)&gt;0,Data!$AJ$1),""),"")</f>
        <v/>
      </c>
      <c r="U10" s="3">
        <f ca="1">SUM(t_øg[[#This Row],[12_poeng]:[10_pLEV]])</f>
        <v>1070</v>
      </c>
      <c r="V10" s="3">
        <f ca="1">SUM(t_øg[[#This Row],[Summert]]+t_øg[[#This Row],[LEV_poeng]])</f>
        <v>1958</v>
      </c>
    </row>
    <row r="11" spans="1:36" x14ac:dyDescent="0.2">
      <c r="A11" s="3" t="s">
        <v>46</v>
      </c>
      <c r="B11">
        <f>IF(t_øg[[#This Row],[Dato]]&lt;&gt;"",WEEKNUM(t_øg[[#This Row],[Dato]]),"")</f>
        <v>42</v>
      </c>
      <c r="C11" s="22">
        <f>Data!AL10</f>
        <v>46312</v>
      </c>
      <c r="D11">
        <f ca="1">IFERROR(IF(t_øg[[#This Row],[Dato]]="","",OFFSET(_xlfn.XLOOKUP(C11,Kuponger!E:E,Kuponger!BA:BA),15,0)),"")</f>
        <v>0</v>
      </c>
      <c r="E11">
        <f ca="1">IFERROR(IF(t_øg[[#This Row],[hp]]&lt;&gt;"",OFFSET(_xlfn.XLOOKUP(C11,Kuponger!E:E,Kuponger!BA:BA),15,1),""),"")</f>
        <v>0</v>
      </c>
      <c r="F11">
        <f ca="1">IFERROR(IF(t_øg[[#This Row],[Dato]]="","",OFFSET(_xlfn.XLOOKUP(C11,Kuponger!E:E,Kuponger!BA:BA),15,2)),"")</f>
        <v>0</v>
      </c>
      <c r="G11">
        <f ca="1">IFERROR(IF(OFFSET(_xlfn.XLOOKUP(C11,Kuponger!E:E,Kuponger!BA:BA),0,2)=0,"",OFFSET(_xlfn.XLOOKUP(C11,Kuponger!E:E,Kuponger!BA:BA),1,2))*-1,"")</f>
        <v>0</v>
      </c>
      <c r="H11" t="str">
        <f t="shared" ca="1" si="1"/>
        <v/>
      </c>
      <c r="I11" t="str">
        <f ca="1">IFERROR(IF(t_øg[[#This Row],[tp]]&lt;&gt;"",OFFSET(_xlfn.XLOOKUP(C11,Kuponger!E:E,Kuponger!BA:BA),1,1),""),"")</f>
        <v/>
      </c>
      <c r="J11" s="3">
        <f ca="1">IFERROR(IF(t_øg[[#This Row],[Dato]]="",0,OFFSET(_xlfn.XLOOKUP(t_øg[[#This Row],[Dato]],Kuponger!E:E,Kuponger!BA:BA),1,7)),"")</f>
        <v>0</v>
      </c>
      <c r="K11" s="3">
        <f ca="1">IFERROR(SUM(t_øg[[#This Row],[tp]]),0)</f>
        <v>0</v>
      </c>
      <c r="L11" s="3" t="str">
        <f ca="1">IF(t_rb[[#This Row],[Antall_rette]]=12,1,"")</f>
        <v/>
      </c>
      <c r="M11" s="3" t="str">
        <f ca="1">IF(t_rb[[#This Row],[Antall_rette]]=11,1,"")</f>
        <v/>
      </c>
      <c r="N11" s="3" t="str">
        <f ca="1">IF(t_rb[[#This Row],[Antall_rette]]=10,1,"")</f>
        <v/>
      </c>
      <c r="O11" s="3">
        <f ca="1">IF(t_øg[[#This Row],[12_Antall]]=1,Data!$AJ$3,0)</f>
        <v>0</v>
      </c>
      <c r="P11" s="3">
        <f ca="1">IF(t_øg[[#This Row],[11_Antall]]=1,Data!$AJ$2,0)</f>
        <v>0</v>
      </c>
      <c r="Q11" s="3">
        <f ca="1">IF(t_øg[[#This Row],[10_Antall]]=1,Data!$AJ$1,0)</f>
        <v>0</v>
      </c>
      <c r="R11" s="3" t="str" cm="1">
        <f t="array" ref="R11">IFERROR(IF(_xlfn.XLOOKUP(t_øg[[#This Row],[Dato]]&amp;t_øg[[#This Row],[navn]],Regnskap!$C$10:$C$51&amp;Regnskap!$K$10:$K$51,Regnskap!$H$10:$H$51)&gt;0,Data!$AJ$3,""),"")</f>
        <v/>
      </c>
      <c r="S11" s="3" t="str" cm="1">
        <f t="array" ref="S11">IFERROR(IF(t_øg[[#This Row],[12_pLEV]]="",IF(_xlfn.XLOOKUP(t_øg[[#This Row],[Dato]]&amp;t_øg[[#This Row],[navn]],Regnskap!$C$10:$C$51&amp;Regnskap!$K$10:$K$51,Regnskap!$I$10:$I$51)&gt;0,Data!$AJ$2)),"")</f>
        <v/>
      </c>
      <c r="T11" s="3" t="str" cm="1">
        <f t="array" ref="T11">IFERROR(IF(t_øg[[#This Row],[11_pLEV]]="",IF(_xlfn.XLOOKUP(t_øg[[#This Row],[Dato]]&amp;t_øg[[#This Row],[navn]],Regnskap!$C$10:$C$51&amp;Regnskap!$K$10:$K$51,Regnskap!$J$10:$J$51)&gt;0,Data!$AJ$1),""),"")</f>
        <v/>
      </c>
      <c r="U11" s="3">
        <f ca="1">SUM(t_øg[[#This Row],[12_poeng]:[10_pLEV]])</f>
        <v>0</v>
      </c>
      <c r="V11" s="3">
        <f ca="1">SUM(t_øg[[#This Row],[Summert]]+t_øg[[#This Row],[LEV_poeng]])</f>
        <v>0</v>
      </c>
    </row>
    <row r="12" spans="1:36" x14ac:dyDescent="0.2">
      <c r="A12" s="3" t="s">
        <v>46</v>
      </c>
      <c r="B12">
        <f>IF(t_øg[[#This Row],[Dato]]&lt;&gt;"",WEEKNUM(t_øg[[#This Row],[Dato]]),"")</f>
        <v>43</v>
      </c>
      <c r="C12" s="22">
        <f>Data!AL11</f>
        <v>46319</v>
      </c>
      <c r="D12">
        <f ca="1">IFERROR(IF(t_øg[[#This Row],[Dato]]="","",OFFSET(_xlfn.XLOOKUP(C12,Kuponger!E:E,Kuponger!BA:BA),15,0)),"")</f>
        <v>0</v>
      </c>
      <c r="E12">
        <f ca="1">IFERROR(IF(t_øg[[#This Row],[hp]]&lt;&gt;"",OFFSET(_xlfn.XLOOKUP(C12,Kuponger!E:E,Kuponger!BA:BA),15,1),""),"")</f>
        <v>0</v>
      </c>
      <c r="F12">
        <f ca="1">IFERROR(IF(t_øg[[#This Row],[Dato]]="","",OFFSET(_xlfn.XLOOKUP(C12,Kuponger!E:E,Kuponger!BA:BA),15,2)),"")</f>
        <v>0</v>
      </c>
      <c r="G12">
        <f ca="1">IFERROR(IF(OFFSET(_xlfn.XLOOKUP(C12,Kuponger!E:E,Kuponger!BA:BA),0,2)=0,"",OFFSET(_xlfn.XLOOKUP(C12,Kuponger!E:E,Kuponger!BA:BA),1,2))*-1,"")</f>
        <v>0</v>
      </c>
      <c r="H12" t="str">
        <f t="shared" ca="1" si="1"/>
        <v/>
      </c>
      <c r="I12" t="str">
        <f ca="1">IFERROR(IF(t_øg[[#This Row],[tp]]&lt;&gt;"",OFFSET(_xlfn.XLOOKUP(C12,Kuponger!E:E,Kuponger!BA:BA),1,1),""),"")</f>
        <v/>
      </c>
      <c r="J12" s="3">
        <f ca="1">IFERROR(IF(t_øg[[#This Row],[Dato]]="",0,OFFSET(_xlfn.XLOOKUP(t_øg[[#This Row],[Dato]],Kuponger!E:E,Kuponger!BA:BA),1,7)),"")</f>
        <v>0</v>
      </c>
      <c r="K12" s="3">
        <f ca="1">IFERROR(SUM(t_øg[[#This Row],[tp]]),0)</f>
        <v>0</v>
      </c>
      <c r="L12" s="3" t="str">
        <f ca="1">IF(t_rb[[#This Row],[Antall_rette]]=12,1,"")</f>
        <v/>
      </c>
      <c r="M12" s="3" t="str">
        <f ca="1">IF(t_rb[[#This Row],[Antall_rette]]=11,1,"")</f>
        <v/>
      </c>
      <c r="N12" s="3" t="str">
        <f ca="1">IF(t_rb[[#This Row],[Antall_rette]]=10,1,"")</f>
        <v/>
      </c>
      <c r="O12" s="3">
        <f ca="1">IF(t_øg[[#This Row],[12_Antall]]=1,Data!$AJ$3,0)</f>
        <v>0</v>
      </c>
      <c r="P12" s="3">
        <f ca="1">IF(t_øg[[#This Row],[11_Antall]]=1,Data!$AJ$2,0)</f>
        <v>0</v>
      </c>
      <c r="Q12" s="3">
        <f ca="1">IF(t_øg[[#This Row],[10_Antall]]=1,Data!$AJ$1,0)</f>
        <v>0</v>
      </c>
      <c r="R12" s="3" t="str" cm="1">
        <f t="array" ref="R12">IFERROR(IF(_xlfn.XLOOKUP(t_øg[[#This Row],[Dato]]&amp;t_øg[[#This Row],[navn]],Regnskap!$C$10:$C$51&amp;Regnskap!$K$10:$K$51,Regnskap!$H$10:$H$51)&gt;0,Data!$AJ$3,""),"")</f>
        <v/>
      </c>
      <c r="S12" s="3" t="b" cm="1">
        <f t="array" ref="S12">IFERROR(IF(t_øg[[#This Row],[12_pLEV]]="",IF(_xlfn.XLOOKUP(t_øg[[#This Row],[Dato]]&amp;t_øg[[#This Row],[navn]],Regnskap!$C$10:$C$51&amp;Regnskap!$K$10:$K$51,Regnskap!$I$10:$I$51)&gt;0,Data!$AJ$2)),"")</f>
        <v>0</v>
      </c>
      <c r="T12" s="3" t="str" cm="1">
        <f t="array" ref="T12">IFERROR(IF(t_øg[[#This Row],[11_pLEV]]="",IF(_xlfn.XLOOKUP(t_øg[[#This Row],[Dato]]&amp;t_øg[[#This Row],[navn]],Regnskap!$C$10:$C$51&amp;Regnskap!$K$10:$K$51,Regnskap!$J$10:$J$51)&gt;0,Data!$AJ$1),""),"")</f>
        <v/>
      </c>
      <c r="U12" s="3">
        <f ca="1">SUM(t_øg[[#This Row],[12_poeng]:[10_pLEV]])</f>
        <v>0</v>
      </c>
      <c r="V12" s="3">
        <f ca="1">SUM(t_øg[[#This Row],[Summert]]+t_øg[[#This Row],[LEV_poeng]])</f>
        <v>0</v>
      </c>
    </row>
    <row r="13" spans="1:36" ht="15" x14ac:dyDescent="0.25">
      <c r="A13" s="3" t="s">
        <v>46</v>
      </c>
      <c r="B13">
        <f>IF(t_øg[[#This Row],[Dato]]&lt;&gt;"",WEEKNUM(t_øg[[#This Row],[Dato]]),"")</f>
        <v>44</v>
      </c>
      <c r="C13" s="22">
        <f>Data!AL12</f>
        <v>46326</v>
      </c>
      <c r="D13">
        <f ca="1">IFERROR(IF(t_øg[[#This Row],[Dato]]="","",OFFSET(_xlfn.XLOOKUP(C13,Kuponger!E:E,Kuponger!BA:BA),15,0)),"")</f>
        <v>0</v>
      </c>
      <c r="E13">
        <f ca="1">IFERROR(IF(t_øg[[#This Row],[hp]]&lt;&gt;"",OFFSET(_xlfn.XLOOKUP(C13,Kuponger!E:E,Kuponger!BA:BA),15,1),""),"")</f>
        <v>0</v>
      </c>
      <c r="F13">
        <f ca="1">IFERROR(IF(t_øg[[#This Row],[Dato]]="","",OFFSET(_xlfn.XLOOKUP(C13,Kuponger!E:E,Kuponger!BA:BA),15,2)),"")</f>
        <v>0</v>
      </c>
      <c r="G13">
        <f ca="1">IFERROR(IF(OFFSET(_xlfn.XLOOKUP(C13,Kuponger!E:E,Kuponger!BA:BA),0,2)=0,"",OFFSET(_xlfn.XLOOKUP(C13,Kuponger!E:E,Kuponger!BA:BA),1,2))*-1,"")</f>
        <v>0</v>
      </c>
      <c r="H13" t="str">
        <f t="shared" ca="1" si="1"/>
        <v/>
      </c>
      <c r="I13" t="str">
        <f ca="1">IFERROR(IF(t_øg[[#This Row],[tp]]&lt;&gt;"",OFFSET(_xlfn.XLOOKUP(C13,Kuponger!E:E,Kuponger!BA:BA),1,1),""),"")</f>
        <v/>
      </c>
      <c r="J13" s="3">
        <f ca="1">IFERROR(IF(t_øg[[#This Row],[Dato]]="",0,OFFSET(_xlfn.XLOOKUP(t_øg[[#This Row],[Dato]],Kuponger!E:E,Kuponger!BA:BA),1,7)),"")</f>
        <v>0</v>
      </c>
      <c r="K13" s="3">
        <f ca="1">IFERROR(SUM(t_øg[[#This Row],[tp]]),0)</f>
        <v>0</v>
      </c>
      <c r="L13" s="3" t="str">
        <f ca="1">IF(t_rb[[#This Row],[Antall_rette]]=12,1,"")</f>
        <v/>
      </c>
      <c r="M13" s="3" t="str">
        <f ca="1">IF(t_rb[[#This Row],[Antall_rette]]=11,1,"")</f>
        <v/>
      </c>
      <c r="N13" s="3" t="str">
        <f ca="1">IF(t_rb[[#This Row],[Antall_rette]]=10,1,"")</f>
        <v/>
      </c>
      <c r="O13" s="3">
        <f ca="1">IF(t_øg[[#This Row],[12_Antall]]=1,Data!$AJ$3,0)</f>
        <v>0</v>
      </c>
      <c r="P13" s="3">
        <f ca="1">IF(t_øg[[#This Row],[11_Antall]]=1,Data!$AJ$2,0)</f>
        <v>0</v>
      </c>
      <c r="Q13" s="3">
        <f ca="1">IF(t_øg[[#This Row],[10_Antall]]=1,Data!$AJ$1,0)</f>
        <v>0</v>
      </c>
      <c r="R13" s="3" t="str" cm="1">
        <f t="array" ref="R13">IFERROR(IF(_xlfn.XLOOKUP(t_øg[[#This Row],[Dato]]&amp;t_øg[[#This Row],[navn]],Regnskap!$C$10:$C$51&amp;Regnskap!$K$10:$K$51,Regnskap!$H$10:$H$51)&gt;0,Data!$AJ$3,""),"")</f>
        <v/>
      </c>
      <c r="S13" s="3" t="str" cm="1">
        <f t="array" ref="S13">IFERROR(IF(t_øg[[#This Row],[12_pLEV]]="",IF(_xlfn.XLOOKUP(t_øg[[#This Row],[Dato]]&amp;t_øg[[#This Row],[navn]],Regnskap!$C$10:$C$51&amp;Regnskap!$K$10:$K$51,Regnskap!$I$10:$I$51)&gt;0,Data!$AJ$2)),"")</f>
        <v/>
      </c>
      <c r="T13" s="3" t="str" cm="1">
        <f t="array" ref="T13">IFERROR(IF(t_øg[[#This Row],[11_pLEV]]="",IF(_xlfn.XLOOKUP(t_øg[[#This Row],[Dato]]&amp;t_øg[[#This Row],[navn]],Regnskap!$C$10:$C$51&amp;Regnskap!$K$10:$K$51,Regnskap!$J$10:$J$51)&gt;0,Data!$AJ$1),""),"")</f>
        <v/>
      </c>
      <c r="U13" s="3">
        <f ca="1">SUM(t_øg[[#This Row],[12_poeng]:[10_pLEV]])</f>
        <v>0</v>
      </c>
      <c r="V13" s="3">
        <f ca="1">SUM(t_øg[[#This Row],[Summert]]+t_øg[[#This Row],[LEV_poeng]])</f>
        <v>0</v>
      </c>
      <c r="W13" s="671"/>
      <c r="X13" s="671"/>
      <c r="Y13" s="671"/>
      <c r="Z13" s="671"/>
      <c r="AA13" s="671"/>
      <c r="AB13" s="671"/>
      <c r="AC13" s="23"/>
    </row>
    <row r="14" spans="1:36" x14ac:dyDescent="0.2">
      <c r="A14" s="3" t="s">
        <v>46</v>
      </c>
      <c r="B14">
        <f>IF(t_øg[[#This Row],[Dato]]&lt;&gt;"",WEEKNUM(t_øg[[#This Row],[Dato]]),"")</f>
        <v>45</v>
      </c>
      <c r="C14" s="22">
        <f>Data!AL13</f>
        <v>46333</v>
      </c>
      <c r="D14">
        <f ca="1">IFERROR(IF(t_øg[[#This Row],[Dato]]="","",OFFSET(_xlfn.XLOOKUP(C14,Kuponger!E:E,Kuponger!BA:BA),15,0)),"")</f>
        <v>0</v>
      </c>
      <c r="E14">
        <f ca="1">IFERROR(IF(t_øg[[#This Row],[hp]]&lt;&gt;"",OFFSET(_xlfn.XLOOKUP(C14,Kuponger!E:E,Kuponger!BA:BA),15,1),""),"")</f>
        <v>0</v>
      </c>
      <c r="F14">
        <f ca="1">IFERROR(IF(t_øg[[#This Row],[Dato]]="","",OFFSET(_xlfn.XLOOKUP(C14,Kuponger!E:E,Kuponger!BA:BA),15,2)),"")</f>
        <v>0</v>
      </c>
      <c r="G14">
        <f ca="1">IFERROR(IF(OFFSET(_xlfn.XLOOKUP(C14,Kuponger!E:E,Kuponger!BA:BA),0,2)=0,"",OFFSET(_xlfn.XLOOKUP(C14,Kuponger!E:E,Kuponger!BA:BA),1,2))*-1,"")</f>
        <v>0</v>
      </c>
      <c r="H14" t="str">
        <f t="shared" ca="1" si="1"/>
        <v/>
      </c>
      <c r="I14" t="str">
        <f ca="1">IFERROR(IF(t_øg[[#This Row],[tp]]&lt;&gt;"",OFFSET(_xlfn.XLOOKUP(C14,Kuponger!E:E,Kuponger!BA:BA),1,1),""),"")</f>
        <v/>
      </c>
      <c r="J14" s="3">
        <f ca="1">IFERROR(IF(t_øg[[#This Row],[Dato]]="",0,OFFSET(_xlfn.XLOOKUP(t_øg[[#This Row],[Dato]],Kuponger!E:E,Kuponger!BA:BA),1,7)),"")</f>
        <v>0</v>
      </c>
      <c r="K14" s="3">
        <f ca="1">IFERROR(SUM(t_øg[[#This Row],[tp]]),0)</f>
        <v>0</v>
      </c>
      <c r="L14" s="3" t="str">
        <f ca="1">IF(t_rb[[#This Row],[Antall_rette]]=12,1,"")</f>
        <v/>
      </c>
      <c r="M14" s="3" t="str">
        <f ca="1">IF(t_rb[[#This Row],[Antall_rette]]=11,1,"")</f>
        <v/>
      </c>
      <c r="N14" s="3" t="str">
        <f ca="1">IF(t_rb[[#This Row],[Antall_rette]]=10,1,"")</f>
        <v/>
      </c>
      <c r="O14" s="3">
        <f ca="1">IF(t_øg[[#This Row],[12_Antall]]=1,Data!$AJ$3,0)</f>
        <v>0</v>
      </c>
      <c r="P14" s="3">
        <f ca="1">IF(t_øg[[#This Row],[11_Antall]]=1,Data!$AJ$2,0)</f>
        <v>0</v>
      </c>
      <c r="Q14" s="3">
        <f ca="1">IF(t_øg[[#This Row],[10_Antall]]=1,Data!$AJ$1,0)</f>
        <v>0</v>
      </c>
      <c r="R14" s="3" t="str" cm="1">
        <f t="array" ref="R14">IFERROR(IF(_xlfn.XLOOKUP(t_øg[[#This Row],[Dato]]&amp;t_øg[[#This Row],[navn]],Regnskap!$C$10:$C$51&amp;Regnskap!$K$10:$K$51,Regnskap!$H$10:$H$51)&gt;0,Data!$AJ$3,""),"")</f>
        <v/>
      </c>
      <c r="S14" s="3" t="str" cm="1">
        <f t="array" ref="S14">IFERROR(IF(t_øg[[#This Row],[12_pLEV]]="",IF(_xlfn.XLOOKUP(t_øg[[#This Row],[Dato]]&amp;t_øg[[#This Row],[navn]],Regnskap!$C$10:$C$51&amp;Regnskap!$K$10:$K$51,Regnskap!$I$10:$I$51)&gt;0,Data!$AJ$2)),"")</f>
        <v/>
      </c>
      <c r="T14" s="3" t="str" cm="1">
        <f t="array" ref="T14">IFERROR(IF(t_øg[[#This Row],[11_pLEV]]="",IF(_xlfn.XLOOKUP(t_øg[[#This Row],[Dato]]&amp;t_øg[[#This Row],[navn]],Regnskap!$C$10:$C$51&amp;Regnskap!$K$10:$K$51,Regnskap!$J$10:$J$51)&gt;0,Data!$AJ$1),""),"")</f>
        <v/>
      </c>
      <c r="U14" s="3">
        <f ca="1">SUM(t_øg[[#This Row],[12_poeng]:[10_pLEV]])</f>
        <v>0</v>
      </c>
      <c r="V14" s="3">
        <f ca="1">SUM(t_øg[[#This Row],[Summert]]+t_øg[[#This Row],[LEV_poeng]])</f>
        <v>0</v>
      </c>
    </row>
    <row r="15" spans="1:36" x14ac:dyDescent="0.2">
      <c r="A15" s="3" t="s">
        <v>46</v>
      </c>
      <c r="B15">
        <f>IF(t_øg[[#This Row],[Dato]]&lt;&gt;"",WEEKNUM(t_øg[[#This Row],[Dato]]),"")</f>
        <v>46</v>
      </c>
      <c r="C15" s="22">
        <f>Data!AL14</f>
        <v>46340</v>
      </c>
      <c r="D15">
        <f ca="1">IFERROR(IF(t_øg[[#This Row],[Dato]]="","",OFFSET(_xlfn.XLOOKUP(C15,Kuponger!E:E,Kuponger!BA:BA),15,0)),"")</f>
        <v>0</v>
      </c>
      <c r="E15">
        <f ca="1">IFERROR(IF(t_øg[[#This Row],[hp]]&lt;&gt;"",OFFSET(_xlfn.XLOOKUP(C15,Kuponger!E:E,Kuponger!BA:BA),15,1),""),"")</f>
        <v>0</v>
      </c>
      <c r="F15">
        <f ca="1">IFERROR(IF(t_øg[[#This Row],[Dato]]="","",OFFSET(_xlfn.XLOOKUP(C15,Kuponger!E:E,Kuponger!BA:BA),15,2)),"")</f>
        <v>0</v>
      </c>
      <c r="G15">
        <f ca="1">IFERROR(IF(OFFSET(_xlfn.XLOOKUP(C15,Kuponger!E:E,Kuponger!BA:BA),0,2)=0,"",OFFSET(_xlfn.XLOOKUP(C15,Kuponger!E:E,Kuponger!BA:BA),1,2))*-1,"")</f>
        <v>0</v>
      </c>
      <c r="H15" t="str">
        <f t="shared" ca="1" si="1"/>
        <v/>
      </c>
      <c r="I15" t="str">
        <f ca="1">IFERROR(IF(t_øg[[#This Row],[tp]]&lt;&gt;"",OFFSET(_xlfn.XLOOKUP(C15,Kuponger!E:E,Kuponger!BA:BA),1,1),""),"")</f>
        <v/>
      </c>
      <c r="J15" s="3">
        <f ca="1">IFERROR(IF(t_øg[[#This Row],[Dato]]="",0,OFFSET(_xlfn.XLOOKUP(t_øg[[#This Row],[Dato]],Kuponger!E:E,Kuponger!BA:BA),1,7)),"")</f>
        <v>0</v>
      </c>
      <c r="K15" s="3">
        <f ca="1">IFERROR(SUM(t_øg[[#This Row],[tp]]),0)</f>
        <v>0</v>
      </c>
      <c r="L15" s="3" t="str">
        <f ca="1">IF(t_rb[[#This Row],[Antall_rette]]=12,1,"")</f>
        <v/>
      </c>
      <c r="M15" s="3" t="str">
        <f ca="1">IF(t_rb[[#This Row],[Antall_rette]]=11,1,"")</f>
        <v/>
      </c>
      <c r="N15" s="3" t="str">
        <f ca="1">IF(t_rb[[#This Row],[Antall_rette]]=10,1,"")</f>
        <v/>
      </c>
      <c r="O15" s="3">
        <f ca="1">IF(t_øg[[#This Row],[12_Antall]]=1,Data!$AJ$3,0)</f>
        <v>0</v>
      </c>
      <c r="P15" s="3">
        <f ca="1">IF(t_øg[[#This Row],[11_Antall]]=1,Data!$AJ$2,0)</f>
        <v>0</v>
      </c>
      <c r="Q15" s="3">
        <f ca="1">IF(t_øg[[#This Row],[10_Antall]]=1,Data!$AJ$1,0)</f>
        <v>0</v>
      </c>
      <c r="R15" s="3" t="str" cm="1">
        <f t="array" ref="R15">IFERROR(IF(_xlfn.XLOOKUP(t_øg[[#This Row],[Dato]]&amp;t_øg[[#This Row],[navn]],Regnskap!$C$10:$C$51&amp;Regnskap!$K$10:$K$51,Regnskap!$H$10:$H$51)&gt;0,Data!$AJ$3,""),"")</f>
        <v/>
      </c>
      <c r="S15" s="3" t="str" cm="1">
        <f t="array" ref="S15">IFERROR(IF(t_øg[[#This Row],[12_pLEV]]="",IF(_xlfn.XLOOKUP(t_øg[[#This Row],[Dato]]&amp;t_øg[[#This Row],[navn]],Regnskap!$C$10:$C$51&amp;Regnskap!$K$10:$K$51,Regnskap!$I$10:$I$51)&gt;0,Data!$AJ$2)),"")</f>
        <v/>
      </c>
      <c r="T15" s="3" t="str" cm="1">
        <f t="array" ref="T15">IFERROR(IF(t_øg[[#This Row],[11_pLEV]]="",IF(_xlfn.XLOOKUP(t_øg[[#This Row],[Dato]]&amp;t_øg[[#This Row],[navn]],Regnskap!$C$10:$C$51&amp;Regnskap!$K$10:$K$51,Regnskap!$J$10:$J$51)&gt;0,Data!$AJ$1),""),"")</f>
        <v/>
      </c>
      <c r="U15" s="3">
        <f ca="1">SUM(t_øg[[#This Row],[12_poeng]:[10_pLEV]])</f>
        <v>0</v>
      </c>
      <c r="V15" s="3">
        <f ca="1">SUM(t_øg[[#This Row],[Summert]]+t_øg[[#This Row],[LEV_poeng]])</f>
        <v>0</v>
      </c>
    </row>
    <row r="16" spans="1:36" x14ac:dyDescent="0.2">
      <c r="A16" s="3" t="s">
        <v>46</v>
      </c>
      <c r="B16">
        <f>IF(t_øg[[#This Row],[Dato]]&lt;&gt;"",WEEKNUM(t_øg[[#This Row],[Dato]]),"")</f>
        <v>47</v>
      </c>
      <c r="C16" s="22">
        <f>Data!AL15</f>
        <v>46347</v>
      </c>
      <c r="D16">
        <f ca="1">IFERROR(IF(t_øg[[#This Row],[Dato]]="","",OFFSET(_xlfn.XLOOKUP(C16,Kuponger!E:E,Kuponger!BA:BA),15,0)),"")</f>
        <v>0</v>
      </c>
      <c r="E16">
        <f ca="1">IFERROR(IF(t_øg[[#This Row],[hp]]&lt;&gt;"",OFFSET(_xlfn.XLOOKUP(C16,Kuponger!E:E,Kuponger!BA:BA),15,1),""),"")</f>
        <v>0</v>
      </c>
      <c r="F16">
        <f ca="1">IFERROR(IF(t_øg[[#This Row],[Dato]]="","",OFFSET(_xlfn.XLOOKUP(C16,Kuponger!E:E,Kuponger!BA:BA),15,2)),"")</f>
        <v>0</v>
      </c>
      <c r="G16">
        <f ca="1">IFERROR(IF(OFFSET(_xlfn.XLOOKUP(C16,Kuponger!E:E,Kuponger!BA:BA),0,2)=0,"",OFFSET(_xlfn.XLOOKUP(C16,Kuponger!E:E,Kuponger!BA:BA),1,2))*-1,"")</f>
        <v>0</v>
      </c>
      <c r="H16" t="str">
        <f t="shared" ca="1" si="1"/>
        <v/>
      </c>
      <c r="I16" t="str">
        <f ca="1">IFERROR(IF(t_øg[[#This Row],[tp]]&lt;&gt;"",OFFSET(_xlfn.XLOOKUP(C16,Kuponger!E:E,Kuponger!BA:BA),1,1),""),"")</f>
        <v/>
      </c>
      <c r="J16" s="3">
        <f ca="1">IFERROR(IF(t_øg[[#This Row],[Dato]]="",0,OFFSET(_xlfn.XLOOKUP(t_øg[[#This Row],[Dato]],Kuponger!E:E,Kuponger!BA:BA),1,7)),"")</f>
        <v>0</v>
      </c>
      <c r="K16" s="3">
        <f ca="1">IFERROR(SUM(t_øg[[#This Row],[tp]]),0)</f>
        <v>0</v>
      </c>
      <c r="L16" s="3" t="str">
        <f ca="1">IF(t_rb[[#This Row],[Antall_rette]]=12,1,"")</f>
        <v/>
      </c>
      <c r="M16" s="3" t="str">
        <f ca="1">IF(t_rb[[#This Row],[Antall_rette]]=11,1,"")</f>
        <v/>
      </c>
      <c r="N16" s="3" t="str">
        <f ca="1">IF(t_rb[[#This Row],[Antall_rette]]=10,1,"")</f>
        <v/>
      </c>
      <c r="O16" s="3">
        <f ca="1">IF(t_øg[[#This Row],[12_Antall]]=1,Data!$AJ$3,0)</f>
        <v>0</v>
      </c>
      <c r="P16" s="3">
        <f ca="1">IF(t_øg[[#This Row],[11_Antall]]=1,Data!$AJ$2,0)</f>
        <v>0</v>
      </c>
      <c r="Q16" s="3">
        <f ca="1">IF(t_øg[[#This Row],[10_Antall]]=1,Data!$AJ$1,0)</f>
        <v>0</v>
      </c>
      <c r="R16" s="3" t="str" cm="1">
        <f t="array" ref="R16">IFERROR(IF(_xlfn.XLOOKUP(t_øg[[#This Row],[Dato]]&amp;t_øg[[#This Row],[navn]],Regnskap!$C$10:$C$51&amp;Regnskap!$K$10:$K$51,Regnskap!$H$10:$H$51)&gt;0,Data!$AJ$3,""),"")</f>
        <v/>
      </c>
      <c r="S16" s="3" t="str" cm="1">
        <f t="array" ref="S16">IFERROR(IF(t_øg[[#This Row],[12_pLEV]]="",IF(_xlfn.XLOOKUP(t_øg[[#This Row],[Dato]]&amp;t_øg[[#This Row],[navn]],Regnskap!$C$10:$C$51&amp;Regnskap!$K$10:$K$51,Regnskap!$I$10:$I$51)&gt;0,Data!$AJ$2)),"")</f>
        <v/>
      </c>
      <c r="T16" s="3" t="str" cm="1">
        <f t="array" ref="T16">IFERROR(IF(t_øg[[#This Row],[11_pLEV]]="",IF(_xlfn.XLOOKUP(t_øg[[#This Row],[Dato]]&amp;t_øg[[#This Row],[navn]],Regnskap!$C$10:$C$51&amp;Regnskap!$K$10:$K$51,Regnskap!$J$10:$J$51)&gt;0,Data!$AJ$1),""),"")</f>
        <v/>
      </c>
      <c r="U16" s="3">
        <f ca="1">SUM(t_øg[[#This Row],[12_poeng]:[10_pLEV]])</f>
        <v>0</v>
      </c>
      <c r="V16" s="3">
        <f ca="1">SUM(t_øg[[#This Row],[Summert]]+t_øg[[#This Row],[LEV_poeng]])</f>
        <v>0</v>
      </c>
    </row>
    <row r="17" spans="1:28" x14ac:dyDescent="0.2">
      <c r="A17" s="3" t="s">
        <v>46</v>
      </c>
      <c r="B17">
        <f>IF(t_øg[[#This Row],[Dato]]&lt;&gt;"",WEEKNUM(t_øg[[#This Row],[Dato]]),"")</f>
        <v>48</v>
      </c>
      <c r="C17" s="22">
        <f>Data!AL16</f>
        <v>46354</v>
      </c>
      <c r="D17">
        <f ca="1">IFERROR(IF(t_øg[[#This Row],[Dato]]="","",OFFSET(_xlfn.XLOOKUP(C17,Kuponger!E:E,Kuponger!BA:BA),15,0)),"")</f>
        <v>0</v>
      </c>
      <c r="E17">
        <f ca="1">IFERROR(IF(t_øg[[#This Row],[hp]]&lt;&gt;"",OFFSET(_xlfn.XLOOKUP(C17,Kuponger!E:E,Kuponger!BA:BA),15,1),""),"")</f>
        <v>0</v>
      </c>
      <c r="F17">
        <f ca="1">IFERROR(IF(t_øg[[#This Row],[Dato]]="","",OFFSET(_xlfn.XLOOKUP(C17,Kuponger!E:E,Kuponger!BA:BA),15,2)),"")</f>
        <v>0</v>
      </c>
      <c r="G17">
        <f ca="1">IFERROR(IF(OFFSET(_xlfn.XLOOKUP(C17,Kuponger!E:E,Kuponger!BA:BA),0,2)=0,"",OFFSET(_xlfn.XLOOKUP(C17,Kuponger!E:E,Kuponger!BA:BA),1,2))*-1,"")</f>
        <v>0</v>
      </c>
      <c r="H17" t="str">
        <f t="shared" ca="1" si="1"/>
        <v/>
      </c>
      <c r="I17" t="str">
        <f ca="1">IFERROR(IF(t_øg[[#This Row],[tp]]&lt;&gt;"",OFFSET(_xlfn.XLOOKUP(C17,Kuponger!E:E,Kuponger!BA:BA),1,1),""),"")</f>
        <v/>
      </c>
      <c r="J17" s="3">
        <f ca="1">IFERROR(IF(t_øg[[#This Row],[Dato]]="",0,OFFSET(_xlfn.XLOOKUP(t_øg[[#This Row],[Dato]],Kuponger!E:E,Kuponger!BA:BA),1,7)),"")</f>
        <v>0</v>
      </c>
      <c r="K17" s="3">
        <f ca="1">IFERROR(SUM(t_øg[[#This Row],[tp]]),0)</f>
        <v>0</v>
      </c>
      <c r="L17" s="3" t="str">
        <f ca="1">IF(t_rb[[#This Row],[Antall_rette]]=12,1,"")</f>
        <v/>
      </c>
      <c r="M17" s="3" t="str">
        <f ca="1">IF(t_rb[[#This Row],[Antall_rette]]=11,1,"")</f>
        <v/>
      </c>
      <c r="N17" s="3" t="str">
        <f ca="1">IF(t_rb[[#This Row],[Antall_rette]]=10,1,"")</f>
        <v/>
      </c>
      <c r="O17" s="3">
        <f ca="1">IF(t_øg[[#This Row],[12_Antall]]=1,Data!$AJ$3,0)</f>
        <v>0</v>
      </c>
      <c r="P17" s="3">
        <f ca="1">IF(t_øg[[#This Row],[11_Antall]]=1,Data!$AJ$2,0)</f>
        <v>0</v>
      </c>
      <c r="Q17" s="3">
        <f ca="1">IF(t_øg[[#This Row],[10_Antall]]=1,Data!$AJ$1,0)</f>
        <v>0</v>
      </c>
      <c r="R17" s="3" t="str" cm="1">
        <f t="array" ref="R17">IFERROR(IF(_xlfn.XLOOKUP(t_øg[[#This Row],[Dato]]&amp;t_øg[[#This Row],[navn]],Regnskap!$C$10:$C$51&amp;Regnskap!$K$10:$K$51,Regnskap!$H$10:$H$51)&gt;0,Data!$AJ$3,""),"")</f>
        <v/>
      </c>
      <c r="S17" s="3" t="str" cm="1">
        <f t="array" ref="S17">IFERROR(IF(t_øg[[#This Row],[12_pLEV]]="",IF(_xlfn.XLOOKUP(t_øg[[#This Row],[Dato]]&amp;t_øg[[#This Row],[navn]],Regnskap!$C$10:$C$51&amp;Regnskap!$K$10:$K$51,Regnskap!$I$10:$I$51)&gt;0,Data!$AJ$2)),"")</f>
        <v/>
      </c>
      <c r="T17" s="3" t="str" cm="1">
        <f t="array" ref="T17">IFERROR(IF(t_øg[[#This Row],[11_pLEV]]="",IF(_xlfn.XLOOKUP(t_øg[[#This Row],[Dato]]&amp;t_øg[[#This Row],[navn]],Regnskap!$C$10:$C$51&amp;Regnskap!$K$10:$K$51,Regnskap!$J$10:$J$51)&gt;0,Data!$AJ$1),""),"")</f>
        <v/>
      </c>
      <c r="U17" s="3">
        <f ca="1">SUM(t_øg[[#This Row],[12_poeng]:[10_pLEV]])</f>
        <v>0</v>
      </c>
      <c r="V17" s="3">
        <f ca="1">SUM(t_øg[[#This Row],[Summert]]+t_øg[[#This Row],[LEV_poeng]])</f>
        <v>0</v>
      </c>
    </row>
    <row r="18" spans="1:28" x14ac:dyDescent="0.2">
      <c r="A18" s="3" t="s">
        <v>46</v>
      </c>
      <c r="B18">
        <f>IF(t_øg[[#This Row],[Dato]]&lt;&gt;"",WEEKNUM(t_øg[[#This Row],[Dato]]),"")</f>
        <v>49</v>
      </c>
      <c r="C18" s="22">
        <f>Data!AL17</f>
        <v>46361</v>
      </c>
      <c r="D18">
        <f ca="1">IFERROR(IF(t_øg[[#This Row],[Dato]]="","",OFFSET(_xlfn.XLOOKUP(C18,Kuponger!E:E,Kuponger!BA:BA),15,0)),"")</f>
        <v>0</v>
      </c>
      <c r="E18">
        <f ca="1">IFERROR(IF(t_øg[[#This Row],[hp]]&lt;&gt;"",OFFSET(_xlfn.XLOOKUP(C18,Kuponger!E:E,Kuponger!BA:BA),15,1),""),"")</f>
        <v>0</v>
      </c>
      <c r="F18">
        <f ca="1">IFERROR(IF(t_øg[[#This Row],[Dato]]="","",OFFSET(_xlfn.XLOOKUP(C18,Kuponger!E:E,Kuponger!BA:BA),15,2)),"")</f>
        <v>0</v>
      </c>
      <c r="G18">
        <f ca="1">IFERROR(IF(OFFSET(_xlfn.XLOOKUP(C18,Kuponger!E:E,Kuponger!BA:BA),0,2)=0,"",OFFSET(_xlfn.XLOOKUP(C18,Kuponger!E:E,Kuponger!BA:BA),1,2))*-1,"")</f>
        <v>0</v>
      </c>
      <c r="H18" t="str">
        <f t="shared" ca="1" si="1"/>
        <v/>
      </c>
      <c r="I18" t="str">
        <f ca="1">IFERROR(IF(t_øg[[#This Row],[tp]]&lt;&gt;"",OFFSET(_xlfn.XLOOKUP(C18,Kuponger!E:E,Kuponger!BA:BA),1,1),""),"")</f>
        <v/>
      </c>
      <c r="J18" s="3">
        <f ca="1">IFERROR(IF(t_øg[[#This Row],[Dato]]="",0,OFFSET(_xlfn.XLOOKUP(t_øg[[#This Row],[Dato]],Kuponger!E:E,Kuponger!BA:BA),1,7)),"")</f>
        <v>0</v>
      </c>
      <c r="K18" s="3">
        <f ca="1">IFERROR(SUM(t_øg[[#This Row],[tp]]),0)</f>
        <v>0</v>
      </c>
      <c r="L18" s="3" t="str">
        <f ca="1">IF(t_rb[[#This Row],[Antall_rette]]=12,1,"")</f>
        <v/>
      </c>
      <c r="M18" s="3" t="str">
        <f ca="1">IF(t_rb[[#This Row],[Antall_rette]]=11,1,"")</f>
        <v/>
      </c>
      <c r="N18" s="3" t="str">
        <f ca="1">IF(t_rb[[#This Row],[Antall_rette]]=10,1,"")</f>
        <v/>
      </c>
      <c r="O18" s="3">
        <f ca="1">IF(t_øg[[#This Row],[12_Antall]]=1,Data!$AJ$3,0)</f>
        <v>0</v>
      </c>
      <c r="P18" s="3">
        <f ca="1">IF(t_øg[[#This Row],[11_Antall]]=1,Data!$AJ$2,0)</f>
        <v>0</v>
      </c>
      <c r="Q18" s="3">
        <f ca="1">IF(t_øg[[#This Row],[10_Antall]]=1,Data!$AJ$1,0)</f>
        <v>0</v>
      </c>
      <c r="R18" s="3" t="str" cm="1">
        <f t="array" ref="R18">IFERROR(IF(_xlfn.XLOOKUP(t_øg[[#This Row],[Dato]]&amp;t_øg[[#This Row],[navn]],Regnskap!$C$10:$C$51&amp;Regnskap!$K$10:$K$51,Regnskap!$H$10:$H$51)&gt;0,Data!$AJ$3,""),"")</f>
        <v/>
      </c>
      <c r="S18" s="3" t="str" cm="1">
        <f t="array" ref="S18">IFERROR(IF(t_øg[[#This Row],[12_pLEV]]="",IF(_xlfn.XLOOKUP(t_øg[[#This Row],[Dato]]&amp;t_øg[[#This Row],[navn]],Regnskap!$C$10:$C$51&amp;Regnskap!$K$10:$K$51,Regnskap!$I$10:$I$51)&gt;0,Data!$AJ$2)),"")</f>
        <v/>
      </c>
      <c r="T18" s="3" t="str" cm="1">
        <f t="array" ref="T18">IFERROR(IF(t_øg[[#This Row],[11_pLEV]]="",IF(_xlfn.XLOOKUP(t_øg[[#This Row],[Dato]]&amp;t_øg[[#This Row],[navn]],Regnskap!$C$10:$C$51&amp;Regnskap!$K$10:$K$51,Regnskap!$J$10:$J$51)&gt;0,Data!$AJ$1),""),"")</f>
        <v/>
      </c>
      <c r="U18" s="3">
        <f ca="1">SUM(t_øg[[#This Row],[12_poeng]:[10_pLEV]])</f>
        <v>0</v>
      </c>
      <c r="V18" s="3">
        <f ca="1">SUM(t_øg[[#This Row],[Summert]]+t_øg[[#This Row],[LEV_poeng]])</f>
        <v>0</v>
      </c>
    </row>
    <row r="19" spans="1:28" x14ac:dyDescent="0.2">
      <c r="A19" s="3" t="s">
        <v>46</v>
      </c>
      <c r="B19">
        <f>IF(t_øg[[#This Row],[Dato]]&lt;&gt;"",WEEKNUM(t_øg[[#This Row],[Dato]]),"")</f>
        <v>50</v>
      </c>
      <c r="C19" s="22">
        <f>Data!AL18</f>
        <v>46368</v>
      </c>
      <c r="D19">
        <f ca="1">IFERROR(IF(t_øg[[#This Row],[Dato]]="","",OFFSET(_xlfn.XLOOKUP(C19,Kuponger!E:E,Kuponger!BA:BA),15,0)),"")</f>
        <v>0</v>
      </c>
      <c r="E19">
        <f ca="1">IFERROR(IF(t_øg[[#This Row],[hp]]&lt;&gt;"",OFFSET(_xlfn.XLOOKUP(C19,Kuponger!E:E,Kuponger!BA:BA),15,1),""),"")</f>
        <v>0</v>
      </c>
      <c r="F19">
        <f ca="1">IFERROR(IF(t_øg[[#This Row],[Dato]]="","",OFFSET(_xlfn.XLOOKUP(C19,Kuponger!E:E,Kuponger!BA:BA),15,2)),"")</f>
        <v>0</v>
      </c>
      <c r="G19">
        <f ca="1">IFERROR(IF(OFFSET(_xlfn.XLOOKUP(C19,Kuponger!E:E,Kuponger!BA:BA),0,2)=0,"",OFFSET(_xlfn.XLOOKUP(C19,Kuponger!E:E,Kuponger!BA:BA),1,2))*-1,"")</f>
        <v>0</v>
      </c>
      <c r="H19" t="str">
        <f t="shared" ca="1" si="1"/>
        <v/>
      </c>
      <c r="I19" t="str">
        <f ca="1">IFERROR(IF(t_øg[[#This Row],[tp]]&lt;&gt;"",OFFSET(_xlfn.XLOOKUP(C19,Kuponger!E:E,Kuponger!BA:BA),1,1),""),"")</f>
        <v/>
      </c>
      <c r="J19" s="3">
        <f ca="1">IFERROR(IF(t_øg[[#This Row],[Dato]]="",0,OFFSET(_xlfn.XLOOKUP(t_øg[[#This Row],[Dato]],Kuponger!E:E,Kuponger!BA:BA),1,7)),"")</f>
        <v>0</v>
      </c>
      <c r="K19" s="3">
        <f ca="1">IFERROR(SUM(t_øg[[#This Row],[tp]]),0)</f>
        <v>0</v>
      </c>
      <c r="L19" s="3" t="str">
        <f ca="1">IF(t_rb[[#This Row],[Antall_rette]]=12,1,"")</f>
        <v/>
      </c>
      <c r="M19" s="3" t="str">
        <f ca="1">IF(t_rb[[#This Row],[Antall_rette]]=11,1,"")</f>
        <v/>
      </c>
      <c r="N19" s="3" t="str">
        <f ca="1">IF(t_rb[[#This Row],[Antall_rette]]=10,1,"")</f>
        <v/>
      </c>
      <c r="O19" s="3">
        <f ca="1">IF(t_øg[[#This Row],[12_Antall]]=1,Data!$AJ$3,0)</f>
        <v>0</v>
      </c>
      <c r="P19" s="3">
        <f ca="1">IF(t_øg[[#This Row],[11_Antall]]=1,Data!$AJ$2,0)</f>
        <v>0</v>
      </c>
      <c r="Q19" s="3">
        <f ca="1">IF(t_øg[[#This Row],[10_Antall]]=1,Data!$AJ$1,0)</f>
        <v>0</v>
      </c>
      <c r="R19" s="3" t="str" cm="1">
        <f t="array" ref="R19">IFERROR(IF(_xlfn.XLOOKUP(t_øg[[#This Row],[Dato]]&amp;t_øg[[#This Row],[navn]],Regnskap!$C$10:$C$51&amp;Regnskap!$K$10:$K$51,Regnskap!$H$10:$H$51)&gt;0,Data!$AJ$3,""),"")</f>
        <v/>
      </c>
      <c r="S19" s="3" t="b" cm="1">
        <f t="array" ref="S19">IFERROR(IF(t_øg[[#This Row],[12_pLEV]]="",IF(_xlfn.XLOOKUP(t_øg[[#This Row],[Dato]]&amp;t_øg[[#This Row],[navn]],Regnskap!$C$10:$C$51&amp;Regnskap!$K$10:$K$51,Regnskap!$I$10:$I$51)&gt;0,Data!$AJ$2)),"")</f>
        <v>0</v>
      </c>
      <c r="T19" s="3" t="str" cm="1">
        <f t="array" ref="T19">IFERROR(IF(t_øg[[#This Row],[11_pLEV]]="",IF(_xlfn.XLOOKUP(t_øg[[#This Row],[Dato]]&amp;t_øg[[#This Row],[navn]],Regnskap!$C$10:$C$51&amp;Regnskap!$K$10:$K$51,Regnskap!$J$10:$J$51)&gt;0,Data!$AJ$1),""),"")</f>
        <v/>
      </c>
      <c r="U19" s="3">
        <f ca="1">SUM(t_øg[[#This Row],[12_poeng]:[10_pLEV]])</f>
        <v>0</v>
      </c>
      <c r="V19" s="3">
        <f ca="1">SUM(t_øg[[#This Row],[Summert]]+t_øg[[#This Row],[LEV_poeng]])</f>
        <v>0</v>
      </c>
      <c r="W19" s="2"/>
      <c r="X19" s="2"/>
      <c r="Y19" s="2"/>
      <c r="Z19" s="2"/>
      <c r="AA19" s="2"/>
      <c r="AB19" s="2"/>
    </row>
    <row r="20" spans="1:28" x14ac:dyDescent="0.2">
      <c r="A20" s="3" t="s">
        <v>46</v>
      </c>
      <c r="B20">
        <f>IF(t_øg[[#This Row],[Dato]]&lt;&gt;"",WEEKNUM(t_øg[[#This Row],[Dato]]),"")</f>
        <v>51</v>
      </c>
      <c r="C20" s="22">
        <f>Data!AL19</f>
        <v>46375</v>
      </c>
      <c r="D20">
        <f ca="1">IFERROR(IF(t_øg[[#This Row],[Dato]]="","",OFFSET(_xlfn.XLOOKUP(C20,Kuponger!E:E,Kuponger!BA:BA),15,0)),"")</f>
        <v>0</v>
      </c>
      <c r="E20">
        <f ca="1">IFERROR(IF(t_øg[[#This Row],[hp]]&lt;&gt;"",OFFSET(_xlfn.XLOOKUP(C20,Kuponger!E:E,Kuponger!BA:BA),15,1),""),"")</f>
        <v>0</v>
      </c>
      <c r="F20">
        <f ca="1">IFERROR(IF(t_øg[[#This Row],[Dato]]="","",OFFSET(_xlfn.XLOOKUP(C20,Kuponger!E:E,Kuponger!BA:BA),15,2)),"")</f>
        <v>0</v>
      </c>
      <c r="G20">
        <f ca="1">IFERROR(IF(OFFSET(_xlfn.XLOOKUP(C20,Kuponger!E:E,Kuponger!BA:BA),0,2)=0,"",OFFSET(_xlfn.XLOOKUP(C20,Kuponger!E:E,Kuponger!BA:BA),1,2))*-1,"")</f>
        <v>0</v>
      </c>
      <c r="H20" t="str">
        <f t="shared" ca="1" si="1"/>
        <v/>
      </c>
      <c r="I20" t="str">
        <f ca="1">IFERROR(IF(t_øg[[#This Row],[tp]]&lt;&gt;"",OFFSET(_xlfn.XLOOKUP(C20,Kuponger!E:E,Kuponger!BA:BA),1,1),""),"")</f>
        <v/>
      </c>
      <c r="J20" s="3">
        <f ca="1">IFERROR(IF(t_øg[[#This Row],[Dato]]="",0,OFFSET(_xlfn.XLOOKUP(t_øg[[#This Row],[Dato]],Kuponger!E:E,Kuponger!BA:BA),1,7)),"")</f>
        <v>0</v>
      </c>
      <c r="K20" s="3">
        <f ca="1">IFERROR(SUM(t_øg[[#This Row],[tp]]),0)</f>
        <v>0</v>
      </c>
      <c r="L20" s="3" t="str">
        <f ca="1">IF(t_rb[[#This Row],[Antall_rette]]=12,1,"")</f>
        <v/>
      </c>
      <c r="M20" s="3" t="str">
        <f ca="1">IF(t_rb[[#This Row],[Antall_rette]]=11,1,"")</f>
        <v/>
      </c>
      <c r="N20" s="3" t="str">
        <f ca="1">IF(t_rb[[#This Row],[Antall_rette]]=10,1,"")</f>
        <v/>
      </c>
      <c r="O20" s="3">
        <f ca="1">IF(t_øg[[#This Row],[12_Antall]]=1,Data!$AJ$3,0)</f>
        <v>0</v>
      </c>
      <c r="P20" s="3">
        <f ca="1">IF(t_øg[[#This Row],[11_Antall]]=1,Data!$AJ$2,0)</f>
        <v>0</v>
      </c>
      <c r="Q20" s="3">
        <f ca="1">IF(t_øg[[#This Row],[10_Antall]]=1,Data!$AJ$1,0)</f>
        <v>0</v>
      </c>
      <c r="R20" s="3" t="str" cm="1">
        <f t="array" ref="R20">IFERROR(IF(_xlfn.XLOOKUP(t_øg[[#This Row],[Dato]]&amp;t_øg[[#This Row],[navn]],Regnskap!$C$10:$C$51&amp;Regnskap!$K$10:$K$51,Regnskap!$H$10:$H$51)&gt;0,Data!$AJ$3,""),"")</f>
        <v/>
      </c>
      <c r="S20" s="3" t="str" cm="1">
        <f t="array" ref="S20">IFERROR(IF(t_øg[[#This Row],[12_pLEV]]="",IF(_xlfn.XLOOKUP(t_øg[[#This Row],[Dato]]&amp;t_øg[[#This Row],[navn]],Regnskap!$C$10:$C$51&amp;Regnskap!$K$10:$K$51,Regnskap!$I$10:$I$51)&gt;0,Data!$AJ$2)),"")</f>
        <v/>
      </c>
      <c r="T20" s="3" t="str" cm="1">
        <f t="array" ref="T20">IFERROR(IF(t_øg[[#This Row],[11_pLEV]]="",IF(_xlfn.XLOOKUP(t_øg[[#This Row],[Dato]]&amp;t_øg[[#This Row],[navn]],Regnskap!$C$10:$C$51&amp;Regnskap!$K$10:$K$51,Regnskap!$J$10:$J$51)&gt;0,Data!$AJ$1),""),"")</f>
        <v/>
      </c>
      <c r="U20" s="3">
        <f ca="1">SUM(t_øg[[#This Row],[12_poeng]:[10_pLEV]])</f>
        <v>0</v>
      </c>
      <c r="V20" s="3">
        <f ca="1">SUM(t_øg[[#This Row],[Summert]]+t_øg[[#This Row],[LEV_poeng]])</f>
        <v>0</v>
      </c>
    </row>
    <row r="21" spans="1:28" x14ac:dyDescent="0.2">
      <c r="A21" s="3" t="s">
        <v>46</v>
      </c>
      <c r="B21">
        <f>IF(t_øg[[#This Row],[Dato]]&lt;&gt;"",WEEKNUM(t_øg[[#This Row],[Dato]]),"")</f>
        <v>52</v>
      </c>
      <c r="C21" s="22">
        <f>Data!AL20</f>
        <v>46382</v>
      </c>
      <c r="D21">
        <f ca="1">IFERROR(IF(t_øg[[#This Row],[Dato]]="","",OFFSET(_xlfn.XLOOKUP(C21,Kuponger!E:E,Kuponger!BA:BA),15,0)),"")</f>
        <v>0</v>
      </c>
      <c r="E21">
        <f ca="1">IFERROR(IF(t_øg[[#This Row],[hp]]&lt;&gt;"",OFFSET(_xlfn.XLOOKUP(C21,Kuponger!E:E,Kuponger!BA:BA),15,1),""),"")</f>
        <v>0</v>
      </c>
      <c r="F21">
        <f ca="1">IFERROR(IF(t_øg[[#This Row],[Dato]]="","",OFFSET(_xlfn.XLOOKUP(C21,Kuponger!E:E,Kuponger!BA:BA),15,2)),"")</f>
        <v>0</v>
      </c>
      <c r="G21">
        <f ca="1">IFERROR(IF(OFFSET(_xlfn.XLOOKUP(C21,Kuponger!E:E,Kuponger!BA:BA),0,2)=0,"",OFFSET(_xlfn.XLOOKUP(C21,Kuponger!E:E,Kuponger!BA:BA),1,2))*-1,"")</f>
        <v>0</v>
      </c>
      <c r="H21" t="str">
        <f t="shared" ca="1" si="1"/>
        <v/>
      </c>
      <c r="I21" t="str">
        <f ca="1">IFERROR(IF(t_øg[[#This Row],[tp]]&lt;&gt;"",OFFSET(_xlfn.XLOOKUP(C21,Kuponger!E:E,Kuponger!BA:BA),1,1),""),"")</f>
        <v/>
      </c>
      <c r="J21" s="3">
        <f ca="1">IFERROR(IF(t_øg[[#This Row],[Dato]]="",0,OFFSET(_xlfn.XLOOKUP(t_øg[[#This Row],[Dato]],Kuponger!E:E,Kuponger!BA:BA),1,7)),"")</f>
        <v>0</v>
      </c>
      <c r="K21" s="3">
        <f ca="1">IFERROR(SUM(t_øg[[#This Row],[tp]]),0)</f>
        <v>0</v>
      </c>
      <c r="L21" s="3" t="str">
        <f ca="1">IF(t_rb[[#This Row],[Antall_rette]]=12,1,"")</f>
        <v/>
      </c>
      <c r="M21" s="3" t="str">
        <f ca="1">IF(t_rb[[#This Row],[Antall_rette]]=11,1,"")</f>
        <v/>
      </c>
      <c r="N21" s="3" t="str">
        <f ca="1">IF(t_rb[[#This Row],[Antall_rette]]=10,1,"")</f>
        <v/>
      </c>
      <c r="O21" s="3">
        <f ca="1">IF(t_øg[[#This Row],[12_Antall]]=1,Data!$AJ$3,0)</f>
        <v>0</v>
      </c>
      <c r="P21" s="3">
        <f ca="1">IF(t_øg[[#This Row],[11_Antall]]=1,Data!$AJ$2,0)</f>
        <v>0</v>
      </c>
      <c r="Q21" s="3">
        <f ca="1">IF(t_øg[[#This Row],[10_Antall]]=1,Data!$AJ$1,0)</f>
        <v>0</v>
      </c>
      <c r="R21" s="3" t="str" cm="1">
        <f t="array" ref="R21">IFERROR(IF(_xlfn.XLOOKUP(t_øg[[#This Row],[Dato]]&amp;t_øg[[#This Row],[navn]],Regnskap!$C$10:$C$51&amp;Regnskap!$K$10:$K$51,Regnskap!$H$10:$H$51)&gt;0,Data!$AJ$3,""),"")</f>
        <v/>
      </c>
      <c r="S21" s="3" t="str" cm="1">
        <f t="array" ref="S21">IFERROR(IF(t_øg[[#This Row],[12_pLEV]]="",IF(_xlfn.XLOOKUP(t_øg[[#This Row],[Dato]]&amp;t_øg[[#This Row],[navn]],Regnskap!$C$10:$C$51&amp;Regnskap!$K$10:$K$51,Regnskap!$I$10:$I$51)&gt;0,Data!$AJ$2)),"")</f>
        <v/>
      </c>
      <c r="T21" s="3" t="str" cm="1">
        <f t="array" ref="T21">IFERROR(IF(t_øg[[#This Row],[11_pLEV]]="",IF(_xlfn.XLOOKUP(t_øg[[#This Row],[Dato]]&amp;t_øg[[#This Row],[navn]],Regnskap!$C$10:$C$51&amp;Regnskap!$K$10:$K$51,Regnskap!$J$10:$J$51)&gt;0,Data!$AJ$1),""),"")</f>
        <v/>
      </c>
      <c r="U21" s="3">
        <f ca="1">SUM(t_øg[[#This Row],[12_poeng]:[10_pLEV]])</f>
        <v>0</v>
      </c>
      <c r="V21" s="3">
        <f ca="1">SUM(t_øg[[#This Row],[Summert]]+t_øg[[#This Row],[LEV_poeng]])</f>
        <v>0</v>
      </c>
    </row>
    <row r="22" spans="1:28" x14ac:dyDescent="0.2">
      <c r="A22" s="3" t="s">
        <v>46</v>
      </c>
      <c r="B22">
        <f>IF(t_øg[[#This Row],[Dato]]&lt;&gt;"",WEEKNUM(t_øg[[#This Row],[Dato]]),"")</f>
        <v>1</v>
      </c>
      <c r="C22" s="22">
        <f>Data!AL21</f>
        <v>46389</v>
      </c>
      <c r="D22">
        <f ca="1">IFERROR(IF(t_øg[[#This Row],[Dato]]="","",OFFSET(_xlfn.XLOOKUP(C22,Kuponger!E:E,Kuponger!BA:BA),15,0)),"")</f>
        <v>0</v>
      </c>
      <c r="E22">
        <f ca="1">IFERROR(IF(t_øg[[#This Row],[hp]]&lt;&gt;"",OFFSET(_xlfn.XLOOKUP(C22,Kuponger!E:E,Kuponger!BA:BA),15,1),""),"")</f>
        <v>0</v>
      </c>
      <c r="F22">
        <f ca="1">IFERROR(IF(t_øg[[#This Row],[Dato]]="","",OFFSET(_xlfn.XLOOKUP(C22,Kuponger!E:E,Kuponger!BA:BA),15,2)),"")</f>
        <v>0</v>
      </c>
      <c r="G22">
        <f ca="1">IFERROR(IF(OFFSET(_xlfn.XLOOKUP(C22,Kuponger!E:E,Kuponger!BA:BA),0,2)=0,"",OFFSET(_xlfn.XLOOKUP(C22,Kuponger!E:E,Kuponger!BA:BA),1,2))*-1,"")</f>
        <v>0</v>
      </c>
      <c r="H22" t="str">
        <f t="shared" ca="1" si="1"/>
        <v/>
      </c>
      <c r="I22" t="str">
        <f ca="1">IFERROR(IF(t_øg[[#This Row],[tp]]&lt;&gt;"",OFFSET(_xlfn.XLOOKUP(C22,Kuponger!E:E,Kuponger!BA:BA),1,1),""),"")</f>
        <v/>
      </c>
      <c r="J22" s="3">
        <f ca="1">IFERROR(IF(t_øg[[#This Row],[Dato]]="",0,OFFSET(_xlfn.XLOOKUP(t_øg[[#This Row],[Dato]],Kuponger!E:E,Kuponger!BA:BA),1,7)),"")</f>
        <v>0</v>
      </c>
      <c r="K22" s="3">
        <f ca="1">IFERROR(SUM(t_øg[[#This Row],[tp]]),0)</f>
        <v>0</v>
      </c>
      <c r="L22" s="3" t="str">
        <f ca="1">IF(t_rb[[#This Row],[Antall_rette]]=12,1,"")</f>
        <v/>
      </c>
      <c r="M22" s="3" t="str">
        <f ca="1">IF(t_rb[[#This Row],[Antall_rette]]=11,1,"")</f>
        <v/>
      </c>
      <c r="N22" s="3" t="str">
        <f ca="1">IF(t_rb[[#This Row],[Antall_rette]]=10,1,"")</f>
        <v/>
      </c>
      <c r="O22" s="3">
        <f ca="1">IF(t_øg[[#This Row],[12_Antall]]=1,Data!$AJ$3,0)</f>
        <v>0</v>
      </c>
      <c r="P22" s="3">
        <f ca="1">IF(t_øg[[#This Row],[11_Antall]]=1,Data!$AJ$2,0)</f>
        <v>0</v>
      </c>
      <c r="Q22" s="3">
        <f ca="1">IF(t_øg[[#This Row],[10_Antall]]=1,Data!$AJ$1,0)</f>
        <v>0</v>
      </c>
      <c r="R22" s="3" t="str" cm="1">
        <f t="array" ref="R22">IFERROR(IF(_xlfn.XLOOKUP(t_øg[[#This Row],[Dato]]&amp;t_øg[[#This Row],[navn]],Regnskap!$C$10:$C$51&amp;Regnskap!$K$10:$K$51,Regnskap!$H$10:$H$51)&gt;0,Data!$AJ$3,""),"")</f>
        <v/>
      </c>
      <c r="S22" s="3" t="str" cm="1">
        <f t="array" ref="S22">IFERROR(IF(t_øg[[#This Row],[12_pLEV]]="",IF(_xlfn.XLOOKUP(t_øg[[#This Row],[Dato]]&amp;t_øg[[#This Row],[navn]],Regnskap!$C$10:$C$51&amp;Regnskap!$K$10:$K$51,Regnskap!$I$10:$I$51)&gt;0,Data!$AJ$2)),"")</f>
        <v/>
      </c>
      <c r="T22" s="3" t="str" cm="1">
        <f t="array" ref="T22">IFERROR(IF(t_øg[[#This Row],[11_pLEV]]="",IF(_xlfn.XLOOKUP(t_øg[[#This Row],[Dato]]&amp;t_øg[[#This Row],[navn]],Regnskap!$C$10:$C$51&amp;Regnskap!$K$10:$K$51,Regnskap!$J$10:$J$51)&gt;0,Data!$AJ$1),""),"")</f>
        <v/>
      </c>
      <c r="U22" s="3">
        <f ca="1">SUM(t_øg[[#This Row],[12_poeng]:[10_pLEV]])</f>
        <v>0</v>
      </c>
      <c r="V22" s="3">
        <f ca="1">SUM(t_øg[[#This Row],[Summert]]+t_øg[[#This Row],[LEV_poeng]])</f>
        <v>0</v>
      </c>
    </row>
    <row r="23" spans="1:28" x14ac:dyDescent="0.2">
      <c r="A23" s="3" t="s">
        <v>46</v>
      </c>
      <c r="B23">
        <f>IF(t_øg[[#This Row],[Dato]]&lt;&gt;"",WEEKNUM(t_øg[[#This Row],[Dato]]),"")</f>
        <v>2</v>
      </c>
      <c r="C23" s="22">
        <f>Data!AL22</f>
        <v>46396</v>
      </c>
      <c r="D23">
        <f ca="1">IFERROR(IF(t_øg[[#This Row],[Dato]]="","",OFFSET(_xlfn.XLOOKUP(C23,Kuponger!E:E,Kuponger!BA:BA),15,0)),"")</f>
        <v>0</v>
      </c>
      <c r="E23">
        <f ca="1">IFERROR(IF(t_øg[[#This Row],[hp]]&lt;&gt;"",OFFSET(_xlfn.XLOOKUP(C23,Kuponger!E:E,Kuponger!BA:BA),15,1),""),"")</f>
        <v>0</v>
      </c>
      <c r="F23">
        <f ca="1">IFERROR(IF(t_øg[[#This Row],[Dato]]="","",OFFSET(_xlfn.XLOOKUP(C23,Kuponger!E:E,Kuponger!BA:BA),15,2)),"")</f>
        <v>0</v>
      </c>
      <c r="G23">
        <f ca="1">IFERROR(IF(OFFSET(_xlfn.XLOOKUP(C23,Kuponger!E:E,Kuponger!BA:BA),0,2)=0,"",OFFSET(_xlfn.XLOOKUP(C23,Kuponger!E:E,Kuponger!BA:BA),1,2))*-1,"")</f>
        <v>0</v>
      </c>
      <c r="H23" t="str">
        <f t="shared" ca="1" si="1"/>
        <v/>
      </c>
      <c r="I23" t="str">
        <f ca="1">IFERROR(IF(t_øg[[#This Row],[tp]]&lt;&gt;"",OFFSET(_xlfn.XLOOKUP(C23,Kuponger!E:E,Kuponger!BA:BA),1,1),""),"")</f>
        <v/>
      </c>
      <c r="J23" s="3">
        <f ca="1">IFERROR(IF(t_øg[[#This Row],[Dato]]="",0,OFFSET(_xlfn.XLOOKUP(t_øg[[#This Row],[Dato]],Kuponger!E:E,Kuponger!BA:BA),1,7)),"")</f>
        <v>0</v>
      </c>
      <c r="K23" s="3">
        <f ca="1">IFERROR(SUM(t_øg[[#This Row],[tp]]),0)</f>
        <v>0</v>
      </c>
      <c r="L23" s="3" t="str">
        <f ca="1">IF(t_rb[[#This Row],[Antall_rette]]=12,1,"")</f>
        <v/>
      </c>
      <c r="M23" s="3" t="str">
        <f ca="1">IF(t_rb[[#This Row],[Antall_rette]]=11,1,"")</f>
        <v/>
      </c>
      <c r="N23" s="3" t="str">
        <f ca="1">IF(t_rb[[#This Row],[Antall_rette]]=10,1,"")</f>
        <v/>
      </c>
      <c r="O23" s="3">
        <f ca="1">IF(t_øg[[#This Row],[12_Antall]]=1,Data!$AJ$3,0)</f>
        <v>0</v>
      </c>
      <c r="P23" s="3">
        <f ca="1">IF(t_øg[[#This Row],[11_Antall]]=1,Data!$AJ$2,0)</f>
        <v>0</v>
      </c>
      <c r="Q23" s="3">
        <f ca="1">IF(t_øg[[#This Row],[10_Antall]]=1,Data!$AJ$1,0)</f>
        <v>0</v>
      </c>
      <c r="R23" s="3" t="str" cm="1">
        <f t="array" ref="R23">IFERROR(IF(_xlfn.XLOOKUP(t_øg[[#This Row],[Dato]]&amp;t_øg[[#This Row],[navn]],Regnskap!$C$10:$C$51&amp;Regnskap!$K$10:$K$51,Regnskap!$H$10:$H$51)&gt;0,Data!$AJ$3,""),"")</f>
        <v/>
      </c>
      <c r="S23" s="3" t="str" cm="1">
        <f t="array" ref="S23">IFERROR(IF(t_øg[[#This Row],[12_pLEV]]="",IF(_xlfn.XLOOKUP(t_øg[[#This Row],[Dato]]&amp;t_øg[[#This Row],[navn]],Regnskap!$C$10:$C$51&amp;Regnskap!$K$10:$K$51,Regnskap!$I$10:$I$51)&gt;0,Data!$AJ$2)),"")</f>
        <v/>
      </c>
      <c r="T23" s="3" t="str" cm="1">
        <f t="array" ref="T23">IFERROR(IF(t_øg[[#This Row],[11_pLEV]]="",IF(_xlfn.XLOOKUP(t_øg[[#This Row],[Dato]]&amp;t_øg[[#This Row],[navn]],Regnskap!$C$10:$C$51&amp;Regnskap!$K$10:$K$51,Regnskap!$J$10:$J$51)&gt;0,Data!$AJ$1),""),"")</f>
        <v/>
      </c>
      <c r="U23" s="3">
        <f ca="1">SUM(t_øg[[#This Row],[12_poeng]:[10_pLEV]])</f>
        <v>0</v>
      </c>
      <c r="V23" s="3">
        <f ca="1">SUM(t_øg[[#This Row],[Summert]]+t_øg[[#This Row],[LEV_poeng]])</f>
        <v>0</v>
      </c>
    </row>
    <row r="24" spans="1:28" x14ac:dyDescent="0.2">
      <c r="A24" s="3" t="s">
        <v>46</v>
      </c>
      <c r="B24">
        <f>IF(t_øg[[#This Row],[Dato]]&lt;&gt;"",WEEKNUM(t_øg[[#This Row],[Dato]]),"")</f>
        <v>3</v>
      </c>
      <c r="C24" s="22">
        <f>Data!AL23</f>
        <v>46403</v>
      </c>
      <c r="D24">
        <f ca="1">IFERROR(IF(t_øg[[#This Row],[Dato]]="","",OFFSET(_xlfn.XLOOKUP(C24,Kuponger!E:E,Kuponger!BA:BA),15,0)),"")</f>
        <v>0</v>
      </c>
      <c r="E24">
        <f ca="1">IFERROR(IF(t_øg[[#This Row],[hp]]&lt;&gt;"",OFFSET(_xlfn.XLOOKUP(C24,Kuponger!E:E,Kuponger!BA:BA),15,1),""),"")</f>
        <v>0</v>
      </c>
      <c r="F24">
        <f ca="1">IFERROR(IF(t_øg[[#This Row],[Dato]]="","",OFFSET(_xlfn.XLOOKUP(C24,Kuponger!E:E,Kuponger!BA:BA),15,2)),"")</f>
        <v>0</v>
      </c>
      <c r="G24">
        <f ca="1">IFERROR(IF(OFFSET(_xlfn.XLOOKUP(C24,Kuponger!E:E,Kuponger!BA:BA),0,2)=0,"",OFFSET(_xlfn.XLOOKUP(C24,Kuponger!E:E,Kuponger!BA:BA),1,2))*-1,"")</f>
        <v>0</v>
      </c>
      <c r="H24" t="str">
        <f t="shared" ca="1" si="1"/>
        <v/>
      </c>
      <c r="I24" t="str">
        <f ca="1">IFERROR(IF(t_øg[[#This Row],[tp]]&lt;&gt;"",OFFSET(_xlfn.XLOOKUP(C24,Kuponger!E:E,Kuponger!BA:BA),1,1),""),"")</f>
        <v/>
      </c>
      <c r="J24" s="3">
        <f ca="1">IFERROR(IF(t_øg[[#This Row],[Dato]]="",0,OFFSET(_xlfn.XLOOKUP(t_øg[[#This Row],[Dato]],Kuponger!E:E,Kuponger!BA:BA),1,7)),"")</f>
        <v>0</v>
      </c>
      <c r="K24" s="3">
        <f ca="1">IFERROR(SUM(t_øg[[#This Row],[tp]]),0)</f>
        <v>0</v>
      </c>
      <c r="L24" s="3" t="str">
        <f ca="1">IF(t_rb[[#This Row],[Antall_rette]]=12,1,"")</f>
        <v/>
      </c>
      <c r="M24" s="3" t="str">
        <f ca="1">IF(t_rb[[#This Row],[Antall_rette]]=11,1,"")</f>
        <v/>
      </c>
      <c r="N24" s="3" t="str">
        <f ca="1">IF(t_rb[[#This Row],[Antall_rette]]=10,1,"")</f>
        <v/>
      </c>
      <c r="O24" s="3">
        <f ca="1">IF(t_øg[[#This Row],[12_Antall]]=1,Data!$AJ$3,0)</f>
        <v>0</v>
      </c>
      <c r="P24" s="3">
        <f ca="1">IF(t_øg[[#This Row],[11_Antall]]=1,Data!$AJ$2,0)</f>
        <v>0</v>
      </c>
      <c r="Q24" s="3">
        <f ca="1">IF(t_øg[[#This Row],[10_Antall]]=1,Data!$AJ$1,0)</f>
        <v>0</v>
      </c>
      <c r="R24" s="3" t="str" cm="1">
        <f t="array" ref="R24">IFERROR(IF(_xlfn.XLOOKUP(t_øg[[#This Row],[Dato]]&amp;t_øg[[#This Row],[navn]],Regnskap!$C$10:$C$51&amp;Regnskap!$K$10:$K$51,Regnskap!$H$10:$H$51)&gt;0,Data!$AJ$3,""),"")</f>
        <v/>
      </c>
      <c r="S24" s="3" t="str" cm="1">
        <f t="array" ref="S24">IFERROR(IF(t_øg[[#This Row],[12_pLEV]]="",IF(_xlfn.XLOOKUP(t_øg[[#This Row],[Dato]]&amp;t_øg[[#This Row],[navn]],Regnskap!$C$10:$C$51&amp;Regnskap!$K$10:$K$51,Regnskap!$I$10:$I$51)&gt;0,Data!$AJ$2)),"")</f>
        <v/>
      </c>
      <c r="T24" s="3" t="str" cm="1">
        <f t="array" ref="T24">IFERROR(IF(t_øg[[#This Row],[11_pLEV]]="",IF(_xlfn.XLOOKUP(t_øg[[#This Row],[Dato]]&amp;t_øg[[#This Row],[navn]],Regnskap!$C$10:$C$51&amp;Regnskap!$K$10:$K$51,Regnskap!$J$10:$J$51)&gt;0,Data!$AJ$1),""),"")</f>
        <v/>
      </c>
      <c r="U24" s="3">
        <f ca="1">SUM(t_øg[[#This Row],[12_poeng]:[10_pLEV]])</f>
        <v>0</v>
      </c>
      <c r="V24" s="3">
        <f ca="1">SUM(t_øg[[#This Row],[Summert]]+t_øg[[#This Row],[LEV_poeng]])</f>
        <v>0</v>
      </c>
    </row>
    <row r="25" spans="1:28" x14ac:dyDescent="0.2">
      <c r="A25" s="3" t="s">
        <v>46</v>
      </c>
      <c r="B25">
        <f>IF(t_øg[[#This Row],[Dato]]&lt;&gt;"",WEEKNUM(t_øg[[#This Row],[Dato]]),"")</f>
        <v>4</v>
      </c>
      <c r="C25" s="22">
        <f>Data!AL24</f>
        <v>46410</v>
      </c>
      <c r="D25">
        <f ca="1">IFERROR(IF(t_øg[[#This Row],[Dato]]="","",OFFSET(_xlfn.XLOOKUP(C25,Kuponger!E:E,Kuponger!BA:BA),15,0)),"")</f>
        <v>0</v>
      </c>
      <c r="E25">
        <f ca="1">IFERROR(IF(t_øg[[#This Row],[hp]]&lt;&gt;"",OFFSET(_xlfn.XLOOKUP(C25,Kuponger!E:E,Kuponger!BA:BA),15,1),""),"")</f>
        <v>0</v>
      </c>
      <c r="F25">
        <f ca="1">IFERROR(IF(t_øg[[#This Row],[Dato]]="","",OFFSET(_xlfn.XLOOKUP(C25,Kuponger!E:E,Kuponger!BA:BA),15,2)),"")</f>
        <v>0</v>
      </c>
      <c r="G25">
        <f ca="1">IFERROR(IF(OFFSET(_xlfn.XLOOKUP(C25,Kuponger!E:E,Kuponger!BA:BA),0,2)=0,"",OFFSET(_xlfn.XLOOKUP(C25,Kuponger!E:E,Kuponger!BA:BA),1,2))*-1,"")</f>
        <v>0</v>
      </c>
      <c r="H25" t="str">
        <f t="shared" ca="1" si="1"/>
        <v/>
      </c>
      <c r="I25" t="str">
        <f ca="1">IFERROR(IF(t_øg[[#This Row],[tp]]&lt;&gt;"",OFFSET(_xlfn.XLOOKUP(C25,Kuponger!E:E,Kuponger!BA:BA),1,1),""),"")</f>
        <v/>
      </c>
      <c r="J25" s="3">
        <f ca="1">IFERROR(IF(t_øg[[#This Row],[Dato]]="",0,OFFSET(_xlfn.XLOOKUP(t_øg[[#This Row],[Dato]],Kuponger!E:E,Kuponger!BA:BA),1,7)),"")</f>
        <v>0</v>
      </c>
      <c r="K25" s="3">
        <f ca="1">IFERROR(SUM(t_øg[[#This Row],[tp]]),0)</f>
        <v>0</v>
      </c>
      <c r="L25" s="3" t="str">
        <f ca="1">IF(t_rb[[#This Row],[Antall_rette]]=12,1,"")</f>
        <v/>
      </c>
      <c r="M25" s="3" t="str">
        <f ca="1">IF(t_rb[[#This Row],[Antall_rette]]=11,1,"")</f>
        <v/>
      </c>
      <c r="N25" s="3" t="str">
        <f ca="1">IF(t_rb[[#This Row],[Antall_rette]]=10,1,"")</f>
        <v/>
      </c>
      <c r="O25" s="3">
        <f ca="1">IF(t_øg[[#This Row],[12_Antall]]=1,Data!$AJ$3,0)</f>
        <v>0</v>
      </c>
      <c r="P25" s="3">
        <f ca="1">IF(t_øg[[#This Row],[11_Antall]]=1,Data!$AJ$2,0)</f>
        <v>0</v>
      </c>
      <c r="Q25" s="3">
        <f ca="1">IF(t_øg[[#This Row],[10_Antall]]=1,Data!$AJ$1,0)</f>
        <v>0</v>
      </c>
      <c r="R25" s="3" t="str" cm="1">
        <f t="array" ref="R25">IFERROR(IF(_xlfn.XLOOKUP(t_øg[[#This Row],[Dato]]&amp;t_øg[[#This Row],[navn]],Regnskap!$C$10:$C$51&amp;Regnskap!$K$10:$K$51,Regnskap!$H$10:$H$51)&gt;0,Data!$AJ$3,""),"")</f>
        <v/>
      </c>
      <c r="S25" s="3" t="str" cm="1">
        <f t="array" ref="S25">IFERROR(IF(t_øg[[#This Row],[12_pLEV]]="",IF(_xlfn.XLOOKUP(t_øg[[#This Row],[Dato]]&amp;t_øg[[#This Row],[navn]],Regnskap!$C$10:$C$51&amp;Regnskap!$K$10:$K$51,Regnskap!$I$10:$I$51)&gt;0,Data!$AJ$2)),"")</f>
        <v/>
      </c>
      <c r="T25" s="3" t="str" cm="1">
        <f t="array" ref="T25">IFERROR(IF(t_øg[[#This Row],[11_pLEV]]="",IF(_xlfn.XLOOKUP(t_øg[[#This Row],[Dato]]&amp;t_øg[[#This Row],[navn]],Regnskap!$C$10:$C$51&amp;Regnskap!$K$10:$K$51,Regnskap!$J$10:$J$51)&gt;0,Data!$AJ$1),""),"")</f>
        <v/>
      </c>
      <c r="U25" s="3">
        <f ca="1">SUM(t_øg[[#This Row],[12_poeng]:[10_pLEV]])</f>
        <v>0</v>
      </c>
      <c r="V25" s="3">
        <f ca="1">SUM(t_øg[[#This Row],[Summert]]+t_øg[[#This Row],[LEV_poeng]])</f>
        <v>0</v>
      </c>
      <c r="W25" s="2"/>
      <c r="X25" s="2"/>
      <c r="Y25" s="2"/>
      <c r="Z25" s="2"/>
      <c r="AA25" s="2"/>
      <c r="AB25" s="2"/>
    </row>
    <row r="26" spans="1:28" x14ac:dyDescent="0.2">
      <c r="A26" s="3" t="s">
        <v>46</v>
      </c>
      <c r="B26">
        <f>IF(t_øg[[#This Row],[Dato]]&lt;&gt;"",WEEKNUM(t_øg[[#This Row],[Dato]]),"")</f>
        <v>5</v>
      </c>
      <c r="C26" s="22">
        <f>Data!AL25</f>
        <v>46417</v>
      </c>
      <c r="D26">
        <f ca="1">IFERROR(IF(t_øg[[#This Row],[Dato]]="","",OFFSET(_xlfn.XLOOKUP(C26,Kuponger!E:E,Kuponger!BA:BA),15,0)),"")</f>
        <v>0</v>
      </c>
      <c r="E26">
        <f ca="1">IFERROR(IF(t_øg[[#This Row],[hp]]&lt;&gt;"",OFFSET(_xlfn.XLOOKUP(C26,Kuponger!E:E,Kuponger!BA:BA),15,1),""),"")</f>
        <v>0</v>
      </c>
      <c r="F26">
        <f ca="1">IFERROR(IF(t_øg[[#This Row],[Dato]]="","",OFFSET(_xlfn.XLOOKUP(C26,Kuponger!E:E,Kuponger!BA:BA),15,2)),"")</f>
        <v>0</v>
      </c>
      <c r="G26">
        <f ca="1">IFERROR(IF(OFFSET(_xlfn.XLOOKUP(C26,Kuponger!E:E,Kuponger!BA:BA),0,2)=0,"",OFFSET(_xlfn.XLOOKUP(C26,Kuponger!E:E,Kuponger!BA:BA),1,2))*-1,"")</f>
        <v>0</v>
      </c>
      <c r="H26" t="str">
        <f t="shared" ca="1" si="1"/>
        <v/>
      </c>
      <c r="I26" t="str">
        <f ca="1">IFERROR(IF(t_øg[[#This Row],[tp]]&lt;&gt;"",OFFSET(_xlfn.XLOOKUP(C26,Kuponger!E:E,Kuponger!BA:BA),1,1),""),"")</f>
        <v/>
      </c>
      <c r="J26" s="3">
        <f ca="1">IFERROR(IF(t_øg[[#This Row],[Dato]]="",0,OFFSET(_xlfn.XLOOKUP(t_øg[[#This Row],[Dato]],Kuponger!E:E,Kuponger!BA:BA),1,7)),"")</f>
        <v>0</v>
      </c>
      <c r="K26" s="3">
        <f ca="1">IFERROR(SUM(t_øg[[#This Row],[tp]]),0)</f>
        <v>0</v>
      </c>
      <c r="L26" s="3" t="str">
        <f ca="1">IF(t_rb[[#This Row],[Antall_rette]]=12,1,"")</f>
        <v/>
      </c>
      <c r="M26" s="3" t="str">
        <f ca="1">IF(t_rb[[#This Row],[Antall_rette]]=11,1,"")</f>
        <v/>
      </c>
      <c r="N26" s="3" t="str">
        <f ca="1">IF(t_rb[[#This Row],[Antall_rette]]=10,1,"")</f>
        <v/>
      </c>
      <c r="O26" s="3">
        <f ca="1">IF(t_øg[[#This Row],[12_Antall]]=1,Data!$AJ$3,0)</f>
        <v>0</v>
      </c>
      <c r="P26" s="3">
        <f ca="1">IF(t_øg[[#This Row],[11_Antall]]=1,Data!$AJ$2,0)</f>
        <v>0</v>
      </c>
      <c r="Q26" s="3">
        <f ca="1">IF(t_øg[[#This Row],[10_Antall]]=1,Data!$AJ$1,0)</f>
        <v>0</v>
      </c>
      <c r="R26" s="3" t="str" cm="1">
        <f t="array" ref="R26">IFERROR(IF(_xlfn.XLOOKUP(t_øg[[#This Row],[Dato]]&amp;t_øg[[#This Row],[navn]],Regnskap!$C$10:$C$51&amp;Regnskap!$K$10:$K$51,Regnskap!$H$10:$H$51)&gt;0,Data!$AJ$3,""),"")</f>
        <v/>
      </c>
      <c r="S26" s="3" t="str" cm="1">
        <f t="array" ref="S26">IFERROR(IF(t_øg[[#This Row],[12_pLEV]]="",IF(_xlfn.XLOOKUP(t_øg[[#This Row],[Dato]]&amp;t_øg[[#This Row],[navn]],Regnskap!$C$10:$C$51&amp;Regnskap!$K$10:$K$51,Regnskap!$I$10:$I$51)&gt;0,Data!$AJ$2)),"")</f>
        <v/>
      </c>
      <c r="T26" s="3" t="str" cm="1">
        <f t="array" ref="T26">IFERROR(IF(t_øg[[#This Row],[11_pLEV]]="",IF(_xlfn.XLOOKUP(t_øg[[#This Row],[Dato]]&amp;t_øg[[#This Row],[navn]],Regnskap!$C$10:$C$51&amp;Regnskap!$K$10:$K$51,Regnskap!$J$10:$J$51)&gt;0,Data!$AJ$1),""),"")</f>
        <v/>
      </c>
      <c r="U26" s="3">
        <f ca="1">SUM(t_øg[[#This Row],[12_poeng]:[10_pLEV]])</f>
        <v>0</v>
      </c>
      <c r="V26" s="3">
        <f ca="1">SUM(t_øg[[#This Row],[Summert]]+t_øg[[#This Row],[LEV_poeng]])</f>
        <v>0</v>
      </c>
    </row>
    <row r="27" spans="1:28" x14ac:dyDescent="0.2">
      <c r="A27" s="3" t="s">
        <v>46</v>
      </c>
      <c r="B27">
        <f>IF(t_øg[[#This Row],[Dato]]&lt;&gt;"",WEEKNUM(t_øg[[#This Row],[Dato]]),"")</f>
        <v>6</v>
      </c>
      <c r="C27" s="22">
        <f>Data!AL26</f>
        <v>46424</v>
      </c>
      <c r="D27">
        <f ca="1">IFERROR(IF(t_øg[[#This Row],[Dato]]="","",OFFSET(_xlfn.XLOOKUP(C27,Kuponger!E:E,Kuponger!BA:BA),15,0)),"")</f>
        <v>0</v>
      </c>
      <c r="E27">
        <f ca="1">IFERROR(IF(t_øg[[#This Row],[hp]]&lt;&gt;"",OFFSET(_xlfn.XLOOKUP(C27,Kuponger!E:E,Kuponger!BA:BA),15,1),""),"")</f>
        <v>0</v>
      </c>
      <c r="F27">
        <f ca="1">IFERROR(IF(t_øg[[#This Row],[Dato]]="","",OFFSET(_xlfn.XLOOKUP(C27,Kuponger!E:E,Kuponger!BA:BA),15,2)),"")</f>
        <v>0</v>
      </c>
      <c r="G27">
        <f ca="1">IFERROR(IF(OFFSET(_xlfn.XLOOKUP(C27,Kuponger!E:E,Kuponger!BA:BA),0,2)=0,"",OFFSET(_xlfn.XLOOKUP(C27,Kuponger!E:E,Kuponger!BA:BA),1,2))*-1,"")</f>
        <v>0</v>
      </c>
      <c r="H27" t="str">
        <f t="shared" ca="1" si="1"/>
        <v/>
      </c>
      <c r="I27" t="str">
        <f ca="1">IFERROR(IF(t_øg[[#This Row],[tp]]&lt;&gt;"",OFFSET(_xlfn.XLOOKUP(C27,Kuponger!E:E,Kuponger!BA:BA),1,1),""),"")</f>
        <v/>
      </c>
      <c r="J27" s="3">
        <f ca="1">IFERROR(IF(t_øg[[#This Row],[Dato]]="",0,OFFSET(_xlfn.XLOOKUP(t_øg[[#This Row],[Dato]],Kuponger!E:E,Kuponger!BA:BA),1,7)),"")</f>
        <v>0</v>
      </c>
      <c r="K27" s="3">
        <f ca="1">IFERROR(SUM(t_øg[[#This Row],[tp]]),0)</f>
        <v>0</v>
      </c>
      <c r="L27" s="3" t="str">
        <f ca="1">IF(t_rb[[#This Row],[Antall_rette]]=12,1,"")</f>
        <v/>
      </c>
      <c r="M27" s="3" t="str">
        <f ca="1">IF(t_rb[[#This Row],[Antall_rette]]=11,1,"")</f>
        <v/>
      </c>
      <c r="N27" s="3" t="str">
        <f ca="1">IF(t_rb[[#This Row],[Antall_rette]]=10,1,"")</f>
        <v/>
      </c>
      <c r="O27" s="3">
        <f ca="1">IF(t_øg[[#This Row],[12_Antall]]=1,Data!$AJ$3,0)</f>
        <v>0</v>
      </c>
      <c r="P27" s="3">
        <f ca="1">IF(t_øg[[#This Row],[11_Antall]]=1,Data!$AJ$2,0)</f>
        <v>0</v>
      </c>
      <c r="Q27" s="3">
        <f ca="1">IF(t_øg[[#This Row],[10_Antall]]=1,Data!$AJ$1,0)</f>
        <v>0</v>
      </c>
      <c r="R27" s="3" t="str" cm="1">
        <f t="array" ref="R27">IFERROR(IF(_xlfn.XLOOKUP(t_øg[[#This Row],[Dato]]&amp;t_øg[[#This Row],[navn]],Regnskap!$C$10:$C$51&amp;Regnskap!$K$10:$K$51,Regnskap!$H$10:$H$51)&gt;0,Data!$AJ$3,""),"")</f>
        <v/>
      </c>
      <c r="S27" s="3" t="str" cm="1">
        <f t="array" ref="S27">IFERROR(IF(t_øg[[#This Row],[12_pLEV]]="",IF(_xlfn.XLOOKUP(t_øg[[#This Row],[Dato]]&amp;t_øg[[#This Row],[navn]],Regnskap!$C$10:$C$51&amp;Regnskap!$K$10:$K$51,Regnskap!$I$10:$I$51)&gt;0,Data!$AJ$2)),"")</f>
        <v/>
      </c>
      <c r="T27" s="3" t="str" cm="1">
        <f t="array" ref="T27">IFERROR(IF(t_øg[[#This Row],[11_pLEV]]="",IF(_xlfn.XLOOKUP(t_øg[[#This Row],[Dato]]&amp;t_øg[[#This Row],[navn]],Regnskap!$C$10:$C$51&amp;Regnskap!$K$10:$K$51,Regnskap!$J$10:$J$51)&gt;0,Data!$AJ$1),""),"")</f>
        <v/>
      </c>
      <c r="U27" s="3">
        <f ca="1">SUM(t_øg[[#This Row],[12_poeng]:[10_pLEV]])</f>
        <v>0</v>
      </c>
      <c r="V27" s="3">
        <f ca="1">SUM(t_øg[[#This Row],[Summert]]+t_øg[[#This Row],[LEV_poeng]])</f>
        <v>0</v>
      </c>
    </row>
    <row r="28" spans="1:28" x14ac:dyDescent="0.2">
      <c r="A28" s="3" t="s">
        <v>46</v>
      </c>
      <c r="B28">
        <f>IF(t_øg[[#This Row],[Dato]]&lt;&gt;"",WEEKNUM(t_øg[[#This Row],[Dato]]),"")</f>
        <v>7</v>
      </c>
      <c r="C28" s="22">
        <f>Data!AL27</f>
        <v>46431</v>
      </c>
      <c r="D28">
        <f ca="1">IFERROR(IF(t_øg[[#This Row],[Dato]]="","",OFFSET(_xlfn.XLOOKUP(C28,Kuponger!E:E,Kuponger!BA:BA),15,0)),"")</f>
        <v>0</v>
      </c>
      <c r="E28">
        <f ca="1">IFERROR(IF(t_øg[[#This Row],[hp]]&lt;&gt;"",OFFSET(_xlfn.XLOOKUP(C28,Kuponger!E:E,Kuponger!BA:BA),15,1),""),"")</f>
        <v>0</v>
      </c>
      <c r="F28">
        <f ca="1">IFERROR(IF(t_øg[[#This Row],[Dato]]="","",OFFSET(_xlfn.XLOOKUP(C28,Kuponger!E:E,Kuponger!BA:BA),15,2)),"")</f>
        <v>0</v>
      </c>
      <c r="G28">
        <f ca="1">IFERROR(IF(OFFSET(_xlfn.XLOOKUP(C28,Kuponger!E:E,Kuponger!BA:BA),0,2)=0,"",OFFSET(_xlfn.XLOOKUP(C28,Kuponger!E:E,Kuponger!BA:BA),1,2))*-1,"")</f>
        <v>0</v>
      </c>
      <c r="H28" t="str">
        <f t="shared" ca="1" si="1"/>
        <v/>
      </c>
      <c r="I28" t="str">
        <f ca="1">IFERROR(IF(t_øg[[#This Row],[tp]]&lt;&gt;"",OFFSET(_xlfn.XLOOKUP(C28,Kuponger!E:E,Kuponger!BA:BA),1,1),""),"")</f>
        <v/>
      </c>
      <c r="J28" s="3">
        <f ca="1">IFERROR(IF(t_øg[[#This Row],[Dato]]="",0,OFFSET(_xlfn.XLOOKUP(t_øg[[#This Row],[Dato]],Kuponger!E:E,Kuponger!BA:BA),1,7)),"")</f>
        <v>0</v>
      </c>
      <c r="K28" s="3">
        <f ca="1">IFERROR(SUM(t_øg[[#This Row],[tp]]),0)</f>
        <v>0</v>
      </c>
      <c r="L28" s="3" t="str">
        <f ca="1">IF(t_rb[[#This Row],[Antall_rette]]=12,1,"")</f>
        <v/>
      </c>
      <c r="M28" s="3" t="str">
        <f ca="1">IF(t_rb[[#This Row],[Antall_rette]]=11,1,"")</f>
        <v/>
      </c>
      <c r="N28" s="3" t="str">
        <f ca="1">IF(t_rb[[#This Row],[Antall_rette]]=10,1,"")</f>
        <v/>
      </c>
      <c r="O28" s="3">
        <f ca="1">IF(t_øg[[#This Row],[12_Antall]]=1,Data!$AJ$3,0)</f>
        <v>0</v>
      </c>
      <c r="P28" s="3">
        <f ca="1">IF(t_øg[[#This Row],[11_Antall]]=1,Data!$AJ$2,0)</f>
        <v>0</v>
      </c>
      <c r="Q28" s="3">
        <f ca="1">IF(t_øg[[#This Row],[10_Antall]]=1,Data!$AJ$1,0)</f>
        <v>0</v>
      </c>
      <c r="R28" s="3" t="str" cm="1">
        <f t="array" ref="R28">IFERROR(IF(_xlfn.XLOOKUP(t_øg[[#This Row],[Dato]]&amp;t_øg[[#This Row],[navn]],Regnskap!$C$10:$C$51&amp;Regnskap!$K$10:$K$51,Regnskap!$H$10:$H$51)&gt;0,Data!$AJ$3,""),"")</f>
        <v/>
      </c>
      <c r="S28" s="3" t="str" cm="1">
        <f t="array" ref="S28">IFERROR(IF(t_øg[[#This Row],[12_pLEV]]="",IF(_xlfn.XLOOKUP(t_øg[[#This Row],[Dato]]&amp;t_øg[[#This Row],[navn]],Regnskap!$C$10:$C$51&amp;Regnskap!$K$10:$K$51,Regnskap!$I$10:$I$51)&gt;0,Data!$AJ$2)),"")</f>
        <v/>
      </c>
      <c r="T28" s="3" t="str" cm="1">
        <f t="array" ref="T28">IFERROR(IF(t_øg[[#This Row],[11_pLEV]]="",IF(_xlfn.XLOOKUP(t_øg[[#This Row],[Dato]]&amp;t_øg[[#This Row],[navn]],Regnskap!$C$10:$C$51&amp;Regnskap!$K$10:$K$51,Regnskap!$J$10:$J$51)&gt;0,Data!$AJ$1),""),"")</f>
        <v/>
      </c>
      <c r="U28" s="3">
        <f ca="1">SUM(t_øg[[#This Row],[12_poeng]:[10_pLEV]])</f>
        <v>0</v>
      </c>
      <c r="V28" s="3">
        <f ca="1">SUM(t_øg[[#This Row],[Summert]]+t_øg[[#This Row],[LEV_poeng]])</f>
        <v>0</v>
      </c>
    </row>
    <row r="29" spans="1:28" x14ac:dyDescent="0.2">
      <c r="A29" s="3" t="s">
        <v>46</v>
      </c>
      <c r="B29">
        <f>IF(t_øg[[#This Row],[Dato]]&lt;&gt;"",WEEKNUM(t_øg[[#This Row],[Dato]]),"")</f>
        <v>8</v>
      </c>
      <c r="C29" s="22">
        <f>Data!AL28</f>
        <v>46438</v>
      </c>
      <c r="D29">
        <f ca="1">IFERROR(IF(t_øg[[#This Row],[Dato]]="","",OFFSET(_xlfn.XLOOKUP(C29,Kuponger!E:E,Kuponger!BA:BA),15,0)),"")</f>
        <v>0</v>
      </c>
      <c r="E29">
        <f ca="1">IFERROR(IF(t_øg[[#This Row],[hp]]&lt;&gt;"",OFFSET(_xlfn.XLOOKUP(C29,Kuponger!E:E,Kuponger!BA:BA),15,1),""),"")</f>
        <v>0</v>
      </c>
      <c r="F29">
        <f ca="1">IFERROR(IF(t_øg[[#This Row],[Dato]]="","",OFFSET(_xlfn.XLOOKUP(C29,Kuponger!E:E,Kuponger!BA:BA),15,2)),"")</f>
        <v>0</v>
      </c>
      <c r="G29">
        <f ca="1">IFERROR(IF(OFFSET(_xlfn.XLOOKUP(C29,Kuponger!E:E,Kuponger!BA:BA),0,2)=0,"",OFFSET(_xlfn.XLOOKUP(C29,Kuponger!E:E,Kuponger!BA:BA),1,2))*-1,"")</f>
        <v>0</v>
      </c>
      <c r="H29" t="str">
        <f t="shared" ca="1" si="1"/>
        <v/>
      </c>
      <c r="I29" t="str">
        <f ca="1">IFERROR(IF(t_øg[[#This Row],[tp]]&lt;&gt;"",OFFSET(_xlfn.XLOOKUP(C29,Kuponger!E:E,Kuponger!BA:BA),1,1),""),"")</f>
        <v/>
      </c>
      <c r="J29" s="3">
        <f ca="1">IFERROR(IF(t_øg[[#This Row],[Dato]]="",0,OFFSET(_xlfn.XLOOKUP(t_øg[[#This Row],[Dato]],Kuponger!E:E,Kuponger!BA:BA),1,7)),"")</f>
        <v>0</v>
      </c>
      <c r="K29" s="3">
        <f ca="1">IFERROR(SUM(t_øg[[#This Row],[tp]]),0)</f>
        <v>0</v>
      </c>
      <c r="L29" s="3" t="str">
        <f ca="1">IF(t_rb[[#This Row],[Antall_rette]]=12,1,"")</f>
        <v/>
      </c>
      <c r="M29" s="3" t="str">
        <f ca="1">IF(t_rb[[#This Row],[Antall_rette]]=11,1,"")</f>
        <v/>
      </c>
      <c r="N29" s="3" t="str">
        <f ca="1">IF(t_rb[[#This Row],[Antall_rette]]=10,1,"")</f>
        <v/>
      </c>
      <c r="O29" s="3">
        <f ca="1">IF(t_øg[[#This Row],[12_Antall]]=1,Data!$AJ$3,0)</f>
        <v>0</v>
      </c>
      <c r="P29" s="3">
        <f ca="1">IF(t_øg[[#This Row],[11_Antall]]=1,Data!$AJ$2,0)</f>
        <v>0</v>
      </c>
      <c r="Q29" s="3">
        <f ca="1">IF(t_øg[[#This Row],[10_Antall]]=1,Data!$AJ$1,0)</f>
        <v>0</v>
      </c>
      <c r="R29" s="3" t="str" cm="1">
        <f t="array" ref="R29">IFERROR(IF(_xlfn.XLOOKUP(t_øg[[#This Row],[Dato]]&amp;t_øg[[#This Row],[navn]],Regnskap!$C$10:$C$51&amp;Regnskap!$K$10:$K$51,Regnskap!$H$10:$H$51)&gt;0,Data!$AJ$3,""),"")</f>
        <v/>
      </c>
      <c r="S29" s="3" t="b" cm="1">
        <f t="array" ref="S29">IFERROR(IF(t_øg[[#This Row],[12_pLEV]]="",IF(_xlfn.XLOOKUP(t_øg[[#This Row],[Dato]]&amp;t_øg[[#This Row],[navn]],Regnskap!$C$10:$C$51&amp;Regnskap!$K$10:$K$51,Regnskap!$I$10:$I$51)&gt;0,Data!$AJ$2)),"")</f>
        <v>0</v>
      </c>
      <c r="T29" s="3" t="str" cm="1">
        <f t="array" ref="T29">IFERROR(IF(t_øg[[#This Row],[11_pLEV]]="",IF(_xlfn.XLOOKUP(t_øg[[#This Row],[Dato]]&amp;t_øg[[#This Row],[navn]],Regnskap!$C$10:$C$51&amp;Regnskap!$K$10:$K$51,Regnskap!$J$10:$J$51)&gt;0,Data!$AJ$1),""),"")</f>
        <v/>
      </c>
      <c r="U29" s="3">
        <f ca="1">SUM(t_øg[[#This Row],[12_poeng]:[10_pLEV]])</f>
        <v>0</v>
      </c>
      <c r="V29" s="3">
        <f ca="1">SUM(t_øg[[#This Row],[Summert]]+t_øg[[#This Row],[LEV_poeng]])</f>
        <v>0</v>
      </c>
    </row>
    <row r="30" spans="1:28" x14ac:dyDescent="0.2">
      <c r="A30" s="3" t="s">
        <v>46</v>
      </c>
      <c r="B30">
        <f>IF(t_øg[[#This Row],[Dato]]&lt;&gt;"",WEEKNUM(t_øg[[#This Row],[Dato]]),"")</f>
        <v>9</v>
      </c>
      <c r="C30" s="22">
        <f>Data!AL29</f>
        <v>46445</v>
      </c>
      <c r="D30">
        <f ca="1">IFERROR(IF(t_øg[[#This Row],[Dato]]="","",OFFSET(_xlfn.XLOOKUP(C30,Kuponger!E:E,Kuponger!BA:BA),15,0)),"")</f>
        <v>0</v>
      </c>
      <c r="E30">
        <f ca="1">IFERROR(IF(t_øg[[#This Row],[hp]]&lt;&gt;"",OFFSET(_xlfn.XLOOKUP(C30,Kuponger!E:E,Kuponger!BA:BA),15,1),""),"")</f>
        <v>0</v>
      </c>
      <c r="F30">
        <f ca="1">IFERROR(IF(t_øg[[#This Row],[Dato]]="","",OFFSET(_xlfn.XLOOKUP(C30,Kuponger!E:E,Kuponger!BA:BA),15,2)),"")</f>
        <v>0</v>
      </c>
      <c r="G30">
        <f ca="1">IFERROR(IF(OFFSET(_xlfn.XLOOKUP(C30,Kuponger!E:E,Kuponger!BA:BA),0,2)=0,"",OFFSET(_xlfn.XLOOKUP(C30,Kuponger!E:E,Kuponger!BA:BA),1,2))*-1,"")</f>
        <v>0</v>
      </c>
      <c r="H30" t="str">
        <f t="shared" ca="1" si="1"/>
        <v/>
      </c>
      <c r="I30" t="str">
        <f ca="1">IFERROR(IF(t_øg[[#This Row],[tp]]&lt;&gt;"",OFFSET(_xlfn.XLOOKUP(C30,Kuponger!E:E,Kuponger!BA:BA),1,1),""),"")</f>
        <v/>
      </c>
      <c r="J30" s="3">
        <f ca="1">IFERROR(IF(t_øg[[#This Row],[Dato]]="",0,OFFSET(_xlfn.XLOOKUP(t_øg[[#This Row],[Dato]],Kuponger!E:E,Kuponger!BA:BA),1,7)),"")</f>
        <v>0</v>
      </c>
      <c r="K30" s="3">
        <f ca="1">IFERROR(SUM(t_øg[[#This Row],[tp]]),0)</f>
        <v>0</v>
      </c>
      <c r="L30" s="3" t="str">
        <f ca="1">IF(t_rb[[#This Row],[Antall_rette]]=12,1,"")</f>
        <v/>
      </c>
      <c r="M30" s="3" t="str">
        <f ca="1">IF(t_rb[[#This Row],[Antall_rette]]=11,1,"")</f>
        <v/>
      </c>
      <c r="N30" s="3" t="str">
        <f ca="1">IF(t_rb[[#This Row],[Antall_rette]]=10,1,"")</f>
        <v/>
      </c>
      <c r="O30" s="3">
        <f ca="1">IF(t_øg[[#This Row],[12_Antall]]=1,Data!$AJ$3,0)</f>
        <v>0</v>
      </c>
      <c r="P30" s="3">
        <f ca="1">IF(t_øg[[#This Row],[11_Antall]]=1,Data!$AJ$2,0)</f>
        <v>0</v>
      </c>
      <c r="Q30" s="3">
        <f ca="1">IF(t_øg[[#This Row],[10_Antall]]=1,Data!$AJ$1,0)</f>
        <v>0</v>
      </c>
      <c r="R30" s="3" t="str" cm="1">
        <f t="array" ref="R30">IFERROR(IF(_xlfn.XLOOKUP(t_øg[[#This Row],[Dato]]&amp;t_øg[[#This Row],[navn]],Regnskap!$C$10:$C$51&amp;Regnskap!$K$10:$K$51,Regnskap!$H$10:$H$51)&gt;0,Data!$AJ$3,""),"")</f>
        <v/>
      </c>
      <c r="S30" s="3" t="str" cm="1">
        <f t="array" ref="S30">IFERROR(IF(t_øg[[#This Row],[12_pLEV]]="",IF(_xlfn.XLOOKUP(t_øg[[#This Row],[Dato]]&amp;t_øg[[#This Row],[navn]],Regnskap!$C$10:$C$51&amp;Regnskap!$K$10:$K$51,Regnskap!$I$10:$I$51)&gt;0,Data!$AJ$2)),"")</f>
        <v/>
      </c>
      <c r="T30" s="3" t="str" cm="1">
        <f t="array" ref="T30">IFERROR(IF(t_øg[[#This Row],[11_pLEV]]="",IF(_xlfn.XLOOKUP(t_øg[[#This Row],[Dato]]&amp;t_øg[[#This Row],[navn]],Regnskap!$C$10:$C$51&amp;Regnskap!$K$10:$K$51,Regnskap!$J$10:$J$51)&gt;0,Data!$AJ$1),""),"")</f>
        <v/>
      </c>
      <c r="U30" s="3">
        <f ca="1">SUM(t_øg[[#This Row],[12_poeng]:[10_pLEV]])</f>
        <v>0</v>
      </c>
      <c r="V30" s="3">
        <f ca="1">SUM(t_øg[[#This Row],[Summert]]+t_øg[[#This Row],[LEV_poeng]])</f>
        <v>0</v>
      </c>
    </row>
    <row r="31" spans="1:28" x14ac:dyDescent="0.2">
      <c r="A31" s="3" t="s">
        <v>46</v>
      </c>
      <c r="B31">
        <f>IF(t_øg[[#This Row],[Dato]]&lt;&gt;"",WEEKNUM(t_øg[[#This Row],[Dato]]),"")</f>
        <v>10</v>
      </c>
      <c r="C31" s="22">
        <f>Data!AL30</f>
        <v>46452</v>
      </c>
      <c r="D31">
        <f ca="1">IFERROR(IF(t_øg[[#This Row],[Dato]]="","",OFFSET(_xlfn.XLOOKUP(C31,Kuponger!E:E,Kuponger!BA:BA),15,0)),"")</f>
        <v>0</v>
      </c>
      <c r="E31">
        <f ca="1">IFERROR(IF(t_øg[[#This Row],[hp]]&lt;&gt;"",OFFSET(_xlfn.XLOOKUP(C31,Kuponger!E:E,Kuponger!BA:BA),15,1),""),"")</f>
        <v>0</v>
      </c>
      <c r="F31">
        <f ca="1">IFERROR(IF(t_øg[[#This Row],[Dato]]="","",OFFSET(_xlfn.XLOOKUP(C31,Kuponger!E:E,Kuponger!BA:BA),15,2)),"")</f>
        <v>0</v>
      </c>
      <c r="G31">
        <f ca="1">IFERROR(IF(OFFSET(_xlfn.XLOOKUP(C31,Kuponger!E:E,Kuponger!BA:BA),0,2)=0,"",OFFSET(_xlfn.XLOOKUP(C31,Kuponger!E:E,Kuponger!BA:BA),1,2))*-1,"")</f>
        <v>0</v>
      </c>
      <c r="H31" t="str">
        <f t="shared" ca="1" si="1"/>
        <v/>
      </c>
      <c r="I31" t="str">
        <f ca="1">IFERROR(IF(t_øg[[#This Row],[tp]]&lt;&gt;"",OFFSET(_xlfn.XLOOKUP(C31,Kuponger!E:E,Kuponger!BA:BA),1,1),""),"")</f>
        <v/>
      </c>
      <c r="J31" s="3">
        <f ca="1">IFERROR(IF(t_øg[[#This Row],[Dato]]="",0,OFFSET(_xlfn.XLOOKUP(t_øg[[#This Row],[Dato]],Kuponger!E:E,Kuponger!BA:BA),1,7)),"")</f>
        <v>0</v>
      </c>
      <c r="K31" s="3">
        <f ca="1">IFERROR(SUM(t_øg[[#This Row],[tp]]),0)</f>
        <v>0</v>
      </c>
      <c r="L31" s="3" t="str">
        <f ca="1">IF(t_rb[[#This Row],[Antall_rette]]=12,1,"")</f>
        <v/>
      </c>
      <c r="M31" s="3" t="str">
        <f ca="1">IF(t_rb[[#This Row],[Antall_rette]]=11,1,"")</f>
        <v/>
      </c>
      <c r="N31" s="3" t="str">
        <f ca="1">IF(t_rb[[#This Row],[Antall_rette]]=10,1,"")</f>
        <v/>
      </c>
      <c r="O31" s="3">
        <f ca="1">IF(t_øg[[#This Row],[12_Antall]]=1,Data!$AJ$3,0)</f>
        <v>0</v>
      </c>
      <c r="P31" s="3">
        <f ca="1">IF(t_øg[[#This Row],[11_Antall]]=1,Data!$AJ$2,0)</f>
        <v>0</v>
      </c>
      <c r="Q31" s="3">
        <f ca="1">IF(t_øg[[#This Row],[10_Antall]]=1,Data!$AJ$1,0)</f>
        <v>0</v>
      </c>
      <c r="R31" s="3" t="str" cm="1">
        <f t="array" ref="R31">IFERROR(IF(_xlfn.XLOOKUP(t_øg[[#This Row],[Dato]]&amp;t_øg[[#This Row],[navn]],Regnskap!$C$10:$C$51&amp;Regnskap!$K$10:$K$51,Regnskap!$H$10:$H$51)&gt;0,Data!$AJ$3,""),"")</f>
        <v/>
      </c>
      <c r="S31" s="3" t="str" cm="1">
        <f t="array" ref="S31">IFERROR(IF(t_øg[[#This Row],[12_pLEV]]="",IF(_xlfn.XLOOKUP(t_øg[[#This Row],[Dato]]&amp;t_øg[[#This Row],[navn]],Regnskap!$C$10:$C$51&amp;Regnskap!$K$10:$K$51,Regnskap!$I$10:$I$51)&gt;0,Data!$AJ$2)),"")</f>
        <v/>
      </c>
      <c r="T31" s="3" t="str" cm="1">
        <f t="array" ref="T31">IFERROR(IF(t_øg[[#This Row],[11_pLEV]]="",IF(_xlfn.XLOOKUP(t_øg[[#This Row],[Dato]]&amp;t_øg[[#This Row],[navn]],Regnskap!$C$10:$C$51&amp;Regnskap!$K$10:$K$51,Regnskap!$J$10:$J$51)&gt;0,Data!$AJ$1),""),"")</f>
        <v/>
      </c>
      <c r="U31" s="3">
        <f ca="1">SUM(t_øg[[#This Row],[12_poeng]:[10_pLEV]])</f>
        <v>0</v>
      </c>
      <c r="V31" s="3">
        <f ca="1">SUM(t_øg[[#This Row],[Summert]]+t_øg[[#This Row],[LEV_poeng]])</f>
        <v>0</v>
      </c>
    </row>
    <row r="32" spans="1:28" x14ac:dyDescent="0.2">
      <c r="A32" s="3" t="s">
        <v>46</v>
      </c>
      <c r="B32">
        <f>IF(t_øg[[#This Row],[Dato]]&lt;&gt;"",WEEKNUM(t_øg[[#This Row],[Dato]]),"")</f>
        <v>11</v>
      </c>
      <c r="C32" s="22">
        <f>Data!AL31</f>
        <v>46459</v>
      </c>
      <c r="D32">
        <f ca="1">IFERROR(IF(t_øg[[#This Row],[Dato]]="","",OFFSET(_xlfn.XLOOKUP(C32,Kuponger!E:E,Kuponger!BA:BA),15,0)),"")</f>
        <v>0</v>
      </c>
      <c r="E32">
        <f ca="1">IFERROR(IF(t_øg[[#This Row],[hp]]&lt;&gt;"",OFFSET(_xlfn.XLOOKUP(C32,Kuponger!E:E,Kuponger!BA:BA),15,1),""),"")</f>
        <v>0</v>
      </c>
      <c r="F32">
        <f ca="1">IFERROR(IF(t_øg[[#This Row],[Dato]]="","",OFFSET(_xlfn.XLOOKUP(C32,Kuponger!E:E,Kuponger!BA:BA),15,2)),"")</f>
        <v>0</v>
      </c>
      <c r="G32">
        <f ca="1">IFERROR(IF(OFFSET(_xlfn.XLOOKUP(C32,Kuponger!E:E,Kuponger!BA:BA),0,2)=0,"",OFFSET(_xlfn.XLOOKUP(C32,Kuponger!E:E,Kuponger!BA:BA),1,2))*-1,"")</f>
        <v>0</v>
      </c>
      <c r="H32" t="str">
        <f t="shared" ca="1" si="1"/>
        <v/>
      </c>
      <c r="I32" t="str">
        <f ca="1">IFERROR(IF(t_øg[[#This Row],[tp]]&lt;&gt;"",OFFSET(_xlfn.XLOOKUP(C32,Kuponger!E:E,Kuponger!BA:BA),1,1),""),"")</f>
        <v/>
      </c>
      <c r="J32" s="3">
        <f ca="1">IFERROR(IF(t_øg[[#This Row],[Dato]]="",0,OFFSET(_xlfn.XLOOKUP(t_øg[[#This Row],[Dato]],Kuponger!E:E,Kuponger!BA:BA),1,7)),"")</f>
        <v>0</v>
      </c>
      <c r="K32" s="3">
        <f ca="1">IFERROR(SUM(t_øg[[#This Row],[tp]]),0)</f>
        <v>0</v>
      </c>
      <c r="L32" s="3" t="str">
        <f ca="1">IF(t_rb[[#This Row],[Antall_rette]]=12,1,"")</f>
        <v/>
      </c>
      <c r="M32" s="3" t="str">
        <f ca="1">IF(t_rb[[#This Row],[Antall_rette]]=11,1,"")</f>
        <v/>
      </c>
      <c r="N32" s="3" t="str">
        <f ca="1">IF(t_rb[[#This Row],[Antall_rette]]=10,1,"")</f>
        <v/>
      </c>
      <c r="O32" s="3">
        <f ca="1">IF(t_øg[[#This Row],[12_Antall]]=1,Data!$AJ$3,0)</f>
        <v>0</v>
      </c>
      <c r="P32" s="3">
        <f ca="1">IF(t_øg[[#This Row],[11_Antall]]=1,Data!$AJ$2,0)</f>
        <v>0</v>
      </c>
      <c r="Q32" s="3">
        <f ca="1">IF(t_øg[[#This Row],[10_Antall]]=1,Data!$AJ$1,0)</f>
        <v>0</v>
      </c>
      <c r="R32" s="3" t="str" cm="1">
        <f t="array" ref="R32">IFERROR(IF(_xlfn.XLOOKUP(t_øg[[#This Row],[Dato]]&amp;t_øg[[#This Row],[navn]],Regnskap!$C$10:$C$51&amp;Regnskap!$K$10:$K$51,Regnskap!$H$10:$H$51)&gt;0,Data!$AJ$3,""),"")</f>
        <v/>
      </c>
      <c r="S32" s="3" t="str" cm="1">
        <f t="array" ref="S32">IFERROR(IF(t_øg[[#This Row],[12_pLEV]]="",IF(_xlfn.XLOOKUP(t_øg[[#This Row],[Dato]]&amp;t_øg[[#This Row],[navn]],Regnskap!$C$10:$C$51&amp;Regnskap!$K$10:$K$51,Regnskap!$I$10:$I$51)&gt;0,Data!$AJ$2)),"")</f>
        <v/>
      </c>
      <c r="T32" s="3" t="str" cm="1">
        <f t="array" ref="T32">IFERROR(IF(t_øg[[#This Row],[11_pLEV]]="",IF(_xlfn.XLOOKUP(t_øg[[#This Row],[Dato]]&amp;t_øg[[#This Row],[navn]],Regnskap!$C$10:$C$51&amp;Regnskap!$K$10:$K$51,Regnskap!$J$10:$J$51)&gt;0,Data!$AJ$1),""),"")</f>
        <v/>
      </c>
      <c r="U32" s="3">
        <f ca="1">SUM(t_øg[[#This Row],[12_poeng]:[10_pLEV]])</f>
        <v>0</v>
      </c>
      <c r="V32" s="3">
        <f ca="1">SUM(t_øg[[#This Row],[Summert]]+t_øg[[#This Row],[LEV_poeng]])</f>
        <v>0</v>
      </c>
    </row>
    <row r="33" spans="1:22" x14ac:dyDescent="0.2">
      <c r="A33" s="3" t="s">
        <v>46</v>
      </c>
      <c r="B33">
        <f>IF(t_øg[[#This Row],[Dato]]&lt;&gt;"",WEEKNUM(t_øg[[#This Row],[Dato]]),"")</f>
        <v>12</v>
      </c>
      <c r="C33" s="22">
        <f>Data!AL32</f>
        <v>46466</v>
      </c>
      <c r="D33">
        <f ca="1">IFERROR(IF(t_øg[[#This Row],[Dato]]="","",OFFSET(_xlfn.XLOOKUP(C33,Kuponger!E:E,Kuponger!BA:BA),15,0)),"")</f>
        <v>0</v>
      </c>
      <c r="E33">
        <f ca="1">IFERROR(IF(t_øg[[#This Row],[hp]]&lt;&gt;"",OFFSET(_xlfn.XLOOKUP(C33,Kuponger!E:E,Kuponger!BA:BA),15,1),""),"")</f>
        <v>0</v>
      </c>
      <c r="F33">
        <f ca="1">IFERROR(IF(t_øg[[#This Row],[Dato]]="","",OFFSET(_xlfn.XLOOKUP(C33,Kuponger!E:E,Kuponger!BA:BA),15,2)),"")</f>
        <v>0</v>
      </c>
      <c r="G33">
        <f ca="1">IFERROR(IF(OFFSET(_xlfn.XLOOKUP(C33,Kuponger!E:E,Kuponger!BA:BA),0,2)=0,"",OFFSET(_xlfn.XLOOKUP(C33,Kuponger!E:E,Kuponger!BA:BA),1,2))*-1,"")</f>
        <v>0</v>
      </c>
      <c r="H33" t="str">
        <f t="shared" ca="1" si="1"/>
        <v/>
      </c>
      <c r="I33" t="str">
        <f ca="1">IFERROR(IF(t_øg[[#This Row],[tp]]&lt;&gt;"",OFFSET(_xlfn.XLOOKUP(C33,Kuponger!E:E,Kuponger!BA:BA),1,1),""),"")</f>
        <v/>
      </c>
      <c r="J33" s="3">
        <f ca="1">IFERROR(IF(t_øg[[#This Row],[Dato]]="",0,OFFSET(_xlfn.XLOOKUP(t_øg[[#This Row],[Dato]],Kuponger!E:E,Kuponger!BA:BA),1,7)),"")</f>
        <v>0</v>
      </c>
      <c r="K33" s="3">
        <f ca="1">IFERROR(SUM(t_øg[[#This Row],[tp]]),0)</f>
        <v>0</v>
      </c>
      <c r="L33" s="3" t="str">
        <f ca="1">IF(t_rb[[#This Row],[Antall_rette]]=12,1,"")</f>
        <v/>
      </c>
      <c r="M33" s="3" t="str">
        <f ca="1">IF(t_rb[[#This Row],[Antall_rette]]=11,1,"")</f>
        <v/>
      </c>
      <c r="N33" s="3" t="str">
        <f ca="1">IF(t_rb[[#This Row],[Antall_rette]]=10,1,"")</f>
        <v/>
      </c>
      <c r="O33" s="3">
        <f ca="1">IF(t_øg[[#This Row],[12_Antall]]=1,Data!$AJ$3,0)</f>
        <v>0</v>
      </c>
      <c r="P33" s="3">
        <f ca="1">IF(t_øg[[#This Row],[11_Antall]]=1,Data!$AJ$2,0)</f>
        <v>0</v>
      </c>
      <c r="Q33" s="3">
        <f ca="1">IF(t_øg[[#This Row],[10_Antall]]=1,Data!$AJ$1,0)</f>
        <v>0</v>
      </c>
      <c r="R33" s="3" t="str" cm="1">
        <f t="array" ref="R33">IFERROR(IF(_xlfn.XLOOKUP(t_øg[[#This Row],[Dato]]&amp;t_øg[[#This Row],[navn]],Regnskap!$C$10:$C$51&amp;Regnskap!$K$10:$K$51,Regnskap!$H$10:$H$51)&gt;0,Data!$AJ$3,""),"")</f>
        <v/>
      </c>
      <c r="S33" s="3" t="str" cm="1">
        <f t="array" ref="S33">IFERROR(IF(t_øg[[#This Row],[12_pLEV]]="",IF(_xlfn.XLOOKUP(t_øg[[#This Row],[Dato]]&amp;t_øg[[#This Row],[navn]],Regnskap!$C$10:$C$51&amp;Regnskap!$K$10:$K$51,Regnskap!$I$10:$I$51)&gt;0,Data!$AJ$2)),"")</f>
        <v/>
      </c>
      <c r="T33" s="3" t="str" cm="1">
        <f t="array" ref="T33">IFERROR(IF(t_øg[[#This Row],[11_pLEV]]="",IF(_xlfn.XLOOKUP(t_øg[[#This Row],[Dato]]&amp;t_øg[[#This Row],[navn]],Regnskap!$C$10:$C$51&amp;Regnskap!$K$10:$K$51,Regnskap!$J$10:$J$51)&gt;0,Data!$AJ$1),""),"")</f>
        <v/>
      </c>
      <c r="U33" s="3">
        <f ca="1">SUM(t_øg[[#This Row],[12_poeng]:[10_pLEV]])</f>
        <v>0</v>
      </c>
      <c r="V33" s="3">
        <f ca="1">SUM(t_øg[[#This Row],[Summert]]+t_øg[[#This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honeticPr fontId="133" type="noConversion"/>
  <pageMargins left="0.7" right="0.7" top="0.75" bottom="0.75" header="0.3" footer="0.3"/>
  <pageSetup paperSize="9" orientation="portrait" horizontalDpi="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6"/>
      <c r="AD1" s="23"/>
      <c r="AF1" s="468"/>
      <c r="AG1" s="468"/>
      <c r="AH1" s="468"/>
      <c r="AI1" s="468"/>
      <c r="AJ1" s="468"/>
    </row>
    <row r="2" spans="1:36" ht="13.5" thickTop="1" x14ac:dyDescent="0.2">
      <c r="A2" s="3" t="s">
        <v>909</v>
      </c>
      <c r="B2">
        <f>IF(t_jh[[#This Row],[Dato]]&lt;&gt;"",WEEKNUM(t_jh[[#This Row],[Dato]]),"")</f>
        <v>33</v>
      </c>
      <c r="C2" s="22">
        <f>Data!AL1</f>
        <v>46249</v>
      </c>
      <c r="D2">
        <f ca="1">IFERROR(IF(t_jh[[#This Row],[Dato]]="","",OFFSET(_xlfn.XLOOKUP(C2,Kuponger!E:E,Kuponger!BJ:BJ),15,0)),"")</f>
        <v>0</v>
      </c>
      <c r="E2">
        <f ca="1">IFERROR(IF(t_jh[[#This Row],[hp]]&lt;&gt;"",OFFSET(_xlfn.XLOOKUP(C2,Kuponger!E:E,Kuponger!BJ:BJ),15,1),""),"")</f>
        <v>0</v>
      </c>
      <c r="F2">
        <f ca="1">IFERROR(IF(t_jh[[#This Row],[Dato]]="","",OFFSET(_xlfn.XLOOKUP(C2,Kuponger!E:E,Kuponger!BJ:BJ),15,2)),"")</f>
        <v>0</v>
      </c>
      <c r="G2">
        <f ca="1">IFERROR(IF(OFFSET(_xlfn.XLOOKUP(C2,Kuponger!E:E,Kuponger!BJ:BJ),0,2)=0,"",OFFSET(_xlfn.XLOOKUP(C2,Kuponger!E:E,Kuponger!BJ:BJ),1,2))*-1,"")</f>
        <v>0</v>
      </c>
      <c r="H2" t="str">
        <f t="shared" ref="H2" ca="1" si="0">IF(SUMIF(D2:G2,"&lt;&gt;""")=0,"",SUMIF(D2:G2,"&lt;&gt;"""))</f>
        <v/>
      </c>
      <c r="I2" t="str">
        <f ca="1">IFERROR(IF(t_jh[[#This Row],[tp]]&lt;&gt;"",OFFSET(_xlfn.XLOOKUP(C2,Kuponger!E:E,Kuponger!BJ:BJ),1,1),""),"")</f>
        <v/>
      </c>
      <c r="J2" s="3">
        <f ca="1">IFERROR(IF(t_jh[[#This Row],[Dato]]="",0,OFFSET(_xlfn.XLOOKUP(t_jh[[#This Row],[Dato]],Kuponger!E:E,Kuponger!BJ:BJ),1,7)),"")</f>
        <v>0</v>
      </c>
      <c r="K2" s="3">
        <f ca="1">IFERROR(SUM(t_jh[[#This Row],[tp]]),0)</f>
        <v>0</v>
      </c>
      <c r="L2" s="3" t="str">
        <f ca="1">IF(t_rb[[#This Row],[Antall_rette]]=12,1,"")</f>
        <v/>
      </c>
      <c r="M2" s="3" t="str">
        <f ca="1">IF(t_rb[[#This Row],[Antall_rette]]=11,1,"")</f>
        <v/>
      </c>
      <c r="N2" s="3" t="str">
        <f ca="1">IF(t_rb[[#This Row],[Antall_rette]]=10,1,"")</f>
        <v/>
      </c>
      <c r="O2" s="3">
        <f ca="1">IF(t_jh[[#This Row],[12_Antall]]=1,Data!$AJ$3,0)</f>
        <v>0</v>
      </c>
      <c r="P2" s="3">
        <f ca="1">IF(t_jh[[#This Row],[11_Antall]]=1,Data!$AJ$2,0)</f>
        <v>0</v>
      </c>
      <c r="Q2" s="3">
        <f ca="1">IF(t_jh[[#This Row],[10_Antall]]=1,Data!$AJ$1,0)</f>
        <v>0</v>
      </c>
      <c r="R2" s="3" t="str" cm="1">
        <f t="array" ref="R2">IFERROR(IF(_xlfn.XLOOKUP(t_jh[[#This Row],[Dato]]&amp;t_jh[[#This Row],[navn]],Regnskap!$C$10:$C$51&amp;Regnskap!$K$10:$K$51,Regnskap!$H$10:$H$51)&gt;0,Data!$AJ$3,""),"")</f>
        <v/>
      </c>
      <c r="S2" s="3" t="str" cm="1">
        <f t="array" ref="S2">IFERROR(IF(t_jh[[#This Row],[12_pLEV]]="",IF(_xlfn.XLOOKUP(t_jh[[#This Row],[Dato]]&amp;t_jh[[#This Row],[navn]],Regnskap!$C$10:$C$51&amp;Regnskap!$K$10:$K$51,Regnskap!$I$10:$I$51)&gt;0,Data!$AJ$2)),"")</f>
        <v/>
      </c>
      <c r="T2" s="3" t="str" cm="1">
        <f t="array" ref="T2">IFERROR(IF(t_jh[[#This Row],[11_pLEV]]="",IF(_xlfn.XLOOKUP(t_jh[[#This Row],[Dato]]&amp;t_jh[[#This Row],[navn]],Regnskap!$C$10:$C$51&amp;Regnskap!$K$10:$K$51,Regnskap!$J$10:$J$51)&gt;0,Data!$AJ$1),""),"")</f>
        <v/>
      </c>
      <c r="U2" s="3">
        <f ca="1">SUM(t_jh[[#This Row],[12_poeng]:[10_pLEV]])</f>
        <v>0</v>
      </c>
      <c r="V2" s="3">
        <f ca="1">SUM(t_jh[[#This Row],[Summert]]+t_jh[[#This Row],[LEV_poeng]])</f>
        <v>0</v>
      </c>
      <c r="AF2" s="3"/>
      <c r="AG2" s="3"/>
      <c r="AH2" s="3"/>
      <c r="AI2" s="3"/>
      <c r="AJ2" s="3"/>
    </row>
    <row r="3" spans="1:36" x14ac:dyDescent="0.2">
      <c r="A3" s="3" t="s">
        <v>909</v>
      </c>
      <c r="B3">
        <f>IF(t_jh[[#This Row],[Dato]]&lt;&gt;"",WEEKNUM(t_jh[[#This Row],[Dato]]),"")</f>
        <v>34</v>
      </c>
      <c r="C3" s="22">
        <f>Data!AL2</f>
        <v>46256</v>
      </c>
      <c r="D3">
        <f ca="1">IFERROR(IF(t_jh[[#This Row],[Dato]]="","",OFFSET(_xlfn.XLOOKUP(C3,Kuponger!E:E,Kuponger!BJ:BJ),15,0)),"")</f>
        <v>780</v>
      </c>
      <c r="E3">
        <f ca="1">IFERROR(IF(t_jh[[#This Row],[hp]]&lt;&gt;"",OFFSET(_xlfn.XLOOKUP(C3,Kuponger!E:E,Kuponger!BJ:BJ),15,1),""),"")</f>
        <v>0</v>
      </c>
      <c r="F3">
        <f ca="1">IFERROR(IF(t_jh[[#This Row],[Dato]]="","",OFFSET(_xlfn.XLOOKUP(C3,Kuponger!E:E,Kuponger!BJ:BJ),15,2)),"")</f>
        <v>0</v>
      </c>
      <c r="G3">
        <f ca="1">IFERROR(IF(OFFSET(_xlfn.XLOOKUP(C3,Kuponger!E:E,Kuponger!BJ:BJ),0,2)=0,"",OFFSET(_xlfn.XLOOKUP(C3,Kuponger!E:E,Kuponger!BJ:BJ),1,2))*-1,"")</f>
        <v>0</v>
      </c>
      <c r="H3">
        <f t="shared" ref="H3:H33" ca="1" si="1">IF(SUMIF(D3:G3,"&lt;&gt;""")=0,"",SUMIF(D3:G3,"&lt;&gt;"""))</f>
        <v>780</v>
      </c>
      <c r="I3">
        <f ca="1">IFERROR(IF(t_jh[[#This Row],[tp]]&lt;&gt;"",OFFSET(_xlfn.XLOOKUP(C3,Kuponger!E:E,Kuponger!BJ:BJ),1,1),""),"")</f>
        <v>1</v>
      </c>
      <c r="J3" s="3">
        <f ca="1">IFERROR(IF(t_jh[[#This Row],[Dato]]="",0,OFFSET(_xlfn.XLOOKUP(t_jh[[#This Row],[Dato]],Kuponger!E:E,Kuponger!BJ:BJ),1,7)),"")</f>
        <v>12</v>
      </c>
      <c r="K3" s="3">
        <f ca="1">IFERROR(SUM(t_jh[[#This Row],[tp]]),0)</f>
        <v>780</v>
      </c>
      <c r="L3" s="3">
        <f ca="1">IF(t_rb[[#This Row],[Antall_rette]]=12,1,"")</f>
        <v>1</v>
      </c>
      <c r="M3" s="3" t="str">
        <f ca="1">IF(t_rb[[#This Row],[Antall_rette]]=11,1,"")</f>
        <v/>
      </c>
      <c r="N3" s="3" t="str">
        <f ca="1">IF(t_rb[[#This Row],[Antall_rette]]=10,1,"")</f>
        <v/>
      </c>
      <c r="O3" s="3">
        <f ca="1">IF(t_jh[[#This Row],[12_Antall]]=1,Data!$AJ$3,0)</f>
        <v>1070</v>
      </c>
      <c r="P3" s="3">
        <f ca="1">IF(t_jh[[#This Row],[11_Antall]]=1,Data!$AJ$2,0)</f>
        <v>0</v>
      </c>
      <c r="Q3" s="3">
        <f ca="1">IF(t_jh[[#This Row],[10_Antall]]=1,Data!$AJ$1,0)</f>
        <v>0</v>
      </c>
      <c r="R3" s="3" t="str" cm="1">
        <f t="array" ref="R3">IFERROR(IF(_xlfn.XLOOKUP(t_jh[[#This Row],[Dato]]&amp;t_jh[[#This Row],[navn]],Regnskap!$C$10:$C$51&amp;Regnskap!$K$10:$K$51,Regnskap!$H$10:$H$51)&gt;0,Data!$AJ$3,""),"")</f>
        <v/>
      </c>
      <c r="S3" s="3" t="str" cm="1">
        <f t="array" ref="S3">IFERROR(IF(t_jh[[#This Row],[12_pLEV]]="",IF(_xlfn.XLOOKUP(t_jh[[#This Row],[Dato]]&amp;t_jh[[#This Row],[navn]],Regnskap!$C$10:$C$51&amp;Regnskap!$K$10:$K$51,Regnskap!$I$10:$I$51)&gt;0,Data!$AJ$2)),"")</f>
        <v/>
      </c>
      <c r="T3" s="3" t="str" cm="1">
        <f t="array" ref="T3">IFERROR(IF(t_jh[[#This Row],[11_pLEV]]="",IF(_xlfn.XLOOKUP(t_jh[[#This Row],[Dato]]&amp;t_jh[[#This Row],[navn]],Regnskap!$C$10:$C$51&amp;Regnskap!$K$10:$K$51,Regnskap!$J$10:$J$51)&gt;0,Data!$AJ$1),""),"")</f>
        <v/>
      </c>
      <c r="U3" s="3">
        <f ca="1">SUM(t_jh[[#This Row],[12_poeng]:[10_pLEV]])</f>
        <v>1070</v>
      </c>
      <c r="V3" s="3">
        <f ca="1">SUM(t_jh[[#This Row],[Summert]]+t_jh[[#This Row],[LEV_poeng]])</f>
        <v>1850</v>
      </c>
    </row>
    <row r="4" spans="1:36" x14ac:dyDescent="0.2">
      <c r="A4" s="3" t="s">
        <v>909</v>
      </c>
      <c r="B4">
        <f>IF(t_jh[[#This Row],[Dato]]&lt;&gt;"",WEEKNUM(t_jh[[#This Row],[Dato]]),"")</f>
        <v>35</v>
      </c>
      <c r="C4" s="22">
        <f>Data!AL3</f>
        <v>46263</v>
      </c>
      <c r="D4">
        <f ca="1">IFERROR(IF(t_jh[[#This Row],[Dato]]="","",OFFSET(_xlfn.XLOOKUP(C4,Kuponger!E:E,Kuponger!BJ:BJ),15,0)),"")</f>
        <v>780</v>
      </c>
      <c r="E4">
        <f ca="1">IFERROR(IF(t_jh[[#This Row],[hp]]&lt;&gt;"",OFFSET(_xlfn.XLOOKUP(C4,Kuponger!E:E,Kuponger!BJ:BJ),15,1),""),"")</f>
        <v>0</v>
      </c>
      <c r="F4">
        <f ca="1">IFERROR(IF(t_jh[[#This Row],[Dato]]="","",OFFSET(_xlfn.XLOOKUP(C4,Kuponger!E:E,Kuponger!BJ:BJ),15,2)),"")</f>
        <v>0</v>
      </c>
      <c r="G4">
        <f ca="1">IFERROR(IF(OFFSET(_xlfn.XLOOKUP(C4,Kuponger!E:E,Kuponger!BJ:BJ),0,2)=0,"",OFFSET(_xlfn.XLOOKUP(C4,Kuponger!E:E,Kuponger!BJ:BJ),1,2))*-1,"")</f>
        <v>0</v>
      </c>
      <c r="H4">
        <f t="shared" ca="1" si="1"/>
        <v>780</v>
      </c>
      <c r="I4">
        <f ca="1">IFERROR(IF(t_jh[[#This Row],[tp]]&lt;&gt;"",OFFSET(_xlfn.XLOOKUP(C4,Kuponger!E:E,Kuponger!BJ:BJ),1,1),""),"")</f>
        <v>1</v>
      </c>
      <c r="J4" s="3">
        <f ca="1">IFERROR(IF(t_jh[[#This Row],[Dato]]="",0,OFFSET(_xlfn.XLOOKUP(t_jh[[#This Row],[Dato]],Kuponger!E:E,Kuponger!BJ:BJ),1,7)),"")</f>
        <v>12</v>
      </c>
      <c r="K4" s="3">
        <f ca="1">IFERROR(SUM(t_jh[[#This Row],[tp]]),0)</f>
        <v>780</v>
      </c>
      <c r="L4" s="3">
        <f ca="1">IF(t_rb[[#This Row],[Antall_rette]]=12,1,"")</f>
        <v>1</v>
      </c>
      <c r="M4" s="3" t="str">
        <f ca="1">IF(t_rb[[#This Row],[Antall_rette]]=11,1,"")</f>
        <v/>
      </c>
      <c r="N4" s="3" t="str">
        <f ca="1">IF(t_rb[[#This Row],[Antall_rette]]=10,1,"")</f>
        <v/>
      </c>
      <c r="O4" s="3">
        <f ca="1">IF(t_jh[[#This Row],[12_Antall]]=1,Data!$AJ$3,0)</f>
        <v>1070</v>
      </c>
      <c r="P4" s="3">
        <f ca="1">IF(t_jh[[#This Row],[11_Antall]]=1,Data!$AJ$2,0)</f>
        <v>0</v>
      </c>
      <c r="Q4" s="3">
        <f ca="1">IF(t_jh[[#This Row],[10_Antall]]=1,Data!$AJ$1,0)</f>
        <v>0</v>
      </c>
      <c r="R4" s="3" t="str" cm="1">
        <f t="array" ref="R4">IFERROR(IF(_xlfn.XLOOKUP(t_jh[[#This Row],[Dato]]&amp;t_jh[[#This Row],[navn]],Regnskap!$C$10:$C$51&amp;Regnskap!$K$10:$K$51,Regnskap!$H$10:$H$51)&gt;0,Data!$AJ$3,""),"")</f>
        <v/>
      </c>
      <c r="S4" s="3" t="str" cm="1">
        <f t="array" ref="S4">IFERROR(IF(t_jh[[#This Row],[12_pLEV]]="",IF(_xlfn.XLOOKUP(t_jh[[#This Row],[Dato]]&amp;t_jh[[#This Row],[navn]],Regnskap!$C$10:$C$51&amp;Regnskap!$K$10:$K$51,Regnskap!$I$10:$I$51)&gt;0,Data!$AJ$2)),"")</f>
        <v/>
      </c>
      <c r="T4" s="3" t="str" cm="1">
        <f t="array" ref="T4">IFERROR(IF(t_jh[[#This Row],[11_pLEV]]="",IF(_xlfn.XLOOKUP(t_jh[[#This Row],[Dato]]&amp;t_jh[[#This Row],[navn]],Regnskap!$C$10:$C$51&amp;Regnskap!$K$10:$K$51,Regnskap!$J$10:$J$51)&gt;0,Data!$AJ$1),""),"")</f>
        <v/>
      </c>
      <c r="U4" s="3">
        <f ca="1">SUM(t_jh[[#This Row],[12_poeng]:[10_pLEV]])</f>
        <v>1070</v>
      </c>
      <c r="V4" s="3">
        <f ca="1">SUM(t_jh[[#This Row],[Summert]]+t_jh[[#This Row],[LEV_poeng]])</f>
        <v>1850</v>
      </c>
    </row>
    <row r="5" spans="1:36" x14ac:dyDescent="0.2">
      <c r="A5" s="3" t="s">
        <v>909</v>
      </c>
      <c r="B5">
        <f>IF(t_jh[[#This Row],[Dato]]&lt;&gt;"",WEEKNUM(t_jh[[#This Row],[Dato]]),"")</f>
        <v>36</v>
      </c>
      <c r="C5" s="22">
        <f>Data!AL4</f>
        <v>46270</v>
      </c>
      <c r="D5">
        <f ca="1">IFERROR(IF(t_jh[[#This Row],[Dato]]="","",OFFSET(_xlfn.XLOOKUP(C5,Kuponger!E:E,Kuponger!BJ:BJ),15,0)),"")</f>
        <v>780</v>
      </c>
      <c r="E5">
        <f ca="1">IFERROR(IF(t_jh[[#This Row],[hp]]&lt;&gt;"",OFFSET(_xlfn.XLOOKUP(C5,Kuponger!E:E,Kuponger!BJ:BJ),15,1),""),"")</f>
        <v>0</v>
      </c>
      <c r="F5">
        <f ca="1">IFERROR(IF(t_jh[[#This Row],[Dato]]="","",OFFSET(_xlfn.XLOOKUP(C5,Kuponger!E:E,Kuponger!BJ:BJ),15,2)),"")</f>
        <v>0</v>
      </c>
      <c r="G5">
        <f ca="1">IFERROR(IF(OFFSET(_xlfn.XLOOKUP(C5,Kuponger!E:E,Kuponger!BJ:BJ),0,2)=0,"",OFFSET(_xlfn.XLOOKUP(C5,Kuponger!E:E,Kuponger!BJ:BJ),1,2))*-1,"")</f>
        <v>0</v>
      </c>
      <c r="H5">
        <f t="shared" ca="1" si="1"/>
        <v>780</v>
      </c>
      <c r="I5">
        <f ca="1">IFERROR(IF(t_jh[[#This Row],[tp]]&lt;&gt;"",OFFSET(_xlfn.XLOOKUP(C5,Kuponger!E:E,Kuponger!BJ:BJ),1,1),""),"")</f>
        <v>1</v>
      </c>
      <c r="J5" s="3">
        <f ca="1">IFERROR(IF(t_jh[[#This Row],[Dato]]="",0,OFFSET(_xlfn.XLOOKUP(t_jh[[#This Row],[Dato]],Kuponger!E:E,Kuponger!BJ:BJ),1,7)),"")</f>
        <v>12</v>
      </c>
      <c r="K5" s="3">
        <f ca="1">IFERROR(SUM(t_jh[[#This Row],[tp]]),0)</f>
        <v>780</v>
      </c>
      <c r="L5" s="3">
        <f ca="1">IF(t_rb[[#This Row],[Antall_rette]]=12,1,"")</f>
        <v>1</v>
      </c>
      <c r="M5" s="3" t="str">
        <f ca="1">IF(t_rb[[#This Row],[Antall_rette]]=11,1,"")</f>
        <v/>
      </c>
      <c r="N5" s="3" t="str">
        <f ca="1">IF(t_rb[[#This Row],[Antall_rette]]=10,1,"")</f>
        <v/>
      </c>
      <c r="O5" s="3">
        <f ca="1">IF(t_jh[[#This Row],[12_Antall]]=1,Data!$AJ$3,0)</f>
        <v>1070</v>
      </c>
      <c r="P5" s="3">
        <f ca="1">IF(t_jh[[#This Row],[11_Antall]]=1,Data!$AJ$2,0)</f>
        <v>0</v>
      </c>
      <c r="Q5" s="3">
        <f ca="1">IF(t_jh[[#This Row],[10_Antall]]=1,Data!$AJ$1,0)</f>
        <v>0</v>
      </c>
      <c r="R5" s="3" t="str" cm="1">
        <f t="array" ref="R5">IFERROR(IF(_xlfn.XLOOKUP(t_jh[[#This Row],[Dato]]&amp;t_jh[[#This Row],[navn]],Regnskap!$C$10:$C$51&amp;Regnskap!$K$10:$K$51,Regnskap!$H$10:$H$51)&gt;0,Data!$AJ$3,""),"")</f>
        <v/>
      </c>
      <c r="S5" s="3" t="str" cm="1">
        <f t="array" ref="S5">IFERROR(IF(t_jh[[#This Row],[12_pLEV]]="",IF(_xlfn.XLOOKUP(t_jh[[#This Row],[Dato]]&amp;t_jh[[#This Row],[navn]],Regnskap!$C$10:$C$51&amp;Regnskap!$K$10:$K$51,Regnskap!$I$10:$I$51)&gt;0,Data!$AJ$2)),"")</f>
        <v/>
      </c>
      <c r="T5" s="3" t="str" cm="1">
        <f t="array" ref="T5">IFERROR(IF(t_jh[[#This Row],[11_pLEV]]="",IF(_xlfn.XLOOKUP(t_jh[[#This Row],[Dato]]&amp;t_jh[[#This Row],[navn]],Regnskap!$C$10:$C$51&amp;Regnskap!$K$10:$K$51,Regnskap!$J$10:$J$51)&gt;0,Data!$AJ$1),""),"")</f>
        <v/>
      </c>
      <c r="U5" s="3">
        <f ca="1">SUM(t_jh[[#This Row],[12_poeng]:[10_pLEV]])</f>
        <v>1070</v>
      </c>
      <c r="V5" s="3">
        <f ca="1">SUM(t_jh[[#This Row],[Summert]]+t_jh[[#This Row],[LEV_poeng]])</f>
        <v>1850</v>
      </c>
    </row>
    <row r="6" spans="1:36" x14ac:dyDescent="0.2">
      <c r="A6" s="3" t="s">
        <v>909</v>
      </c>
      <c r="B6">
        <f>IF(t_jh[[#This Row],[Dato]]&lt;&gt;"",WEEKNUM(t_jh[[#This Row],[Dato]]),"")</f>
        <v>37</v>
      </c>
      <c r="C6" s="22">
        <f>Data!AL5</f>
        <v>46277</v>
      </c>
      <c r="D6">
        <f ca="1">IFERROR(IF(t_jh[[#This Row],[Dato]]="","",OFFSET(_xlfn.XLOOKUP(C6,Kuponger!E:E,Kuponger!BJ:BJ),15,0)),"")</f>
        <v>0</v>
      </c>
      <c r="E6">
        <f ca="1">IFERROR(IF(t_jh[[#This Row],[hp]]&lt;&gt;"",OFFSET(_xlfn.XLOOKUP(C6,Kuponger!E:E,Kuponger!BJ:BJ),15,1),""),"")</f>
        <v>0</v>
      </c>
      <c r="F6">
        <f ca="1">IFERROR(IF(t_jh[[#This Row],[Dato]]="","",OFFSET(_xlfn.XLOOKUP(C6,Kuponger!E:E,Kuponger!BJ:BJ),15,2)),"")</f>
        <v>852</v>
      </c>
      <c r="G6">
        <f ca="1">IFERROR(IF(OFFSET(_xlfn.XLOOKUP(C6,Kuponger!E:E,Kuponger!BJ:BJ),0,2)=0,"",OFFSET(_xlfn.XLOOKUP(C6,Kuponger!E:E,Kuponger!BJ:BJ),1,2))*-1,"")</f>
        <v>0</v>
      </c>
      <c r="H6">
        <f t="shared" ca="1" si="1"/>
        <v>852</v>
      </c>
      <c r="I6" t="str">
        <f ca="1">IFERROR(IF(t_jh[[#This Row],[tp]]&lt;&gt;"",OFFSET(_xlfn.XLOOKUP(C6,Kuponger!E:E,Kuponger!BJ:BJ),1,1),""),"")</f>
        <v/>
      </c>
      <c r="J6" s="3">
        <f ca="1">IFERROR(IF(t_jh[[#This Row],[Dato]]="",0,OFFSET(_xlfn.XLOOKUP(t_jh[[#This Row],[Dato]],Kuponger!E:E,Kuponger!BJ:BJ),1,7)),"")</f>
        <v>12</v>
      </c>
      <c r="K6" s="3">
        <f ca="1">IFERROR(SUM(t_jh[[#This Row],[tp]]),0)</f>
        <v>852</v>
      </c>
      <c r="L6" s="3">
        <f ca="1">IF(t_rb[[#This Row],[Antall_rette]]=12,1,"")</f>
        <v>1</v>
      </c>
      <c r="M6" s="3" t="str">
        <f ca="1">IF(t_rb[[#This Row],[Antall_rette]]=11,1,"")</f>
        <v/>
      </c>
      <c r="N6" s="3" t="str">
        <f ca="1">IF(t_rb[[#This Row],[Antall_rette]]=10,1,"")</f>
        <v/>
      </c>
      <c r="O6" s="3">
        <f ca="1">IF(t_jh[[#This Row],[12_Antall]]=1,Data!$AJ$3,0)</f>
        <v>1070</v>
      </c>
      <c r="P6" s="3">
        <f ca="1">IF(t_jh[[#This Row],[11_Antall]]=1,Data!$AJ$2,0)</f>
        <v>0</v>
      </c>
      <c r="Q6" s="3">
        <f ca="1">IF(t_jh[[#This Row],[10_Antall]]=1,Data!$AJ$1,0)</f>
        <v>0</v>
      </c>
      <c r="R6" s="3" t="str" cm="1">
        <f t="array" ref="R6">IFERROR(IF(_xlfn.XLOOKUP(t_jh[[#This Row],[Dato]]&amp;t_jh[[#This Row],[navn]],Regnskap!$C$10:$C$51&amp;Regnskap!$K$10:$K$51,Regnskap!$H$10:$H$51)&gt;0,Data!$AJ$3,""),"")</f>
        <v/>
      </c>
      <c r="S6" s="3" t="str" cm="1">
        <f t="array" ref="S6">IFERROR(IF(t_jh[[#This Row],[12_pLEV]]="",IF(_xlfn.XLOOKUP(t_jh[[#This Row],[Dato]]&amp;t_jh[[#This Row],[navn]],Regnskap!$C$10:$C$51&amp;Regnskap!$K$10:$K$51,Regnskap!$I$10:$I$51)&gt;0,Data!$AJ$2)),"")</f>
        <v/>
      </c>
      <c r="T6" s="3" t="str" cm="1">
        <f t="array" ref="T6">IFERROR(IF(t_jh[[#This Row],[11_pLEV]]="",IF(_xlfn.XLOOKUP(t_jh[[#This Row],[Dato]]&amp;t_jh[[#This Row],[navn]],Regnskap!$C$10:$C$51&amp;Regnskap!$K$10:$K$51,Regnskap!$J$10:$J$51)&gt;0,Data!$AJ$1),""),"")</f>
        <v/>
      </c>
      <c r="U6" s="3">
        <f ca="1">SUM(t_jh[[#This Row],[12_poeng]:[10_pLEV]])</f>
        <v>1070</v>
      </c>
      <c r="V6" s="3">
        <f ca="1">SUM(t_jh[[#This Row],[Summert]]+t_jh[[#This Row],[LEV_poeng]])</f>
        <v>1922</v>
      </c>
    </row>
    <row r="7" spans="1:36" ht="15" x14ac:dyDescent="0.25">
      <c r="A7" s="3" t="s">
        <v>909</v>
      </c>
      <c r="B7">
        <f>IF(t_jh[[#This Row],[Dato]]&lt;&gt;"",WEEKNUM(t_jh[[#This Row],[Dato]]),"")</f>
        <v>38</v>
      </c>
      <c r="C7" s="22">
        <f>Data!AL6</f>
        <v>46284</v>
      </c>
      <c r="D7">
        <f ca="1">IFERROR(IF(t_jh[[#This Row],[Dato]]="","",OFFSET(_xlfn.XLOOKUP(C7,Kuponger!E:E,Kuponger!BJ:BJ),15,0)),"")</f>
        <v>0</v>
      </c>
      <c r="E7">
        <f ca="1">IFERROR(IF(t_jh[[#This Row],[hp]]&lt;&gt;"",OFFSET(_xlfn.XLOOKUP(C7,Kuponger!E:E,Kuponger!BJ:BJ),15,1),""),"")</f>
        <v>0</v>
      </c>
      <c r="F7">
        <f ca="1">IFERROR(IF(t_jh[[#This Row],[Dato]]="","",OFFSET(_xlfn.XLOOKUP(C7,Kuponger!E:E,Kuponger!BJ:BJ),15,2)),"")</f>
        <v>852</v>
      </c>
      <c r="G7">
        <f ca="1">IFERROR(IF(OFFSET(_xlfn.XLOOKUP(C7,Kuponger!E:E,Kuponger!BJ:BJ),0,2)=0,"",OFFSET(_xlfn.XLOOKUP(C7,Kuponger!E:E,Kuponger!BJ:BJ),1,2))*-1,"")</f>
        <v>0</v>
      </c>
      <c r="H7">
        <f t="shared" ca="1" si="1"/>
        <v>852</v>
      </c>
      <c r="I7" t="str">
        <f ca="1">IFERROR(IF(t_jh[[#This Row],[tp]]&lt;&gt;"",OFFSET(_xlfn.XLOOKUP(C7,Kuponger!E:E,Kuponger!BJ:BJ),1,1),""),"")</f>
        <v/>
      </c>
      <c r="J7" s="3">
        <f ca="1">IFERROR(IF(t_jh[[#This Row],[Dato]]="",0,OFFSET(_xlfn.XLOOKUP(t_jh[[#This Row],[Dato]],Kuponger!E:E,Kuponger!BJ:BJ),1,7)),"")</f>
        <v>12</v>
      </c>
      <c r="K7" s="3">
        <f ca="1">IFERROR(SUM(t_jh[[#This Row],[tp]]),0)</f>
        <v>852</v>
      </c>
      <c r="L7" s="3">
        <f ca="1">IF(t_rb[[#This Row],[Antall_rette]]=12,1,"")</f>
        <v>1</v>
      </c>
      <c r="M7" s="3" t="str">
        <f ca="1">IF(t_rb[[#This Row],[Antall_rette]]=11,1,"")</f>
        <v/>
      </c>
      <c r="N7" s="3" t="str">
        <f ca="1">IF(t_rb[[#This Row],[Antall_rette]]=10,1,"")</f>
        <v/>
      </c>
      <c r="O7" s="3">
        <f ca="1">IF(t_jh[[#This Row],[12_Antall]]=1,Data!$AJ$3,0)</f>
        <v>1070</v>
      </c>
      <c r="P7" s="3">
        <f ca="1">IF(t_jh[[#This Row],[11_Antall]]=1,Data!$AJ$2,0)</f>
        <v>0</v>
      </c>
      <c r="Q7" s="3">
        <f ca="1">IF(t_jh[[#This Row],[10_Antall]]=1,Data!$AJ$1,0)</f>
        <v>0</v>
      </c>
      <c r="R7" s="3" t="str" cm="1">
        <f t="array" ref="R7">IFERROR(IF(_xlfn.XLOOKUP(t_jh[[#This Row],[Dato]]&amp;t_jh[[#This Row],[navn]],Regnskap!$C$10:$C$51&amp;Regnskap!$K$10:$K$51,Regnskap!$H$10:$H$51)&gt;0,Data!$AJ$3,""),"")</f>
        <v/>
      </c>
      <c r="S7" s="3" t="b" cm="1">
        <f t="array" ref="S7">IFERROR(IF(t_jh[[#This Row],[12_pLEV]]="",IF(_xlfn.XLOOKUP(t_jh[[#This Row],[Dato]]&amp;t_jh[[#This Row],[navn]],Regnskap!$C$10:$C$51&amp;Regnskap!$K$10:$K$51,Regnskap!$I$10:$I$51)&gt;0,Data!$AJ$2)),"")</f>
        <v>0</v>
      </c>
      <c r="T7" s="3" t="str" cm="1">
        <f t="array" ref="T7">IFERROR(IF(t_jh[[#This Row],[11_pLEV]]="",IF(_xlfn.XLOOKUP(t_jh[[#This Row],[Dato]]&amp;t_jh[[#This Row],[navn]],Regnskap!$C$10:$C$51&amp;Regnskap!$K$10:$K$51,Regnskap!$J$10:$J$51)&gt;0,Data!$AJ$1),""),"")</f>
        <v/>
      </c>
      <c r="U7" s="3">
        <f ca="1">SUM(t_jh[[#This Row],[12_poeng]:[10_pLEV]])</f>
        <v>1070</v>
      </c>
      <c r="V7" s="3">
        <f ca="1">SUM(t_jh[[#This Row],[Summert]]+t_jh[[#This Row],[LEV_poeng]])</f>
        <v>1922</v>
      </c>
      <c r="W7" s="671"/>
      <c r="X7" s="671"/>
      <c r="Y7" s="671"/>
      <c r="Z7" s="671"/>
      <c r="AA7" s="671"/>
      <c r="AB7" s="671"/>
      <c r="AC7" s="23"/>
    </row>
    <row r="8" spans="1:36" x14ac:dyDescent="0.2">
      <c r="A8" s="3" t="s">
        <v>909</v>
      </c>
      <c r="B8">
        <f>IF(t_jh[[#This Row],[Dato]]&lt;&gt;"",WEEKNUM(t_jh[[#This Row],[Dato]]),"")</f>
        <v>39</v>
      </c>
      <c r="C8" s="22">
        <f>Data!AL7</f>
        <v>46291</v>
      </c>
      <c r="D8">
        <f ca="1">IFERROR(IF(t_jh[[#This Row],[Dato]]="","",OFFSET(_xlfn.XLOOKUP(C8,Kuponger!E:E,Kuponger!BJ:BJ),15,0)),"")</f>
        <v>0</v>
      </c>
      <c r="E8">
        <f ca="1">IFERROR(IF(t_jh[[#This Row],[hp]]&lt;&gt;"",OFFSET(_xlfn.XLOOKUP(C8,Kuponger!E:E,Kuponger!BJ:BJ),15,1),""),"")</f>
        <v>0</v>
      </c>
      <c r="F8">
        <f ca="1">IFERROR(IF(t_jh[[#This Row],[Dato]]="","",OFFSET(_xlfn.XLOOKUP(C8,Kuponger!E:E,Kuponger!BJ:BJ),15,2)),"")</f>
        <v>710</v>
      </c>
      <c r="G8">
        <f ca="1">IFERROR(IF(OFFSET(_xlfn.XLOOKUP(C8,Kuponger!E:E,Kuponger!BJ:BJ),0,2)=0,"",OFFSET(_xlfn.XLOOKUP(C8,Kuponger!E:E,Kuponger!BJ:BJ),1,2))*-1,"")</f>
        <v>0</v>
      </c>
      <c r="H8">
        <f t="shared" ca="1" si="1"/>
        <v>710</v>
      </c>
      <c r="I8" t="str">
        <f ca="1">IFERROR(IF(t_jh[[#This Row],[tp]]&lt;&gt;"",OFFSET(_xlfn.XLOOKUP(C8,Kuponger!E:E,Kuponger!BJ:BJ),1,1),""),"")</f>
        <v/>
      </c>
      <c r="J8" s="3">
        <f ca="1">IFERROR(IF(t_jh[[#This Row],[Dato]]="",0,OFFSET(_xlfn.XLOOKUP(t_jh[[#This Row],[Dato]],Kuponger!E:E,Kuponger!BJ:BJ),1,7)),"")</f>
        <v>10</v>
      </c>
      <c r="K8" s="3">
        <f ca="1">IFERROR(SUM(t_jh[[#This Row],[tp]]),0)</f>
        <v>710</v>
      </c>
      <c r="L8" s="3" t="str">
        <f ca="1">IF(t_rb[[#This Row],[Antall_rette]]=12,1,"")</f>
        <v/>
      </c>
      <c r="M8" s="3" t="str">
        <f ca="1">IF(t_rb[[#This Row],[Antall_rette]]=11,1,"")</f>
        <v/>
      </c>
      <c r="N8" s="3">
        <f ca="1">IF(t_rb[[#This Row],[Antall_rette]]=10,1,"")</f>
        <v>1</v>
      </c>
      <c r="O8" s="3">
        <f ca="1">IF(t_jh[[#This Row],[12_Antall]]=1,Data!$AJ$3,0)</f>
        <v>0</v>
      </c>
      <c r="P8" s="3">
        <f ca="1">IF(t_jh[[#This Row],[11_Antall]]=1,Data!$AJ$2,0)</f>
        <v>0</v>
      </c>
      <c r="Q8" s="3">
        <f ca="1">IF(t_jh[[#This Row],[10_Antall]]=1,Data!$AJ$1,0)</f>
        <v>58</v>
      </c>
      <c r="R8" s="3" t="str" cm="1">
        <f t="array" ref="R8">IFERROR(IF(_xlfn.XLOOKUP(t_jh[[#This Row],[Dato]]&amp;t_jh[[#This Row],[navn]],Regnskap!$C$10:$C$51&amp;Regnskap!$K$10:$K$51,Regnskap!$H$10:$H$51)&gt;0,Data!$AJ$3,""),"")</f>
        <v/>
      </c>
      <c r="S8" s="3" t="str" cm="1">
        <f t="array" ref="S8">IFERROR(IF(t_jh[[#This Row],[12_pLEV]]="",IF(_xlfn.XLOOKUP(t_jh[[#This Row],[Dato]]&amp;t_jh[[#This Row],[navn]],Regnskap!$C$10:$C$51&amp;Regnskap!$K$10:$K$51,Regnskap!$I$10:$I$51)&gt;0,Data!$AJ$2)),"")</f>
        <v/>
      </c>
      <c r="T8" s="3" t="str" cm="1">
        <f t="array" ref="T8">IFERROR(IF(t_jh[[#This Row],[11_pLEV]]="",IF(_xlfn.XLOOKUP(t_jh[[#This Row],[Dato]]&amp;t_jh[[#This Row],[navn]],Regnskap!$C$10:$C$51&amp;Regnskap!$K$10:$K$51,Regnskap!$J$10:$J$51)&gt;0,Data!$AJ$1),""),"")</f>
        <v/>
      </c>
      <c r="U8" s="3">
        <f ca="1">SUM(t_jh[[#This Row],[12_poeng]:[10_pLEV]])</f>
        <v>58</v>
      </c>
      <c r="V8" s="3">
        <f ca="1">SUM(t_jh[[#This Row],[Summert]]+t_jh[[#This Row],[LEV_poeng]])</f>
        <v>768</v>
      </c>
    </row>
    <row r="9" spans="1:36" x14ac:dyDescent="0.2">
      <c r="A9" s="3" t="s">
        <v>909</v>
      </c>
      <c r="B9">
        <f>IF(t_jh[[#This Row],[Dato]]&lt;&gt;"",WEEKNUM(t_jh[[#This Row],[Dato]]),"")</f>
        <v>40</v>
      </c>
      <c r="C9" s="22">
        <f>Data!AL8</f>
        <v>46298</v>
      </c>
      <c r="D9">
        <f ca="1">IFERROR(IF(t_jh[[#This Row],[Dato]]="","",OFFSET(_xlfn.XLOOKUP(C9,Kuponger!E:E,Kuponger!BJ:BJ),15,0)),"")</f>
        <v>0</v>
      </c>
      <c r="E9">
        <f ca="1">IFERROR(IF(t_jh[[#This Row],[hp]]&lt;&gt;"",OFFSET(_xlfn.XLOOKUP(C9,Kuponger!E:E,Kuponger!BJ:BJ),15,1),""),"")</f>
        <v>814</v>
      </c>
      <c r="F9">
        <f ca="1">IFERROR(IF(t_jh[[#This Row],[Dato]]="","",OFFSET(_xlfn.XLOOKUP(C9,Kuponger!E:E,Kuponger!BJ:BJ),15,2)),"")</f>
        <v>0</v>
      </c>
      <c r="G9">
        <f ca="1">IFERROR(IF(OFFSET(_xlfn.XLOOKUP(C9,Kuponger!E:E,Kuponger!BJ:BJ),0,2)=0,"",OFFSET(_xlfn.XLOOKUP(C9,Kuponger!E:E,Kuponger!BJ:BJ),1,2))*-1,"")</f>
        <v>0</v>
      </c>
      <c r="H9">
        <f t="shared" ca="1" si="1"/>
        <v>814</v>
      </c>
      <c r="I9">
        <f ca="1">IFERROR(IF(t_jh[[#This Row],[tp]]&lt;&gt;"",OFFSET(_xlfn.XLOOKUP(C9,Kuponger!E:E,Kuponger!BJ:BJ),1,1),""),"")</f>
        <v>1</v>
      </c>
      <c r="J9" s="3">
        <f ca="1">IFERROR(IF(t_jh[[#This Row],[Dato]]="",0,OFFSET(_xlfn.XLOOKUP(t_jh[[#This Row],[Dato]],Kuponger!E:E,Kuponger!BJ:BJ),1,7)),"")</f>
        <v>11</v>
      </c>
      <c r="K9" s="3">
        <f ca="1">IFERROR(SUM(t_jh[[#This Row],[tp]]),0)</f>
        <v>814</v>
      </c>
      <c r="L9" s="3" t="str">
        <f ca="1">IF(t_rb[[#This Row],[Antall_rette]]=12,1,"")</f>
        <v/>
      </c>
      <c r="M9" s="3">
        <f ca="1">IF(t_rb[[#This Row],[Antall_rette]]=11,1,"")</f>
        <v>1</v>
      </c>
      <c r="N9" s="3" t="str">
        <f ca="1">IF(t_rb[[#This Row],[Antall_rette]]=10,1,"")</f>
        <v/>
      </c>
      <c r="O9" s="3">
        <f ca="1">IF(t_jh[[#This Row],[12_Antall]]=1,Data!$AJ$3,0)</f>
        <v>0</v>
      </c>
      <c r="P9" s="3">
        <f ca="1">IF(t_jh[[#This Row],[11_Antall]]=1,Data!$AJ$2,0)</f>
        <v>161</v>
      </c>
      <c r="Q9" s="3">
        <f ca="1">IF(t_jh[[#This Row],[10_Antall]]=1,Data!$AJ$1,0)</f>
        <v>0</v>
      </c>
      <c r="R9" s="3" t="str" cm="1">
        <f t="array" ref="R9">IFERROR(IF(_xlfn.XLOOKUP(t_jh[[#This Row],[Dato]]&amp;t_jh[[#This Row],[navn]],Regnskap!$C$10:$C$51&amp;Regnskap!$K$10:$K$51,Regnskap!$H$10:$H$51)&gt;0,Data!$AJ$3,""),"")</f>
        <v/>
      </c>
      <c r="S9" s="3" t="str" cm="1">
        <f t="array" ref="S9">IFERROR(IF(t_jh[[#This Row],[12_pLEV]]="",IF(_xlfn.XLOOKUP(t_jh[[#This Row],[Dato]]&amp;t_jh[[#This Row],[navn]],Regnskap!$C$10:$C$51&amp;Regnskap!$K$10:$K$51,Regnskap!$I$10:$I$51)&gt;0,Data!$AJ$2)),"")</f>
        <v/>
      </c>
      <c r="T9" s="3" t="str" cm="1">
        <f t="array" ref="T9">IFERROR(IF(t_jh[[#This Row],[11_pLEV]]="",IF(_xlfn.XLOOKUP(t_jh[[#This Row],[Dato]]&amp;t_jh[[#This Row],[navn]],Regnskap!$C$10:$C$51&amp;Regnskap!$K$10:$K$51,Regnskap!$J$10:$J$51)&gt;0,Data!$AJ$1),""),"")</f>
        <v/>
      </c>
      <c r="U9" s="3">
        <f ca="1">SUM(t_jh[[#This Row],[12_poeng]:[10_pLEV]])</f>
        <v>161</v>
      </c>
      <c r="V9" s="3">
        <f ca="1">SUM(t_jh[[#This Row],[Summert]]+t_jh[[#This Row],[LEV_poeng]])</f>
        <v>975</v>
      </c>
    </row>
    <row r="10" spans="1:36" x14ac:dyDescent="0.2">
      <c r="A10" s="3" t="s">
        <v>909</v>
      </c>
      <c r="B10">
        <f>IF(t_jh[[#This Row],[Dato]]&lt;&gt;"",WEEKNUM(t_jh[[#This Row],[Dato]]),"")</f>
        <v>41</v>
      </c>
      <c r="C10" s="22">
        <f>Data!AL9</f>
        <v>46305</v>
      </c>
      <c r="D10">
        <f ca="1">IFERROR(IF(t_jh[[#This Row],[Dato]]="","",OFFSET(_xlfn.XLOOKUP(C10,Kuponger!E:E,Kuponger!BJ:BJ),15,0)),"")</f>
        <v>0</v>
      </c>
      <c r="E10">
        <f ca="1">IFERROR(IF(t_jh[[#This Row],[hp]]&lt;&gt;"",OFFSET(_xlfn.XLOOKUP(C10,Kuponger!E:E,Kuponger!BJ:BJ),15,1),""),"")</f>
        <v>888</v>
      </c>
      <c r="F10">
        <f ca="1">IFERROR(IF(t_jh[[#This Row],[Dato]]="","",OFFSET(_xlfn.XLOOKUP(C10,Kuponger!E:E,Kuponger!BJ:BJ),15,2)),"")</f>
        <v>0</v>
      </c>
      <c r="G10">
        <f ca="1">IFERROR(IF(OFFSET(_xlfn.XLOOKUP(C10,Kuponger!E:E,Kuponger!BJ:BJ),0,2)=0,"",OFFSET(_xlfn.XLOOKUP(C10,Kuponger!E:E,Kuponger!BJ:BJ),1,2))*-1,"")</f>
        <v>0</v>
      </c>
      <c r="H10">
        <f t="shared" ca="1" si="1"/>
        <v>888</v>
      </c>
      <c r="I10">
        <f ca="1">IFERROR(IF(t_jh[[#This Row],[tp]]&lt;&gt;"",OFFSET(_xlfn.XLOOKUP(C10,Kuponger!E:E,Kuponger!BJ:BJ),1,1),""),"")</f>
        <v>1</v>
      </c>
      <c r="J10" s="3">
        <f ca="1">IFERROR(IF(t_jh[[#This Row],[Dato]]="",0,OFFSET(_xlfn.XLOOKUP(t_jh[[#This Row],[Dato]],Kuponger!E:E,Kuponger!BJ:BJ),1,7)),"")</f>
        <v>12</v>
      </c>
      <c r="K10" s="3">
        <f ca="1">IFERROR(SUM(t_jh[[#This Row],[tp]]),0)</f>
        <v>888</v>
      </c>
      <c r="L10" s="3">
        <f ca="1">IF(t_rb[[#This Row],[Antall_rette]]=12,1,"")</f>
        <v>1</v>
      </c>
      <c r="M10" s="3" t="str">
        <f ca="1">IF(t_rb[[#This Row],[Antall_rette]]=11,1,"")</f>
        <v/>
      </c>
      <c r="N10" s="3" t="str">
        <f ca="1">IF(t_rb[[#This Row],[Antall_rette]]=10,1,"")</f>
        <v/>
      </c>
      <c r="O10" s="3">
        <f ca="1">IF(t_jh[[#This Row],[12_Antall]]=1,Data!$AJ$3,0)</f>
        <v>1070</v>
      </c>
      <c r="P10" s="3">
        <f ca="1">IF(t_jh[[#This Row],[11_Antall]]=1,Data!$AJ$2,0)</f>
        <v>0</v>
      </c>
      <c r="Q10" s="3">
        <f ca="1">IF(t_jh[[#This Row],[10_Antall]]=1,Data!$AJ$1,0)</f>
        <v>0</v>
      </c>
      <c r="R10" s="3" t="str" cm="1">
        <f t="array" ref="R10">IFERROR(IF(_xlfn.XLOOKUP(t_jh[[#This Row],[Dato]]&amp;t_jh[[#This Row],[navn]],Regnskap!$C$10:$C$51&amp;Regnskap!$K$10:$K$51,Regnskap!$H$10:$H$51)&gt;0,Data!$AJ$3,""),"")</f>
        <v/>
      </c>
      <c r="S10" s="3" t="str" cm="1">
        <f t="array" ref="S10">IFERROR(IF(t_jh[[#This Row],[12_pLEV]]="",IF(_xlfn.XLOOKUP(t_jh[[#This Row],[Dato]]&amp;t_jh[[#This Row],[navn]],Regnskap!$C$10:$C$51&amp;Regnskap!$K$10:$K$51,Regnskap!$I$10:$I$51)&gt;0,Data!$AJ$2)),"")</f>
        <v/>
      </c>
      <c r="T10" s="3" t="str" cm="1">
        <f t="array" ref="T10">IFERROR(IF(t_jh[[#This Row],[11_pLEV]]="",IF(_xlfn.XLOOKUP(t_jh[[#This Row],[Dato]]&amp;t_jh[[#This Row],[navn]],Regnskap!$C$10:$C$51&amp;Regnskap!$K$10:$K$51,Regnskap!$J$10:$J$51)&gt;0,Data!$AJ$1),""),"")</f>
        <v/>
      </c>
      <c r="U10" s="3">
        <f ca="1">SUM(t_jh[[#This Row],[12_poeng]:[10_pLEV]])</f>
        <v>1070</v>
      </c>
      <c r="V10" s="3">
        <f ca="1">SUM(t_jh[[#This Row],[Summert]]+t_jh[[#This Row],[LEV_poeng]])</f>
        <v>1958</v>
      </c>
    </row>
    <row r="11" spans="1:36" x14ac:dyDescent="0.2">
      <c r="A11" s="3" t="s">
        <v>909</v>
      </c>
      <c r="B11">
        <f>IF(t_jh[[#This Row],[Dato]]&lt;&gt;"",WEEKNUM(t_jh[[#This Row],[Dato]]),"")</f>
        <v>42</v>
      </c>
      <c r="C11" s="22">
        <f>Data!AL10</f>
        <v>46312</v>
      </c>
      <c r="D11">
        <f ca="1">IFERROR(IF(t_jh[[#This Row],[Dato]]="","",OFFSET(_xlfn.XLOOKUP(C11,Kuponger!E:E,Kuponger!BJ:BJ),15,0)),"")</f>
        <v>0</v>
      </c>
      <c r="E11">
        <f ca="1">IFERROR(IF(t_jh[[#This Row],[hp]]&lt;&gt;"",OFFSET(_xlfn.XLOOKUP(C11,Kuponger!E:E,Kuponger!BJ:BJ),15,1),""),"")</f>
        <v>0</v>
      </c>
      <c r="F11">
        <f ca="1">IFERROR(IF(t_jh[[#This Row],[Dato]]="","",OFFSET(_xlfn.XLOOKUP(C11,Kuponger!E:E,Kuponger!BJ:BJ),15,2)),"")</f>
        <v>0</v>
      </c>
      <c r="G11">
        <f ca="1">IFERROR(IF(OFFSET(_xlfn.XLOOKUP(C11,Kuponger!E:E,Kuponger!BJ:BJ),0,2)=0,"",OFFSET(_xlfn.XLOOKUP(C11,Kuponger!E:E,Kuponger!BJ:BJ),1,2))*-1,"")</f>
        <v>0</v>
      </c>
      <c r="H11" t="str">
        <f t="shared" ca="1" si="1"/>
        <v/>
      </c>
      <c r="I11" t="str">
        <f ca="1">IFERROR(IF(t_jh[[#This Row],[tp]]&lt;&gt;"",OFFSET(_xlfn.XLOOKUP(C11,Kuponger!E:E,Kuponger!BJ:BJ),1,1),""),"")</f>
        <v/>
      </c>
      <c r="J11" s="3">
        <f ca="1">IFERROR(IF(t_jh[[#This Row],[Dato]]="",0,OFFSET(_xlfn.XLOOKUP(t_jh[[#This Row],[Dato]],Kuponger!E:E,Kuponger!BJ:BJ),1,7)),"")</f>
        <v>0</v>
      </c>
      <c r="K11" s="3">
        <f ca="1">IFERROR(SUM(t_jh[[#This Row],[tp]]),0)</f>
        <v>0</v>
      </c>
      <c r="L11" s="3" t="str">
        <f ca="1">IF(t_rb[[#This Row],[Antall_rette]]=12,1,"")</f>
        <v/>
      </c>
      <c r="M11" s="3" t="str">
        <f ca="1">IF(t_rb[[#This Row],[Antall_rette]]=11,1,"")</f>
        <v/>
      </c>
      <c r="N11" s="3" t="str">
        <f ca="1">IF(t_rb[[#This Row],[Antall_rette]]=10,1,"")</f>
        <v/>
      </c>
      <c r="O11" s="3">
        <f ca="1">IF(t_jh[[#This Row],[12_Antall]]=1,Data!$AJ$3,0)</f>
        <v>0</v>
      </c>
      <c r="P11" s="3">
        <f ca="1">IF(t_jh[[#This Row],[11_Antall]]=1,Data!$AJ$2,0)</f>
        <v>0</v>
      </c>
      <c r="Q11" s="3">
        <f ca="1">IF(t_jh[[#This Row],[10_Antall]]=1,Data!$AJ$1,0)</f>
        <v>0</v>
      </c>
      <c r="R11" s="3" t="str" cm="1">
        <f t="array" ref="R11">IFERROR(IF(_xlfn.XLOOKUP(t_jh[[#This Row],[Dato]]&amp;t_jh[[#This Row],[navn]],Regnskap!$C$10:$C$51&amp;Regnskap!$K$10:$K$51,Regnskap!$H$10:$H$51)&gt;0,Data!$AJ$3,""),"")</f>
        <v/>
      </c>
      <c r="S11" s="3" t="str" cm="1">
        <f t="array" ref="S11">IFERROR(IF(t_jh[[#This Row],[12_pLEV]]="",IF(_xlfn.XLOOKUP(t_jh[[#This Row],[Dato]]&amp;t_jh[[#This Row],[navn]],Regnskap!$C$10:$C$51&amp;Regnskap!$K$10:$K$51,Regnskap!$I$10:$I$51)&gt;0,Data!$AJ$2)),"")</f>
        <v/>
      </c>
      <c r="T11" s="3" t="str" cm="1">
        <f t="array" ref="T11">IFERROR(IF(t_jh[[#This Row],[11_pLEV]]="",IF(_xlfn.XLOOKUP(t_jh[[#This Row],[Dato]]&amp;t_jh[[#This Row],[navn]],Regnskap!$C$10:$C$51&amp;Regnskap!$K$10:$K$51,Regnskap!$J$10:$J$51)&gt;0,Data!$AJ$1),""),"")</f>
        <v/>
      </c>
      <c r="U11" s="3">
        <f ca="1">SUM(t_jh[[#This Row],[12_poeng]:[10_pLEV]])</f>
        <v>0</v>
      </c>
      <c r="V11" s="3">
        <f ca="1">SUM(t_jh[[#This Row],[Summert]]+t_jh[[#This Row],[LEV_poeng]])</f>
        <v>0</v>
      </c>
    </row>
    <row r="12" spans="1:36" x14ac:dyDescent="0.2">
      <c r="A12" s="3" t="s">
        <v>909</v>
      </c>
      <c r="B12">
        <f>IF(t_jh[[#This Row],[Dato]]&lt;&gt;"",WEEKNUM(t_jh[[#This Row],[Dato]]),"")</f>
        <v>43</v>
      </c>
      <c r="C12" s="22">
        <f>Data!AL11</f>
        <v>46319</v>
      </c>
      <c r="D12">
        <f ca="1">IFERROR(IF(t_jh[[#This Row],[Dato]]="","",OFFSET(_xlfn.XLOOKUP(C12,Kuponger!E:E,Kuponger!BJ:BJ),15,0)),"")</f>
        <v>0</v>
      </c>
      <c r="E12">
        <f ca="1">IFERROR(IF(t_jh[[#This Row],[hp]]&lt;&gt;"",OFFSET(_xlfn.XLOOKUP(C12,Kuponger!E:E,Kuponger!BJ:BJ),15,1),""),"")</f>
        <v>0</v>
      </c>
      <c r="F12">
        <f ca="1">IFERROR(IF(t_jh[[#This Row],[Dato]]="","",OFFSET(_xlfn.XLOOKUP(C12,Kuponger!E:E,Kuponger!BJ:BJ),15,2)),"")</f>
        <v>0</v>
      </c>
      <c r="G12">
        <f ca="1">IFERROR(IF(OFFSET(_xlfn.XLOOKUP(C12,Kuponger!E:E,Kuponger!BJ:BJ),0,2)=0,"",OFFSET(_xlfn.XLOOKUP(C12,Kuponger!E:E,Kuponger!BJ:BJ),1,2))*-1,"")</f>
        <v>0</v>
      </c>
      <c r="H12" t="str">
        <f t="shared" ca="1" si="1"/>
        <v/>
      </c>
      <c r="I12" t="str">
        <f ca="1">IFERROR(IF(t_jh[[#This Row],[tp]]&lt;&gt;"",OFFSET(_xlfn.XLOOKUP(C12,Kuponger!E:E,Kuponger!BJ:BJ),1,1),""),"")</f>
        <v/>
      </c>
      <c r="J12" s="3">
        <f ca="1">IFERROR(IF(t_jh[[#This Row],[Dato]]="",0,OFFSET(_xlfn.XLOOKUP(t_jh[[#This Row],[Dato]],Kuponger!E:E,Kuponger!BJ:BJ),1,7)),"")</f>
        <v>0</v>
      </c>
      <c r="K12" s="3">
        <f ca="1">IFERROR(SUM(t_jh[[#This Row],[tp]]),0)</f>
        <v>0</v>
      </c>
      <c r="L12" s="3" t="str">
        <f ca="1">IF(t_rb[[#This Row],[Antall_rette]]=12,1,"")</f>
        <v/>
      </c>
      <c r="M12" s="3" t="str">
        <f ca="1">IF(t_rb[[#This Row],[Antall_rette]]=11,1,"")</f>
        <v/>
      </c>
      <c r="N12" s="3" t="str">
        <f ca="1">IF(t_rb[[#This Row],[Antall_rette]]=10,1,"")</f>
        <v/>
      </c>
      <c r="O12" s="3">
        <f ca="1">IF(t_jh[[#This Row],[12_Antall]]=1,Data!$AJ$3,0)</f>
        <v>0</v>
      </c>
      <c r="P12" s="3">
        <f ca="1">IF(t_jh[[#This Row],[11_Antall]]=1,Data!$AJ$2,0)</f>
        <v>0</v>
      </c>
      <c r="Q12" s="3">
        <f ca="1">IF(t_jh[[#This Row],[10_Antall]]=1,Data!$AJ$1,0)</f>
        <v>0</v>
      </c>
      <c r="R12" s="3" t="str" cm="1">
        <f t="array" ref="R12">IFERROR(IF(_xlfn.XLOOKUP(t_jh[[#This Row],[Dato]]&amp;t_jh[[#This Row],[navn]],Regnskap!$C$10:$C$51&amp;Regnskap!$K$10:$K$51,Regnskap!$H$10:$H$51)&gt;0,Data!$AJ$3,""),"")</f>
        <v/>
      </c>
      <c r="S12" s="3" t="str" cm="1">
        <f t="array" ref="S12">IFERROR(IF(t_jh[[#This Row],[12_pLEV]]="",IF(_xlfn.XLOOKUP(t_jh[[#This Row],[Dato]]&amp;t_jh[[#This Row],[navn]],Regnskap!$C$10:$C$51&amp;Regnskap!$K$10:$K$51,Regnskap!$I$10:$I$51)&gt;0,Data!$AJ$2)),"")</f>
        <v/>
      </c>
      <c r="T12" s="3" t="str" cm="1">
        <f t="array" ref="T12">IFERROR(IF(t_jh[[#This Row],[11_pLEV]]="",IF(_xlfn.XLOOKUP(t_jh[[#This Row],[Dato]]&amp;t_jh[[#This Row],[navn]],Regnskap!$C$10:$C$51&amp;Regnskap!$K$10:$K$51,Regnskap!$J$10:$J$51)&gt;0,Data!$AJ$1),""),"")</f>
        <v/>
      </c>
      <c r="U12" s="3">
        <f ca="1">SUM(t_jh[[#This Row],[12_poeng]:[10_pLEV]])</f>
        <v>0</v>
      </c>
      <c r="V12" s="3">
        <f ca="1">SUM(t_jh[[#This Row],[Summert]]+t_jh[[#This Row],[LEV_poeng]])</f>
        <v>0</v>
      </c>
    </row>
    <row r="13" spans="1:36" ht="15" x14ac:dyDescent="0.25">
      <c r="A13" s="3" t="s">
        <v>909</v>
      </c>
      <c r="B13">
        <f>IF(t_jh[[#This Row],[Dato]]&lt;&gt;"",WEEKNUM(t_jh[[#This Row],[Dato]]),"")</f>
        <v>44</v>
      </c>
      <c r="C13" s="22">
        <f>Data!AL12</f>
        <v>46326</v>
      </c>
      <c r="D13">
        <f ca="1">IFERROR(IF(t_jh[[#This Row],[Dato]]="","",OFFSET(_xlfn.XLOOKUP(C13,Kuponger!E:E,Kuponger!BJ:BJ),15,0)),"")</f>
        <v>0</v>
      </c>
      <c r="E13">
        <f ca="1">IFERROR(IF(t_jh[[#This Row],[hp]]&lt;&gt;"",OFFSET(_xlfn.XLOOKUP(C13,Kuponger!E:E,Kuponger!BJ:BJ),15,1),""),"")</f>
        <v>0</v>
      </c>
      <c r="F13">
        <f ca="1">IFERROR(IF(t_jh[[#This Row],[Dato]]="","",OFFSET(_xlfn.XLOOKUP(C13,Kuponger!E:E,Kuponger!BJ:BJ),15,2)),"")</f>
        <v>0</v>
      </c>
      <c r="G13">
        <f ca="1">IFERROR(IF(OFFSET(_xlfn.XLOOKUP(C13,Kuponger!E:E,Kuponger!BJ:BJ),0,2)=0,"",OFFSET(_xlfn.XLOOKUP(C13,Kuponger!E:E,Kuponger!BJ:BJ),1,2))*-1,"")</f>
        <v>0</v>
      </c>
      <c r="H13" t="str">
        <f t="shared" ca="1" si="1"/>
        <v/>
      </c>
      <c r="I13" t="str">
        <f ca="1">IFERROR(IF(t_jh[[#This Row],[tp]]&lt;&gt;"",OFFSET(_xlfn.XLOOKUP(C13,Kuponger!E:E,Kuponger!BJ:BJ),1,1),""),"")</f>
        <v/>
      </c>
      <c r="J13" s="3">
        <f ca="1">IFERROR(IF(t_jh[[#This Row],[Dato]]="",0,OFFSET(_xlfn.XLOOKUP(t_jh[[#This Row],[Dato]],Kuponger!E:E,Kuponger!BJ:BJ),1,7)),"")</f>
        <v>0</v>
      </c>
      <c r="K13" s="3">
        <f ca="1">IFERROR(SUM(t_jh[[#This Row],[tp]]),0)</f>
        <v>0</v>
      </c>
      <c r="L13" s="3" t="str">
        <f ca="1">IF(t_rb[[#This Row],[Antall_rette]]=12,1,"")</f>
        <v/>
      </c>
      <c r="M13" s="3" t="str">
        <f ca="1">IF(t_rb[[#This Row],[Antall_rette]]=11,1,"")</f>
        <v/>
      </c>
      <c r="N13" s="3" t="str">
        <f ca="1">IF(t_rb[[#This Row],[Antall_rette]]=10,1,"")</f>
        <v/>
      </c>
      <c r="O13" s="3">
        <f ca="1">IF(t_jh[[#This Row],[12_Antall]]=1,Data!$AJ$3,0)</f>
        <v>0</v>
      </c>
      <c r="P13" s="3">
        <f ca="1">IF(t_jh[[#This Row],[11_Antall]]=1,Data!$AJ$2,0)</f>
        <v>0</v>
      </c>
      <c r="Q13" s="3">
        <f ca="1">IF(t_jh[[#This Row],[10_Antall]]=1,Data!$AJ$1,0)</f>
        <v>0</v>
      </c>
      <c r="R13" s="3" t="str" cm="1">
        <f t="array" ref="R13">IFERROR(IF(_xlfn.XLOOKUP(t_jh[[#This Row],[Dato]]&amp;t_jh[[#This Row],[navn]],Regnskap!$C$10:$C$51&amp;Regnskap!$K$10:$K$51,Regnskap!$H$10:$H$51)&gt;0,Data!$AJ$3,""),"")</f>
        <v/>
      </c>
      <c r="S13" s="3" t="str" cm="1">
        <f t="array" ref="S13">IFERROR(IF(t_jh[[#This Row],[12_pLEV]]="",IF(_xlfn.XLOOKUP(t_jh[[#This Row],[Dato]]&amp;t_jh[[#This Row],[navn]],Regnskap!$C$10:$C$51&amp;Regnskap!$K$10:$K$51,Regnskap!$I$10:$I$51)&gt;0,Data!$AJ$2)),"")</f>
        <v/>
      </c>
      <c r="T13" s="3" t="str" cm="1">
        <f t="array" ref="T13">IFERROR(IF(t_jh[[#This Row],[11_pLEV]]="",IF(_xlfn.XLOOKUP(t_jh[[#This Row],[Dato]]&amp;t_jh[[#This Row],[navn]],Regnskap!$C$10:$C$51&amp;Regnskap!$K$10:$K$51,Regnskap!$J$10:$J$51)&gt;0,Data!$AJ$1),""),"")</f>
        <v/>
      </c>
      <c r="U13" s="3">
        <f ca="1">SUM(t_jh[[#This Row],[12_poeng]:[10_pLEV]])</f>
        <v>0</v>
      </c>
      <c r="V13" s="3">
        <f ca="1">SUM(t_jh[[#This Row],[Summert]]+t_jh[[#This Row],[LEV_poeng]])</f>
        <v>0</v>
      </c>
      <c r="W13" s="671"/>
      <c r="X13" s="671"/>
      <c r="Y13" s="671"/>
      <c r="Z13" s="671"/>
      <c r="AA13" s="671"/>
      <c r="AB13" s="671"/>
      <c r="AC13" s="23"/>
    </row>
    <row r="14" spans="1:36" x14ac:dyDescent="0.2">
      <c r="A14" s="3" t="s">
        <v>909</v>
      </c>
      <c r="B14">
        <f>IF(t_jh[[#This Row],[Dato]]&lt;&gt;"",WEEKNUM(t_jh[[#This Row],[Dato]]),"")</f>
        <v>45</v>
      </c>
      <c r="C14" s="22">
        <f>Data!AL13</f>
        <v>46333</v>
      </c>
      <c r="D14">
        <f ca="1">IFERROR(IF(t_jh[[#This Row],[Dato]]="","",OFFSET(_xlfn.XLOOKUP(C14,Kuponger!E:E,Kuponger!BJ:BJ),15,0)),"")</f>
        <v>0</v>
      </c>
      <c r="E14">
        <f ca="1">IFERROR(IF(t_jh[[#This Row],[hp]]&lt;&gt;"",OFFSET(_xlfn.XLOOKUP(C14,Kuponger!E:E,Kuponger!BJ:BJ),15,1),""),"")</f>
        <v>0</v>
      </c>
      <c r="F14">
        <f ca="1">IFERROR(IF(t_jh[[#This Row],[Dato]]="","",OFFSET(_xlfn.XLOOKUP(C14,Kuponger!E:E,Kuponger!BJ:BJ),15,2)),"")</f>
        <v>0</v>
      </c>
      <c r="G14">
        <f ca="1">IFERROR(IF(OFFSET(_xlfn.XLOOKUP(C14,Kuponger!E:E,Kuponger!BJ:BJ),0,2)=0,"",OFFSET(_xlfn.XLOOKUP(C14,Kuponger!E:E,Kuponger!BJ:BJ),1,2))*-1,"")</f>
        <v>0</v>
      </c>
      <c r="H14" t="str">
        <f t="shared" ca="1" si="1"/>
        <v/>
      </c>
      <c r="I14" t="str">
        <f ca="1">IFERROR(IF(t_jh[[#This Row],[tp]]&lt;&gt;"",OFFSET(_xlfn.XLOOKUP(C14,Kuponger!E:E,Kuponger!BJ:BJ),1,1),""),"")</f>
        <v/>
      </c>
      <c r="J14" s="3">
        <f ca="1">IFERROR(IF(t_jh[[#This Row],[Dato]]="",0,OFFSET(_xlfn.XLOOKUP(t_jh[[#This Row],[Dato]],Kuponger!E:E,Kuponger!BJ:BJ),1,7)),"")</f>
        <v>0</v>
      </c>
      <c r="K14" s="3">
        <f ca="1">IFERROR(SUM(t_jh[[#This Row],[tp]]),0)</f>
        <v>0</v>
      </c>
      <c r="L14" s="3" t="str">
        <f ca="1">IF(t_rb[[#This Row],[Antall_rette]]=12,1,"")</f>
        <v/>
      </c>
      <c r="M14" s="3" t="str">
        <f ca="1">IF(t_rb[[#This Row],[Antall_rette]]=11,1,"")</f>
        <v/>
      </c>
      <c r="N14" s="3" t="str">
        <f ca="1">IF(t_rb[[#This Row],[Antall_rette]]=10,1,"")</f>
        <v/>
      </c>
      <c r="O14" s="3">
        <f ca="1">IF(t_jh[[#This Row],[12_Antall]]=1,Data!$AJ$3,0)</f>
        <v>0</v>
      </c>
      <c r="P14" s="3">
        <f ca="1">IF(t_jh[[#This Row],[11_Antall]]=1,Data!$AJ$2,0)</f>
        <v>0</v>
      </c>
      <c r="Q14" s="3">
        <f ca="1">IF(t_jh[[#This Row],[10_Antall]]=1,Data!$AJ$1,0)</f>
        <v>0</v>
      </c>
      <c r="R14" s="3" t="str" cm="1">
        <f t="array" ref="R14">IFERROR(IF(_xlfn.XLOOKUP(t_jh[[#This Row],[Dato]]&amp;t_jh[[#This Row],[navn]],Regnskap!$C$10:$C$51&amp;Regnskap!$K$10:$K$51,Regnskap!$H$10:$H$51)&gt;0,Data!$AJ$3,""),"")</f>
        <v/>
      </c>
      <c r="S14" s="3" t="str" cm="1">
        <f t="array" ref="S14">IFERROR(IF(t_jh[[#This Row],[12_pLEV]]="",IF(_xlfn.XLOOKUP(t_jh[[#This Row],[Dato]]&amp;t_jh[[#This Row],[navn]],Regnskap!$C$10:$C$51&amp;Regnskap!$K$10:$K$51,Regnskap!$I$10:$I$51)&gt;0,Data!$AJ$2)),"")</f>
        <v/>
      </c>
      <c r="T14" s="3" t="str" cm="1">
        <f t="array" ref="T14">IFERROR(IF(t_jh[[#This Row],[11_pLEV]]="",IF(_xlfn.XLOOKUP(t_jh[[#This Row],[Dato]]&amp;t_jh[[#This Row],[navn]],Regnskap!$C$10:$C$51&amp;Regnskap!$K$10:$K$51,Regnskap!$J$10:$J$51)&gt;0,Data!$AJ$1),""),"")</f>
        <v/>
      </c>
      <c r="U14" s="3">
        <f ca="1">SUM(t_jh[[#This Row],[12_poeng]:[10_pLEV]])</f>
        <v>0</v>
      </c>
      <c r="V14" s="3">
        <f ca="1">SUM(t_jh[[#This Row],[Summert]]+t_jh[[#This Row],[LEV_poeng]])</f>
        <v>0</v>
      </c>
    </row>
    <row r="15" spans="1:36" x14ac:dyDescent="0.2">
      <c r="A15" s="3" t="s">
        <v>909</v>
      </c>
      <c r="B15">
        <f>IF(t_jh[[#This Row],[Dato]]&lt;&gt;"",WEEKNUM(t_jh[[#This Row],[Dato]]),"")</f>
        <v>46</v>
      </c>
      <c r="C15" s="22">
        <f>Data!AL14</f>
        <v>46340</v>
      </c>
      <c r="D15">
        <f ca="1">IFERROR(IF(t_jh[[#This Row],[Dato]]="","",OFFSET(_xlfn.XLOOKUP(C15,Kuponger!E:E,Kuponger!BJ:BJ),15,0)),"")</f>
        <v>0</v>
      </c>
      <c r="E15">
        <f ca="1">IFERROR(IF(t_jh[[#This Row],[hp]]&lt;&gt;"",OFFSET(_xlfn.XLOOKUP(C15,Kuponger!E:E,Kuponger!BJ:BJ),15,1),""),"")</f>
        <v>0</v>
      </c>
      <c r="F15">
        <f ca="1">IFERROR(IF(t_jh[[#This Row],[Dato]]="","",OFFSET(_xlfn.XLOOKUP(C15,Kuponger!E:E,Kuponger!BJ:BJ),15,2)),"")</f>
        <v>0</v>
      </c>
      <c r="G15">
        <f ca="1">IFERROR(IF(OFFSET(_xlfn.XLOOKUP(C15,Kuponger!E:E,Kuponger!BJ:BJ),0,2)=0,"",OFFSET(_xlfn.XLOOKUP(C15,Kuponger!E:E,Kuponger!BJ:BJ),1,2))*-1,"")</f>
        <v>0</v>
      </c>
      <c r="H15" t="str">
        <f t="shared" ca="1" si="1"/>
        <v/>
      </c>
      <c r="I15" t="str">
        <f ca="1">IFERROR(IF(t_jh[[#This Row],[tp]]&lt;&gt;"",OFFSET(_xlfn.XLOOKUP(C15,Kuponger!E:E,Kuponger!BJ:BJ),1,1),""),"")</f>
        <v/>
      </c>
      <c r="J15" s="3">
        <f ca="1">IFERROR(IF(t_jh[[#This Row],[Dato]]="",0,OFFSET(_xlfn.XLOOKUP(t_jh[[#This Row],[Dato]],Kuponger!E:E,Kuponger!BJ:BJ),1,7)),"")</f>
        <v>0</v>
      </c>
      <c r="K15" s="3">
        <f ca="1">IFERROR(SUM(t_jh[[#This Row],[tp]]),0)</f>
        <v>0</v>
      </c>
      <c r="L15" s="3" t="str">
        <f ca="1">IF(t_rb[[#This Row],[Antall_rette]]=12,1,"")</f>
        <v/>
      </c>
      <c r="M15" s="3" t="str">
        <f ca="1">IF(t_rb[[#This Row],[Antall_rette]]=11,1,"")</f>
        <v/>
      </c>
      <c r="N15" s="3" t="str">
        <f ca="1">IF(t_rb[[#This Row],[Antall_rette]]=10,1,"")</f>
        <v/>
      </c>
      <c r="O15" s="3">
        <f ca="1">IF(t_jh[[#This Row],[12_Antall]]=1,Data!$AJ$3,0)</f>
        <v>0</v>
      </c>
      <c r="P15" s="3">
        <f ca="1">IF(t_jh[[#This Row],[11_Antall]]=1,Data!$AJ$2,0)</f>
        <v>0</v>
      </c>
      <c r="Q15" s="3">
        <f ca="1">IF(t_jh[[#This Row],[10_Antall]]=1,Data!$AJ$1,0)</f>
        <v>0</v>
      </c>
      <c r="R15" s="3" t="str" cm="1">
        <f t="array" ref="R15">IFERROR(IF(_xlfn.XLOOKUP(t_jh[[#This Row],[Dato]]&amp;t_jh[[#This Row],[navn]],Regnskap!$C$10:$C$51&amp;Regnskap!$K$10:$K$51,Regnskap!$H$10:$H$51)&gt;0,Data!$AJ$3,""),"")</f>
        <v/>
      </c>
      <c r="S15" s="3" t="str" cm="1">
        <f t="array" ref="S15">IFERROR(IF(t_jh[[#This Row],[12_pLEV]]="",IF(_xlfn.XLOOKUP(t_jh[[#This Row],[Dato]]&amp;t_jh[[#This Row],[navn]],Regnskap!$C$10:$C$51&amp;Regnskap!$K$10:$K$51,Regnskap!$I$10:$I$51)&gt;0,Data!$AJ$2)),"")</f>
        <v/>
      </c>
      <c r="T15" s="3" t="str" cm="1">
        <f t="array" ref="T15">IFERROR(IF(t_jh[[#This Row],[11_pLEV]]="",IF(_xlfn.XLOOKUP(t_jh[[#This Row],[Dato]]&amp;t_jh[[#This Row],[navn]],Regnskap!$C$10:$C$51&amp;Regnskap!$K$10:$K$51,Regnskap!$J$10:$J$51)&gt;0,Data!$AJ$1),""),"")</f>
        <v/>
      </c>
      <c r="U15" s="3">
        <f ca="1">SUM(t_jh[[#This Row],[12_poeng]:[10_pLEV]])</f>
        <v>0</v>
      </c>
      <c r="V15" s="3">
        <f ca="1">SUM(t_jh[[#This Row],[Summert]]+t_jh[[#This Row],[LEV_poeng]])</f>
        <v>0</v>
      </c>
    </row>
    <row r="16" spans="1:36" x14ac:dyDescent="0.2">
      <c r="A16" s="3" t="s">
        <v>909</v>
      </c>
      <c r="B16">
        <f>IF(t_jh[[#This Row],[Dato]]&lt;&gt;"",WEEKNUM(t_jh[[#This Row],[Dato]]),"")</f>
        <v>47</v>
      </c>
      <c r="C16" s="22">
        <f>Data!AL15</f>
        <v>46347</v>
      </c>
      <c r="D16">
        <f ca="1">IFERROR(IF(t_jh[[#This Row],[Dato]]="","",OFFSET(_xlfn.XLOOKUP(C16,Kuponger!E:E,Kuponger!BJ:BJ),15,0)),"")</f>
        <v>0</v>
      </c>
      <c r="E16">
        <f ca="1">IFERROR(IF(t_jh[[#This Row],[hp]]&lt;&gt;"",OFFSET(_xlfn.XLOOKUP(C16,Kuponger!E:E,Kuponger!BJ:BJ),15,1),""),"")</f>
        <v>0</v>
      </c>
      <c r="F16">
        <f ca="1">IFERROR(IF(t_jh[[#This Row],[Dato]]="","",OFFSET(_xlfn.XLOOKUP(C16,Kuponger!E:E,Kuponger!BJ:BJ),15,2)),"")</f>
        <v>0</v>
      </c>
      <c r="G16">
        <f ca="1">IFERROR(IF(OFFSET(_xlfn.XLOOKUP(C16,Kuponger!E:E,Kuponger!BJ:BJ),0,2)=0,"",OFFSET(_xlfn.XLOOKUP(C16,Kuponger!E:E,Kuponger!BJ:BJ),1,2))*-1,"")</f>
        <v>0</v>
      </c>
      <c r="H16" t="str">
        <f t="shared" ca="1" si="1"/>
        <v/>
      </c>
      <c r="I16" t="str">
        <f ca="1">IFERROR(IF(t_jh[[#This Row],[tp]]&lt;&gt;"",OFFSET(_xlfn.XLOOKUP(C16,Kuponger!E:E,Kuponger!BJ:BJ),1,1),""),"")</f>
        <v/>
      </c>
      <c r="J16" s="3">
        <f ca="1">IFERROR(IF(t_jh[[#This Row],[Dato]]="",0,OFFSET(_xlfn.XLOOKUP(t_jh[[#This Row],[Dato]],Kuponger!E:E,Kuponger!BJ:BJ),1,7)),"")</f>
        <v>0</v>
      </c>
      <c r="K16" s="3">
        <f ca="1">IFERROR(SUM(t_jh[[#This Row],[tp]]),0)</f>
        <v>0</v>
      </c>
      <c r="L16" s="3" t="str">
        <f ca="1">IF(t_rb[[#This Row],[Antall_rette]]=12,1,"")</f>
        <v/>
      </c>
      <c r="M16" s="3" t="str">
        <f ca="1">IF(t_rb[[#This Row],[Antall_rette]]=11,1,"")</f>
        <v/>
      </c>
      <c r="N16" s="3" t="str">
        <f ca="1">IF(t_rb[[#This Row],[Antall_rette]]=10,1,"")</f>
        <v/>
      </c>
      <c r="O16" s="3">
        <f ca="1">IF(t_jh[[#This Row],[12_Antall]]=1,Data!$AJ$3,0)</f>
        <v>0</v>
      </c>
      <c r="P16" s="3">
        <f ca="1">IF(t_jh[[#This Row],[11_Antall]]=1,Data!$AJ$2,0)</f>
        <v>0</v>
      </c>
      <c r="Q16" s="3">
        <f ca="1">IF(t_jh[[#This Row],[10_Antall]]=1,Data!$AJ$1,0)</f>
        <v>0</v>
      </c>
      <c r="R16" s="3" t="str" cm="1">
        <f t="array" ref="R16">IFERROR(IF(_xlfn.XLOOKUP(t_jh[[#This Row],[Dato]]&amp;t_jh[[#This Row],[navn]],Regnskap!$C$10:$C$51&amp;Regnskap!$K$10:$K$51,Regnskap!$H$10:$H$51)&gt;0,Data!$AJ$3,""),"")</f>
        <v/>
      </c>
      <c r="S16" s="3" t="str" cm="1">
        <f t="array" ref="S16">IFERROR(IF(t_jh[[#This Row],[12_pLEV]]="",IF(_xlfn.XLOOKUP(t_jh[[#This Row],[Dato]]&amp;t_jh[[#This Row],[navn]],Regnskap!$C$10:$C$51&amp;Regnskap!$K$10:$K$51,Regnskap!$I$10:$I$51)&gt;0,Data!$AJ$2)),"")</f>
        <v/>
      </c>
      <c r="T16" s="3" t="str" cm="1">
        <f t="array" ref="T16">IFERROR(IF(t_jh[[#This Row],[11_pLEV]]="",IF(_xlfn.XLOOKUP(t_jh[[#This Row],[Dato]]&amp;t_jh[[#This Row],[navn]],Regnskap!$C$10:$C$51&amp;Regnskap!$K$10:$K$51,Regnskap!$J$10:$J$51)&gt;0,Data!$AJ$1),""),"")</f>
        <v/>
      </c>
      <c r="U16" s="3">
        <f ca="1">SUM(t_jh[[#This Row],[12_poeng]:[10_pLEV]])</f>
        <v>0</v>
      </c>
      <c r="V16" s="3">
        <f ca="1">SUM(t_jh[[#This Row],[Summert]]+t_jh[[#This Row],[LEV_poeng]])</f>
        <v>0</v>
      </c>
    </row>
    <row r="17" spans="1:28" x14ac:dyDescent="0.2">
      <c r="A17" s="3" t="s">
        <v>909</v>
      </c>
      <c r="B17">
        <f>IF(t_jh[[#This Row],[Dato]]&lt;&gt;"",WEEKNUM(t_jh[[#This Row],[Dato]]),"")</f>
        <v>48</v>
      </c>
      <c r="C17" s="22">
        <f>Data!AL16</f>
        <v>46354</v>
      </c>
      <c r="D17">
        <f ca="1">IFERROR(IF(t_jh[[#This Row],[Dato]]="","",OFFSET(_xlfn.XLOOKUP(C17,Kuponger!E:E,Kuponger!BJ:BJ),15,0)),"")</f>
        <v>0</v>
      </c>
      <c r="E17">
        <f ca="1">IFERROR(IF(t_jh[[#This Row],[hp]]&lt;&gt;"",OFFSET(_xlfn.XLOOKUP(C17,Kuponger!E:E,Kuponger!BJ:BJ),15,1),""),"")</f>
        <v>0</v>
      </c>
      <c r="F17">
        <f ca="1">IFERROR(IF(t_jh[[#This Row],[Dato]]="","",OFFSET(_xlfn.XLOOKUP(C17,Kuponger!E:E,Kuponger!BJ:BJ),15,2)),"")</f>
        <v>0</v>
      </c>
      <c r="G17">
        <f ca="1">IFERROR(IF(OFFSET(_xlfn.XLOOKUP(C17,Kuponger!E:E,Kuponger!BJ:BJ),0,2)=0,"",OFFSET(_xlfn.XLOOKUP(C17,Kuponger!E:E,Kuponger!BJ:BJ),1,2))*-1,"")</f>
        <v>0</v>
      </c>
      <c r="H17" t="str">
        <f t="shared" ca="1" si="1"/>
        <v/>
      </c>
      <c r="I17" t="str">
        <f ca="1">IFERROR(IF(t_jh[[#This Row],[tp]]&lt;&gt;"",OFFSET(_xlfn.XLOOKUP(C17,Kuponger!E:E,Kuponger!BJ:BJ),1,1),""),"")</f>
        <v/>
      </c>
      <c r="J17" s="3">
        <f ca="1">IFERROR(IF(t_jh[[#This Row],[Dato]]="",0,OFFSET(_xlfn.XLOOKUP(t_jh[[#This Row],[Dato]],Kuponger!E:E,Kuponger!BJ:BJ),1,7)),"")</f>
        <v>0</v>
      </c>
      <c r="K17" s="3">
        <f ca="1">IFERROR(SUM(t_jh[[#This Row],[tp]]),0)</f>
        <v>0</v>
      </c>
      <c r="L17" s="3" t="str">
        <f ca="1">IF(t_rb[[#This Row],[Antall_rette]]=12,1,"")</f>
        <v/>
      </c>
      <c r="M17" s="3" t="str">
        <f ca="1">IF(t_rb[[#This Row],[Antall_rette]]=11,1,"")</f>
        <v/>
      </c>
      <c r="N17" s="3" t="str">
        <f ca="1">IF(t_rb[[#This Row],[Antall_rette]]=10,1,"")</f>
        <v/>
      </c>
      <c r="O17" s="3">
        <f ca="1">IF(t_jh[[#This Row],[12_Antall]]=1,Data!$AJ$3,0)</f>
        <v>0</v>
      </c>
      <c r="P17" s="3">
        <f ca="1">IF(t_jh[[#This Row],[11_Antall]]=1,Data!$AJ$2,0)</f>
        <v>0</v>
      </c>
      <c r="Q17" s="3">
        <f ca="1">IF(t_jh[[#This Row],[10_Antall]]=1,Data!$AJ$1,0)</f>
        <v>0</v>
      </c>
      <c r="R17" s="3" t="str" cm="1">
        <f t="array" ref="R17">IFERROR(IF(_xlfn.XLOOKUP(t_jh[[#This Row],[Dato]]&amp;t_jh[[#This Row],[navn]],Regnskap!$C$10:$C$51&amp;Regnskap!$K$10:$K$51,Regnskap!$H$10:$H$51)&gt;0,Data!$AJ$3,""),"")</f>
        <v/>
      </c>
      <c r="S17" s="3" t="str" cm="1">
        <f t="array" ref="S17">IFERROR(IF(t_jh[[#This Row],[12_pLEV]]="",IF(_xlfn.XLOOKUP(t_jh[[#This Row],[Dato]]&amp;t_jh[[#This Row],[navn]],Regnskap!$C$10:$C$51&amp;Regnskap!$K$10:$K$51,Regnskap!$I$10:$I$51)&gt;0,Data!$AJ$2)),"")</f>
        <v/>
      </c>
      <c r="T17" s="3" t="str" cm="1">
        <f t="array" ref="T17">IFERROR(IF(t_jh[[#This Row],[11_pLEV]]="",IF(_xlfn.XLOOKUP(t_jh[[#This Row],[Dato]]&amp;t_jh[[#This Row],[navn]],Regnskap!$C$10:$C$51&amp;Regnskap!$K$10:$K$51,Regnskap!$J$10:$J$51)&gt;0,Data!$AJ$1),""),"")</f>
        <v/>
      </c>
      <c r="U17" s="3">
        <f ca="1">SUM(t_jh[[#This Row],[12_poeng]:[10_pLEV]])</f>
        <v>0</v>
      </c>
      <c r="V17" s="3">
        <f ca="1">SUM(t_jh[[#This Row],[Summert]]+t_jh[[#This Row],[LEV_poeng]])</f>
        <v>0</v>
      </c>
    </row>
    <row r="18" spans="1:28" x14ac:dyDescent="0.2">
      <c r="A18" s="3" t="s">
        <v>909</v>
      </c>
      <c r="B18">
        <f>IF(t_jh[[#This Row],[Dato]]&lt;&gt;"",WEEKNUM(t_jh[[#This Row],[Dato]]),"")</f>
        <v>49</v>
      </c>
      <c r="C18" s="22">
        <f>Data!AL17</f>
        <v>46361</v>
      </c>
      <c r="D18">
        <f ca="1">IFERROR(IF(t_jh[[#This Row],[Dato]]="","",OFFSET(_xlfn.XLOOKUP(C18,Kuponger!E:E,Kuponger!BJ:BJ),15,0)),"")</f>
        <v>0</v>
      </c>
      <c r="E18">
        <f ca="1">IFERROR(IF(t_jh[[#This Row],[hp]]&lt;&gt;"",OFFSET(_xlfn.XLOOKUP(C18,Kuponger!E:E,Kuponger!BJ:BJ),15,1),""),"")</f>
        <v>0</v>
      </c>
      <c r="F18">
        <f ca="1">IFERROR(IF(t_jh[[#This Row],[Dato]]="","",OFFSET(_xlfn.XLOOKUP(C18,Kuponger!E:E,Kuponger!BJ:BJ),15,2)),"")</f>
        <v>0</v>
      </c>
      <c r="G18">
        <f ca="1">IFERROR(IF(OFFSET(_xlfn.XLOOKUP(C18,Kuponger!E:E,Kuponger!BJ:BJ),0,2)=0,"",OFFSET(_xlfn.XLOOKUP(C18,Kuponger!E:E,Kuponger!BJ:BJ),1,2))*-1,"")</f>
        <v>0</v>
      </c>
      <c r="H18" t="str">
        <f t="shared" ca="1" si="1"/>
        <v/>
      </c>
      <c r="I18" t="str">
        <f ca="1">IFERROR(IF(t_jh[[#This Row],[tp]]&lt;&gt;"",OFFSET(_xlfn.XLOOKUP(C18,Kuponger!E:E,Kuponger!BJ:BJ),1,1),""),"")</f>
        <v/>
      </c>
      <c r="J18" s="3">
        <f ca="1">IFERROR(IF(t_jh[[#This Row],[Dato]]="",0,OFFSET(_xlfn.XLOOKUP(t_jh[[#This Row],[Dato]],Kuponger!E:E,Kuponger!BJ:BJ),1,7)),"")</f>
        <v>0</v>
      </c>
      <c r="K18" s="3">
        <f ca="1">IFERROR(SUM(t_jh[[#This Row],[tp]]),0)</f>
        <v>0</v>
      </c>
      <c r="L18" s="3" t="str">
        <f ca="1">IF(t_rb[[#This Row],[Antall_rette]]=12,1,"")</f>
        <v/>
      </c>
      <c r="M18" s="3" t="str">
        <f ca="1">IF(t_rb[[#This Row],[Antall_rette]]=11,1,"")</f>
        <v/>
      </c>
      <c r="N18" s="3" t="str">
        <f ca="1">IF(t_rb[[#This Row],[Antall_rette]]=10,1,"")</f>
        <v/>
      </c>
      <c r="O18" s="3">
        <f ca="1">IF(t_jh[[#This Row],[12_Antall]]=1,Data!$AJ$3,0)</f>
        <v>0</v>
      </c>
      <c r="P18" s="3">
        <f ca="1">IF(t_jh[[#This Row],[11_Antall]]=1,Data!$AJ$2,0)</f>
        <v>0</v>
      </c>
      <c r="Q18" s="3">
        <f ca="1">IF(t_jh[[#This Row],[10_Antall]]=1,Data!$AJ$1,0)</f>
        <v>0</v>
      </c>
      <c r="R18" s="3" t="str" cm="1">
        <f t="array" ref="R18">IFERROR(IF(_xlfn.XLOOKUP(t_jh[[#This Row],[Dato]]&amp;t_jh[[#This Row],[navn]],Regnskap!$C$10:$C$51&amp;Regnskap!$K$10:$K$51,Regnskap!$H$10:$H$51)&gt;0,Data!$AJ$3,""),"")</f>
        <v/>
      </c>
      <c r="S18" s="3" t="b" cm="1">
        <f t="array" ref="S18">IFERROR(IF(t_jh[[#This Row],[12_pLEV]]="",IF(_xlfn.XLOOKUP(t_jh[[#This Row],[Dato]]&amp;t_jh[[#This Row],[navn]],Regnskap!$C$10:$C$51&amp;Regnskap!$K$10:$K$51,Regnskap!$I$10:$I$51)&gt;0,Data!$AJ$2)),"")</f>
        <v>0</v>
      </c>
      <c r="T18" s="3" t="str" cm="1">
        <f t="array" ref="T18">IFERROR(IF(t_jh[[#This Row],[11_pLEV]]="",IF(_xlfn.XLOOKUP(t_jh[[#This Row],[Dato]]&amp;t_jh[[#This Row],[navn]],Regnskap!$C$10:$C$51&amp;Regnskap!$K$10:$K$51,Regnskap!$J$10:$J$51)&gt;0,Data!$AJ$1),""),"")</f>
        <v/>
      </c>
      <c r="U18" s="3">
        <f ca="1">SUM(t_jh[[#This Row],[12_poeng]:[10_pLEV]])</f>
        <v>0</v>
      </c>
      <c r="V18" s="3">
        <f ca="1">SUM(t_jh[[#This Row],[Summert]]+t_jh[[#This Row],[LEV_poeng]])</f>
        <v>0</v>
      </c>
    </row>
    <row r="19" spans="1:28" x14ac:dyDescent="0.2">
      <c r="A19" s="3" t="s">
        <v>909</v>
      </c>
      <c r="B19">
        <f>IF(t_jh[[#This Row],[Dato]]&lt;&gt;"",WEEKNUM(t_jh[[#This Row],[Dato]]),"")</f>
        <v>50</v>
      </c>
      <c r="C19" s="22">
        <f>Data!AL18</f>
        <v>46368</v>
      </c>
      <c r="D19">
        <f ca="1">IFERROR(IF(t_jh[[#This Row],[Dato]]="","",OFFSET(_xlfn.XLOOKUP(C19,Kuponger!E:E,Kuponger!BJ:BJ),15,0)),"")</f>
        <v>0</v>
      </c>
      <c r="E19">
        <f ca="1">IFERROR(IF(t_jh[[#This Row],[hp]]&lt;&gt;"",OFFSET(_xlfn.XLOOKUP(C19,Kuponger!E:E,Kuponger!BJ:BJ),15,1),""),"")</f>
        <v>0</v>
      </c>
      <c r="F19">
        <f ca="1">IFERROR(IF(t_jh[[#This Row],[Dato]]="","",OFFSET(_xlfn.XLOOKUP(C19,Kuponger!E:E,Kuponger!BJ:BJ),15,2)),"")</f>
        <v>0</v>
      </c>
      <c r="G19">
        <f ca="1">IFERROR(IF(OFFSET(_xlfn.XLOOKUP(C19,Kuponger!E:E,Kuponger!BJ:BJ),0,2)=0,"",OFFSET(_xlfn.XLOOKUP(C19,Kuponger!E:E,Kuponger!BJ:BJ),1,2))*-1,"")</f>
        <v>0</v>
      </c>
      <c r="H19" t="str">
        <f t="shared" ca="1" si="1"/>
        <v/>
      </c>
      <c r="I19" t="str">
        <f ca="1">IFERROR(IF(t_jh[[#This Row],[tp]]&lt;&gt;"",OFFSET(_xlfn.XLOOKUP(C19,Kuponger!E:E,Kuponger!BJ:BJ),1,1),""),"")</f>
        <v/>
      </c>
      <c r="J19" s="3">
        <f ca="1">IFERROR(IF(t_jh[[#This Row],[Dato]]="",0,OFFSET(_xlfn.XLOOKUP(t_jh[[#This Row],[Dato]],Kuponger!E:E,Kuponger!BJ:BJ),1,7)),"")</f>
        <v>0</v>
      </c>
      <c r="K19" s="3">
        <f ca="1">IFERROR(SUM(t_jh[[#This Row],[tp]]),0)</f>
        <v>0</v>
      </c>
      <c r="L19" s="3" t="str">
        <f ca="1">IF(t_rb[[#This Row],[Antall_rette]]=12,1,"")</f>
        <v/>
      </c>
      <c r="M19" s="3" t="str">
        <f ca="1">IF(t_rb[[#This Row],[Antall_rette]]=11,1,"")</f>
        <v/>
      </c>
      <c r="N19" s="3" t="str">
        <f ca="1">IF(t_rb[[#This Row],[Antall_rette]]=10,1,"")</f>
        <v/>
      </c>
      <c r="O19" s="3">
        <f ca="1">IF(t_jh[[#This Row],[12_Antall]]=1,Data!$AJ$3,0)</f>
        <v>0</v>
      </c>
      <c r="P19" s="3">
        <f ca="1">IF(t_jh[[#This Row],[11_Antall]]=1,Data!$AJ$2,0)</f>
        <v>0</v>
      </c>
      <c r="Q19" s="3">
        <f ca="1">IF(t_jh[[#This Row],[10_Antall]]=1,Data!$AJ$1,0)</f>
        <v>0</v>
      </c>
      <c r="R19" s="3" t="str" cm="1">
        <f t="array" ref="R19">IFERROR(IF(_xlfn.XLOOKUP(t_jh[[#This Row],[Dato]]&amp;t_jh[[#This Row],[navn]],Regnskap!$C$10:$C$51&amp;Regnskap!$K$10:$K$51,Regnskap!$H$10:$H$51)&gt;0,Data!$AJ$3,""),"")</f>
        <v/>
      </c>
      <c r="S19" s="3" t="str" cm="1">
        <f t="array" ref="S19">IFERROR(IF(t_jh[[#This Row],[12_pLEV]]="",IF(_xlfn.XLOOKUP(t_jh[[#This Row],[Dato]]&amp;t_jh[[#This Row],[navn]],Regnskap!$C$10:$C$51&amp;Regnskap!$K$10:$K$51,Regnskap!$I$10:$I$51)&gt;0,Data!$AJ$2)),"")</f>
        <v/>
      </c>
      <c r="T19" s="3" t="str" cm="1">
        <f t="array" ref="T19">IFERROR(IF(t_jh[[#This Row],[11_pLEV]]="",IF(_xlfn.XLOOKUP(t_jh[[#This Row],[Dato]]&amp;t_jh[[#This Row],[navn]],Regnskap!$C$10:$C$51&amp;Regnskap!$K$10:$K$51,Regnskap!$J$10:$J$51)&gt;0,Data!$AJ$1),""),"")</f>
        <v/>
      </c>
      <c r="U19" s="3">
        <f ca="1">SUM(t_jh[[#This Row],[12_poeng]:[10_pLEV]])</f>
        <v>0</v>
      </c>
      <c r="V19" s="3">
        <f ca="1">SUM(t_jh[[#This Row],[Summert]]+t_jh[[#This Row],[LEV_poeng]])</f>
        <v>0</v>
      </c>
      <c r="W19" s="2"/>
      <c r="X19" s="2"/>
      <c r="Y19" s="2"/>
      <c r="Z19" s="2"/>
      <c r="AA19" s="2"/>
      <c r="AB19" s="2"/>
    </row>
    <row r="20" spans="1:28" x14ac:dyDescent="0.2">
      <c r="A20" s="3" t="s">
        <v>909</v>
      </c>
      <c r="B20">
        <f>IF(t_jh[[#This Row],[Dato]]&lt;&gt;"",WEEKNUM(t_jh[[#This Row],[Dato]]),"")</f>
        <v>51</v>
      </c>
      <c r="C20" s="22">
        <f>Data!AL19</f>
        <v>46375</v>
      </c>
      <c r="D20">
        <f ca="1">IFERROR(IF(t_jh[[#This Row],[Dato]]="","",OFFSET(_xlfn.XLOOKUP(C20,Kuponger!E:E,Kuponger!BJ:BJ),15,0)),"")</f>
        <v>0</v>
      </c>
      <c r="E20">
        <f ca="1">IFERROR(IF(t_jh[[#This Row],[hp]]&lt;&gt;"",OFFSET(_xlfn.XLOOKUP(C20,Kuponger!E:E,Kuponger!BJ:BJ),15,1),""),"")</f>
        <v>0</v>
      </c>
      <c r="F20">
        <f ca="1">IFERROR(IF(t_jh[[#This Row],[Dato]]="","",OFFSET(_xlfn.XLOOKUP(C20,Kuponger!E:E,Kuponger!BJ:BJ),15,2)),"")</f>
        <v>0</v>
      </c>
      <c r="G20">
        <f ca="1">IFERROR(IF(OFFSET(_xlfn.XLOOKUP(C20,Kuponger!E:E,Kuponger!BJ:BJ),0,2)=0,"",OFFSET(_xlfn.XLOOKUP(C20,Kuponger!E:E,Kuponger!BJ:BJ),1,2))*-1,"")</f>
        <v>0</v>
      </c>
      <c r="H20" t="str">
        <f t="shared" ca="1" si="1"/>
        <v/>
      </c>
      <c r="I20" t="str">
        <f ca="1">IFERROR(IF(t_jh[[#This Row],[tp]]&lt;&gt;"",OFFSET(_xlfn.XLOOKUP(C20,Kuponger!E:E,Kuponger!BJ:BJ),1,1),""),"")</f>
        <v/>
      </c>
      <c r="J20" s="3">
        <f ca="1">IFERROR(IF(t_jh[[#This Row],[Dato]]="",0,OFFSET(_xlfn.XLOOKUP(t_jh[[#This Row],[Dato]],Kuponger!E:E,Kuponger!BJ:BJ),1,7)),"")</f>
        <v>0</v>
      </c>
      <c r="K20" s="3">
        <f ca="1">IFERROR(SUM(t_jh[[#This Row],[tp]]),0)</f>
        <v>0</v>
      </c>
      <c r="L20" s="3" t="str">
        <f ca="1">IF(t_rb[[#This Row],[Antall_rette]]=12,1,"")</f>
        <v/>
      </c>
      <c r="M20" s="3" t="str">
        <f ca="1">IF(t_rb[[#This Row],[Antall_rette]]=11,1,"")</f>
        <v/>
      </c>
      <c r="N20" s="3" t="str">
        <f ca="1">IF(t_rb[[#This Row],[Antall_rette]]=10,1,"")</f>
        <v/>
      </c>
      <c r="O20" s="3">
        <f ca="1">IF(t_jh[[#This Row],[12_Antall]]=1,Data!$AJ$3,0)</f>
        <v>0</v>
      </c>
      <c r="P20" s="3">
        <f ca="1">IF(t_jh[[#This Row],[11_Antall]]=1,Data!$AJ$2,0)</f>
        <v>0</v>
      </c>
      <c r="Q20" s="3">
        <f ca="1">IF(t_jh[[#This Row],[10_Antall]]=1,Data!$AJ$1,0)</f>
        <v>0</v>
      </c>
      <c r="R20" s="3" t="str" cm="1">
        <f t="array" ref="R20">IFERROR(IF(_xlfn.XLOOKUP(t_jh[[#This Row],[Dato]]&amp;t_jh[[#This Row],[navn]],Regnskap!$C$10:$C$51&amp;Regnskap!$K$10:$K$51,Regnskap!$H$10:$H$51)&gt;0,Data!$AJ$3,""),"")</f>
        <v/>
      </c>
      <c r="S20" s="3" t="str" cm="1">
        <f t="array" ref="S20">IFERROR(IF(t_jh[[#This Row],[12_pLEV]]="",IF(_xlfn.XLOOKUP(t_jh[[#This Row],[Dato]]&amp;t_jh[[#This Row],[navn]],Regnskap!$C$10:$C$51&amp;Regnskap!$K$10:$K$51,Regnskap!$I$10:$I$51)&gt;0,Data!$AJ$2)),"")</f>
        <v/>
      </c>
      <c r="T20" s="3" t="str" cm="1">
        <f t="array" ref="T20">IFERROR(IF(t_jh[[#This Row],[11_pLEV]]="",IF(_xlfn.XLOOKUP(t_jh[[#This Row],[Dato]]&amp;t_jh[[#This Row],[navn]],Regnskap!$C$10:$C$51&amp;Regnskap!$K$10:$K$51,Regnskap!$J$10:$J$51)&gt;0,Data!$AJ$1),""),"")</f>
        <v/>
      </c>
      <c r="U20" s="3">
        <f ca="1">SUM(t_jh[[#This Row],[12_poeng]:[10_pLEV]])</f>
        <v>0</v>
      </c>
      <c r="V20" s="3">
        <f ca="1">SUM(t_jh[[#This Row],[Summert]]+t_jh[[#This Row],[LEV_poeng]])</f>
        <v>0</v>
      </c>
    </row>
    <row r="21" spans="1:28" x14ac:dyDescent="0.2">
      <c r="A21" s="3" t="s">
        <v>909</v>
      </c>
      <c r="B21">
        <f>IF(t_jh[[#This Row],[Dato]]&lt;&gt;"",WEEKNUM(t_jh[[#This Row],[Dato]]),"")</f>
        <v>52</v>
      </c>
      <c r="C21" s="22">
        <f>Data!AL20</f>
        <v>46382</v>
      </c>
      <c r="D21">
        <f ca="1">IFERROR(IF(t_jh[[#This Row],[Dato]]="","",OFFSET(_xlfn.XLOOKUP(C21,Kuponger!E:E,Kuponger!BJ:BJ),15,0)),"")</f>
        <v>0</v>
      </c>
      <c r="E21">
        <f ca="1">IFERROR(IF(t_jh[[#This Row],[hp]]&lt;&gt;"",OFFSET(_xlfn.XLOOKUP(C21,Kuponger!E:E,Kuponger!BJ:BJ),15,1),""),"")</f>
        <v>0</v>
      </c>
      <c r="F21">
        <f ca="1">IFERROR(IF(t_jh[[#This Row],[Dato]]="","",OFFSET(_xlfn.XLOOKUP(C21,Kuponger!E:E,Kuponger!BJ:BJ),15,2)),"")</f>
        <v>0</v>
      </c>
      <c r="G21">
        <f ca="1">IFERROR(IF(OFFSET(_xlfn.XLOOKUP(C21,Kuponger!E:E,Kuponger!BJ:BJ),0,2)=0,"",OFFSET(_xlfn.XLOOKUP(C21,Kuponger!E:E,Kuponger!BJ:BJ),1,2))*-1,"")</f>
        <v>0</v>
      </c>
      <c r="H21" t="str">
        <f t="shared" ca="1" si="1"/>
        <v/>
      </c>
      <c r="I21" t="str">
        <f ca="1">IFERROR(IF(t_jh[[#This Row],[tp]]&lt;&gt;"",OFFSET(_xlfn.XLOOKUP(C21,Kuponger!E:E,Kuponger!BJ:BJ),1,1),""),"")</f>
        <v/>
      </c>
      <c r="J21" s="3">
        <f ca="1">IFERROR(IF(t_jh[[#This Row],[Dato]]="",0,OFFSET(_xlfn.XLOOKUP(t_jh[[#This Row],[Dato]],Kuponger!E:E,Kuponger!BJ:BJ),1,7)),"")</f>
        <v>0</v>
      </c>
      <c r="K21" s="3">
        <f ca="1">IFERROR(SUM(t_jh[[#This Row],[tp]]),0)</f>
        <v>0</v>
      </c>
      <c r="L21" s="3" t="str">
        <f ca="1">IF(t_rb[[#This Row],[Antall_rette]]=12,1,"")</f>
        <v/>
      </c>
      <c r="M21" s="3" t="str">
        <f ca="1">IF(t_rb[[#This Row],[Antall_rette]]=11,1,"")</f>
        <v/>
      </c>
      <c r="N21" s="3" t="str">
        <f ca="1">IF(t_rb[[#This Row],[Antall_rette]]=10,1,"")</f>
        <v/>
      </c>
      <c r="O21" s="3">
        <f ca="1">IF(t_jh[[#This Row],[12_Antall]]=1,Data!$AJ$3,0)</f>
        <v>0</v>
      </c>
      <c r="P21" s="3">
        <f ca="1">IF(t_jh[[#This Row],[11_Antall]]=1,Data!$AJ$2,0)</f>
        <v>0</v>
      </c>
      <c r="Q21" s="3">
        <f ca="1">IF(t_jh[[#This Row],[10_Antall]]=1,Data!$AJ$1,0)</f>
        <v>0</v>
      </c>
      <c r="R21" s="3" t="str" cm="1">
        <f t="array" ref="R21">IFERROR(IF(_xlfn.XLOOKUP(t_jh[[#This Row],[Dato]]&amp;t_jh[[#This Row],[navn]],Regnskap!$C$10:$C$51&amp;Regnskap!$K$10:$K$51,Regnskap!$H$10:$H$51)&gt;0,Data!$AJ$3,""),"")</f>
        <v/>
      </c>
      <c r="S21" s="3" t="str" cm="1">
        <f t="array" ref="S21">IFERROR(IF(t_jh[[#This Row],[12_pLEV]]="",IF(_xlfn.XLOOKUP(t_jh[[#This Row],[Dato]]&amp;t_jh[[#This Row],[navn]],Regnskap!$C$10:$C$51&amp;Regnskap!$K$10:$K$51,Regnskap!$I$10:$I$51)&gt;0,Data!$AJ$2)),"")</f>
        <v/>
      </c>
      <c r="T21" s="3" t="str" cm="1">
        <f t="array" ref="T21">IFERROR(IF(t_jh[[#This Row],[11_pLEV]]="",IF(_xlfn.XLOOKUP(t_jh[[#This Row],[Dato]]&amp;t_jh[[#This Row],[navn]],Regnskap!$C$10:$C$51&amp;Regnskap!$K$10:$K$51,Regnskap!$J$10:$J$51)&gt;0,Data!$AJ$1),""),"")</f>
        <v/>
      </c>
      <c r="U21" s="3">
        <f ca="1">SUM(t_jh[[#This Row],[12_poeng]:[10_pLEV]])</f>
        <v>0</v>
      </c>
      <c r="V21" s="3">
        <f ca="1">SUM(t_jh[[#This Row],[Summert]]+t_jh[[#This Row],[LEV_poeng]])</f>
        <v>0</v>
      </c>
    </row>
    <row r="22" spans="1:28" x14ac:dyDescent="0.2">
      <c r="A22" s="3" t="s">
        <v>909</v>
      </c>
      <c r="B22">
        <f>IF(t_jh[[#This Row],[Dato]]&lt;&gt;"",WEEKNUM(t_jh[[#This Row],[Dato]]),"")</f>
        <v>1</v>
      </c>
      <c r="C22" s="22">
        <f>Data!AL21</f>
        <v>46389</v>
      </c>
      <c r="D22">
        <f ca="1">IFERROR(IF(t_jh[[#This Row],[Dato]]="","",OFFSET(_xlfn.XLOOKUP(C22,Kuponger!E:E,Kuponger!BJ:BJ),15,0)),"")</f>
        <v>0</v>
      </c>
      <c r="E22">
        <f ca="1">IFERROR(IF(t_jh[[#This Row],[hp]]&lt;&gt;"",OFFSET(_xlfn.XLOOKUP(C22,Kuponger!E:E,Kuponger!BJ:BJ),15,1),""),"")</f>
        <v>0</v>
      </c>
      <c r="F22">
        <f ca="1">IFERROR(IF(t_jh[[#This Row],[Dato]]="","",OFFSET(_xlfn.XLOOKUP(C22,Kuponger!E:E,Kuponger!BJ:BJ),15,2)),"")</f>
        <v>0</v>
      </c>
      <c r="G22">
        <f ca="1">IFERROR(IF(OFFSET(_xlfn.XLOOKUP(C22,Kuponger!E:E,Kuponger!BJ:BJ),0,2)=0,"",OFFSET(_xlfn.XLOOKUP(C22,Kuponger!E:E,Kuponger!BJ:BJ),1,2))*-1,"")</f>
        <v>0</v>
      </c>
      <c r="H22" t="str">
        <f t="shared" ca="1" si="1"/>
        <v/>
      </c>
      <c r="I22" t="str">
        <f ca="1">IFERROR(IF(t_jh[[#This Row],[tp]]&lt;&gt;"",OFFSET(_xlfn.XLOOKUP(C22,Kuponger!E:E,Kuponger!BJ:BJ),1,1),""),"")</f>
        <v/>
      </c>
      <c r="J22" s="3">
        <f ca="1">IFERROR(IF(t_jh[[#This Row],[Dato]]="",0,OFFSET(_xlfn.XLOOKUP(t_jh[[#This Row],[Dato]],Kuponger!E:E,Kuponger!BJ:BJ),1,7)),"")</f>
        <v>0</v>
      </c>
      <c r="K22" s="3">
        <f ca="1">IFERROR(SUM(t_jh[[#This Row],[tp]]),0)</f>
        <v>0</v>
      </c>
      <c r="L22" s="3" t="str">
        <f ca="1">IF(t_rb[[#This Row],[Antall_rette]]=12,1,"")</f>
        <v/>
      </c>
      <c r="M22" s="3" t="str">
        <f ca="1">IF(t_rb[[#This Row],[Antall_rette]]=11,1,"")</f>
        <v/>
      </c>
      <c r="N22" s="3" t="str">
        <f ca="1">IF(t_rb[[#This Row],[Antall_rette]]=10,1,"")</f>
        <v/>
      </c>
      <c r="O22" s="3">
        <f ca="1">IF(t_jh[[#This Row],[12_Antall]]=1,Data!$AJ$3,0)</f>
        <v>0</v>
      </c>
      <c r="P22" s="3">
        <f ca="1">IF(t_jh[[#This Row],[11_Antall]]=1,Data!$AJ$2,0)</f>
        <v>0</v>
      </c>
      <c r="Q22" s="3">
        <f ca="1">IF(t_jh[[#This Row],[10_Antall]]=1,Data!$AJ$1,0)</f>
        <v>0</v>
      </c>
      <c r="R22" s="3" t="str" cm="1">
        <f t="array" ref="R22">IFERROR(IF(_xlfn.XLOOKUP(t_jh[[#This Row],[Dato]]&amp;t_jh[[#This Row],[navn]],Regnskap!$C$10:$C$51&amp;Regnskap!$K$10:$K$51,Regnskap!$H$10:$H$51)&gt;0,Data!$AJ$3,""),"")</f>
        <v/>
      </c>
      <c r="S22" s="3" t="str" cm="1">
        <f t="array" ref="S22">IFERROR(IF(t_jh[[#This Row],[12_pLEV]]="",IF(_xlfn.XLOOKUP(t_jh[[#This Row],[Dato]]&amp;t_jh[[#This Row],[navn]],Regnskap!$C$10:$C$51&amp;Regnskap!$K$10:$K$51,Regnskap!$I$10:$I$51)&gt;0,Data!$AJ$2)),"")</f>
        <v/>
      </c>
      <c r="T22" s="3" t="str" cm="1">
        <f t="array" ref="T22">IFERROR(IF(t_jh[[#This Row],[11_pLEV]]="",IF(_xlfn.XLOOKUP(t_jh[[#This Row],[Dato]]&amp;t_jh[[#This Row],[navn]],Regnskap!$C$10:$C$51&amp;Regnskap!$K$10:$K$51,Regnskap!$J$10:$J$51)&gt;0,Data!$AJ$1),""),"")</f>
        <v/>
      </c>
      <c r="U22" s="3">
        <f ca="1">SUM(t_jh[[#This Row],[12_poeng]:[10_pLEV]])</f>
        <v>0</v>
      </c>
      <c r="V22" s="3">
        <f ca="1">SUM(t_jh[[#This Row],[Summert]]+t_jh[[#This Row],[LEV_poeng]])</f>
        <v>0</v>
      </c>
    </row>
    <row r="23" spans="1:28" x14ac:dyDescent="0.2">
      <c r="A23" s="3" t="s">
        <v>909</v>
      </c>
      <c r="B23">
        <f>IF(t_jh[[#This Row],[Dato]]&lt;&gt;"",WEEKNUM(t_jh[[#This Row],[Dato]]),"")</f>
        <v>2</v>
      </c>
      <c r="C23" s="22">
        <f>Data!AL22</f>
        <v>46396</v>
      </c>
      <c r="D23">
        <f ca="1">IFERROR(IF(t_jh[[#This Row],[Dato]]="","",OFFSET(_xlfn.XLOOKUP(C23,Kuponger!E:E,Kuponger!BJ:BJ),15,0)),"")</f>
        <v>0</v>
      </c>
      <c r="E23">
        <f ca="1">IFERROR(IF(t_jh[[#This Row],[hp]]&lt;&gt;"",OFFSET(_xlfn.XLOOKUP(C23,Kuponger!E:E,Kuponger!BJ:BJ),15,1),""),"")</f>
        <v>0</v>
      </c>
      <c r="F23">
        <f ca="1">IFERROR(IF(t_jh[[#This Row],[Dato]]="","",OFFSET(_xlfn.XLOOKUP(C23,Kuponger!E:E,Kuponger!BJ:BJ),15,2)),"")</f>
        <v>0</v>
      </c>
      <c r="G23">
        <f ca="1">IFERROR(IF(OFFSET(_xlfn.XLOOKUP(C23,Kuponger!E:E,Kuponger!BJ:BJ),0,2)=0,"",OFFSET(_xlfn.XLOOKUP(C23,Kuponger!E:E,Kuponger!BJ:BJ),1,2))*-1,"")</f>
        <v>0</v>
      </c>
      <c r="H23" t="str">
        <f t="shared" ca="1" si="1"/>
        <v/>
      </c>
      <c r="I23" t="str">
        <f ca="1">IFERROR(IF(t_jh[[#This Row],[tp]]&lt;&gt;"",OFFSET(_xlfn.XLOOKUP(C23,Kuponger!E:E,Kuponger!BJ:BJ),1,1),""),"")</f>
        <v/>
      </c>
      <c r="J23" s="3">
        <f ca="1">IFERROR(IF(t_jh[[#This Row],[Dato]]="",0,OFFSET(_xlfn.XLOOKUP(t_jh[[#This Row],[Dato]],Kuponger!E:E,Kuponger!BJ:BJ),1,7)),"")</f>
        <v>0</v>
      </c>
      <c r="K23" s="3">
        <f ca="1">IFERROR(SUM(t_jh[[#This Row],[tp]]),0)</f>
        <v>0</v>
      </c>
      <c r="L23" s="3" t="str">
        <f ca="1">IF(t_rb[[#This Row],[Antall_rette]]=12,1,"")</f>
        <v/>
      </c>
      <c r="M23" s="3" t="str">
        <f ca="1">IF(t_rb[[#This Row],[Antall_rette]]=11,1,"")</f>
        <v/>
      </c>
      <c r="N23" s="3" t="str">
        <f ca="1">IF(t_rb[[#This Row],[Antall_rette]]=10,1,"")</f>
        <v/>
      </c>
      <c r="O23" s="3">
        <f ca="1">IF(t_jh[[#This Row],[12_Antall]]=1,Data!$AJ$3,0)</f>
        <v>0</v>
      </c>
      <c r="P23" s="3">
        <f ca="1">IF(t_jh[[#This Row],[11_Antall]]=1,Data!$AJ$2,0)</f>
        <v>0</v>
      </c>
      <c r="Q23" s="3">
        <f ca="1">IF(t_jh[[#This Row],[10_Antall]]=1,Data!$AJ$1,0)</f>
        <v>0</v>
      </c>
      <c r="R23" s="3" t="str" cm="1">
        <f t="array" ref="R23">IFERROR(IF(_xlfn.XLOOKUP(t_jh[[#This Row],[Dato]]&amp;t_jh[[#This Row],[navn]],Regnskap!$C$10:$C$51&amp;Regnskap!$K$10:$K$51,Regnskap!$H$10:$H$51)&gt;0,Data!$AJ$3,""),"")</f>
        <v/>
      </c>
      <c r="S23" s="3" t="str" cm="1">
        <f t="array" ref="S23">IFERROR(IF(t_jh[[#This Row],[12_pLEV]]="",IF(_xlfn.XLOOKUP(t_jh[[#This Row],[Dato]]&amp;t_jh[[#This Row],[navn]],Regnskap!$C$10:$C$51&amp;Regnskap!$K$10:$K$51,Regnskap!$I$10:$I$51)&gt;0,Data!$AJ$2)),"")</f>
        <v/>
      </c>
      <c r="T23" s="3" t="str" cm="1">
        <f t="array" ref="T23">IFERROR(IF(t_jh[[#This Row],[11_pLEV]]="",IF(_xlfn.XLOOKUP(t_jh[[#This Row],[Dato]]&amp;t_jh[[#This Row],[navn]],Regnskap!$C$10:$C$51&amp;Regnskap!$K$10:$K$51,Regnskap!$J$10:$J$51)&gt;0,Data!$AJ$1),""),"")</f>
        <v/>
      </c>
      <c r="U23" s="3">
        <f ca="1">SUM(t_jh[[#This Row],[12_poeng]:[10_pLEV]])</f>
        <v>0</v>
      </c>
      <c r="V23" s="3">
        <f ca="1">SUM(t_jh[[#This Row],[Summert]]+t_jh[[#This Row],[LEV_poeng]])</f>
        <v>0</v>
      </c>
    </row>
    <row r="24" spans="1:28" x14ac:dyDescent="0.2">
      <c r="A24" s="3" t="s">
        <v>909</v>
      </c>
      <c r="B24">
        <f>IF(t_jh[[#This Row],[Dato]]&lt;&gt;"",WEEKNUM(t_jh[[#This Row],[Dato]]),"")</f>
        <v>3</v>
      </c>
      <c r="C24" s="22">
        <f>Data!AL23</f>
        <v>46403</v>
      </c>
      <c r="D24">
        <f ca="1">IFERROR(IF(t_jh[[#This Row],[Dato]]="","",OFFSET(_xlfn.XLOOKUP(C24,Kuponger!E:E,Kuponger!BJ:BJ),15,0)),"")</f>
        <v>0</v>
      </c>
      <c r="E24">
        <f ca="1">IFERROR(IF(t_jh[[#This Row],[hp]]&lt;&gt;"",OFFSET(_xlfn.XLOOKUP(C24,Kuponger!E:E,Kuponger!BJ:BJ),15,1),""),"")</f>
        <v>0</v>
      </c>
      <c r="F24">
        <f ca="1">IFERROR(IF(t_jh[[#This Row],[Dato]]="","",OFFSET(_xlfn.XLOOKUP(C24,Kuponger!E:E,Kuponger!BJ:BJ),15,2)),"")</f>
        <v>0</v>
      </c>
      <c r="G24">
        <f ca="1">IFERROR(IF(OFFSET(_xlfn.XLOOKUP(C24,Kuponger!E:E,Kuponger!BJ:BJ),0,2)=0,"",OFFSET(_xlfn.XLOOKUP(C24,Kuponger!E:E,Kuponger!BJ:BJ),1,2))*-1,"")</f>
        <v>0</v>
      </c>
      <c r="H24" t="str">
        <f t="shared" ca="1" si="1"/>
        <v/>
      </c>
      <c r="I24" t="str">
        <f ca="1">IFERROR(IF(t_jh[[#This Row],[tp]]&lt;&gt;"",OFFSET(_xlfn.XLOOKUP(C24,Kuponger!E:E,Kuponger!BJ:BJ),1,1),""),"")</f>
        <v/>
      </c>
      <c r="J24" s="3">
        <f ca="1">IFERROR(IF(t_jh[[#This Row],[Dato]]="",0,OFFSET(_xlfn.XLOOKUP(t_jh[[#This Row],[Dato]],Kuponger!E:E,Kuponger!BJ:BJ),1,7)),"")</f>
        <v>0</v>
      </c>
      <c r="K24" s="3">
        <f ca="1">IFERROR(SUM(t_jh[[#This Row],[tp]]),0)</f>
        <v>0</v>
      </c>
      <c r="L24" s="3" t="str">
        <f ca="1">IF(t_rb[[#This Row],[Antall_rette]]=12,1,"")</f>
        <v/>
      </c>
      <c r="M24" s="3" t="str">
        <f ca="1">IF(t_rb[[#This Row],[Antall_rette]]=11,1,"")</f>
        <v/>
      </c>
      <c r="N24" s="3" t="str">
        <f ca="1">IF(t_rb[[#This Row],[Antall_rette]]=10,1,"")</f>
        <v/>
      </c>
      <c r="O24" s="3">
        <f ca="1">IF(t_jh[[#This Row],[12_Antall]]=1,Data!$AJ$3,0)</f>
        <v>0</v>
      </c>
      <c r="P24" s="3">
        <f ca="1">IF(t_jh[[#This Row],[11_Antall]]=1,Data!$AJ$2,0)</f>
        <v>0</v>
      </c>
      <c r="Q24" s="3">
        <f ca="1">IF(t_jh[[#This Row],[10_Antall]]=1,Data!$AJ$1,0)</f>
        <v>0</v>
      </c>
      <c r="R24" s="3" t="str" cm="1">
        <f t="array" ref="R24">IFERROR(IF(_xlfn.XLOOKUP(t_jh[[#This Row],[Dato]]&amp;t_jh[[#This Row],[navn]],Regnskap!$C$10:$C$51&amp;Regnskap!$K$10:$K$51,Regnskap!$H$10:$H$51)&gt;0,Data!$AJ$3,""),"")</f>
        <v/>
      </c>
      <c r="S24" s="3" t="str" cm="1">
        <f t="array" ref="S24">IFERROR(IF(t_jh[[#This Row],[12_pLEV]]="",IF(_xlfn.XLOOKUP(t_jh[[#This Row],[Dato]]&amp;t_jh[[#This Row],[navn]],Regnskap!$C$10:$C$51&amp;Regnskap!$K$10:$K$51,Regnskap!$I$10:$I$51)&gt;0,Data!$AJ$2)),"")</f>
        <v/>
      </c>
      <c r="T24" s="3" t="str" cm="1">
        <f t="array" ref="T24">IFERROR(IF(t_jh[[#This Row],[11_pLEV]]="",IF(_xlfn.XLOOKUP(t_jh[[#This Row],[Dato]]&amp;t_jh[[#This Row],[navn]],Regnskap!$C$10:$C$51&amp;Regnskap!$K$10:$K$51,Regnskap!$J$10:$J$51)&gt;0,Data!$AJ$1),""),"")</f>
        <v/>
      </c>
      <c r="U24" s="3">
        <f ca="1">SUM(t_jh[[#This Row],[12_poeng]:[10_pLEV]])</f>
        <v>0</v>
      </c>
      <c r="V24" s="3">
        <f ca="1">SUM(t_jh[[#This Row],[Summert]]+t_jh[[#This Row],[LEV_poeng]])</f>
        <v>0</v>
      </c>
    </row>
    <row r="25" spans="1:28" x14ac:dyDescent="0.2">
      <c r="A25" s="3" t="s">
        <v>909</v>
      </c>
      <c r="B25">
        <f>IF(t_jh[[#This Row],[Dato]]&lt;&gt;"",WEEKNUM(t_jh[[#This Row],[Dato]]),"")</f>
        <v>4</v>
      </c>
      <c r="C25" s="22">
        <f>Data!AL24</f>
        <v>46410</v>
      </c>
      <c r="D25">
        <f ca="1">IFERROR(IF(t_jh[[#This Row],[Dato]]="","",OFFSET(_xlfn.XLOOKUP(C25,Kuponger!E:E,Kuponger!BJ:BJ),15,0)),"")</f>
        <v>0</v>
      </c>
      <c r="E25">
        <f ca="1">IFERROR(IF(t_jh[[#This Row],[hp]]&lt;&gt;"",OFFSET(_xlfn.XLOOKUP(C25,Kuponger!E:E,Kuponger!BJ:BJ),15,1),""),"")</f>
        <v>0</v>
      </c>
      <c r="F25">
        <f ca="1">IFERROR(IF(t_jh[[#This Row],[Dato]]="","",OFFSET(_xlfn.XLOOKUP(C25,Kuponger!E:E,Kuponger!BJ:BJ),15,2)),"")</f>
        <v>0</v>
      </c>
      <c r="G25">
        <f ca="1">IFERROR(IF(OFFSET(_xlfn.XLOOKUP(C25,Kuponger!E:E,Kuponger!BJ:BJ),0,2)=0,"",OFFSET(_xlfn.XLOOKUP(C25,Kuponger!E:E,Kuponger!BJ:BJ),1,2))*-1,"")</f>
        <v>0</v>
      </c>
      <c r="H25" t="str">
        <f t="shared" ca="1" si="1"/>
        <v/>
      </c>
      <c r="I25" t="str">
        <f ca="1">IFERROR(IF(t_jh[[#This Row],[tp]]&lt;&gt;"",OFFSET(_xlfn.XLOOKUP(C25,Kuponger!E:E,Kuponger!BJ:BJ),1,1),""),"")</f>
        <v/>
      </c>
      <c r="J25" s="3">
        <f ca="1">IFERROR(IF(t_jh[[#This Row],[Dato]]="",0,OFFSET(_xlfn.XLOOKUP(t_jh[[#This Row],[Dato]],Kuponger!E:E,Kuponger!BJ:BJ),1,7)),"")</f>
        <v>0</v>
      </c>
      <c r="K25" s="3">
        <f ca="1">IFERROR(SUM(t_jh[[#This Row],[tp]]),0)</f>
        <v>0</v>
      </c>
      <c r="L25" s="3" t="str">
        <f ca="1">IF(t_rb[[#This Row],[Antall_rette]]=12,1,"")</f>
        <v/>
      </c>
      <c r="M25" s="3" t="str">
        <f ca="1">IF(t_rb[[#This Row],[Antall_rette]]=11,1,"")</f>
        <v/>
      </c>
      <c r="N25" s="3" t="str">
        <f ca="1">IF(t_rb[[#This Row],[Antall_rette]]=10,1,"")</f>
        <v/>
      </c>
      <c r="O25" s="3">
        <f ca="1">IF(t_jh[[#This Row],[12_Antall]]=1,Data!$AJ$3,0)</f>
        <v>0</v>
      </c>
      <c r="P25" s="3">
        <f ca="1">IF(t_jh[[#This Row],[11_Antall]]=1,Data!$AJ$2,0)</f>
        <v>0</v>
      </c>
      <c r="Q25" s="3">
        <f ca="1">IF(t_jh[[#This Row],[10_Antall]]=1,Data!$AJ$1,0)</f>
        <v>0</v>
      </c>
      <c r="R25" s="3" t="str" cm="1">
        <f t="array" ref="R25">IFERROR(IF(_xlfn.XLOOKUP(t_jh[[#This Row],[Dato]]&amp;t_jh[[#This Row],[navn]],Regnskap!$C$10:$C$51&amp;Regnskap!$K$10:$K$51,Regnskap!$H$10:$H$51)&gt;0,Data!$AJ$3,""),"")</f>
        <v/>
      </c>
      <c r="S25" s="3" t="str" cm="1">
        <f t="array" ref="S25">IFERROR(IF(t_jh[[#This Row],[12_pLEV]]="",IF(_xlfn.XLOOKUP(t_jh[[#This Row],[Dato]]&amp;t_jh[[#This Row],[navn]],Regnskap!$C$10:$C$51&amp;Regnskap!$K$10:$K$51,Regnskap!$I$10:$I$51)&gt;0,Data!$AJ$2)),"")</f>
        <v/>
      </c>
      <c r="T25" s="3" t="str" cm="1">
        <f t="array" ref="T25">IFERROR(IF(t_jh[[#This Row],[11_pLEV]]="",IF(_xlfn.XLOOKUP(t_jh[[#This Row],[Dato]]&amp;t_jh[[#This Row],[navn]],Regnskap!$C$10:$C$51&amp;Regnskap!$K$10:$K$51,Regnskap!$J$10:$J$51)&gt;0,Data!$AJ$1),""),"")</f>
        <v/>
      </c>
      <c r="U25" s="3">
        <f ca="1">SUM(t_jh[[#This Row],[12_poeng]:[10_pLEV]])</f>
        <v>0</v>
      </c>
      <c r="V25" s="3">
        <f ca="1">SUM(t_jh[[#This Row],[Summert]]+t_jh[[#This Row],[LEV_poeng]])</f>
        <v>0</v>
      </c>
      <c r="W25" s="2"/>
      <c r="X25" s="2"/>
      <c r="Y25" s="2"/>
      <c r="Z25" s="2"/>
      <c r="AA25" s="2"/>
      <c r="AB25" s="2"/>
    </row>
    <row r="26" spans="1:28" x14ac:dyDescent="0.2">
      <c r="A26" s="3" t="s">
        <v>909</v>
      </c>
      <c r="B26">
        <f>IF(t_jh[[#This Row],[Dato]]&lt;&gt;"",WEEKNUM(t_jh[[#This Row],[Dato]]),"")</f>
        <v>5</v>
      </c>
      <c r="C26" s="22">
        <f>Data!AL25</f>
        <v>46417</v>
      </c>
      <c r="D26">
        <f ca="1">IFERROR(IF(t_jh[[#This Row],[Dato]]="","",OFFSET(_xlfn.XLOOKUP(C26,Kuponger!E:E,Kuponger!BJ:BJ),15,0)),"")</f>
        <v>0</v>
      </c>
      <c r="E26">
        <f ca="1">IFERROR(IF(t_jh[[#This Row],[hp]]&lt;&gt;"",OFFSET(_xlfn.XLOOKUP(C26,Kuponger!E:E,Kuponger!BJ:BJ),15,1),""),"")</f>
        <v>0</v>
      </c>
      <c r="F26">
        <f ca="1">IFERROR(IF(t_jh[[#This Row],[Dato]]="","",OFFSET(_xlfn.XLOOKUP(C26,Kuponger!E:E,Kuponger!BJ:BJ),15,2)),"")</f>
        <v>0</v>
      </c>
      <c r="G26">
        <f ca="1">IFERROR(IF(OFFSET(_xlfn.XLOOKUP(C26,Kuponger!E:E,Kuponger!BJ:BJ),0,2)=0,"",OFFSET(_xlfn.XLOOKUP(C26,Kuponger!E:E,Kuponger!BJ:BJ),1,2))*-1,"")</f>
        <v>0</v>
      </c>
      <c r="H26" t="str">
        <f t="shared" ca="1" si="1"/>
        <v/>
      </c>
      <c r="I26" t="str">
        <f ca="1">IFERROR(IF(t_jh[[#This Row],[tp]]&lt;&gt;"",OFFSET(_xlfn.XLOOKUP(C26,Kuponger!E:E,Kuponger!BJ:BJ),1,1),""),"")</f>
        <v/>
      </c>
      <c r="J26" s="3">
        <f ca="1">IFERROR(IF(t_jh[[#This Row],[Dato]]="",0,OFFSET(_xlfn.XLOOKUP(t_jh[[#This Row],[Dato]],Kuponger!E:E,Kuponger!BJ:BJ),1,7)),"")</f>
        <v>0</v>
      </c>
      <c r="K26" s="3">
        <f ca="1">IFERROR(SUM(t_jh[[#This Row],[tp]]),0)</f>
        <v>0</v>
      </c>
      <c r="L26" s="3" t="str">
        <f ca="1">IF(t_rb[[#This Row],[Antall_rette]]=12,1,"")</f>
        <v/>
      </c>
      <c r="M26" s="3" t="str">
        <f ca="1">IF(t_rb[[#This Row],[Antall_rette]]=11,1,"")</f>
        <v/>
      </c>
      <c r="N26" s="3" t="str">
        <f ca="1">IF(t_rb[[#This Row],[Antall_rette]]=10,1,"")</f>
        <v/>
      </c>
      <c r="O26" s="3">
        <f ca="1">IF(t_jh[[#This Row],[12_Antall]]=1,Data!$AJ$3,0)</f>
        <v>0</v>
      </c>
      <c r="P26" s="3">
        <f ca="1">IF(t_jh[[#This Row],[11_Antall]]=1,Data!$AJ$2,0)</f>
        <v>0</v>
      </c>
      <c r="Q26" s="3">
        <f ca="1">IF(t_jh[[#This Row],[10_Antall]]=1,Data!$AJ$1,0)</f>
        <v>0</v>
      </c>
      <c r="R26" s="3" t="str" cm="1">
        <f t="array" ref="R26">IFERROR(IF(_xlfn.XLOOKUP(t_jh[[#This Row],[Dato]]&amp;t_jh[[#This Row],[navn]],Regnskap!$C$10:$C$51&amp;Regnskap!$K$10:$K$51,Regnskap!$H$10:$H$51)&gt;0,Data!$AJ$3,""),"")</f>
        <v/>
      </c>
      <c r="S26" s="3" t="str" cm="1">
        <f t="array" ref="S26">IFERROR(IF(t_jh[[#This Row],[12_pLEV]]="",IF(_xlfn.XLOOKUP(t_jh[[#This Row],[Dato]]&amp;t_jh[[#This Row],[navn]],Regnskap!$C$10:$C$51&amp;Regnskap!$K$10:$K$51,Regnskap!$I$10:$I$51)&gt;0,Data!$AJ$2)),"")</f>
        <v/>
      </c>
      <c r="T26" s="3" t="str" cm="1">
        <f t="array" ref="T26">IFERROR(IF(t_jh[[#This Row],[11_pLEV]]="",IF(_xlfn.XLOOKUP(t_jh[[#This Row],[Dato]]&amp;t_jh[[#This Row],[navn]],Regnskap!$C$10:$C$51&amp;Regnskap!$K$10:$K$51,Regnskap!$J$10:$J$51)&gt;0,Data!$AJ$1),""),"")</f>
        <v/>
      </c>
      <c r="U26" s="3">
        <f ca="1">SUM(t_jh[[#This Row],[12_poeng]:[10_pLEV]])</f>
        <v>0</v>
      </c>
      <c r="V26" s="3">
        <f ca="1">SUM(t_jh[[#This Row],[Summert]]+t_jh[[#This Row],[LEV_poeng]])</f>
        <v>0</v>
      </c>
    </row>
    <row r="27" spans="1:28" x14ac:dyDescent="0.2">
      <c r="A27" s="3" t="s">
        <v>909</v>
      </c>
      <c r="B27">
        <f>IF(t_jh[[#This Row],[Dato]]&lt;&gt;"",WEEKNUM(t_jh[[#This Row],[Dato]]),"")</f>
        <v>6</v>
      </c>
      <c r="C27" s="22">
        <f>Data!AL26</f>
        <v>46424</v>
      </c>
      <c r="D27">
        <f ca="1">IFERROR(IF(t_jh[[#This Row],[Dato]]="","",OFFSET(_xlfn.XLOOKUP(C27,Kuponger!E:E,Kuponger!BJ:BJ),15,0)),"")</f>
        <v>0</v>
      </c>
      <c r="E27">
        <f ca="1">IFERROR(IF(t_jh[[#This Row],[hp]]&lt;&gt;"",OFFSET(_xlfn.XLOOKUP(C27,Kuponger!E:E,Kuponger!BJ:BJ),15,1),""),"")</f>
        <v>0</v>
      </c>
      <c r="F27">
        <f ca="1">IFERROR(IF(t_jh[[#This Row],[Dato]]="","",OFFSET(_xlfn.XLOOKUP(C27,Kuponger!E:E,Kuponger!BJ:BJ),15,2)),"")</f>
        <v>0</v>
      </c>
      <c r="G27">
        <f ca="1">IFERROR(IF(OFFSET(_xlfn.XLOOKUP(C27,Kuponger!E:E,Kuponger!BJ:BJ),0,2)=0,"",OFFSET(_xlfn.XLOOKUP(C27,Kuponger!E:E,Kuponger!BJ:BJ),1,2))*-1,"")</f>
        <v>0</v>
      </c>
      <c r="H27" t="str">
        <f t="shared" ca="1" si="1"/>
        <v/>
      </c>
      <c r="I27" t="str">
        <f ca="1">IFERROR(IF(t_jh[[#This Row],[tp]]&lt;&gt;"",OFFSET(_xlfn.XLOOKUP(C27,Kuponger!E:E,Kuponger!BJ:BJ),1,1),""),"")</f>
        <v/>
      </c>
      <c r="J27" s="3">
        <f ca="1">IFERROR(IF(t_jh[[#This Row],[Dato]]="",0,OFFSET(_xlfn.XLOOKUP(t_jh[[#This Row],[Dato]],Kuponger!E:E,Kuponger!BJ:BJ),1,7)),"")</f>
        <v>0</v>
      </c>
      <c r="K27" s="3">
        <f ca="1">IFERROR(SUM(t_jh[[#This Row],[tp]]),0)</f>
        <v>0</v>
      </c>
      <c r="L27" s="3" t="str">
        <f ca="1">IF(t_rb[[#This Row],[Antall_rette]]=12,1,"")</f>
        <v/>
      </c>
      <c r="M27" s="3" t="str">
        <f ca="1">IF(t_rb[[#This Row],[Antall_rette]]=11,1,"")</f>
        <v/>
      </c>
      <c r="N27" s="3" t="str">
        <f ca="1">IF(t_rb[[#This Row],[Antall_rette]]=10,1,"")</f>
        <v/>
      </c>
      <c r="O27" s="3">
        <f ca="1">IF(t_jh[[#This Row],[12_Antall]]=1,Data!$AJ$3,0)</f>
        <v>0</v>
      </c>
      <c r="P27" s="3">
        <f ca="1">IF(t_jh[[#This Row],[11_Antall]]=1,Data!$AJ$2,0)</f>
        <v>0</v>
      </c>
      <c r="Q27" s="3">
        <f ca="1">IF(t_jh[[#This Row],[10_Antall]]=1,Data!$AJ$1,0)</f>
        <v>0</v>
      </c>
      <c r="R27" s="3" t="str" cm="1">
        <f t="array" ref="R27">IFERROR(IF(_xlfn.XLOOKUP(t_jh[[#This Row],[Dato]]&amp;t_jh[[#This Row],[navn]],Regnskap!$C$10:$C$51&amp;Regnskap!$K$10:$K$51,Regnskap!$H$10:$H$51)&gt;0,Data!$AJ$3,""),"")</f>
        <v/>
      </c>
      <c r="S27" s="3" t="str" cm="1">
        <f t="array" ref="S27">IFERROR(IF(t_jh[[#This Row],[12_pLEV]]="",IF(_xlfn.XLOOKUP(t_jh[[#This Row],[Dato]]&amp;t_jh[[#This Row],[navn]],Regnskap!$C$10:$C$51&amp;Regnskap!$K$10:$K$51,Regnskap!$I$10:$I$51)&gt;0,Data!$AJ$2)),"")</f>
        <v/>
      </c>
      <c r="T27" s="3" t="str" cm="1">
        <f t="array" ref="T27">IFERROR(IF(t_jh[[#This Row],[11_pLEV]]="",IF(_xlfn.XLOOKUP(t_jh[[#This Row],[Dato]]&amp;t_jh[[#This Row],[navn]],Regnskap!$C$10:$C$51&amp;Regnskap!$K$10:$K$51,Regnskap!$J$10:$J$51)&gt;0,Data!$AJ$1),""),"")</f>
        <v/>
      </c>
      <c r="U27" s="3">
        <f ca="1">SUM(t_jh[[#This Row],[12_poeng]:[10_pLEV]])</f>
        <v>0</v>
      </c>
      <c r="V27" s="3">
        <f ca="1">SUM(t_jh[[#This Row],[Summert]]+t_jh[[#This Row],[LEV_poeng]])</f>
        <v>0</v>
      </c>
    </row>
    <row r="28" spans="1:28" x14ac:dyDescent="0.2">
      <c r="A28" s="3" t="s">
        <v>909</v>
      </c>
      <c r="B28">
        <f>IF(t_jh[[#This Row],[Dato]]&lt;&gt;"",WEEKNUM(t_jh[[#This Row],[Dato]]),"")</f>
        <v>7</v>
      </c>
      <c r="C28" s="22">
        <f>Data!AL27</f>
        <v>46431</v>
      </c>
      <c r="D28">
        <f ca="1">IFERROR(IF(t_jh[[#This Row],[Dato]]="","",OFFSET(_xlfn.XLOOKUP(C28,Kuponger!E:E,Kuponger!BJ:BJ),15,0)),"")</f>
        <v>0</v>
      </c>
      <c r="E28">
        <f ca="1">IFERROR(IF(t_jh[[#This Row],[hp]]&lt;&gt;"",OFFSET(_xlfn.XLOOKUP(C28,Kuponger!E:E,Kuponger!BJ:BJ),15,1),""),"")</f>
        <v>0</v>
      </c>
      <c r="F28">
        <f ca="1">IFERROR(IF(t_jh[[#This Row],[Dato]]="","",OFFSET(_xlfn.XLOOKUP(C28,Kuponger!E:E,Kuponger!BJ:BJ),15,2)),"")</f>
        <v>0</v>
      </c>
      <c r="G28">
        <f ca="1">IFERROR(IF(OFFSET(_xlfn.XLOOKUP(C28,Kuponger!E:E,Kuponger!BJ:BJ),0,2)=0,"",OFFSET(_xlfn.XLOOKUP(C28,Kuponger!E:E,Kuponger!BJ:BJ),1,2))*-1,"")</f>
        <v>0</v>
      </c>
      <c r="H28" t="str">
        <f t="shared" ca="1" si="1"/>
        <v/>
      </c>
      <c r="I28" t="str">
        <f ca="1">IFERROR(IF(t_jh[[#This Row],[tp]]&lt;&gt;"",OFFSET(_xlfn.XLOOKUP(C28,Kuponger!E:E,Kuponger!BJ:BJ),1,1),""),"")</f>
        <v/>
      </c>
      <c r="J28" s="3">
        <f ca="1">IFERROR(IF(t_jh[[#This Row],[Dato]]="",0,OFFSET(_xlfn.XLOOKUP(t_jh[[#This Row],[Dato]],Kuponger!E:E,Kuponger!BJ:BJ),1,7)),"")</f>
        <v>0</v>
      </c>
      <c r="K28" s="3">
        <f ca="1">IFERROR(SUM(t_jh[[#This Row],[tp]]),0)</f>
        <v>0</v>
      </c>
      <c r="L28" s="3" t="str">
        <f ca="1">IF(t_rb[[#This Row],[Antall_rette]]=12,1,"")</f>
        <v/>
      </c>
      <c r="M28" s="3" t="str">
        <f ca="1">IF(t_rb[[#This Row],[Antall_rette]]=11,1,"")</f>
        <v/>
      </c>
      <c r="N28" s="3" t="str">
        <f ca="1">IF(t_rb[[#This Row],[Antall_rette]]=10,1,"")</f>
        <v/>
      </c>
      <c r="O28" s="3">
        <f ca="1">IF(t_jh[[#This Row],[12_Antall]]=1,Data!$AJ$3,0)</f>
        <v>0</v>
      </c>
      <c r="P28" s="3">
        <f ca="1">IF(t_jh[[#This Row],[11_Antall]]=1,Data!$AJ$2,0)</f>
        <v>0</v>
      </c>
      <c r="Q28" s="3">
        <f ca="1">IF(t_jh[[#This Row],[10_Antall]]=1,Data!$AJ$1,0)</f>
        <v>0</v>
      </c>
      <c r="R28" s="3" t="str" cm="1">
        <f t="array" ref="R28">IFERROR(IF(_xlfn.XLOOKUP(t_jh[[#This Row],[Dato]]&amp;t_jh[[#This Row],[navn]],Regnskap!$C$10:$C$51&amp;Regnskap!$K$10:$K$51,Regnskap!$H$10:$H$51)&gt;0,Data!$AJ$3,""),"")</f>
        <v/>
      </c>
      <c r="S28" s="3" t="str" cm="1">
        <f t="array" ref="S28">IFERROR(IF(t_jh[[#This Row],[12_pLEV]]="",IF(_xlfn.XLOOKUP(t_jh[[#This Row],[Dato]]&amp;t_jh[[#This Row],[navn]],Regnskap!$C$10:$C$51&amp;Regnskap!$K$10:$K$51,Regnskap!$I$10:$I$51)&gt;0,Data!$AJ$2)),"")</f>
        <v/>
      </c>
      <c r="T28" s="3" t="str" cm="1">
        <f t="array" ref="T28">IFERROR(IF(t_jh[[#This Row],[11_pLEV]]="",IF(_xlfn.XLOOKUP(t_jh[[#This Row],[Dato]]&amp;t_jh[[#This Row],[navn]],Regnskap!$C$10:$C$51&amp;Regnskap!$K$10:$K$51,Regnskap!$J$10:$J$51)&gt;0,Data!$AJ$1),""),"")</f>
        <v/>
      </c>
      <c r="U28" s="3">
        <f ca="1">SUM(t_jh[[#This Row],[12_poeng]:[10_pLEV]])</f>
        <v>0</v>
      </c>
      <c r="V28" s="3">
        <f ca="1">SUM(t_jh[[#This Row],[Summert]]+t_jh[[#This Row],[LEV_poeng]])</f>
        <v>0</v>
      </c>
    </row>
    <row r="29" spans="1:28" x14ac:dyDescent="0.2">
      <c r="A29" s="3" t="s">
        <v>909</v>
      </c>
      <c r="B29">
        <f>IF(t_jh[[#This Row],[Dato]]&lt;&gt;"",WEEKNUM(t_jh[[#This Row],[Dato]]),"")</f>
        <v>8</v>
      </c>
      <c r="C29" s="22">
        <f>Data!AL28</f>
        <v>46438</v>
      </c>
      <c r="D29">
        <f ca="1">IFERROR(IF(t_jh[[#This Row],[Dato]]="","",OFFSET(_xlfn.XLOOKUP(C29,Kuponger!E:E,Kuponger!BJ:BJ),15,0)),"")</f>
        <v>0</v>
      </c>
      <c r="E29">
        <f ca="1">IFERROR(IF(t_jh[[#This Row],[hp]]&lt;&gt;"",OFFSET(_xlfn.XLOOKUP(C29,Kuponger!E:E,Kuponger!BJ:BJ),15,1),""),"")</f>
        <v>0</v>
      </c>
      <c r="F29">
        <f ca="1">IFERROR(IF(t_jh[[#This Row],[Dato]]="","",OFFSET(_xlfn.XLOOKUP(C29,Kuponger!E:E,Kuponger!BJ:BJ),15,2)),"")</f>
        <v>0</v>
      </c>
      <c r="G29">
        <f ca="1">IFERROR(IF(OFFSET(_xlfn.XLOOKUP(C29,Kuponger!E:E,Kuponger!BJ:BJ),0,2)=0,"",OFFSET(_xlfn.XLOOKUP(C29,Kuponger!E:E,Kuponger!BJ:BJ),1,2))*-1,"")</f>
        <v>0</v>
      </c>
      <c r="H29" t="str">
        <f t="shared" ca="1" si="1"/>
        <v/>
      </c>
      <c r="I29" t="str">
        <f ca="1">IFERROR(IF(t_jh[[#This Row],[tp]]&lt;&gt;"",OFFSET(_xlfn.XLOOKUP(C29,Kuponger!E:E,Kuponger!BJ:BJ),1,1),""),"")</f>
        <v/>
      </c>
      <c r="J29" s="3">
        <f ca="1">IFERROR(IF(t_jh[[#This Row],[Dato]]="",0,OFFSET(_xlfn.XLOOKUP(t_jh[[#This Row],[Dato]],Kuponger!E:E,Kuponger!BJ:BJ),1,7)),"")</f>
        <v>0</v>
      </c>
      <c r="K29" s="3">
        <f ca="1">IFERROR(SUM(t_jh[[#This Row],[tp]]),0)</f>
        <v>0</v>
      </c>
      <c r="L29" s="3" t="str">
        <f ca="1">IF(t_rb[[#This Row],[Antall_rette]]=12,1,"")</f>
        <v/>
      </c>
      <c r="M29" s="3" t="str">
        <f ca="1">IF(t_rb[[#This Row],[Antall_rette]]=11,1,"")</f>
        <v/>
      </c>
      <c r="N29" s="3" t="str">
        <f ca="1">IF(t_rb[[#This Row],[Antall_rette]]=10,1,"")</f>
        <v/>
      </c>
      <c r="O29" s="3">
        <f ca="1">IF(t_jh[[#This Row],[12_Antall]]=1,Data!$AJ$3,0)</f>
        <v>0</v>
      </c>
      <c r="P29" s="3">
        <f ca="1">IF(t_jh[[#This Row],[11_Antall]]=1,Data!$AJ$2,0)</f>
        <v>0</v>
      </c>
      <c r="Q29" s="3">
        <f ca="1">IF(t_jh[[#This Row],[10_Antall]]=1,Data!$AJ$1,0)</f>
        <v>0</v>
      </c>
      <c r="R29" s="3" t="str" cm="1">
        <f t="array" ref="R29">IFERROR(IF(_xlfn.XLOOKUP(t_jh[[#This Row],[Dato]]&amp;t_jh[[#This Row],[navn]],Regnskap!$C$10:$C$51&amp;Regnskap!$K$10:$K$51,Regnskap!$H$10:$H$51)&gt;0,Data!$AJ$3,""),"")</f>
        <v/>
      </c>
      <c r="S29" s="3" t="str" cm="1">
        <f t="array" ref="S29">IFERROR(IF(t_jh[[#This Row],[12_pLEV]]="",IF(_xlfn.XLOOKUP(t_jh[[#This Row],[Dato]]&amp;t_jh[[#This Row],[navn]],Regnskap!$C$10:$C$51&amp;Regnskap!$K$10:$K$51,Regnskap!$I$10:$I$51)&gt;0,Data!$AJ$2)),"")</f>
        <v/>
      </c>
      <c r="T29" s="3" t="str" cm="1">
        <f t="array" ref="T29">IFERROR(IF(t_jh[[#This Row],[11_pLEV]]="",IF(_xlfn.XLOOKUP(t_jh[[#This Row],[Dato]]&amp;t_jh[[#This Row],[navn]],Regnskap!$C$10:$C$51&amp;Regnskap!$K$10:$K$51,Regnskap!$J$10:$J$51)&gt;0,Data!$AJ$1),""),"")</f>
        <v/>
      </c>
      <c r="U29" s="3">
        <f ca="1">SUM(t_jh[[#This Row],[12_poeng]:[10_pLEV]])</f>
        <v>0</v>
      </c>
      <c r="V29" s="3">
        <f ca="1">SUM(t_jh[[#This Row],[Summert]]+t_jh[[#This Row],[LEV_poeng]])</f>
        <v>0</v>
      </c>
    </row>
    <row r="30" spans="1:28" x14ac:dyDescent="0.2">
      <c r="A30" s="3" t="s">
        <v>909</v>
      </c>
      <c r="B30">
        <f>IF(t_jh[[#This Row],[Dato]]&lt;&gt;"",WEEKNUM(t_jh[[#This Row],[Dato]]),"")</f>
        <v>9</v>
      </c>
      <c r="C30" s="22">
        <f>Data!AL29</f>
        <v>46445</v>
      </c>
      <c r="D30">
        <f ca="1">IFERROR(IF(t_jh[[#This Row],[Dato]]="","",OFFSET(_xlfn.XLOOKUP(C30,Kuponger!E:E,Kuponger!BJ:BJ),15,0)),"")</f>
        <v>0</v>
      </c>
      <c r="E30">
        <f ca="1">IFERROR(IF(t_jh[[#This Row],[hp]]&lt;&gt;"",OFFSET(_xlfn.XLOOKUP(C30,Kuponger!E:E,Kuponger!BJ:BJ),15,1),""),"")</f>
        <v>0</v>
      </c>
      <c r="F30">
        <f ca="1">IFERROR(IF(t_jh[[#This Row],[Dato]]="","",OFFSET(_xlfn.XLOOKUP(C30,Kuponger!E:E,Kuponger!BJ:BJ),15,2)),"")</f>
        <v>0</v>
      </c>
      <c r="G30">
        <f ca="1">IFERROR(IF(OFFSET(_xlfn.XLOOKUP(C30,Kuponger!E:E,Kuponger!BJ:BJ),0,2)=0,"",OFFSET(_xlfn.XLOOKUP(C30,Kuponger!E:E,Kuponger!BJ:BJ),1,2))*-1,"")</f>
        <v>0</v>
      </c>
      <c r="H30" t="str">
        <f t="shared" ca="1" si="1"/>
        <v/>
      </c>
      <c r="I30" t="str">
        <f ca="1">IFERROR(IF(t_jh[[#This Row],[tp]]&lt;&gt;"",OFFSET(_xlfn.XLOOKUP(C30,Kuponger!E:E,Kuponger!BJ:BJ),1,1),""),"")</f>
        <v/>
      </c>
      <c r="J30" s="3">
        <f ca="1">IFERROR(IF(t_jh[[#This Row],[Dato]]="",0,OFFSET(_xlfn.XLOOKUP(t_jh[[#This Row],[Dato]],Kuponger!E:E,Kuponger!BJ:BJ),1,7)),"")</f>
        <v>0</v>
      </c>
      <c r="K30" s="3">
        <f ca="1">IFERROR(SUM(t_jh[[#This Row],[tp]]),0)</f>
        <v>0</v>
      </c>
      <c r="L30" s="3" t="str">
        <f ca="1">IF(t_rb[[#This Row],[Antall_rette]]=12,1,"")</f>
        <v/>
      </c>
      <c r="M30" s="3" t="str">
        <f ca="1">IF(t_rb[[#This Row],[Antall_rette]]=11,1,"")</f>
        <v/>
      </c>
      <c r="N30" s="3" t="str">
        <f ca="1">IF(t_rb[[#This Row],[Antall_rette]]=10,1,"")</f>
        <v/>
      </c>
      <c r="O30" s="3">
        <f ca="1">IF(t_jh[[#This Row],[12_Antall]]=1,Data!$AJ$3,0)</f>
        <v>0</v>
      </c>
      <c r="P30" s="3">
        <f ca="1">IF(t_jh[[#This Row],[11_Antall]]=1,Data!$AJ$2,0)</f>
        <v>0</v>
      </c>
      <c r="Q30" s="3">
        <f ca="1">IF(t_jh[[#This Row],[10_Antall]]=1,Data!$AJ$1,0)</f>
        <v>0</v>
      </c>
      <c r="R30" s="3" t="str" cm="1">
        <f t="array" ref="R30">IFERROR(IF(_xlfn.XLOOKUP(t_jh[[#This Row],[Dato]]&amp;t_jh[[#This Row],[navn]],Regnskap!$C$10:$C$51&amp;Regnskap!$K$10:$K$51,Regnskap!$H$10:$H$51)&gt;0,Data!$AJ$3,""),"")</f>
        <v/>
      </c>
      <c r="S30" s="3" t="str" cm="1">
        <f t="array" ref="S30">IFERROR(IF(t_jh[[#This Row],[12_pLEV]]="",IF(_xlfn.XLOOKUP(t_jh[[#This Row],[Dato]]&amp;t_jh[[#This Row],[navn]],Regnskap!$C$10:$C$51&amp;Regnskap!$K$10:$K$51,Regnskap!$I$10:$I$51)&gt;0,Data!$AJ$2)),"")</f>
        <v/>
      </c>
      <c r="T30" s="3" t="str" cm="1">
        <f t="array" ref="T30">IFERROR(IF(t_jh[[#This Row],[11_pLEV]]="",IF(_xlfn.XLOOKUP(t_jh[[#This Row],[Dato]]&amp;t_jh[[#This Row],[navn]],Regnskap!$C$10:$C$51&amp;Regnskap!$K$10:$K$51,Regnskap!$J$10:$J$51)&gt;0,Data!$AJ$1),""),"")</f>
        <v/>
      </c>
      <c r="U30" s="3">
        <f ca="1">SUM(t_jh[[#This Row],[12_poeng]:[10_pLEV]])</f>
        <v>0</v>
      </c>
      <c r="V30" s="3">
        <f ca="1">SUM(t_jh[[#This Row],[Summert]]+t_jh[[#This Row],[LEV_poeng]])</f>
        <v>0</v>
      </c>
    </row>
    <row r="31" spans="1:28" x14ac:dyDescent="0.2">
      <c r="A31" s="3" t="s">
        <v>909</v>
      </c>
      <c r="B31">
        <f>IF(t_jh[[#This Row],[Dato]]&lt;&gt;"",WEEKNUM(t_jh[[#This Row],[Dato]]),"")</f>
        <v>10</v>
      </c>
      <c r="C31" s="22">
        <f>Data!AL30</f>
        <v>46452</v>
      </c>
      <c r="D31">
        <f ca="1">IFERROR(IF(t_jh[[#This Row],[Dato]]="","",OFFSET(_xlfn.XLOOKUP(C31,Kuponger!E:E,Kuponger!BJ:BJ),15,0)),"")</f>
        <v>0</v>
      </c>
      <c r="E31">
        <f ca="1">IFERROR(IF(t_jh[[#This Row],[hp]]&lt;&gt;"",OFFSET(_xlfn.XLOOKUP(C31,Kuponger!E:E,Kuponger!BJ:BJ),15,1),""),"")</f>
        <v>0</v>
      </c>
      <c r="F31">
        <f ca="1">IFERROR(IF(t_jh[[#This Row],[Dato]]="","",OFFSET(_xlfn.XLOOKUP(C31,Kuponger!E:E,Kuponger!BJ:BJ),15,2)),"")</f>
        <v>0</v>
      </c>
      <c r="G31">
        <f ca="1">IFERROR(IF(OFFSET(_xlfn.XLOOKUP(C31,Kuponger!E:E,Kuponger!BJ:BJ),0,2)=0,"",OFFSET(_xlfn.XLOOKUP(C31,Kuponger!E:E,Kuponger!BJ:BJ),1,2))*-1,"")</f>
        <v>0</v>
      </c>
      <c r="H31" t="str">
        <f t="shared" ca="1" si="1"/>
        <v/>
      </c>
      <c r="I31" t="str">
        <f ca="1">IFERROR(IF(t_jh[[#This Row],[tp]]&lt;&gt;"",OFFSET(_xlfn.XLOOKUP(C31,Kuponger!E:E,Kuponger!BJ:BJ),1,1),""),"")</f>
        <v/>
      </c>
      <c r="J31" s="3">
        <f ca="1">IFERROR(IF(t_jh[[#This Row],[Dato]]="",0,OFFSET(_xlfn.XLOOKUP(t_jh[[#This Row],[Dato]],Kuponger!E:E,Kuponger!BJ:BJ),1,7)),"")</f>
        <v>0</v>
      </c>
      <c r="K31" s="3">
        <f ca="1">IFERROR(SUM(t_jh[[#This Row],[tp]]),0)</f>
        <v>0</v>
      </c>
      <c r="L31" s="3" t="str">
        <f ca="1">IF(t_rb[[#This Row],[Antall_rette]]=12,1,"")</f>
        <v/>
      </c>
      <c r="M31" s="3" t="str">
        <f ca="1">IF(t_rb[[#This Row],[Antall_rette]]=11,1,"")</f>
        <v/>
      </c>
      <c r="N31" s="3" t="str">
        <f ca="1">IF(t_rb[[#This Row],[Antall_rette]]=10,1,"")</f>
        <v/>
      </c>
      <c r="O31" s="3">
        <f ca="1">IF(t_jh[[#This Row],[12_Antall]]=1,Data!$AJ$3,0)</f>
        <v>0</v>
      </c>
      <c r="P31" s="3">
        <f ca="1">IF(t_jh[[#This Row],[11_Antall]]=1,Data!$AJ$2,0)</f>
        <v>0</v>
      </c>
      <c r="Q31" s="3">
        <f ca="1">IF(t_jh[[#This Row],[10_Antall]]=1,Data!$AJ$1,0)</f>
        <v>0</v>
      </c>
      <c r="R31" s="3" t="str" cm="1">
        <f t="array" ref="R31">IFERROR(IF(_xlfn.XLOOKUP(t_jh[[#This Row],[Dato]]&amp;t_jh[[#This Row],[navn]],Regnskap!$C$10:$C$51&amp;Regnskap!$K$10:$K$51,Regnskap!$H$10:$H$51)&gt;0,Data!$AJ$3,""),"")</f>
        <v/>
      </c>
      <c r="S31" s="3" t="b" cm="1">
        <f t="array" ref="S31">IFERROR(IF(t_jh[[#This Row],[12_pLEV]]="",IF(_xlfn.XLOOKUP(t_jh[[#This Row],[Dato]]&amp;t_jh[[#This Row],[navn]],Regnskap!$C$10:$C$51&amp;Regnskap!$K$10:$K$51,Regnskap!$I$10:$I$51)&gt;0,Data!$AJ$2)),"")</f>
        <v>0</v>
      </c>
      <c r="T31" s="3" t="str" cm="1">
        <f t="array" ref="T31">IFERROR(IF(t_jh[[#This Row],[11_pLEV]]="",IF(_xlfn.XLOOKUP(t_jh[[#This Row],[Dato]]&amp;t_jh[[#This Row],[navn]],Regnskap!$C$10:$C$51&amp;Regnskap!$K$10:$K$51,Regnskap!$J$10:$J$51)&gt;0,Data!$AJ$1),""),"")</f>
        <v/>
      </c>
      <c r="U31" s="3">
        <f ca="1">SUM(t_jh[[#This Row],[12_poeng]:[10_pLEV]])</f>
        <v>0</v>
      </c>
      <c r="V31" s="3">
        <f ca="1">SUM(t_jh[[#This Row],[Summert]]+t_jh[[#This Row],[LEV_poeng]])</f>
        <v>0</v>
      </c>
    </row>
    <row r="32" spans="1:28" x14ac:dyDescent="0.2">
      <c r="A32" s="3" t="s">
        <v>909</v>
      </c>
      <c r="B32">
        <f>IF(t_jh[[#This Row],[Dato]]&lt;&gt;"",WEEKNUM(t_jh[[#This Row],[Dato]]),"")</f>
        <v>11</v>
      </c>
      <c r="C32" s="22">
        <f>Data!AL31</f>
        <v>46459</v>
      </c>
      <c r="D32">
        <f ca="1">IFERROR(IF(t_jh[[#This Row],[Dato]]="","",OFFSET(_xlfn.XLOOKUP(C32,Kuponger!E:E,Kuponger!BJ:BJ),15,0)),"")</f>
        <v>0</v>
      </c>
      <c r="E32">
        <f ca="1">IFERROR(IF(t_jh[[#This Row],[hp]]&lt;&gt;"",OFFSET(_xlfn.XLOOKUP(C32,Kuponger!E:E,Kuponger!BJ:BJ),15,1),""),"")</f>
        <v>0</v>
      </c>
      <c r="F32">
        <f ca="1">IFERROR(IF(t_jh[[#This Row],[Dato]]="","",OFFSET(_xlfn.XLOOKUP(C32,Kuponger!E:E,Kuponger!BJ:BJ),15,2)),"")</f>
        <v>0</v>
      </c>
      <c r="G32">
        <f ca="1">IFERROR(IF(OFFSET(_xlfn.XLOOKUP(C32,Kuponger!E:E,Kuponger!BJ:BJ),0,2)=0,"",OFFSET(_xlfn.XLOOKUP(C32,Kuponger!E:E,Kuponger!BJ:BJ),1,2))*-1,"")</f>
        <v>0</v>
      </c>
      <c r="H32" t="str">
        <f t="shared" ca="1" si="1"/>
        <v/>
      </c>
      <c r="I32" t="str">
        <f ca="1">IFERROR(IF(t_jh[[#This Row],[tp]]&lt;&gt;"",OFFSET(_xlfn.XLOOKUP(C32,Kuponger!E:E,Kuponger!BJ:BJ),1,1),""),"")</f>
        <v/>
      </c>
      <c r="J32" s="3">
        <f ca="1">IFERROR(IF(t_jh[[#This Row],[Dato]]="",0,OFFSET(_xlfn.XLOOKUP(t_jh[[#This Row],[Dato]],Kuponger!E:E,Kuponger!BJ:BJ),1,7)),"")</f>
        <v>0</v>
      </c>
      <c r="K32" s="3">
        <f ca="1">IFERROR(SUM(t_jh[[#This Row],[tp]]),0)</f>
        <v>0</v>
      </c>
      <c r="L32" s="3" t="str">
        <f ca="1">IF(t_rb[[#This Row],[Antall_rette]]=12,1,"")</f>
        <v/>
      </c>
      <c r="M32" s="3" t="str">
        <f ca="1">IF(t_rb[[#This Row],[Antall_rette]]=11,1,"")</f>
        <v/>
      </c>
      <c r="N32" s="3" t="str">
        <f ca="1">IF(t_rb[[#This Row],[Antall_rette]]=10,1,"")</f>
        <v/>
      </c>
      <c r="O32" s="3">
        <f ca="1">IF(t_jh[[#This Row],[12_Antall]]=1,Data!$AJ$3,0)</f>
        <v>0</v>
      </c>
      <c r="P32" s="3">
        <f ca="1">IF(t_jh[[#This Row],[11_Antall]]=1,Data!$AJ$2,0)</f>
        <v>0</v>
      </c>
      <c r="Q32" s="3">
        <f ca="1">IF(t_jh[[#This Row],[10_Antall]]=1,Data!$AJ$1,0)</f>
        <v>0</v>
      </c>
      <c r="R32" s="3" t="str" cm="1">
        <f t="array" ref="R32">IFERROR(IF(_xlfn.XLOOKUP(t_jh[[#This Row],[Dato]]&amp;t_jh[[#This Row],[navn]],Regnskap!$C$10:$C$51&amp;Regnskap!$K$10:$K$51,Regnskap!$H$10:$H$51)&gt;0,Data!$AJ$3,""),"")</f>
        <v/>
      </c>
      <c r="S32" s="3" t="str" cm="1">
        <f t="array" ref="S32">IFERROR(IF(t_jh[[#This Row],[12_pLEV]]="",IF(_xlfn.XLOOKUP(t_jh[[#This Row],[Dato]]&amp;t_jh[[#This Row],[navn]],Regnskap!$C$10:$C$51&amp;Regnskap!$K$10:$K$51,Regnskap!$I$10:$I$51)&gt;0,Data!$AJ$2)),"")</f>
        <v/>
      </c>
      <c r="T32" s="3" t="str" cm="1">
        <f t="array" ref="T32">IFERROR(IF(t_jh[[#This Row],[11_pLEV]]="",IF(_xlfn.XLOOKUP(t_jh[[#This Row],[Dato]]&amp;t_jh[[#This Row],[navn]],Regnskap!$C$10:$C$51&amp;Regnskap!$K$10:$K$51,Regnskap!$J$10:$J$51)&gt;0,Data!$AJ$1),""),"")</f>
        <v/>
      </c>
      <c r="U32" s="3">
        <f ca="1">SUM(t_jh[[#This Row],[12_poeng]:[10_pLEV]])</f>
        <v>0</v>
      </c>
      <c r="V32" s="3">
        <f ca="1">SUM(t_jh[[#This Row],[Summert]]+t_jh[[#This Row],[LEV_poeng]])</f>
        <v>0</v>
      </c>
    </row>
    <row r="33" spans="1:22" x14ac:dyDescent="0.2">
      <c r="A33" s="3" t="s">
        <v>909</v>
      </c>
      <c r="B33">
        <f>IF(t_jh[[#This Row],[Dato]]&lt;&gt;"",WEEKNUM(t_jh[[#This Row],[Dato]]),"")</f>
        <v>12</v>
      </c>
      <c r="C33" s="22">
        <f>Data!AL32</f>
        <v>46466</v>
      </c>
      <c r="D33">
        <f ca="1">IFERROR(IF(t_jh[[#This Row],[Dato]]="","",OFFSET(_xlfn.XLOOKUP(C33,Kuponger!E:E,Kuponger!BJ:BJ),15,0)),"")</f>
        <v>0</v>
      </c>
      <c r="E33">
        <f ca="1">IFERROR(IF(t_jh[[#This Row],[hp]]&lt;&gt;"",OFFSET(_xlfn.XLOOKUP(C33,Kuponger!E:E,Kuponger!BJ:BJ),15,1),""),"")</f>
        <v>0</v>
      </c>
      <c r="F33">
        <f ca="1">IFERROR(IF(t_jh[[#This Row],[Dato]]="","",OFFSET(_xlfn.XLOOKUP(C33,Kuponger!E:E,Kuponger!BJ:BJ),15,2)),"")</f>
        <v>0</v>
      </c>
      <c r="G33">
        <f ca="1">IFERROR(IF(OFFSET(_xlfn.XLOOKUP(C33,Kuponger!E:E,Kuponger!BJ:BJ),0,2)=0,"",OFFSET(_xlfn.XLOOKUP(C33,Kuponger!E:E,Kuponger!BJ:BJ),1,2))*-1,"")</f>
        <v>0</v>
      </c>
      <c r="H33" t="str">
        <f t="shared" ca="1" si="1"/>
        <v/>
      </c>
      <c r="I33" t="str">
        <f ca="1">IFERROR(IF(t_jh[[#This Row],[tp]]&lt;&gt;"",OFFSET(_xlfn.XLOOKUP(C33,Kuponger!E:E,Kuponger!BJ:BJ),1,1),""),"")</f>
        <v/>
      </c>
      <c r="J33" s="3">
        <f ca="1">IFERROR(IF(t_jh[[#This Row],[Dato]]="",0,OFFSET(_xlfn.XLOOKUP(t_jh[[#This Row],[Dato]],Kuponger!E:E,Kuponger!BJ:BJ),1,7)),"")</f>
        <v>0</v>
      </c>
      <c r="K33" s="3">
        <f ca="1">IFERROR(SUM(t_jh[[#This Row],[tp]]),0)</f>
        <v>0</v>
      </c>
      <c r="L33" s="3" t="str">
        <f ca="1">IF(t_rb[[#This Row],[Antall_rette]]=12,1,"")</f>
        <v/>
      </c>
      <c r="M33" s="3" t="str">
        <f ca="1">IF(t_rb[[#This Row],[Antall_rette]]=11,1,"")</f>
        <v/>
      </c>
      <c r="N33" s="3" t="str">
        <f ca="1">IF(t_rb[[#This Row],[Antall_rette]]=10,1,"")</f>
        <v/>
      </c>
      <c r="O33" s="3">
        <f ca="1">IF(t_jh[[#This Row],[12_Antall]]=1,Data!$AJ$3,0)</f>
        <v>0</v>
      </c>
      <c r="P33" s="3">
        <f ca="1">IF(t_jh[[#This Row],[11_Antall]]=1,Data!$AJ$2,0)</f>
        <v>0</v>
      </c>
      <c r="Q33" s="3">
        <f ca="1">IF(t_jh[[#This Row],[10_Antall]]=1,Data!$AJ$1,0)</f>
        <v>0</v>
      </c>
      <c r="R33" s="3" t="str" cm="1">
        <f t="array" ref="R33">IFERROR(IF(_xlfn.XLOOKUP(t_jh[[#This Row],[Dato]]&amp;t_jh[[#This Row],[navn]],Regnskap!$C$10:$C$51&amp;Regnskap!$K$10:$K$51,Regnskap!$H$10:$H$51)&gt;0,Data!$AJ$3,""),"")</f>
        <v/>
      </c>
      <c r="S33" s="3" t="str" cm="1">
        <f t="array" ref="S33">IFERROR(IF(t_jh[[#This Row],[12_pLEV]]="",IF(_xlfn.XLOOKUP(t_jh[[#This Row],[Dato]]&amp;t_jh[[#This Row],[navn]],Regnskap!$C$10:$C$51&amp;Regnskap!$K$10:$K$51,Regnskap!$I$10:$I$51)&gt;0,Data!$AJ$2)),"")</f>
        <v/>
      </c>
      <c r="T33" s="3" t="str" cm="1">
        <f t="array" ref="T33">IFERROR(IF(t_jh[[#This Row],[11_pLEV]]="",IF(_xlfn.XLOOKUP(t_jh[[#This Row],[Dato]]&amp;t_jh[[#This Row],[navn]],Regnskap!$C$10:$C$51&amp;Regnskap!$K$10:$K$51,Regnskap!$J$10:$J$51)&gt;0,Data!$AJ$1),""),"")</f>
        <v/>
      </c>
      <c r="U33" s="3">
        <f ca="1">SUM(t_jh[[#This Row],[12_poeng]:[10_pLEV]])</f>
        <v>0</v>
      </c>
      <c r="V33" s="3">
        <f ca="1">SUM(t_jh[[#This Row],[Summert]]+t_jh[[#This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honeticPr fontId="133" type="noConversion"/>
  <pageMargins left="0.7" right="0.7" top="0.75" bottom="0.75" header="0.3" footer="0.3"/>
  <pageSetup paperSize="9" orientation="portrait" horizontalDpi="0"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5" max="26"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6"/>
      <c r="AD1" s="23"/>
      <c r="AF1" s="468"/>
      <c r="AG1" s="468"/>
      <c r="AH1" s="468"/>
      <c r="AI1" s="468"/>
      <c r="AJ1" s="468"/>
    </row>
    <row r="2" spans="1:36" ht="13.5" thickTop="1" x14ac:dyDescent="0.2">
      <c r="A2" s="3" t="s">
        <v>910</v>
      </c>
      <c r="B2">
        <f>IF(t_toh[[#This Row],[Dato]]&lt;&gt;"",WEEKNUM(t_toh[[#This Row],[Dato]]),"")</f>
        <v>33</v>
      </c>
      <c r="C2" s="22">
        <f>Data!AL1</f>
        <v>46249</v>
      </c>
      <c r="D2">
        <f ca="1">IFERROR(IF(t_toh[[#This Row],[Dato]]="","",OFFSET(_xlfn.XLOOKUP(C2,Kuponger!E:E,Kuponger!BS:BS),15,0)),"")</f>
        <v>0</v>
      </c>
      <c r="E2">
        <f ca="1">IFERROR(OFFSET(_xlfn.XLOOKUP(C2,Kuponger!E:E,Kuponger!BS:BS),15,1),"")</f>
        <v>0</v>
      </c>
      <c r="F2">
        <f ca="1">IFERROR(IF(t_toh[[#This Row],[Dato]]="","",OFFSET(_xlfn.XLOOKUP(C2,Kuponger!E:E,Kuponger!BS:BS),15,2)),"")</f>
        <v>0</v>
      </c>
      <c r="G2">
        <f ca="1">IFERROR(IF(OFFSET(_xlfn.XLOOKUP(C2,Kuponger!E:E,Kuponger!BS:BS),0,2)=0,"",OFFSET(_xlfn.XLOOKUP(C2,Kuponger!E:E,Kuponger!BS:BS),1,2))*-1,"")</f>
        <v>0</v>
      </c>
      <c r="H2" t="str">
        <f t="shared" ref="H2" ca="1" si="0">IF(SUMIF(D2:G2,"&lt;&gt;""")=0,"",SUMIF(D2:G2,"&lt;&gt;"""))</f>
        <v/>
      </c>
      <c r="I2" t="str">
        <f ca="1">IFERROR(IF(t_toh[[#This Row],[tp]]&lt;&gt;"",OFFSET(_xlfn.XLOOKUP(C2,Kuponger!E:E,Kuponger!BS:BS),1,1),""),"")</f>
        <v/>
      </c>
      <c r="J2" s="3">
        <f ca="1">IFERROR(IF(t_toh[[#This Row],[Dato]]="",0,OFFSET(_xlfn.XLOOKUP(t_toh[[#This Row],[Dato]],Kuponger!E:E,Kuponger!BS:BS),1,7)),"")</f>
        <v>0</v>
      </c>
      <c r="K2" s="3">
        <f ca="1">IFERROR(SUM(t_toh[[#This Row],[tp]]),0)</f>
        <v>0</v>
      </c>
      <c r="L2" s="3" t="str">
        <f ca="1">IF(t_rb[[#This Row],[Antall_rette]]=12,1,"")</f>
        <v/>
      </c>
      <c r="M2" s="3" t="str">
        <f ca="1">IF(t_rb[[#This Row],[Antall_rette]]=11,1,"")</f>
        <v/>
      </c>
      <c r="N2" s="3" t="str">
        <f ca="1">IF(t_rb[[#This Row],[Antall_rette]]=10,1,"")</f>
        <v/>
      </c>
      <c r="O2" s="3">
        <f ca="1">IF(t_toh[[#This Row],[12_Antall]]=1,Data!$AJ$3,0)</f>
        <v>0</v>
      </c>
      <c r="P2" s="3">
        <f ca="1">IF(t_toh[[#This Row],[11_Antall]]=1,Data!$AJ$2,0)</f>
        <v>0</v>
      </c>
      <c r="Q2" s="3">
        <f ca="1">IF(t_toh[[#This Row],[10_Antall]]=1,Data!$AJ$1,0)</f>
        <v>0</v>
      </c>
      <c r="R2" s="3" t="str" cm="1">
        <f t="array" ref="R2">IFERROR(IF(_xlfn.XLOOKUP(t_toh[[#This Row],[Dato]]&amp;t_toh[[#This Row],[navn]],Regnskap!$C$10:$C$51&amp;Regnskap!$K$10:$K$51,Regnskap!$H$10:$H$51)&gt;0,Data!$AJ$3,""),"")</f>
        <v/>
      </c>
      <c r="S2" s="3" t="str" cm="1">
        <f t="array" ref="S2">IFERROR(IF(t_toh[[#This Row],[12_pLEV]]="",IF(_xlfn.XLOOKUP(t_toh[[#This Row],[Dato]]&amp;t_toh[[#This Row],[navn]],Regnskap!$C$10:$C$51&amp;Regnskap!$K$10:$K$51,Regnskap!$I$10:$I$51)&gt;0,Data!$AJ$2)),"")</f>
        <v/>
      </c>
      <c r="T2" s="3" t="str" cm="1">
        <f t="array" ref="T2">IFERROR(IF(t_toh[[#This Row],[11_pLEV]]="",IF(_xlfn.XLOOKUP(t_toh[[#This Row],[Dato]]&amp;t_toh[[#This Row],[navn]],Regnskap!$C$10:$C$51&amp;Regnskap!$K$10:$K$51,Regnskap!$J$10:$J$51)&gt;0,Data!$AJ$1),""),"")</f>
        <v/>
      </c>
      <c r="U2" s="3">
        <f ca="1">SUM(t_toh[[#This Row],[12_poeng]:[10_pLEV]])</f>
        <v>0</v>
      </c>
      <c r="V2" s="3">
        <f ca="1">SUM(t_toh[[#This Row],[Summert]]+t_toh[[#This Row],[LEV_poeng]])</f>
        <v>0</v>
      </c>
      <c r="AF2" s="3"/>
      <c r="AG2" s="3"/>
      <c r="AH2" s="3"/>
      <c r="AI2" s="3"/>
      <c r="AJ2" s="3"/>
    </row>
    <row r="3" spans="1:36" x14ac:dyDescent="0.2">
      <c r="A3" s="3" t="s">
        <v>910</v>
      </c>
      <c r="B3">
        <f>IF(t_toh[[#This Row],[Dato]]&lt;&gt;"",WEEKNUM(t_toh[[#This Row],[Dato]]),"")</f>
        <v>34</v>
      </c>
      <c r="C3" s="22">
        <f>Data!AL2</f>
        <v>46256</v>
      </c>
      <c r="D3">
        <f ca="1">IFERROR(IF(t_toh[[#This Row],[Dato]]="","",OFFSET(_xlfn.XLOOKUP(C3,Kuponger!E:E,Kuponger!BS:BS),15,0)),"")</f>
        <v>780</v>
      </c>
      <c r="E3">
        <f ca="1">IFERROR(OFFSET(_xlfn.XLOOKUP(C3,Kuponger!E:E,Kuponger!BS:BS),15,1),"")</f>
        <v>0</v>
      </c>
      <c r="F3">
        <f ca="1">IFERROR(IF(t_toh[[#This Row],[Dato]]="","",OFFSET(_xlfn.XLOOKUP(C3,Kuponger!E:E,Kuponger!BS:BS),15,2)),"")</f>
        <v>0</v>
      </c>
      <c r="G3">
        <f ca="1">IFERROR(IF(OFFSET(_xlfn.XLOOKUP(C3,Kuponger!E:E,Kuponger!BS:BS),0,2)=0,"",OFFSET(_xlfn.XLOOKUP(C3,Kuponger!E:E,Kuponger!BS:BS),1,2))*-1,"")</f>
        <v>0</v>
      </c>
      <c r="H3">
        <f t="shared" ref="H3:H33" ca="1" si="1">IF(SUMIF(D3:G3,"&lt;&gt;""")=0,"",SUMIF(D3:G3,"&lt;&gt;"""))</f>
        <v>780</v>
      </c>
      <c r="I3">
        <f ca="1">IFERROR(IF(t_toh[[#This Row],[tp]]&lt;&gt;"",OFFSET(_xlfn.XLOOKUP(C3,Kuponger!E:E,Kuponger!BS:BS),1,1),""),"")</f>
        <v>1</v>
      </c>
      <c r="J3" s="3">
        <f ca="1">IFERROR(IF(t_toh[[#This Row],[Dato]]="",0,OFFSET(_xlfn.XLOOKUP(t_toh[[#This Row],[Dato]],Kuponger!E:E,Kuponger!BS:BS),1,7)),"")</f>
        <v>12</v>
      </c>
      <c r="K3" s="3">
        <f ca="1">IFERROR(SUM(t_toh[[#This Row],[tp]]),0)</f>
        <v>780</v>
      </c>
      <c r="L3" s="3">
        <f ca="1">IF(t_rb[[#This Row],[Antall_rette]]=12,1,"")</f>
        <v>1</v>
      </c>
      <c r="M3" s="3" t="str">
        <f ca="1">IF(t_rb[[#This Row],[Antall_rette]]=11,1,"")</f>
        <v/>
      </c>
      <c r="N3" s="3" t="str">
        <f ca="1">IF(t_rb[[#This Row],[Antall_rette]]=10,1,"")</f>
        <v/>
      </c>
      <c r="O3" s="3">
        <f ca="1">IF(t_toh[[#This Row],[12_Antall]]=1,Data!$AJ$3,0)</f>
        <v>1070</v>
      </c>
      <c r="P3" s="3">
        <f ca="1">IF(t_toh[[#This Row],[11_Antall]]=1,Data!$AJ$2,0)</f>
        <v>0</v>
      </c>
      <c r="Q3" s="3">
        <f ca="1">IF(t_toh[[#This Row],[10_Antall]]=1,Data!$AJ$1,0)</f>
        <v>0</v>
      </c>
      <c r="R3" s="3" t="str" cm="1">
        <f t="array" ref="R3">IFERROR(IF(_xlfn.XLOOKUP(t_toh[[#This Row],[Dato]]&amp;t_toh[[#This Row],[navn]],Regnskap!$C$10:$C$51&amp;Regnskap!$K$10:$K$51,Regnskap!$H$10:$H$51)&gt;0,Data!$AJ$3,""),"")</f>
        <v/>
      </c>
      <c r="S3" s="3" t="str" cm="1">
        <f t="array" ref="S3">IFERROR(IF(t_toh[[#This Row],[12_pLEV]]="",IF(_xlfn.XLOOKUP(t_toh[[#This Row],[Dato]]&amp;t_toh[[#This Row],[navn]],Regnskap!$C$10:$C$51&amp;Regnskap!$K$10:$K$51,Regnskap!$I$10:$I$51)&gt;0,Data!$AJ$2)),"")</f>
        <v/>
      </c>
      <c r="T3" s="3" t="str" cm="1">
        <f t="array" ref="T3">IFERROR(IF(t_toh[[#This Row],[11_pLEV]]="",IF(_xlfn.XLOOKUP(t_toh[[#This Row],[Dato]]&amp;t_toh[[#This Row],[navn]],Regnskap!$C$10:$C$51&amp;Regnskap!$K$10:$K$51,Regnskap!$J$10:$J$51)&gt;0,Data!$AJ$1),""),"")</f>
        <v/>
      </c>
      <c r="U3" s="3">
        <f ca="1">SUM(t_toh[[#This Row],[12_poeng]:[10_pLEV]])</f>
        <v>1070</v>
      </c>
      <c r="V3" s="3">
        <f ca="1">SUM(t_toh[[#This Row],[Summert]]+t_toh[[#This Row],[LEV_poeng]])</f>
        <v>1850</v>
      </c>
    </row>
    <row r="4" spans="1:36" x14ac:dyDescent="0.2">
      <c r="A4" s="3" t="s">
        <v>910</v>
      </c>
      <c r="B4">
        <f>IF(t_toh[[#This Row],[Dato]]&lt;&gt;"",WEEKNUM(t_toh[[#This Row],[Dato]]),"")</f>
        <v>35</v>
      </c>
      <c r="C4" s="22">
        <f>Data!AL3</f>
        <v>46263</v>
      </c>
      <c r="D4">
        <f ca="1">IFERROR(IF(t_toh[[#This Row],[Dato]]="","",OFFSET(_xlfn.XLOOKUP(C4,Kuponger!E:E,Kuponger!BS:BS),15,0)),"")</f>
        <v>780</v>
      </c>
      <c r="E4">
        <f ca="1">IFERROR(OFFSET(_xlfn.XLOOKUP(C4,Kuponger!E:E,Kuponger!BS:BS),15,1),"")</f>
        <v>0</v>
      </c>
      <c r="F4">
        <f ca="1">IFERROR(IF(t_toh[[#This Row],[Dato]]="","",OFFSET(_xlfn.XLOOKUP(C4,Kuponger!E:E,Kuponger!BS:BS),15,2)),"")</f>
        <v>0</v>
      </c>
      <c r="G4">
        <f ca="1">IFERROR(IF(OFFSET(_xlfn.XLOOKUP(C4,Kuponger!E:E,Kuponger!BS:BS),0,2)=0,"",OFFSET(_xlfn.XLOOKUP(C4,Kuponger!E:E,Kuponger!BS:BS),1,2))*-1,"")</f>
        <v>0</v>
      </c>
      <c r="H4">
        <f t="shared" ca="1" si="1"/>
        <v>780</v>
      </c>
      <c r="I4">
        <f ca="1">IFERROR(IF(t_toh[[#This Row],[tp]]&lt;&gt;"",OFFSET(_xlfn.XLOOKUP(C4,Kuponger!E:E,Kuponger!BS:BS),1,1),""),"")</f>
        <v>1</v>
      </c>
      <c r="J4" s="3">
        <f ca="1">IFERROR(IF(t_toh[[#This Row],[Dato]]="",0,OFFSET(_xlfn.XLOOKUP(t_toh[[#This Row],[Dato]],Kuponger!E:E,Kuponger!BS:BS),1,7)),"")</f>
        <v>12</v>
      </c>
      <c r="K4" s="3">
        <f ca="1">IFERROR(SUM(t_toh[[#This Row],[tp]]),0)</f>
        <v>780</v>
      </c>
      <c r="L4" s="3">
        <f ca="1">IF(t_rb[[#This Row],[Antall_rette]]=12,1,"")</f>
        <v>1</v>
      </c>
      <c r="M4" s="3" t="str">
        <f ca="1">IF(t_rb[[#This Row],[Antall_rette]]=11,1,"")</f>
        <v/>
      </c>
      <c r="N4" s="3" t="str">
        <f ca="1">IF(t_rb[[#This Row],[Antall_rette]]=10,1,"")</f>
        <v/>
      </c>
      <c r="O4" s="3">
        <f ca="1">IF(t_toh[[#This Row],[12_Antall]]=1,Data!$AJ$3,0)</f>
        <v>1070</v>
      </c>
      <c r="P4" s="3">
        <f ca="1">IF(t_toh[[#This Row],[11_Antall]]=1,Data!$AJ$2,0)</f>
        <v>0</v>
      </c>
      <c r="Q4" s="3">
        <f ca="1">IF(t_toh[[#This Row],[10_Antall]]=1,Data!$AJ$1,0)</f>
        <v>0</v>
      </c>
      <c r="R4" s="3" t="str" cm="1">
        <f t="array" ref="R4">IFERROR(IF(_xlfn.XLOOKUP(t_toh[[#This Row],[Dato]]&amp;t_toh[[#This Row],[navn]],Regnskap!$C$10:$C$51&amp;Regnskap!$K$10:$K$51,Regnskap!$H$10:$H$51)&gt;0,Data!$AJ$3,""),"")</f>
        <v/>
      </c>
      <c r="S4" s="3" t="str" cm="1">
        <f t="array" ref="S4">IFERROR(IF(t_toh[[#This Row],[12_pLEV]]="",IF(_xlfn.XLOOKUP(t_toh[[#This Row],[Dato]]&amp;t_toh[[#This Row],[navn]],Regnskap!$C$10:$C$51&amp;Regnskap!$K$10:$K$51,Regnskap!$I$10:$I$51)&gt;0,Data!$AJ$2)),"")</f>
        <v/>
      </c>
      <c r="T4" s="3" t="str" cm="1">
        <f t="array" ref="T4">IFERROR(IF(t_toh[[#This Row],[11_pLEV]]="",IF(_xlfn.XLOOKUP(t_toh[[#This Row],[Dato]]&amp;t_toh[[#This Row],[navn]],Regnskap!$C$10:$C$51&amp;Regnskap!$K$10:$K$51,Regnskap!$J$10:$J$51)&gt;0,Data!$AJ$1),""),"")</f>
        <v/>
      </c>
      <c r="U4" s="3">
        <f ca="1">SUM(t_toh[[#This Row],[12_poeng]:[10_pLEV]])</f>
        <v>1070</v>
      </c>
      <c r="V4" s="3">
        <f ca="1">SUM(t_toh[[#This Row],[Summert]]+t_toh[[#This Row],[LEV_poeng]])</f>
        <v>1850</v>
      </c>
    </row>
    <row r="5" spans="1:36" x14ac:dyDescent="0.2">
      <c r="A5" s="3" t="s">
        <v>910</v>
      </c>
      <c r="B5">
        <f>IF(t_toh[[#This Row],[Dato]]&lt;&gt;"",WEEKNUM(t_toh[[#This Row],[Dato]]),"")</f>
        <v>36</v>
      </c>
      <c r="C5" s="22">
        <f>Data!AL4</f>
        <v>46270</v>
      </c>
      <c r="D5">
        <f ca="1">IFERROR(IF(t_toh[[#This Row],[Dato]]="","",OFFSET(_xlfn.XLOOKUP(C5,Kuponger!E:E,Kuponger!BS:BS),15,0)),"")</f>
        <v>780</v>
      </c>
      <c r="E5">
        <f ca="1">IFERROR(OFFSET(_xlfn.XLOOKUP(C5,Kuponger!E:E,Kuponger!BS:BS),15,1),"")</f>
        <v>0</v>
      </c>
      <c r="F5">
        <f ca="1">IFERROR(IF(t_toh[[#This Row],[Dato]]="","",OFFSET(_xlfn.XLOOKUP(C5,Kuponger!E:E,Kuponger!BS:BS),15,2)),"")</f>
        <v>0</v>
      </c>
      <c r="G5">
        <f ca="1">IFERROR(IF(OFFSET(_xlfn.XLOOKUP(C5,Kuponger!E:E,Kuponger!BS:BS),0,2)=0,"",OFFSET(_xlfn.XLOOKUP(C5,Kuponger!E:E,Kuponger!BS:BS),1,2))*-1,"")</f>
        <v>0</v>
      </c>
      <c r="H5">
        <f t="shared" ca="1" si="1"/>
        <v>780</v>
      </c>
      <c r="I5">
        <f ca="1">IFERROR(IF(t_toh[[#This Row],[tp]]&lt;&gt;"",OFFSET(_xlfn.XLOOKUP(C5,Kuponger!E:E,Kuponger!BS:BS),1,1),""),"")</f>
        <v>1</v>
      </c>
      <c r="J5" s="3">
        <f ca="1">IFERROR(IF(t_toh[[#This Row],[Dato]]="",0,OFFSET(_xlfn.XLOOKUP(t_toh[[#This Row],[Dato]],Kuponger!E:E,Kuponger!BS:BS),1,7)),"")</f>
        <v>12</v>
      </c>
      <c r="K5" s="3">
        <f ca="1">IFERROR(SUM(t_toh[[#This Row],[tp]]),0)</f>
        <v>780</v>
      </c>
      <c r="L5" s="3">
        <f ca="1">IF(t_rb[[#This Row],[Antall_rette]]=12,1,"")</f>
        <v>1</v>
      </c>
      <c r="M5" s="3" t="str">
        <f ca="1">IF(t_rb[[#This Row],[Antall_rette]]=11,1,"")</f>
        <v/>
      </c>
      <c r="N5" s="3" t="str">
        <f ca="1">IF(t_rb[[#This Row],[Antall_rette]]=10,1,"")</f>
        <v/>
      </c>
      <c r="O5" s="3">
        <f ca="1">IF(t_toh[[#This Row],[12_Antall]]=1,Data!$AJ$3,0)</f>
        <v>1070</v>
      </c>
      <c r="P5" s="3">
        <f ca="1">IF(t_toh[[#This Row],[11_Antall]]=1,Data!$AJ$2,0)</f>
        <v>0</v>
      </c>
      <c r="Q5" s="3">
        <f ca="1">IF(t_toh[[#This Row],[10_Antall]]=1,Data!$AJ$1,0)</f>
        <v>0</v>
      </c>
      <c r="R5" s="3" t="str" cm="1">
        <f t="array" ref="R5">IFERROR(IF(_xlfn.XLOOKUP(t_toh[[#This Row],[Dato]]&amp;t_toh[[#This Row],[navn]],Regnskap!$C$10:$C$51&amp;Regnskap!$K$10:$K$51,Regnskap!$H$10:$H$51)&gt;0,Data!$AJ$3,""),"")</f>
        <v/>
      </c>
      <c r="S5" s="3" t="str" cm="1">
        <f t="array" ref="S5">IFERROR(IF(t_toh[[#This Row],[12_pLEV]]="",IF(_xlfn.XLOOKUP(t_toh[[#This Row],[Dato]]&amp;t_toh[[#This Row],[navn]],Regnskap!$C$10:$C$51&amp;Regnskap!$K$10:$K$51,Regnskap!$I$10:$I$51)&gt;0,Data!$AJ$2)),"")</f>
        <v/>
      </c>
      <c r="T5" s="3" t="str" cm="1">
        <f t="array" ref="T5">IFERROR(IF(t_toh[[#This Row],[11_pLEV]]="",IF(_xlfn.XLOOKUP(t_toh[[#This Row],[Dato]]&amp;t_toh[[#This Row],[navn]],Regnskap!$C$10:$C$51&amp;Regnskap!$K$10:$K$51,Regnskap!$J$10:$J$51)&gt;0,Data!$AJ$1),""),"")</f>
        <v/>
      </c>
      <c r="U5" s="3">
        <f ca="1">SUM(t_toh[[#This Row],[12_poeng]:[10_pLEV]])</f>
        <v>1070</v>
      </c>
      <c r="V5" s="3">
        <f ca="1">SUM(t_toh[[#This Row],[Summert]]+t_toh[[#This Row],[LEV_poeng]])</f>
        <v>1850</v>
      </c>
    </row>
    <row r="6" spans="1:36" x14ac:dyDescent="0.2">
      <c r="A6" s="3" t="s">
        <v>910</v>
      </c>
      <c r="B6">
        <f>IF(t_toh[[#This Row],[Dato]]&lt;&gt;"",WEEKNUM(t_toh[[#This Row],[Dato]]),"")</f>
        <v>37</v>
      </c>
      <c r="C6" s="22">
        <f>Data!AL5</f>
        <v>46277</v>
      </c>
      <c r="D6">
        <f ca="1">IFERROR(IF(t_toh[[#This Row],[Dato]]="","",OFFSET(_xlfn.XLOOKUP(C6,Kuponger!E:E,Kuponger!BS:BS),15,0)),"")</f>
        <v>0</v>
      </c>
      <c r="E6">
        <f ca="1">IFERROR(OFFSET(_xlfn.XLOOKUP(C6,Kuponger!E:E,Kuponger!BS:BS),15,1),"")</f>
        <v>0</v>
      </c>
      <c r="F6">
        <f ca="1">IFERROR(IF(t_toh[[#This Row],[Dato]]="","",OFFSET(_xlfn.XLOOKUP(C6,Kuponger!E:E,Kuponger!BS:BS),15,2)),"")</f>
        <v>852</v>
      </c>
      <c r="G6">
        <f ca="1">IFERROR(IF(OFFSET(_xlfn.XLOOKUP(C6,Kuponger!E:E,Kuponger!BS:BS),0,2)=0,"",OFFSET(_xlfn.XLOOKUP(C6,Kuponger!E:E,Kuponger!BS:BS),1,2))*-1,"")</f>
        <v>0</v>
      </c>
      <c r="H6">
        <f t="shared" ca="1" si="1"/>
        <v>852</v>
      </c>
      <c r="I6" t="str">
        <f ca="1">IFERROR(IF(t_toh[[#This Row],[tp]]&lt;&gt;"",OFFSET(_xlfn.XLOOKUP(C6,Kuponger!E:E,Kuponger!BS:BS),1,1),""),"")</f>
        <v/>
      </c>
      <c r="J6" s="3">
        <f ca="1">IFERROR(IF(t_toh[[#This Row],[Dato]]="",0,OFFSET(_xlfn.XLOOKUP(t_toh[[#This Row],[Dato]],Kuponger!E:E,Kuponger!BS:BS),1,7)),"")</f>
        <v>12</v>
      </c>
      <c r="K6" s="3">
        <f ca="1">IFERROR(SUM(t_toh[[#This Row],[tp]]),0)</f>
        <v>852</v>
      </c>
      <c r="L6" s="3">
        <f ca="1">IF(t_rb[[#This Row],[Antall_rette]]=12,1,"")</f>
        <v>1</v>
      </c>
      <c r="M6" s="3" t="str">
        <f ca="1">IF(t_rb[[#This Row],[Antall_rette]]=11,1,"")</f>
        <v/>
      </c>
      <c r="N6" s="3" t="str">
        <f ca="1">IF(t_rb[[#This Row],[Antall_rette]]=10,1,"")</f>
        <v/>
      </c>
      <c r="O6" s="3">
        <f ca="1">IF(t_toh[[#This Row],[12_Antall]]=1,Data!$AJ$3,0)</f>
        <v>1070</v>
      </c>
      <c r="P6" s="3">
        <f ca="1">IF(t_toh[[#This Row],[11_Antall]]=1,Data!$AJ$2,0)</f>
        <v>0</v>
      </c>
      <c r="Q6" s="3">
        <f ca="1">IF(t_toh[[#This Row],[10_Antall]]=1,Data!$AJ$1,0)</f>
        <v>0</v>
      </c>
      <c r="R6" s="3" t="str" cm="1">
        <f t="array" ref="R6">IFERROR(IF(_xlfn.XLOOKUP(t_toh[[#This Row],[Dato]]&amp;t_toh[[#This Row],[navn]],Regnskap!$C$10:$C$51&amp;Regnskap!$K$10:$K$51,Regnskap!$H$10:$H$51)&gt;0,Data!$AJ$3,""),"")</f>
        <v/>
      </c>
      <c r="S6" s="3" t="str" cm="1">
        <f t="array" ref="S6">IFERROR(IF(t_toh[[#This Row],[12_pLEV]]="",IF(_xlfn.XLOOKUP(t_toh[[#This Row],[Dato]]&amp;t_toh[[#This Row],[navn]],Regnskap!$C$10:$C$51&amp;Regnskap!$K$10:$K$51,Regnskap!$I$10:$I$51)&gt;0,Data!$AJ$2)),"")</f>
        <v/>
      </c>
      <c r="T6" s="3" t="str" cm="1">
        <f t="array" ref="T6">IFERROR(IF(t_toh[[#This Row],[11_pLEV]]="",IF(_xlfn.XLOOKUP(t_toh[[#This Row],[Dato]]&amp;t_toh[[#This Row],[navn]],Regnskap!$C$10:$C$51&amp;Regnskap!$K$10:$K$51,Regnskap!$J$10:$J$51)&gt;0,Data!$AJ$1),""),"")</f>
        <v/>
      </c>
      <c r="U6" s="3">
        <f ca="1">SUM(t_toh[[#This Row],[12_poeng]:[10_pLEV]])</f>
        <v>1070</v>
      </c>
      <c r="V6" s="3">
        <f ca="1">SUM(t_toh[[#This Row],[Summert]]+t_toh[[#This Row],[LEV_poeng]])</f>
        <v>1922</v>
      </c>
    </row>
    <row r="7" spans="1:36" ht="15" x14ac:dyDescent="0.25">
      <c r="A7" s="3" t="s">
        <v>910</v>
      </c>
      <c r="B7">
        <f>IF(t_toh[[#This Row],[Dato]]&lt;&gt;"",WEEKNUM(t_toh[[#This Row],[Dato]]),"")</f>
        <v>38</v>
      </c>
      <c r="C7" s="22">
        <f>Data!AL6</f>
        <v>46284</v>
      </c>
      <c r="D7">
        <f ca="1">IFERROR(IF(t_toh[[#This Row],[Dato]]="","",OFFSET(_xlfn.XLOOKUP(C7,Kuponger!E:E,Kuponger!BS:BS),15,0)),"")</f>
        <v>0</v>
      </c>
      <c r="E7">
        <f ca="1">IFERROR(OFFSET(_xlfn.XLOOKUP(C7,Kuponger!E:E,Kuponger!BS:BS),15,1),"")</f>
        <v>0</v>
      </c>
      <c r="F7">
        <f ca="1">IFERROR(IF(t_toh[[#This Row],[Dato]]="","",OFFSET(_xlfn.XLOOKUP(C7,Kuponger!E:E,Kuponger!BS:BS),15,2)),"")</f>
        <v>852</v>
      </c>
      <c r="G7">
        <f ca="1">IFERROR(IF(OFFSET(_xlfn.XLOOKUP(C7,Kuponger!E:E,Kuponger!BS:BS),0,2)=0,"",OFFSET(_xlfn.XLOOKUP(C7,Kuponger!E:E,Kuponger!BS:BS),1,2))*-1,"")</f>
        <v>0</v>
      </c>
      <c r="H7">
        <f t="shared" ca="1" si="1"/>
        <v>852</v>
      </c>
      <c r="I7" t="str">
        <f ca="1">IFERROR(IF(t_toh[[#This Row],[tp]]&lt;&gt;"",OFFSET(_xlfn.XLOOKUP(C7,Kuponger!E:E,Kuponger!BS:BS),1,1),""),"")</f>
        <v/>
      </c>
      <c r="J7" s="3">
        <f ca="1">IFERROR(IF(t_toh[[#This Row],[Dato]]="",0,OFFSET(_xlfn.XLOOKUP(t_toh[[#This Row],[Dato]],Kuponger!E:E,Kuponger!BS:BS),1,7)),"")</f>
        <v>12</v>
      </c>
      <c r="K7" s="3">
        <f ca="1">IFERROR(SUM(t_toh[[#This Row],[tp]]),0)</f>
        <v>852</v>
      </c>
      <c r="L7" s="3">
        <f ca="1">IF(t_rb[[#This Row],[Antall_rette]]=12,1,"")</f>
        <v>1</v>
      </c>
      <c r="M7" s="3" t="str">
        <f ca="1">IF(t_rb[[#This Row],[Antall_rette]]=11,1,"")</f>
        <v/>
      </c>
      <c r="N7" s="3" t="str">
        <f ca="1">IF(t_rb[[#This Row],[Antall_rette]]=10,1,"")</f>
        <v/>
      </c>
      <c r="O7" s="3">
        <f ca="1">IF(t_toh[[#This Row],[12_Antall]]=1,Data!$AJ$3,0)</f>
        <v>1070</v>
      </c>
      <c r="P7" s="3">
        <f ca="1">IF(t_toh[[#This Row],[11_Antall]]=1,Data!$AJ$2,0)</f>
        <v>0</v>
      </c>
      <c r="Q7" s="3">
        <f ca="1">IF(t_toh[[#This Row],[10_Antall]]=1,Data!$AJ$1,0)</f>
        <v>0</v>
      </c>
      <c r="R7" s="3" t="str" cm="1">
        <f t="array" ref="R7">IFERROR(IF(_xlfn.XLOOKUP(t_toh[[#This Row],[Dato]]&amp;t_toh[[#This Row],[navn]],Regnskap!$C$10:$C$51&amp;Regnskap!$K$10:$K$51,Regnskap!$H$10:$H$51)&gt;0,Data!$AJ$3,""),"")</f>
        <v/>
      </c>
      <c r="S7" s="3" t="str" cm="1">
        <f t="array" ref="S7">IFERROR(IF(t_toh[[#This Row],[12_pLEV]]="",IF(_xlfn.XLOOKUP(t_toh[[#This Row],[Dato]]&amp;t_toh[[#This Row],[navn]],Regnskap!$C$10:$C$51&amp;Regnskap!$K$10:$K$51,Regnskap!$I$10:$I$51)&gt;0,Data!$AJ$2)),"")</f>
        <v/>
      </c>
      <c r="T7" s="3" t="str" cm="1">
        <f t="array" ref="T7">IFERROR(IF(t_toh[[#This Row],[11_pLEV]]="",IF(_xlfn.XLOOKUP(t_toh[[#This Row],[Dato]]&amp;t_toh[[#This Row],[navn]],Regnskap!$C$10:$C$51&amp;Regnskap!$K$10:$K$51,Regnskap!$J$10:$J$51)&gt;0,Data!$AJ$1),""),"")</f>
        <v/>
      </c>
      <c r="U7" s="3">
        <f ca="1">SUM(t_toh[[#This Row],[12_poeng]:[10_pLEV]])</f>
        <v>1070</v>
      </c>
      <c r="V7" s="3">
        <f ca="1">SUM(t_toh[[#This Row],[Summert]]+t_toh[[#This Row],[LEV_poeng]])</f>
        <v>1922</v>
      </c>
      <c r="W7" s="671"/>
      <c r="X7" s="671"/>
      <c r="Y7" s="671"/>
      <c r="Z7" s="671"/>
      <c r="AA7" s="671"/>
      <c r="AB7" s="671"/>
      <c r="AC7" s="23"/>
    </row>
    <row r="8" spans="1:36" x14ac:dyDescent="0.2">
      <c r="A8" s="3" t="s">
        <v>910</v>
      </c>
      <c r="B8">
        <f>IF(t_toh[[#This Row],[Dato]]&lt;&gt;"",WEEKNUM(t_toh[[#This Row],[Dato]]),"")</f>
        <v>39</v>
      </c>
      <c r="C8" s="22">
        <f>Data!AL7</f>
        <v>46291</v>
      </c>
      <c r="D8">
        <f ca="1">IFERROR(IF(t_toh[[#This Row],[Dato]]="","",OFFSET(_xlfn.XLOOKUP(C8,Kuponger!E:E,Kuponger!BS:BS),15,0)),"")</f>
        <v>0</v>
      </c>
      <c r="E8">
        <f ca="1">IFERROR(OFFSET(_xlfn.XLOOKUP(C8,Kuponger!E:E,Kuponger!BS:BS),15,1),"")</f>
        <v>0</v>
      </c>
      <c r="F8">
        <f ca="1">IFERROR(IF(t_toh[[#This Row],[Dato]]="","",OFFSET(_xlfn.XLOOKUP(C8,Kuponger!E:E,Kuponger!BS:BS),15,2)),"")</f>
        <v>710</v>
      </c>
      <c r="G8">
        <f ca="1">IFERROR(IF(OFFSET(_xlfn.XLOOKUP(C8,Kuponger!E:E,Kuponger!BS:BS),0,2)=0,"",OFFSET(_xlfn.XLOOKUP(C8,Kuponger!E:E,Kuponger!BS:BS),1,2))*-1,"")</f>
        <v>0</v>
      </c>
      <c r="H8">
        <f t="shared" ca="1" si="1"/>
        <v>710</v>
      </c>
      <c r="I8" t="str">
        <f ca="1">IFERROR(IF(t_toh[[#This Row],[tp]]&lt;&gt;"",OFFSET(_xlfn.XLOOKUP(C8,Kuponger!E:E,Kuponger!BS:BS),1,1),""),"")</f>
        <v/>
      </c>
      <c r="J8" s="3">
        <f ca="1">IFERROR(IF(t_toh[[#This Row],[Dato]]="",0,OFFSET(_xlfn.XLOOKUP(t_toh[[#This Row],[Dato]],Kuponger!E:E,Kuponger!BS:BS),1,7)),"")</f>
        <v>10</v>
      </c>
      <c r="K8" s="3">
        <f ca="1">IFERROR(SUM(t_toh[[#This Row],[tp]]),0)</f>
        <v>710</v>
      </c>
      <c r="L8" s="3" t="str">
        <f ca="1">IF(t_rb[[#This Row],[Antall_rette]]=12,1,"")</f>
        <v/>
      </c>
      <c r="M8" s="3" t="str">
        <f ca="1">IF(t_rb[[#This Row],[Antall_rette]]=11,1,"")</f>
        <v/>
      </c>
      <c r="N8" s="3">
        <f ca="1">IF(t_rb[[#This Row],[Antall_rette]]=10,1,"")</f>
        <v>1</v>
      </c>
      <c r="O8" s="3">
        <f ca="1">IF(t_toh[[#This Row],[12_Antall]]=1,Data!$AJ$3,0)</f>
        <v>0</v>
      </c>
      <c r="P8" s="3">
        <f ca="1">IF(t_toh[[#This Row],[11_Antall]]=1,Data!$AJ$2,0)</f>
        <v>0</v>
      </c>
      <c r="Q8" s="3">
        <f ca="1">IF(t_toh[[#This Row],[10_Antall]]=1,Data!$AJ$1,0)</f>
        <v>58</v>
      </c>
      <c r="R8" s="3" t="str" cm="1">
        <f t="array" ref="R8">IFERROR(IF(_xlfn.XLOOKUP(t_toh[[#This Row],[Dato]]&amp;t_toh[[#This Row],[navn]],Regnskap!$C$10:$C$51&amp;Regnskap!$K$10:$K$51,Regnskap!$H$10:$H$51)&gt;0,Data!$AJ$3,""),"")</f>
        <v/>
      </c>
      <c r="S8" s="3" t="str" cm="1">
        <f t="array" ref="S8">IFERROR(IF(t_toh[[#This Row],[12_pLEV]]="",IF(_xlfn.XLOOKUP(t_toh[[#This Row],[Dato]]&amp;t_toh[[#This Row],[navn]],Regnskap!$C$10:$C$51&amp;Regnskap!$K$10:$K$51,Regnskap!$I$10:$I$51)&gt;0,Data!$AJ$2)),"")</f>
        <v/>
      </c>
      <c r="T8" s="3" t="str" cm="1">
        <f t="array" ref="T8">IFERROR(IF(t_toh[[#This Row],[11_pLEV]]="",IF(_xlfn.XLOOKUP(t_toh[[#This Row],[Dato]]&amp;t_toh[[#This Row],[navn]],Regnskap!$C$10:$C$51&amp;Regnskap!$K$10:$K$51,Regnskap!$J$10:$J$51)&gt;0,Data!$AJ$1),""),"")</f>
        <v/>
      </c>
      <c r="U8" s="3">
        <f ca="1">SUM(t_toh[[#This Row],[12_poeng]:[10_pLEV]])</f>
        <v>58</v>
      </c>
      <c r="V8" s="3">
        <f ca="1">SUM(t_toh[[#This Row],[Summert]]+t_toh[[#This Row],[LEV_poeng]])</f>
        <v>768</v>
      </c>
    </row>
    <row r="9" spans="1:36" x14ac:dyDescent="0.2">
      <c r="A9" s="3" t="s">
        <v>910</v>
      </c>
      <c r="B9">
        <f>IF(t_toh[[#This Row],[Dato]]&lt;&gt;"",WEEKNUM(t_toh[[#This Row],[Dato]]),"")</f>
        <v>40</v>
      </c>
      <c r="C9" s="22">
        <f>Data!AL8</f>
        <v>46298</v>
      </c>
      <c r="D9">
        <f ca="1">IFERROR(IF(t_toh[[#This Row],[Dato]]="","",OFFSET(_xlfn.XLOOKUP(C9,Kuponger!E:E,Kuponger!BS:BS),15,0)),"")</f>
        <v>0</v>
      </c>
      <c r="E9">
        <f ca="1">IFERROR(OFFSET(_xlfn.XLOOKUP(C9,Kuponger!E:E,Kuponger!BS:BS),15,1),"")</f>
        <v>814</v>
      </c>
      <c r="F9">
        <f ca="1">IFERROR(IF(t_toh[[#This Row],[Dato]]="","",OFFSET(_xlfn.XLOOKUP(C9,Kuponger!E:E,Kuponger!BS:BS),15,2)),"")</f>
        <v>0</v>
      </c>
      <c r="G9">
        <f ca="1">IFERROR(IF(OFFSET(_xlfn.XLOOKUP(C9,Kuponger!E:E,Kuponger!BS:BS),0,2)=0,"",OFFSET(_xlfn.XLOOKUP(C9,Kuponger!E:E,Kuponger!BS:BS),1,2))*-1,"")</f>
        <v>0</v>
      </c>
      <c r="H9">
        <f t="shared" ca="1" si="1"/>
        <v>814</v>
      </c>
      <c r="I9">
        <f ca="1">IFERROR(IF(t_toh[[#This Row],[tp]]&lt;&gt;"",OFFSET(_xlfn.XLOOKUP(C9,Kuponger!E:E,Kuponger!BS:BS),1,1),""),"")</f>
        <v>1</v>
      </c>
      <c r="J9" s="3">
        <f ca="1">IFERROR(IF(t_toh[[#This Row],[Dato]]="",0,OFFSET(_xlfn.XLOOKUP(t_toh[[#This Row],[Dato]],Kuponger!E:E,Kuponger!BS:BS),1,7)),"")</f>
        <v>11</v>
      </c>
      <c r="K9" s="3">
        <f ca="1">IFERROR(SUM(t_toh[[#This Row],[tp]]),0)</f>
        <v>814</v>
      </c>
      <c r="L9" s="3" t="str">
        <f ca="1">IF(t_rb[[#This Row],[Antall_rette]]=12,1,"")</f>
        <v/>
      </c>
      <c r="M9" s="3">
        <f ca="1">IF(t_rb[[#This Row],[Antall_rette]]=11,1,"")</f>
        <v>1</v>
      </c>
      <c r="N9" s="3" t="str">
        <f ca="1">IF(t_rb[[#This Row],[Antall_rette]]=10,1,"")</f>
        <v/>
      </c>
      <c r="O9" s="3">
        <f ca="1">IF(t_toh[[#This Row],[12_Antall]]=1,Data!$AJ$3,0)</f>
        <v>0</v>
      </c>
      <c r="P9" s="3">
        <f ca="1">IF(t_toh[[#This Row],[11_Antall]]=1,Data!$AJ$2,0)</f>
        <v>161</v>
      </c>
      <c r="Q9" s="3">
        <f ca="1">IF(t_toh[[#This Row],[10_Antall]]=1,Data!$AJ$1,0)</f>
        <v>0</v>
      </c>
      <c r="R9" s="3" t="str" cm="1">
        <f t="array" ref="R9">IFERROR(IF(_xlfn.XLOOKUP(t_toh[[#This Row],[Dato]]&amp;t_toh[[#This Row],[navn]],Regnskap!$C$10:$C$51&amp;Regnskap!$K$10:$K$51,Regnskap!$H$10:$H$51)&gt;0,Data!$AJ$3,""),"")</f>
        <v/>
      </c>
      <c r="S9" s="3" t="str" cm="1">
        <f t="array" ref="S9">IFERROR(IF(t_toh[[#This Row],[12_pLEV]]="",IF(_xlfn.XLOOKUP(t_toh[[#This Row],[Dato]]&amp;t_toh[[#This Row],[navn]],Regnskap!$C$10:$C$51&amp;Regnskap!$K$10:$K$51,Regnskap!$I$10:$I$51)&gt;0,Data!$AJ$2)),"")</f>
        <v/>
      </c>
      <c r="T9" s="3" t="str" cm="1">
        <f t="array" ref="T9">IFERROR(IF(t_toh[[#This Row],[11_pLEV]]="",IF(_xlfn.XLOOKUP(t_toh[[#This Row],[Dato]]&amp;t_toh[[#This Row],[navn]],Regnskap!$C$10:$C$51&amp;Regnskap!$K$10:$K$51,Regnskap!$J$10:$J$51)&gt;0,Data!$AJ$1),""),"")</f>
        <v/>
      </c>
      <c r="U9" s="3">
        <f ca="1">SUM(t_toh[[#This Row],[12_poeng]:[10_pLEV]])</f>
        <v>161</v>
      </c>
      <c r="V9" s="3">
        <f ca="1">SUM(t_toh[[#This Row],[Summert]]+t_toh[[#This Row],[LEV_poeng]])</f>
        <v>975</v>
      </c>
    </row>
    <row r="10" spans="1:36" x14ac:dyDescent="0.2">
      <c r="A10" s="3" t="s">
        <v>910</v>
      </c>
      <c r="B10">
        <f>IF(t_toh[[#This Row],[Dato]]&lt;&gt;"",WEEKNUM(t_toh[[#This Row],[Dato]]),"")</f>
        <v>41</v>
      </c>
      <c r="C10" s="22">
        <f>Data!AL9</f>
        <v>46305</v>
      </c>
      <c r="D10">
        <f ca="1">IFERROR(IF(t_toh[[#This Row],[Dato]]="","",OFFSET(_xlfn.XLOOKUP(C10,Kuponger!E:E,Kuponger!BS:BS),15,0)),"")</f>
        <v>0</v>
      </c>
      <c r="E10">
        <f ca="1">IFERROR(OFFSET(_xlfn.XLOOKUP(C10,Kuponger!E:E,Kuponger!BS:BS),15,1),"")</f>
        <v>888</v>
      </c>
      <c r="F10">
        <f ca="1">IFERROR(IF(t_toh[[#This Row],[Dato]]="","",OFFSET(_xlfn.XLOOKUP(C10,Kuponger!E:E,Kuponger!BS:BS),15,2)),"")</f>
        <v>0</v>
      </c>
      <c r="G10">
        <f ca="1">IFERROR(IF(OFFSET(_xlfn.XLOOKUP(C10,Kuponger!E:E,Kuponger!BS:BS),0,2)=0,"",OFFSET(_xlfn.XLOOKUP(C10,Kuponger!E:E,Kuponger!BS:BS),1,2))*-1,"")</f>
        <v>0</v>
      </c>
      <c r="H10">
        <f t="shared" ca="1" si="1"/>
        <v>888</v>
      </c>
      <c r="I10">
        <f ca="1">IFERROR(IF(t_toh[[#This Row],[tp]]&lt;&gt;"",OFFSET(_xlfn.XLOOKUP(C10,Kuponger!E:E,Kuponger!BS:BS),1,1),""),"")</f>
        <v>1</v>
      </c>
      <c r="J10" s="3">
        <f ca="1">IFERROR(IF(t_toh[[#This Row],[Dato]]="",0,OFFSET(_xlfn.XLOOKUP(t_toh[[#This Row],[Dato]],Kuponger!E:E,Kuponger!BS:BS),1,7)),"")</f>
        <v>12</v>
      </c>
      <c r="K10" s="3">
        <f ca="1">IFERROR(SUM(t_toh[[#This Row],[tp]]),0)</f>
        <v>888</v>
      </c>
      <c r="L10" s="3">
        <f ca="1">IF(t_rb[[#This Row],[Antall_rette]]=12,1,"")</f>
        <v>1</v>
      </c>
      <c r="M10" s="3" t="str">
        <f ca="1">IF(t_rb[[#This Row],[Antall_rette]]=11,1,"")</f>
        <v/>
      </c>
      <c r="N10" s="3" t="str">
        <f ca="1">IF(t_rb[[#This Row],[Antall_rette]]=10,1,"")</f>
        <v/>
      </c>
      <c r="O10" s="3">
        <f ca="1">IF(t_toh[[#This Row],[12_Antall]]=1,Data!$AJ$3,0)</f>
        <v>1070</v>
      </c>
      <c r="P10" s="3">
        <f ca="1">IF(t_toh[[#This Row],[11_Antall]]=1,Data!$AJ$2,0)</f>
        <v>0</v>
      </c>
      <c r="Q10" s="3">
        <f ca="1">IF(t_toh[[#This Row],[10_Antall]]=1,Data!$AJ$1,0)</f>
        <v>0</v>
      </c>
      <c r="R10" s="3" t="str" cm="1">
        <f t="array" ref="R10">IFERROR(IF(_xlfn.XLOOKUP(t_toh[[#This Row],[Dato]]&amp;t_toh[[#This Row],[navn]],Regnskap!$C$10:$C$51&amp;Regnskap!$K$10:$K$51,Regnskap!$H$10:$H$51)&gt;0,Data!$AJ$3,""),"")</f>
        <v/>
      </c>
      <c r="S10" s="3" t="str" cm="1">
        <f t="array" ref="S10">IFERROR(IF(t_toh[[#This Row],[12_pLEV]]="",IF(_xlfn.XLOOKUP(t_toh[[#This Row],[Dato]]&amp;t_toh[[#This Row],[navn]],Regnskap!$C$10:$C$51&amp;Regnskap!$K$10:$K$51,Regnskap!$I$10:$I$51)&gt;0,Data!$AJ$2)),"")</f>
        <v/>
      </c>
      <c r="T10" s="3" t="str" cm="1">
        <f t="array" ref="T10">IFERROR(IF(t_toh[[#This Row],[11_pLEV]]="",IF(_xlfn.XLOOKUP(t_toh[[#This Row],[Dato]]&amp;t_toh[[#This Row],[navn]],Regnskap!$C$10:$C$51&amp;Regnskap!$K$10:$K$51,Regnskap!$J$10:$J$51)&gt;0,Data!$AJ$1),""),"")</f>
        <v/>
      </c>
      <c r="U10" s="3">
        <f ca="1">SUM(t_toh[[#This Row],[12_poeng]:[10_pLEV]])</f>
        <v>1070</v>
      </c>
      <c r="V10" s="3">
        <f ca="1">SUM(t_toh[[#This Row],[Summert]]+t_toh[[#This Row],[LEV_poeng]])</f>
        <v>1958</v>
      </c>
    </row>
    <row r="11" spans="1:36" x14ac:dyDescent="0.2">
      <c r="A11" s="3" t="s">
        <v>910</v>
      </c>
      <c r="B11">
        <f>IF(t_toh[[#This Row],[Dato]]&lt;&gt;"",WEEKNUM(t_toh[[#This Row],[Dato]]),"")</f>
        <v>42</v>
      </c>
      <c r="C11" s="22">
        <f>Data!AL10</f>
        <v>46312</v>
      </c>
      <c r="D11">
        <f ca="1">IFERROR(IF(t_toh[[#This Row],[Dato]]="","",OFFSET(_xlfn.XLOOKUP(C11,Kuponger!E:E,Kuponger!BS:BS),15,0)),"")</f>
        <v>0</v>
      </c>
      <c r="E11">
        <f ca="1">IFERROR(OFFSET(_xlfn.XLOOKUP(C11,Kuponger!E:E,Kuponger!BS:BS),15,1),"")</f>
        <v>0</v>
      </c>
      <c r="F11">
        <f ca="1">IFERROR(IF(t_toh[[#This Row],[Dato]]="","",OFFSET(_xlfn.XLOOKUP(C11,Kuponger!E:E,Kuponger!BS:BS),15,2)),"")</f>
        <v>0</v>
      </c>
      <c r="G11">
        <f ca="1">IFERROR(IF(OFFSET(_xlfn.XLOOKUP(C11,Kuponger!E:E,Kuponger!BS:BS),0,2)=0,"",OFFSET(_xlfn.XLOOKUP(C11,Kuponger!E:E,Kuponger!BS:BS),1,2))*-1,"")</f>
        <v>0</v>
      </c>
      <c r="H11" t="str">
        <f t="shared" ca="1" si="1"/>
        <v/>
      </c>
      <c r="I11" t="str">
        <f ca="1">IFERROR(IF(t_toh[[#This Row],[tp]]&lt;&gt;"",OFFSET(_xlfn.XLOOKUP(C11,Kuponger!E:E,Kuponger!BS:BS),1,1),""),"")</f>
        <v/>
      </c>
      <c r="J11" s="3">
        <f ca="1">IFERROR(IF(t_toh[[#This Row],[Dato]]="",0,OFFSET(_xlfn.XLOOKUP(t_toh[[#This Row],[Dato]],Kuponger!E:E,Kuponger!BS:BS),1,7)),"")</f>
        <v>0</v>
      </c>
      <c r="K11" s="3">
        <f ca="1">IFERROR(SUM(t_toh[[#This Row],[tp]]),0)</f>
        <v>0</v>
      </c>
      <c r="L11" s="3" t="str">
        <f ca="1">IF(t_rb[[#This Row],[Antall_rette]]=12,1,"")</f>
        <v/>
      </c>
      <c r="M11" s="3" t="str">
        <f ca="1">IF(t_rb[[#This Row],[Antall_rette]]=11,1,"")</f>
        <v/>
      </c>
      <c r="N11" s="3" t="str">
        <f ca="1">IF(t_rb[[#This Row],[Antall_rette]]=10,1,"")</f>
        <v/>
      </c>
      <c r="O11" s="3">
        <f ca="1">IF(t_toh[[#This Row],[12_Antall]]=1,Data!$AJ$3,0)</f>
        <v>0</v>
      </c>
      <c r="P11" s="3">
        <f ca="1">IF(t_toh[[#This Row],[11_Antall]]=1,Data!$AJ$2,0)</f>
        <v>0</v>
      </c>
      <c r="Q11" s="3">
        <f ca="1">IF(t_toh[[#This Row],[10_Antall]]=1,Data!$AJ$1,0)</f>
        <v>0</v>
      </c>
      <c r="R11" s="3" t="str" cm="1">
        <f t="array" ref="R11">IFERROR(IF(_xlfn.XLOOKUP(t_toh[[#This Row],[Dato]]&amp;t_toh[[#This Row],[navn]],Regnskap!$C$10:$C$51&amp;Regnskap!$K$10:$K$51,Regnskap!$H$10:$H$51)&gt;0,Data!$AJ$3,""),"")</f>
        <v/>
      </c>
      <c r="S11" s="3" t="str" cm="1">
        <f t="array" ref="S11">IFERROR(IF(t_toh[[#This Row],[12_pLEV]]="",IF(_xlfn.XLOOKUP(t_toh[[#This Row],[Dato]]&amp;t_toh[[#This Row],[navn]],Regnskap!$C$10:$C$51&amp;Regnskap!$K$10:$K$51,Regnskap!$I$10:$I$51)&gt;0,Data!$AJ$2)),"")</f>
        <v/>
      </c>
      <c r="T11" s="3" t="str" cm="1">
        <f t="array" ref="T11">IFERROR(IF(t_toh[[#This Row],[11_pLEV]]="",IF(_xlfn.XLOOKUP(t_toh[[#This Row],[Dato]]&amp;t_toh[[#This Row],[navn]],Regnskap!$C$10:$C$51&amp;Regnskap!$K$10:$K$51,Regnskap!$J$10:$J$51)&gt;0,Data!$AJ$1),""),"")</f>
        <v/>
      </c>
      <c r="U11" s="3">
        <f ca="1">SUM(t_toh[[#This Row],[12_poeng]:[10_pLEV]])</f>
        <v>0</v>
      </c>
      <c r="V11" s="3">
        <f ca="1">SUM(t_toh[[#This Row],[Summert]]+t_toh[[#This Row],[LEV_poeng]])</f>
        <v>0</v>
      </c>
    </row>
    <row r="12" spans="1:36" x14ac:dyDescent="0.2">
      <c r="A12" s="3" t="s">
        <v>910</v>
      </c>
      <c r="B12">
        <f>IF(t_toh[[#This Row],[Dato]]&lt;&gt;"",WEEKNUM(t_toh[[#This Row],[Dato]]),"")</f>
        <v>43</v>
      </c>
      <c r="C12" s="22">
        <f>Data!AL11</f>
        <v>46319</v>
      </c>
      <c r="D12">
        <f ca="1">IFERROR(IF(t_toh[[#This Row],[Dato]]="","",OFFSET(_xlfn.XLOOKUP(C12,Kuponger!E:E,Kuponger!BS:BS),15,0)),"")</f>
        <v>0</v>
      </c>
      <c r="E12">
        <f ca="1">IFERROR(OFFSET(_xlfn.XLOOKUP(C12,Kuponger!E:E,Kuponger!BS:BS),15,1),"")</f>
        <v>0</v>
      </c>
      <c r="F12">
        <f ca="1">IFERROR(IF(t_toh[[#This Row],[Dato]]="","",OFFSET(_xlfn.XLOOKUP(C12,Kuponger!E:E,Kuponger!BS:BS),15,2)),"")</f>
        <v>0</v>
      </c>
      <c r="G12">
        <f ca="1">IFERROR(IF(OFFSET(_xlfn.XLOOKUP(C12,Kuponger!E:E,Kuponger!BS:BS),0,2)=0,"",OFFSET(_xlfn.XLOOKUP(C12,Kuponger!E:E,Kuponger!BS:BS),1,2))*-1,"")</f>
        <v>0</v>
      </c>
      <c r="H12" t="str">
        <f t="shared" ca="1" si="1"/>
        <v/>
      </c>
      <c r="I12" t="str">
        <f ca="1">IFERROR(IF(t_toh[[#This Row],[tp]]&lt;&gt;"",OFFSET(_xlfn.XLOOKUP(C12,Kuponger!E:E,Kuponger!BS:BS),1,1),""),"")</f>
        <v/>
      </c>
      <c r="J12" s="3">
        <f ca="1">IFERROR(IF(t_toh[[#This Row],[Dato]]="",0,OFFSET(_xlfn.XLOOKUP(t_toh[[#This Row],[Dato]],Kuponger!E:E,Kuponger!BS:BS),1,7)),"")</f>
        <v>0</v>
      </c>
      <c r="K12" s="3">
        <f ca="1">IFERROR(SUM(t_toh[[#This Row],[tp]]),0)</f>
        <v>0</v>
      </c>
      <c r="L12" s="3" t="str">
        <f ca="1">IF(t_rb[[#This Row],[Antall_rette]]=12,1,"")</f>
        <v/>
      </c>
      <c r="M12" s="3" t="str">
        <f ca="1">IF(t_rb[[#This Row],[Antall_rette]]=11,1,"")</f>
        <v/>
      </c>
      <c r="N12" s="3" t="str">
        <f ca="1">IF(t_rb[[#This Row],[Antall_rette]]=10,1,"")</f>
        <v/>
      </c>
      <c r="O12" s="3">
        <f ca="1">IF(t_toh[[#This Row],[12_Antall]]=1,Data!$AJ$3,0)</f>
        <v>0</v>
      </c>
      <c r="P12" s="3">
        <f ca="1">IF(t_toh[[#This Row],[11_Antall]]=1,Data!$AJ$2,0)</f>
        <v>0</v>
      </c>
      <c r="Q12" s="3">
        <f ca="1">IF(t_toh[[#This Row],[10_Antall]]=1,Data!$AJ$1,0)</f>
        <v>0</v>
      </c>
      <c r="R12" s="3" t="str" cm="1">
        <f t="array" ref="R12">IFERROR(IF(_xlfn.XLOOKUP(t_toh[[#This Row],[Dato]]&amp;t_toh[[#This Row],[navn]],Regnskap!$C$10:$C$51&amp;Regnskap!$K$10:$K$51,Regnskap!$H$10:$H$51)&gt;0,Data!$AJ$3,""),"")</f>
        <v/>
      </c>
      <c r="S12" s="3" t="str" cm="1">
        <f t="array" ref="S12">IFERROR(IF(t_toh[[#This Row],[12_pLEV]]="",IF(_xlfn.XLOOKUP(t_toh[[#This Row],[Dato]]&amp;t_toh[[#This Row],[navn]],Regnskap!$C$10:$C$51&amp;Regnskap!$K$10:$K$51,Regnskap!$I$10:$I$51)&gt;0,Data!$AJ$2)),"")</f>
        <v/>
      </c>
      <c r="T12" s="3" t="str" cm="1">
        <f t="array" ref="T12">IFERROR(IF(t_toh[[#This Row],[11_pLEV]]="",IF(_xlfn.XLOOKUP(t_toh[[#This Row],[Dato]]&amp;t_toh[[#This Row],[navn]],Regnskap!$C$10:$C$51&amp;Regnskap!$K$10:$K$51,Regnskap!$J$10:$J$51)&gt;0,Data!$AJ$1),""),"")</f>
        <v/>
      </c>
      <c r="U12" s="3">
        <f ca="1">SUM(t_toh[[#This Row],[12_poeng]:[10_pLEV]])</f>
        <v>0</v>
      </c>
      <c r="V12" s="3">
        <f ca="1">SUM(t_toh[[#This Row],[Summert]]+t_toh[[#This Row],[LEV_poeng]])</f>
        <v>0</v>
      </c>
    </row>
    <row r="13" spans="1:36" ht="15" x14ac:dyDescent="0.25">
      <c r="A13" s="3" t="s">
        <v>910</v>
      </c>
      <c r="B13">
        <f>IF(t_toh[[#This Row],[Dato]]&lt;&gt;"",WEEKNUM(t_toh[[#This Row],[Dato]]),"")</f>
        <v>44</v>
      </c>
      <c r="C13" s="22">
        <f>Data!AL12</f>
        <v>46326</v>
      </c>
      <c r="D13">
        <f ca="1">IFERROR(IF(t_toh[[#This Row],[Dato]]="","",OFFSET(_xlfn.XLOOKUP(C13,Kuponger!E:E,Kuponger!BS:BS),15,0)),"")</f>
        <v>0</v>
      </c>
      <c r="E13">
        <f ca="1">IFERROR(OFFSET(_xlfn.XLOOKUP(C13,Kuponger!E:E,Kuponger!BS:BS),15,1),"")</f>
        <v>0</v>
      </c>
      <c r="F13">
        <f ca="1">IFERROR(IF(t_toh[[#This Row],[Dato]]="","",OFFSET(_xlfn.XLOOKUP(C13,Kuponger!E:E,Kuponger!BS:BS),15,2)),"")</f>
        <v>0</v>
      </c>
      <c r="G13">
        <f ca="1">IFERROR(IF(OFFSET(_xlfn.XLOOKUP(C13,Kuponger!E:E,Kuponger!BS:BS),0,2)=0,"",OFFSET(_xlfn.XLOOKUP(C13,Kuponger!E:E,Kuponger!BS:BS),1,2))*-1,"")</f>
        <v>0</v>
      </c>
      <c r="H13" t="str">
        <f t="shared" ca="1" si="1"/>
        <v/>
      </c>
      <c r="I13" t="str">
        <f ca="1">IFERROR(IF(t_toh[[#This Row],[tp]]&lt;&gt;"",OFFSET(_xlfn.XLOOKUP(C13,Kuponger!E:E,Kuponger!BS:BS),1,1),""),"")</f>
        <v/>
      </c>
      <c r="J13" s="3">
        <f ca="1">IFERROR(IF(t_toh[[#This Row],[Dato]]="",0,OFFSET(_xlfn.XLOOKUP(t_toh[[#This Row],[Dato]],Kuponger!E:E,Kuponger!BS:BS),1,7)),"")</f>
        <v>0</v>
      </c>
      <c r="K13" s="3">
        <f ca="1">IFERROR(SUM(t_toh[[#This Row],[tp]]),0)</f>
        <v>0</v>
      </c>
      <c r="L13" s="3" t="str">
        <f ca="1">IF(t_rb[[#This Row],[Antall_rette]]=12,1,"")</f>
        <v/>
      </c>
      <c r="M13" s="3" t="str">
        <f ca="1">IF(t_rb[[#This Row],[Antall_rette]]=11,1,"")</f>
        <v/>
      </c>
      <c r="N13" s="3" t="str">
        <f ca="1">IF(t_rb[[#This Row],[Antall_rette]]=10,1,"")</f>
        <v/>
      </c>
      <c r="O13" s="3">
        <f ca="1">IF(t_toh[[#This Row],[12_Antall]]=1,Data!$AJ$3,0)</f>
        <v>0</v>
      </c>
      <c r="P13" s="3">
        <f ca="1">IF(t_toh[[#This Row],[11_Antall]]=1,Data!$AJ$2,0)</f>
        <v>0</v>
      </c>
      <c r="Q13" s="3">
        <f ca="1">IF(t_toh[[#This Row],[10_Antall]]=1,Data!$AJ$1,0)</f>
        <v>0</v>
      </c>
      <c r="R13" s="3" t="str" cm="1">
        <f t="array" ref="R13">IFERROR(IF(_xlfn.XLOOKUP(t_toh[[#This Row],[Dato]]&amp;t_toh[[#This Row],[navn]],Regnskap!$C$10:$C$51&amp;Regnskap!$K$10:$K$51,Regnskap!$H$10:$H$51)&gt;0,Data!$AJ$3,""),"")</f>
        <v/>
      </c>
      <c r="S13" s="3" cm="1">
        <f t="array" ref="S13">IFERROR(IF(t_toh[[#This Row],[12_pLEV]]="",IF(_xlfn.XLOOKUP(t_toh[[#This Row],[Dato]]&amp;t_toh[[#This Row],[navn]],Regnskap!$C$10:$C$51&amp;Regnskap!$K$10:$K$51,Regnskap!$I$10:$I$51)&gt;0,Data!$AJ$2)),"")</f>
        <v>161</v>
      </c>
      <c r="T13" s="3" t="str" cm="1">
        <f t="array" ref="T13">IFERROR(IF(t_toh[[#This Row],[11_pLEV]]="",IF(_xlfn.XLOOKUP(t_toh[[#This Row],[Dato]]&amp;t_toh[[#This Row],[navn]],Regnskap!$C$10:$C$51&amp;Regnskap!$K$10:$K$51,Regnskap!$J$10:$J$51)&gt;0,Data!$AJ$1),""),"")</f>
        <v/>
      </c>
      <c r="U13" s="3">
        <f ca="1">SUM(t_toh[[#This Row],[12_poeng]:[10_pLEV]])</f>
        <v>161</v>
      </c>
      <c r="V13" s="3">
        <f ca="1">SUM(t_toh[[#This Row],[Summert]]+t_toh[[#This Row],[LEV_poeng]])</f>
        <v>161</v>
      </c>
      <c r="W13" s="671"/>
      <c r="X13" s="671"/>
      <c r="Y13" s="671"/>
      <c r="Z13" s="671"/>
      <c r="AA13" s="671"/>
      <c r="AB13" s="671"/>
      <c r="AC13" s="23"/>
    </row>
    <row r="14" spans="1:36" x14ac:dyDescent="0.2">
      <c r="A14" s="3" t="s">
        <v>910</v>
      </c>
      <c r="B14">
        <f>IF(t_toh[[#This Row],[Dato]]&lt;&gt;"",WEEKNUM(t_toh[[#This Row],[Dato]]),"")</f>
        <v>45</v>
      </c>
      <c r="C14" s="22">
        <f>Data!AL13</f>
        <v>46333</v>
      </c>
      <c r="D14">
        <f ca="1">IFERROR(IF(t_toh[[#This Row],[Dato]]="","",OFFSET(_xlfn.XLOOKUP(C14,Kuponger!E:E,Kuponger!BS:BS),15,0)),"")</f>
        <v>0</v>
      </c>
      <c r="E14">
        <f ca="1">IFERROR(OFFSET(_xlfn.XLOOKUP(C14,Kuponger!E:E,Kuponger!BS:BS),15,1),"")</f>
        <v>0</v>
      </c>
      <c r="F14">
        <f ca="1">IFERROR(IF(t_toh[[#This Row],[Dato]]="","",OFFSET(_xlfn.XLOOKUP(C14,Kuponger!E:E,Kuponger!BS:BS),15,2)),"")</f>
        <v>0</v>
      </c>
      <c r="G14">
        <f ca="1">IFERROR(IF(OFFSET(_xlfn.XLOOKUP(C14,Kuponger!E:E,Kuponger!BS:BS),0,2)=0,"",OFFSET(_xlfn.XLOOKUP(C14,Kuponger!E:E,Kuponger!BS:BS),1,2))*-1,"")</f>
        <v>0</v>
      </c>
      <c r="H14" t="str">
        <f t="shared" ca="1" si="1"/>
        <v/>
      </c>
      <c r="I14" t="str">
        <f ca="1">IFERROR(IF(t_toh[[#This Row],[tp]]&lt;&gt;"",OFFSET(_xlfn.XLOOKUP(C14,Kuponger!E:E,Kuponger!BS:BS),1,1),""),"")</f>
        <v/>
      </c>
      <c r="J14" s="3">
        <f ca="1">IFERROR(IF(t_toh[[#This Row],[Dato]]="",0,OFFSET(_xlfn.XLOOKUP(t_toh[[#This Row],[Dato]],Kuponger!E:E,Kuponger!BS:BS),1,7)),"")</f>
        <v>0</v>
      </c>
      <c r="K14" s="3">
        <f ca="1">IFERROR(SUM(t_toh[[#This Row],[tp]]),0)</f>
        <v>0</v>
      </c>
      <c r="L14" s="3" t="str">
        <f ca="1">IF(t_rb[[#This Row],[Antall_rette]]=12,1,"")</f>
        <v/>
      </c>
      <c r="M14" s="3" t="str">
        <f ca="1">IF(t_rb[[#This Row],[Antall_rette]]=11,1,"")</f>
        <v/>
      </c>
      <c r="N14" s="3" t="str">
        <f ca="1">IF(t_rb[[#This Row],[Antall_rette]]=10,1,"")</f>
        <v/>
      </c>
      <c r="O14" s="3">
        <f ca="1">IF(t_toh[[#This Row],[12_Antall]]=1,Data!$AJ$3,0)</f>
        <v>0</v>
      </c>
      <c r="P14" s="3">
        <f ca="1">IF(t_toh[[#This Row],[11_Antall]]=1,Data!$AJ$2,0)</f>
        <v>0</v>
      </c>
      <c r="Q14" s="3">
        <f ca="1">IF(t_toh[[#This Row],[10_Antall]]=1,Data!$AJ$1,0)</f>
        <v>0</v>
      </c>
      <c r="R14" s="3" t="str" cm="1">
        <f t="array" ref="R14">IFERROR(IF(_xlfn.XLOOKUP(t_toh[[#This Row],[Dato]]&amp;t_toh[[#This Row],[navn]],Regnskap!$C$10:$C$51&amp;Regnskap!$K$10:$K$51,Regnskap!$H$10:$H$51)&gt;0,Data!$AJ$3,""),"")</f>
        <v/>
      </c>
      <c r="S14" s="3" t="str" cm="1">
        <f t="array" ref="S14">IFERROR(IF(t_toh[[#This Row],[12_pLEV]]="",IF(_xlfn.XLOOKUP(t_toh[[#This Row],[Dato]]&amp;t_toh[[#This Row],[navn]],Regnskap!$C$10:$C$51&amp;Regnskap!$K$10:$K$51,Regnskap!$I$10:$I$51)&gt;0,Data!$AJ$2)),"")</f>
        <v/>
      </c>
      <c r="T14" s="3" t="str" cm="1">
        <f t="array" ref="T14">IFERROR(IF(t_toh[[#This Row],[11_pLEV]]="",IF(_xlfn.XLOOKUP(t_toh[[#This Row],[Dato]]&amp;t_toh[[#This Row],[navn]],Regnskap!$C$10:$C$51&amp;Regnskap!$K$10:$K$51,Regnskap!$J$10:$J$51)&gt;0,Data!$AJ$1),""),"")</f>
        <v/>
      </c>
      <c r="U14" s="3">
        <f ca="1">SUM(t_toh[[#This Row],[12_poeng]:[10_pLEV]])</f>
        <v>0</v>
      </c>
      <c r="V14" s="3">
        <f ca="1">SUM(t_toh[[#This Row],[Summert]]+t_toh[[#This Row],[LEV_poeng]])</f>
        <v>0</v>
      </c>
    </row>
    <row r="15" spans="1:36" x14ac:dyDescent="0.2">
      <c r="A15" s="3" t="s">
        <v>910</v>
      </c>
      <c r="B15">
        <f>IF(t_toh[[#This Row],[Dato]]&lt;&gt;"",WEEKNUM(t_toh[[#This Row],[Dato]]),"")</f>
        <v>46</v>
      </c>
      <c r="C15" s="22">
        <f>Data!AL14</f>
        <v>46340</v>
      </c>
      <c r="D15">
        <f ca="1">IFERROR(IF(t_toh[[#This Row],[Dato]]="","",OFFSET(_xlfn.XLOOKUP(C15,Kuponger!E:E,Kuponger!BS:BS),15,0)),"")</f>
        <v>0</v>
      </c>
      <c r="E15">
        <f ca="1">IFERROR(OFFSET(_xlfn.XLOOKUP(C15,Kuponger!E:E,Kuponger!BS:BS),15,1),"")</f>
        <v>0</v>
      </c>
      <c r="F15">
        <f ca="1">IFERROR(IF(t_toh[[#This Row],[Dato]]="","",OFFSET(_xlfn.XLOOKUP(C15,Kuponger!E:E,Kuponger!BS:BS),15,2)),"")</f>
        <v>0</v>
      </c>
      <c r="G15">
        <f ca="1">IFERROR(IF(OFFSET(_xlfn.XLOOKUP(C15,Kuponger!E:E,Kuponger!BS:BS),0,2)=0,"",OFFSET(_xlfn.XLOOKUP(C15,Kuponger!E:E,Kuponger!BS:BS),1,2))*-1,"")</f>
        <v>0</v>
      </c>
      <c r="H15" t="str">
        <f t="shared" ca="1" si="1"/>
        <v/>
      </c>
      <c r="I15" t="str">
        <f ca="1">IFERROR(IF(t_toh[[#This Row],[tp]]&lt;&gt;"",OFFSET(_xlfn.XLOOKUP(C15,Kuponger!E:E,Kuponger!BS:BS),1,1),""),"")</f>
        <v/>
      </c>
      <c r="J15" s="3">
        <f ca="1">IFERROR(IF(t_toh[[#This Row],[Dato]]="",0,OFFSET(_xlfn.XLOOKUP(t_toh[[#This Row],[Dato]],Kuponger!E:E,Kuponger!BS:BS),1,7)),"")</f>
        <v>0</v>
      </c>
      <c r="K15" s="3">
        <f ca="1">IFERROR(SUM(t_toh[[#This Row],[tp]]),0)</f>
        <v>0</v>
      </c>
      <c r="L15" s="3" t="str">
        <f ca="1">IF(t_rb[[#This Row],[Antall_rette]]=12,1,"")</f>
        <v/>
      </c>
      <c r="M15" s="3" t="str">
        <f ca="1">IF(t_rb[[#This Row],[Antall_rette]]=11,1,"")</f>
        <v/>
      </c>
      <c r="N15" s="3" t="str">
        <f ca="1">IF(t_rb[[#This Row],[Antall_rette]]=10,1,"")</f>
        <v/>
      </c>
      <c r="O15" s="3">
        <f ca="1">IF(t_toh[[#This Row],[12_Antall]]=1,Data!$AJ$3,0)</f>
        <v>0</v>
      </c>
      <c r="P15" s="3">
        <f ca="1">IF(t_toh[[#This Row],[11_Antall]]=1,Data!$AJ$2,0)</f>
        <v>0</v>
      </c>
      <c r="Q15" s="3">
        <f ca="1">IF(t_toh[[#This Row],[10_Antall]]=1,Data!$AJ$1,0)</f>
        <v>0</v>
      </c>
      <c r="R15" s="3" t="str" cm="1">
        <f t="array" ref="R15">IFERROR(IF(_xlfn.XLOOKUP(t_toh[[#This Row],[Dato]]&amp;t_toh[[#This Row],[navn]],Regnskap!$C$10:$C$51&amp;Regnskap!$K$10:$K$51,Regnskap!$H$10:$H$51)&gt;0,Data!$AJ$3,""),"")</f>
        <v/>
      </c>
      <c r="S15" s="3" t="str" cm="1">
        <f t="array" ref="S15">IFERROR(IF(t_toh[[#This Row],[12_pLEV]]="",IF(_xlfn.XLOOKUP(t_toh[[#This Row],[Dato]]&amp;t_toh[[#This Row],[navn]],Regnskap!$C$10:$C$51&amp;Regnskap!$K$10:$K$51,Regnskap!$I$10:$I$51)&gt;0,Data!$AJ$2)),"")</f>
        <v/>
      </c>
      <c r="T15" s="3" t="str" cm="1">
        <f t="array" ref="T15">IFERROR(IF(t_toh[[#This Row],[11_pLEV]]="",IF(_xlfn.XLOOKUP(t_toh[[#This Row],[Dato]]&amp;t_toh[[#This Row],[navn]],Regnskap!$C$10:$C$51&amp;Regnskap!$K$10:$K$51,Regnskap!$J$10:$J$51)&gt;0,Data!$AJ$1),""),"")</f>
        <v/>
      </c>
      <c r="U15" s="3">
        <f ca="1">SUM(t_toh[[#This Row],[12_poeng]:[10_pLEV]])</f>
        <v>0</v>
      </c>
      <c r="V15" s="3">
        <f ca="1">SUM(t_toh[[#This Row],[Summert]]+t_toh[[#This Row],[LEV_poeng]])</f>
        <v>0</v>
      </c>
    </row>
    <row r="16" spans="1:36" x14ac:dyDescent="0.2">
      <c r="A16" s="3" t="s">
        <v>910</v>
      </c>
      <c r="B16">
        <f>IF(t_toh[[#This Row],[Dato]]&lt;&gt;"",WEEKNUM(t_toh[[#This Row],[Dato]]),"")</f>
        <v>47</v>
      </c>
      <c r="C16" s="22">
        <f>Data!AL15</f>
        <v>46347</v>
      </c>
      <c r="D16">
        <f ca="1">IFERROR(IF(t_toh[[#This Row],[Dato]]="","",OFFSET(_xlfn.XLOOKUP(C16,Kuponger!E:E,Kuponger!BS:BS),15,0)),"")</f>
        <v>0</v>
      </c>
      <c r="E16">
        <f ca="1">IFERROR(OFFSET(_xlfn.XLOOKUP(C16,Kuponger!E:E,Kuponger!BS:BS),15,1),"")</f>
        <v>0</v>
      </c>
      <c r="F16">
        <f ca="1">IFERROR(IF(t_toh[[#This Row],[Dato]]="","",OFFSET(_xlfn.XLOOKUP(C16,Kuponger!E:E,Kuponger!BS:BS),15,2)),"")</f>
        <v>0</v>
      </c>
      <c r="G16">
        <f ca="1">IFERROR(IF(OFFSET(_xlfn.XLOOKUP(C16,Kuponger!E:E,Kuponger!BS:BS),0,2)=0,"",OFFSET(_xlfn.XLOOKUP(C16,Kuponger!E:E,Kuponger!BS:BS),1,2))*-1,"")</f>
        <v>0</v>
      </c>
      <c r="H16" t="str">
        <f t="shared" ca="1" si="1"/>
        <v/>
      </c>
      <c r="I16" t="str">
        <f ca="1">IFERROR(IF(t_toh[[#This Row],[tp]]&lt;&gt;"",OFFSET(_xlfn.XLOOKUP(C16,Kuponger!E:E,Kuponger!BS:BS),1,1),""),"")</f>
        <v/>
      </c>
      <c r="J16" s="3">
        <f ca="1">IFERROR(IF(t_toh[[#This Row],[Dato]]="",0,OFFSET(_xlfn.XLOOKUP(t_toh[[#This Row],[Dato]],Kuponger!E:E,Kuponger!BS:BS),1,7)),"")</f>
        <v>0</v>
      </c>
      <c r="K16" s="3">
        <f ca="1">IFERROR(SUM(t_toh[[#This Row],[tp]]),0)</f>
        <v>0</v>
      </c>
      <c r="L16" s="3" t="str">
        <f ca="1">IF(t_rb[[#This Row],[Antall_rette]]=12,1,"")</f>
        <v/>
      </c>
      <c r="M16" s="3" t="str">
        <f ca="1">IF(t_rb[[#This Row],[Antall_rette]]=11,1,"")</f>
        <v/>
      </c>
      <c r="N16" s="3" t="str">
        <f ca="1">IF(t_rb[[#This Row],[Antall_rette]]=10,1,"")</f>
        <v/>
      </c>
      <c r="O16" s="3">
        <f ca="1">IF(t_toh[[#This Row],[12_Antall]]=1,Data!$AJ$3,0)</f>
        <v>0</v>
      </c>
      <c r="P16" s="3">
        <f ca="1">IF(t_toh[[#This Row],[11_Antall]]=1,Data!$AJ$2,0)</f>
        <v>0</v>
      </c>
      <c r="Q16" s="3">
        <f ca="1">IF(t_toh[[#This Row],[10_Antall]]=1,Data!$AJ$1,0)</f>
        <v>0</v>
      </c>
      <c r="R16" s="3" t="str" cm="1">
        <f t="array" ref="R16">IFERROR(IF(_xlfn.XLOOKUP(t_toh[[#This Row],[Dato]]&amp;t_toh[[#This Row],[navn]],Regnskap!$C$10:$C$51&amp;Regnskap!$K$10:$K$51,Regnskap!$H$10:$H$51)&gt;0,Data!$AJ$3,""),"")</f>
        <v/>
      </c>
      <c r="S16" s="3" t="str" cm="1">
        <f t="array" ref="S16">IFERROR(IF(t_toh[[#This Row],[12_pLEV]]="",IF(_xlfn.XLOOKUP(t_toh[[#This Row],[Dato]]&amp;t_toh[[#This Row],[navn]],Regnskap!$C$10:$C$51&amp;Regnskap!$K$10:$K$51,Regnskap!$I$10:$I$51)&gt;0,Data!$AJ$2)),"")</f>
        <v/>
      </c>
      <c r="T16" s="3" t="str" cm="1">
        <f t="array" ref="T16">IFERROR(IF(t_toh[[#This Row],[11_pLEV]]="",IF(_xlfn.XLOOKUP(t_toh[[#This Row],[Dato]]&amp;t_toh[[#This Row],[navn]],Regnskap!$C$10:$C$51&amp;Regnskap!$K$10:$K$51,Regnskap!$J$10:$J$51)&gt;0,Data!$AJ$1),""),"")</f>
        <v/>
      </c>
      <c r="U16" s="3">
        <f ca="1">SUM(t_toh[[#This Row],[12_poeng]:[10_pLEV]])</f>
        <v>0</v>
      </c>
      <c r="V16" s="3">
        <f ca="1">SUM(t_toh[[#This Row],[Summert]]+t_toh[[#This Row],[LEV_poeng]])</f>
        <v>0</v>
      </c>
    </row>
    <row r="17" spans="1:28" x14ac:dyDescent="0.2">
      <c r="A17" s="3" t="s">
        <v>910</v>
      </c>
      <c r="B17">
        <f>IF(t_toh[[#This Row],[Dato]]&lt;&gt;"",WEEKNUM(t_toh[[#This Row],[Dato]]),"")</f>
        <v>48</v>
      </c>
      <c r="C17" s="22">
        <f>Data!AL16</f>
        <v>46354</v>
      </c>
      <c r="D17">
        <f ca="1">IFERROR(IF(t_toh[[#This Row],[Dato]]="","",OFFSET(_xlfn.XLOOKUP(C17,Kuponger!E:E,Kuponger!BS:BS),15,0)),"")</f>
        <v>0</v>
      </c>
      <c r="E17">
        <f ca="1">IFERROR(OFFSET(_xlfn.XLOOKUP(C17,Kuponger!E:E,Kuponger!BS:BS),15,1),"")</f>
        <v>0</v>
      </c>
      <c r="F17">
        <f ca="1">IFERROR(IF(t_toh[[#This Row],[Dato]]="","",OFFSET(_xlfn.XLOOKUP(C17,Kuponger!E:E,Kuponger!BS:BS),15,2)),"")</f>
        <v>0</v>
      </c>
      <c r="G17">
        <f ca="1">IFERROR(IF(OFFSET(_xlfn.XLOOKUP(C17,Kuponger!E:E,Kuponger!BS:BS),0,2)=0,"",OFFSET(_xlfn.XLOOKUP(C17,Kuponger!E:E,Kuponger!BS:BS),1,2))*-1,"")</f>
        <v>0</v>
      </c>
      <c r="H17" t="str">
        <f t="shared" ca="1" si="1"/>
        <v/>
      </c>
      <c r="I17" t="str">
        <f ca="1">IFERROR(IF(t_toh[[#This Row],[tp]]&lt;&gt;"",OFFSET(_xlfn.XLOOKUP(C17,Kuponger!E:E,Kuponger!BS:BS),1,1),""),"")</f>
        <v/>
      </c>
      <c r="J17" s="3">
        <f ca="1">IFERROR(IF(t_toh[[#This Row],[Dato]]="",0,OFFSET(_xlfn.XLOOKUP(t_toh[[#This Row],[Dato]],Kuponger!E:E,Kuponger!BS:BS),1,7)),"")</f>
        <v>0</v>
      </c>
      <c r="K17" s="3">
        <f ca="1">IFERROR(SUM(t_toh[[#This Row],[tp]]),0)</f>
        <v>0</v>
      </c>
      <c r="L17" s="3" t="str">
        <f ca="1">IF(t_rb[[#This Row],[Antall_rette]]=12,1,"")</f>
        <v/>
      </c>
      <c r="M17" s="3" t="str">
        <f ca="1">IF(t_rb[[#This Row],[Antall_rette]]=11,1,"")</f>
        <v/>
      </c>
      <c r="N17" s="3" t="str">
        <f ca="1">IF(t_rb[[#This Row],[Antall_rette]]=10,1,"")</f>
        <v/>
      </c>
      <c r="O17" s="3">
        <f ca="1">IF(t_toh[[#This Row],[12_Antall]]=1,Data!$AJ$3,0)</f>
        <v>0</v>
      </c>
      <c r="P17" s="3">
        <f ca="1">IF(t_toh[[#This Row],[11_Antall]]=1,Data!$AJ$2,0)</f>
        <v>0</v>
      </c>
      <c r="Q17" s="3">
        <f ca="1">IF(t_toh[[#This Row],[10_Antall]]=1,Data!$AJ$1,0)</f>
        <v>0</v>
      </c>
      <c r="R17" s="3" t="str" cm="1">
        <f t="array" ref="R17">IFERROR(IF(_xlfn.XLOOKUP(t_toh[[#This Row],[Dato]]&amp;t_toh[[#This Row],[navn]],Regnskap!$C$10:$C$51&amp;Regnskap!$K$10:$K$51,Regnskap!$H$10:$H$51)&gt;0,Data!$AJ$3,""),"")</f>
        <v/>
      </c>
      <c r="S17" s="3" t="str" cm="1">
        <f t="array" ref="S17">IFERROR(IF(t_toh[[#This Row],[12_pLEV]]="",IF(_xlfn.XLOOKUP(t_toh[[#This Row],[Dato]]&amp;t_toh[[#This Row],[navn]],Regnskap!$C$10:$C$51&amp;Regnskap!$K$10:$K$51,Regnskap!$I$10:$I$51)&gt;0,Data!$AJ$2)),"")</f>
        <v/>
      </c>
      <c r="T17" s="3" t="str" cm="1">
        <f t="array" ref="T17">IFERROR(IF(t_toh[[#This Row],[11_pLEV]]="",IF(_xlfn.XLOOKUP(t_toh[[#This Row],[Dato]]&amp;t_toh[[#This Row],[navn]],Regnskap!$C$10:$C$51&amp;Regnskap!$K$10:$K$51,Regnskap!$J$10:$J$51)&gt;0,Data!$AJ$1),""),"")</f>
        <v/>
      </c>
      <c r="U17" s="3">
        <f ca="1">SUM(t_toh[[#This Row],[12_poeng]:[10_pLEV]])</f>
        <v>0</v>
      </c>
      <c r="V17" s="3">
        <f ca="1">SUM(t_toh[[#This Row],[Summert]]+t_toh[[#This Row],[LEV_poeng]])</f>
        <v>0</v>
      </c>
    </row>
    <row r="18" spans="1:28" x14ac:dyDescent="0.2">
      <c r="A18" s="3" t="s">
        <v>910</v>
      </c>
      <c r="B18">
        <f>IF(t_toh[[#This Row],[Dato]]&lt;&gt;"",WEEKNUM(t_toh[[#This Row],[Dato]]),"")</f>
        <v>49</v>
      </c>
      <c r="C18" s="22">
        <f>Data!AL17</f>
        <v>46361</v>
      </c>
      <c r="D18">
        <f ca="1">IFERROR(IF(t_toh[[#This Row],[Dato]]="","",OFFSET(_xlfn.XLOOKUP(C18,Kuponger!E:E,Kuponger!BS:BS),15,0)),"")</f>
        <v>0</v>
      </c>
      <c r="E18">
        <f ca="1">IFERROR(OFFSET(_xlfn.XLOOKUP(C18,Kuponger!E:E,Kuponger!BS:BS),15,1),"")</f>
        <v>0</v>
      </c>
      <c r="F18">
        <f ca="1">IFERROR(IF(t_toh[[#This Row],[Dato]]="","",OFFSET(_xlfn.XLOOKUP(C18,Kuponger!E:E,Kuponger!BS:BS),15,2)),"")</f>
        <v>0</v>
      </c>
      <c r="G18">
        <f ca="1">IFERROR(IF(OFFSET(_xlfn.XLOOKUP(C18,Kuponger!E:E,Kuponger!BS:BS),0,2)=0,"",OFFSET(_xlfn.XLOOKUP(C18,Kuponger!E:E,Kuponger!BS:BS),1,2))*-1,"")</f>
        <v>0</v>
      </c>
      <c r="H18" t="str">
        <f t="shared" ca="1" si="1"/>
        <v/>
      </c>
      <c r="I18" t="str">
        <f ca="1">IFERROR(IF(t_toh[[#This Row],[tp]]&lt;&gt;"",OFFSET(_xlfn.XLOOKUP(C18,Kuponger!E:E,Kuponger!BS:BS),1,1),""),"")</f>
        <v/>
      </c>
      <c r="J18" s="3">
        <f ca="1">IFERROR(IF(t_toh[[#This Row],[Dato]]="",0,OFFSET(_xlfn.XLOOKUP(t_toh[[#This Row],[Dato]],Kuponger!E:E,Kuponger!BS:BS),1,7)),"")</f>
        <v>0</v>
      </c>
      <c r="K18" s="3">
        <f ca="1">IFERROR(SUM(t_toh[[#This Row],[tp]]),0)</f>
        <v>0</v>
      </c>
      <c r="L18" s="3" t="str">
        <f ca="1">IF(t_rb[[#This Row],[Antall_rette]]=12,1,"")</f>
        <v/>
      </c>
      <c r="M18" s="3" t="str">
        <f ca="1">IF(t_rb[[#This Row],[Antall_rette]]=11,1,"")</f>
        <v/>
      </c>
      <c r="N18" s="3" t="str">
        <f ca="1">IF(t_rb[[#This Row],[Antall_rette]]=10,1,"")</f>
        <v/>
      </c>
      <c r="O18" s="3">
        <f ca="1">IF(t_toh[[#This Row],[12_Antall]]=1,Data!$AJ$3,0)</f>
        <v>0</v>
      </c>
      <c r="P18" s="3">
        <f ca="1">IF(t_toh[[#This Row],[11_Antall]]=1,Data!$AJ$2,0)</f>
        <v>0</v>
      </c>
      <c r="Q18" s="3">
        <f ca="1">IF(t_toh[[#This Row],[10_Antall]]=1,Data!$AJ$1,0)</f>
        <v>0</v>
      </c>
      <c r="R18" s="3" t="str" cm="1">
        <f t="array" ref="R18">IFERROR(IF(_xlfn.XLOOKUP(t_toh[[#This Row],[Dato]]&amp;t_toh[[#This Row],[navn]],Regnskap!$C$10:$C$51&amp;Regnskap!$K$10:$K$51,Regnskap!$H$10:$H$51)&gt;0,Data!$AJ$3,""),"")</f>
        <v/>
      </c>
      <c r="S18" s="3" t="str" cm="1">
        <f t="array" ref="S18">IFERROR(IF(t_toh[[#This Row],[12_pLEV]]="",IF(_xlfn.XLOOKUP(t_toh[[#This Row],[Dato]]&amp;t_toh[[#This Row],[navn]],Regnskap!$C$10:$C$51&amp;Regnskap!$K$10:$K$51,Regnskap!$I$10:$I$51)&gt;0,Data!$AJ$2)),"")</f>
        <v/>
      </c>
      <c r="T18" s="3" t="str" cm="1">
        <f t="array" ref="T18">IFERROR(IF(t_toh[[#This Row],[11_pLEV]]="",IF(_xlfn.XLOOKUP(t_toh[[#This Row],[Dato]]&amp;t_toh[[#This Row],[navn]],Regnskap!$C$10:$C$51&amp;Regnskap!$K$10:$K$51,Regnskap!$J$10:$J$51)&gt;0,Data!$AJ$1),""),"")</f>
        <v/>
      </c>
      <c r="U18" s="3">
        <f ca="1">SUM(t_toh[[#This Row],[12_poeng]:[10_pLEV]])</f>
        <v>0</v>
      </c>
      <c r="V18" s="3">
        <f ca="1">SUM(t_toh[[#This Row],[Summert]]+t_toh[[#This Row],[LEV_poeng]])</f>
        <v>0</v>
      </c>
    </row>
    <row r="19" spans="1:28" x14ac:dyDescent="0.2">
      <c r="A19" s="3" t="s">
        <v>910</v>
      </c>
      <c r="B19">
        <f>IF(t_toh[[#This Row],[Dato]]&lt;&gt;"",WEEKNUM(t_toh[[#This Row],[Dato]]),"")</f>
        <v>50</v>
      </c>
      <c r="C19" s="22">
        <f>Data!AL18</f>
        <v>46368</v>
      </c>
      <c r="D19">
        <f ca="1">IFERROR(IF(t_toh[[#This Row],[Dato]]="","",OFFSET(_xlfn.XLOOKUP(C19,Kuponger!E:E,Kuponger!BS:BS),15,0)),"")</f>
        <v>0</v>
      </c>
      <c r="E19">
        <f ca="1">IFERROR(OFFSET(_xlfn.XLOOKUP(C19,Kuponger!E:E,Kuponger!BS:BS),15,1),"")</f>
        <v>0</v>
      </c>
      <c r="F19">
        <f ca="1">IFERROR(IF(t_toh[[#This Row],[Dato]]="","",OFFSET(_xlfn.XLOOKUP(C19,Kuponger!E:E,Kuponger!BS:BS),15,2)),"")</f>
        <v>0</v>
      </c>
      <c r="G19">
        <f ca="1">IFERROR(IF(OFFSET(_xlfn.XLOOKUP(C19,Kuponger!E:E,Kuponger!BS:BS),0,2)=0,"",OFFSET(_xlfn.XLOOKUP(C19,Kuponger!E:E,Kuponger!BS:BS),1,2))*-1,"")</f>
        <v>0</v>
      </c>
      <c r="H19" t="str">
        <f t="shared" ca="1" si="1"/>
        <v/>
      </c>
      <c r="I19" t="str">
        <f ca="1">IFERROR(IF(t_toh[[#This Row],[tp]]&lt;&gt;"",OFFSET(_xlfn.XLOOKUP(C19,Kuponger!E:E,Kuponger!BS:BS),1,1),""),"")</f>
        <v/>
      </c>
      <c r="J19" s="3">
        <f ca="1">IFERROR(IF(t_toh[[#This Row],[Dato]]="",0,OFFSET(_xlfn.XLOOKUP(t_toh[[#This Row],[Dato]],Kuponger!E:E,Kuponger!BS:BS),1,7)),"")</f>
        <v>0</v>
      </c>
      <c r="K19" s="3">
        <f ca="1">IFERROR(SUM(t_toh[[#This Row],[tp]]),0)</f>
        <v>0</v>
      </c>
      <c r="L19" s="3" t="str">
        <f ca="1">IF(t_rb[[#This Row],[Antall_rette]]=12,1,"")</f>
        <v/>
      </c>
      <c r="M19" s="3" t="str">
        <f ca="1">IF(t_rb[[#This Row],[Antall_rette]]=11,1,"")</f>
        <v/>
      </c>
      <c r="N19" s="3" t="str">
        <f ca="1">IF(t_rb[[#This Row],[Antall_rette]]=10,1,"")</f>
        <v/>
      </c>
      <c r="O19" s="3">
        <f ca="1">IF(t_toh[[#This Row],[12_Antall]]=1,Data!$AJ$3,0)</f>
        <v>0</v>
      </c>
      <c r="P19" s="3">
        <f ca="1">IF(t_toh[[#This Row],[11_Antall]]=1,Data!$AJ$2,0)</f>
        <v>0</v>
      </c>
      <c r="Q19" s="3">
        <f ca="1">IF(t_toh[[#This Row],[10_Antall]]=1,Data!$AJ$1,0)</f>
        <v>0</v>
      </c>
      <c r="R19" s="3" t="str" cm="1">
        <f t="array" ref="R19">IFERROR(IF(_xlfn.XLOOKUP(t_toh[[#This Row],[Dato]]&amp;t_toh[[#This Row],[navn]],Regnskap!$C$10:$C$51&amp;Regnskap!$K$10:$K$51,Regnskap!$H$10:$H$51)&gt;0,Data!$AJ$3,""),"")</f>
        <v/>
      </c>
      <c r="S19" s="3" t="str" cm="1">
        <f t="array" ref="S19">IFERROR(IF(t_toh[[#This Row],[12_pLEV]]="",IF(_xlfn.XLOOKUP(t_toh[[#This Row],[Dato]]&amp;t_toh[[#This Row],[navn]],Regnskap!$C$10:$C$51&amp;Regnskap!$K$10:$K$51,Regnskap!$I$10:$I$51)&gt;0,Data!$AJ$2)),"")</f>
        <v/>
      </c>
      <c r="T19" s="3" t="str" cm="1">
        <f t="array" ref="T19">IFERROR(IF(t_toh[[#This Row],[11_pLEV]]="",IF(_xlfn.XLOOKUP(t_toh[[#This Row],[Dato]]&amp;t_toh[[#This Row],[navn]],Regnskap!$C$10:$C$51&amp;Regnskap!$K$10:$K$51,Regnskap!$J$10:$J$51)&gt;0,Data!$AJ$1),""),"")</f>
        <v/>
      </c>
      <c r="U19" s="3">
        <f ca="1">SUM(t_toh[[#This Row],[12_poeng]:[10_pLEV]])</f>
        <v>0</v>
      </c>
      <c r="V19" s="3">
        <f ca="1">SUM(t_toh[[#This Row],[Summert]]+t_toh[[#This Row],[LEV_poeng]])</f>
        <v>0</v>
      </c>
      <c r="W19" s="2"/>
      <c r="X19" s="2"/>
      <c r="Y19" s="2"/>
      <c r="Z19" s="2"/>
      <c r="AA19" s="2"/>
      <c r="AB19" s="2"/>
    </row>
    <row r="20" spans="1:28" x14ac:dyDescent="0.2">
      <c r="A20" s="3" t="s">
        <v>910</v>
      </c>
      <c r="B20">
        <f>IF(t_toh[[#This Row],[Dato]]&lt;&gt;"",WEEKNUM(t_toh[[#This Row],[Dato]]),"")</f>
        <v>51</v>
      </c>
      <c r="C20" s="22">
        <f>Data!AL19</f>
        <v>46375</v>
      </c>
      <c r="D20">
        <f ca="1">IFERROR(IF(t_toh[[#This Row],[Dato]]="","",OFFSET(_xlfn.XLOOKUP(C20,Kuponger!E:E,Kuponger!BS:BS),15,0)),"")</f>
        <v>0</v>
      </c>
      <c r="E20">
        <f ca="1">IFERROR(OFFSET(_xlfn.XLOOKUP(C20,Kuponger!E:E,Kuponger!BS:BS),15,1),"")</f>
        <v>0</v>
      </c>
      <c r="F20">
        <f ca="1">IFERROR(IF(t_toh[[#This Row],[Dato]]="","",OFFSET(_xlfn.XLOOKUP(C20,Kuponger!E:E,Kuponger!BS:BS),15,2)),"")</f>
        <v>0</v>
      </c>
      <c r="G20">
        <f ca="1">IFERROR(IF(OFFSET(_xlfn.XLOOKUP(C20,Kuponger!E:E,Kuponger!BS:BS),0,2)=0,"",OFFSET(_xlfn.XLOOKUP(C20,Kuponger!E:E,Kuponger!BS:BS),1,2))*-1,"")</f>
        <v>0</v>
      </c>
      <c r="H20" t="str">
        <f t="shared" ca="1" si="1"/>
        <v/>
      </c>
      <c r="I20" t="str">
        <f ca="1">IFERROR(IF(t_toh[[#This Row],[tp]]&lt;&gt;"",OFFSET(_xlfn.XLOOKUP(C20,Kuponger!E:E,Kuponger!BS:BS),1,1),""),"")</f>
        <v/>
      </c>
      <c r="J20" s="3">
        <f ca="1">IFERROR(IF(t_toh[[#This Row],[Dato]]="",0,OFFSET(_xlfn.XLOOKUP(t_toh[[#This Row],[Dato]],Kuponger!E:E,Kuponger!BS:BS),1,7)),"")</f>
        <v>0</v>
      </c>
      <c r="K20" s="3">
        <f ca="1">IFERROR(SUM(t_toh[[#This Row],[tp]]),0)</f>
        <v>0</v>
      </c>
      <c r="L20" s="3" t="str">
        <f ca="1">IF(t_rb[[#This Row],[Antall_rette]]=12,1,"")</f>
        <v/>
      </c>
      <c r="M20" s="3" t="str">
        <f ca="1">IF(t_rb[[#This Row],[Antall_rette]]=11,1,"")</f>
        <v/>
      </c>
      <c r="N20" s="3" t="str">
        <f ca="1">IF(t_rb[[#This Row],[Antall_rette]]=10,1,"")</f>
        <v/>
      </c>
      <c r="O20" s="3">
        <f ca="1">IF(t_toh[[#This Row],[12_Antall]]=1,Data!$AJ$3,0)</f>
        <v>0</v>
      </c>
      <c r="P20" s="3">
        <f ca="1">IF(t_toh[[#This Row],[11_Antall]]=1,Data!$AJ$2,0)</f>
        <v>0</v>
      </c>
      <c r="Q20" s="3">
        <f ca="1">IF(t_toh[[#This Row],[10_Antall]]=1,Data!$AJ$1,0)</f>
        <v>0</v>
      </c>
      <c r="R20" s="3" t="str" cm="1">
        <f t="array" ref="R20">IFERROR(IF(_xlfn.XLOOKUP(t_toh[[#This Row],[Dato]]&amp;t_toh[[#This Row],[navn]],Regnskap!$C$10:$C$51&amp;Regnskap!$K$10:$K$51,Regnskap!$H$10:$H$51)&gt;0,Data!$AJ$3,""),"")</f>
        <v/>
      </c>
      <c r="S20" s="3" t="str" cm="1">
        <f t="array" ref="S20">IFERROR(IF(t_toh[[#This Row],[12_pLEV]]="",IF(_xlfn.XLOOKUP(t_toh[[#This Row],[Dato]]&amp;t_toh[[#This Row],[navn]],Regnskap!$C$10:$C$51&amp;Regnskap!$K$10:$K$51,Regnskap!$I$10:$I$51)&gt;0,Data!$AJ$2)),"")</f>
        <v/>
      </c>
      <c r="T20" s="3" t="str" cm="1">
        <f t="array" ref="T20">IFERROR(IF(t_toh[[#This Row],[11_pLEV]]="",IF(_xlfn.XLOOKUP(t_toh[[#This Row],[Dato]]&amp;t_toh[[#This Row],[navn]],Regnskap!$C$10:$C$51&amp;Regnskap!$K$10:$K$51,Regnskap!$J$10:$J$51)&gt;0,Data!$AJ$1),""),"")</f>
        <v/>
      </c>
      <c r="U20" s="3">
        <f ca="1">SUM(t_toh[[#This Row],[12_poeng]:[10_pLEV]])</f>
        <v>0</v>
      </c>
      <c r="V20" s="3">
        <f ca="1">SUM(t_toh[[#This Row],[Summert]]+t_toh[[#This Row],[LEV_poeng]])</f>
        <v>0</v>
      </c>
    </row>
    <row r="21" spans="1:28" x14ac:dyDescent="0.2">
      <c r="A21" s="3" t="s">
        <v>910</v>
      </c>
      <c r="B21">
        <f>IF(t_toh[[#This Row],[Dato]]&lt;&gt;"",WEEKNUM(t_toh[[#This Row],[Dato]]),"")</f>
        <v>52</v>
      </c>
      <c r="C21" s="22">
        <f>Data!AL20</f>
        <v>46382</v>
      </c>
      <c r="D21">
        <f ca="1">IFERROR(IF(t_toh[[#This Row],[Dato]]="","",OFFSET(_xlfn.XLOOKUP(C21,Kuponger!E:E,Kuponger!BS:BS),15,0)),"")</f>
        <v>0</v>
      </c>
      <c r="E21">
        <f ca="1">IFERROR(OFFSET(_xlfn.XLOOKUP(C21,Kuponger!E:E,Kuponger!BS:BS),15,1),"")</f>
        <v>0</v>
      </c>
      <c r="F21">
        <f ca="1">IFERROR(IF(t_toh[[#This Row],[Dato]]="","",OFFSET(_xlfn.XLOOKUP(C21,Kuponger!E:E,Kuponger!BS:BS),15,2)),"")</f>
        <v>0</v>
      </c>
      <c r="G21">
        <f ca="1">IFERROR(IF(OFFSET(_xlfn.XLOOKUP(C21,Kuponger!E:E,Kuponger!BS:BS),0,2)=0,"",OFFSET(_xlfn.XLOOKUP(C21,Kuponger!E:E,Kuponger!BS:BS),1,2))*-1,"")</f>
        <v>0</v>
      </c>
      <c r="H21" t="str">
        <f t="shared" ca="1" si="1"/>
        <v/>
      </c>
      <c r="I21" t="str">
        <f ca="1">IFERROR(IF(t_toh[[#This Row],[tp]]&lt;&gt;"",OFFSET(_xlfn.XLOOKUP(C21,Kuponger!E:E,Kuponger!BS:BS),1,1),""),"")</f>
        <v/>
      </c>
      <c r="J21" s="3">
        <f ca="1">IFERROR(IF(t_toh[[#This Row],[Dato]]="",0,OFFSET(_xlfn.XLOOKUP(t_toh[[#This Row],[Dato]],Kuponger!E:E,Kuponger!BS:BS),1,7)),"")</f>
        <v>0</v>
      </c>
      <c r="K21" s="3">
        <f ca="1">IFERROR(SUM(t_toh[[#This Row],[tp]]),0)</f>
        <v>0</v>
      </c>
      <c r="L21" s="3" t="str">
        <f ca="1">IF(t_rb[[#This Row],[Antall_rette]]=12,1,"")</f>
        <v/>
      </c>
      <c r="M21" s="3" t="str">
        <f ca="1">IF(t_rb[[#This Row],[Antall_rette]]=11,1,"")</f>
        <v/>
      </c>
      <c r="N21" s="3" t="str">
        <f ca="1">IF(t_rb[[#This Row],[Antall_rette]]=10,1,"")</f>
        <v/>
      </c>
      <c r="O21" s="3">
        <f ca="1">IF(t_toh[[#This Row],[12_Antall]]=1,Data!$AJ$3,0)</f>
        <v>0</v>
      </c>
      <c r="P21" s="3">
        <f ca="1">IF(t_toh[[#This Row],[11_Antall]]=1,Data!$AJ$2,0)</f>
        <v>0</v>
      </c>
      <c r="Q21" s="3">
        <f ca="1">IF(t_toh[[#This Row],[10_Antall]]=1,Data!$AJ$1,0)</f>
        <v>0</v>
      </c>
      <c r="R21" s="3" t="str" cm="1">
        <f t="array" ref="R21">IFERROR(IF(_xlfn.XLOOKUP(t_toh[[#This Row],[Dato]]&amp;t_toh[[#This Row],[navn]],Regnskap!$C$10:$C$51&amp;Regnskap!$K$10:$K$51,Regnskap!$H$10:$H$51)&gt;0,Data!$AJ$3,""),"")</f>
        <v/>
      </c>
      <c r="S21" s="3" t="str" cm="1">
        <f t="array" ref="S21">IFERROR(IF(t_toh[[#This Row],[12_pLEV]]="",IF(_xlfn.XLOOKUP(t_toh[[#This Row],[Dato]]&amp;t_toh[[#This Row],[navn]],Regnskap!$C$10:$C$51&amp;Regnskap!$K$10:$K$51,Regnskap!$I$10:$I$51)&gt;0,Data!$AJ$2)),"")</f>
        <v/>
      </c>
      <c r="T21" s="3" t="str" cm="1">
        <f t="array" ref="T21">IFERROR(IF(t_toh[[#This Row],[11_pLEV]]="",IF(_xlfn.XLOOKUP(t_toh[[#This Row],[Dato]]&amp;t_toh[[#This Row],[navn]],Regnskap!$C$10:$C$51&amp;Regnskap!$K$10:$K$51,Regnskap!$J$10:$J$51)&gt;0,Data!$AJ$1),""),"")</f>
        <v/>
      </c>
      <c r="U21" s="3">
        <f ca="1">SUM(t_toh[[#This Row],[12_poeng]:[10_pLEV]])</f>
        <v>0</v>
      </c>
      <c r="V21" s="3">
        <f ca="1">SUM(t_toh[[#This Row],[Summert]]+t_toh[[#This Row],[LEV_poeng]])</f>
        <v>0</v>
      </c>
    </row>
    <row r="22" spans="1:28" x14ac:dyDescent="0.2">
      <c r="A22" s="3" t="s">
        <v>910</v>
      </c>
      <c r="B22">
        <f>IF(t_toh[[#This Row],[Dato]]&lt;&gt;"",WEEKNUM(t_toh[[#This Row],[Dato]]),"")</f>
        <v>1</v>
      </c>
      <c r="C22" s="22">
        <f>Data!AL21</f>
        <v>46389</v>
      </c>
      <c r="D22">
        <f ca="1">IFERROR(IF(t_toh[[#This Row],[Dato]]="","",OFFSET(_xlfn.XLOOKUP(C22,Kuponger!E:E,Kuponger!BS:BS),15,0)),"")</f>
        <v>0</v>
      </c>
      <c r="E22">
        <f ca="1">IFERROR(OFFSET(_xlfn.XLOOKUP(C22,Kuponger!E:E,Kuponger!BS:BS),15,1),"")</f>
        <v>0</v>
      </c>
      <c r="F22">
        <f ca="1">IFERROR(IF(t_toh[[#This Row],[Dato]]="","",OFFSET(_xlfn.XLOOKUP(C22,Kuponger!E:E,Kuponger!BS:BS),15,2)),"")</f>
        <v>0</v>
      </c>
      <c r="G22">
        <f ca="1">IFERROR(IF(OFFSET(_xlfn.XLOOKUP(C22,Kuponger!E:E,Kuponger!BS:BS),0,2)=0,"",OFFSET(_xlfn.XLOOKUP(C22,Kuponger!E:E,Kuponger!BS:BS),1,2))*-1,"")</f>
        <v>0</v>
      </c>
      <c r="H22" t="str">
        <f t="shared" ca="1" si="1"/>
        <v/>
      </c>
      <c r="I22" t="str">
        <f ca="1">IFERROR(IF(t_toh[[#This Row],[tp]]&lt;&gt;"",OFFSET(_xlfn.XLOOKUP(C22,Kuponger!E:E,Kuponger!BS:BS),1,1),""),"")</f>
        <v/>
      </c>
      <c r="J22" s="3">
        <f ca="1">IFERROR(IF(t_toh[[#This Row],[Dato]]="",0,OFFSET(_xlfn.XLOOKUP(t_toh[[#This Row],[Dato]],Kuponger!E:E,Kuponger!BS:BS),1,7)),"")</f>
        <v>0</v>
      </c>
      <c r="K22" s="3">
        <f ca="1">IFERROR(SUM(t_toh[[#This Row],[tp]]),0)</f>
        <v>0</v>
      </c>
      <c r="L22" s="3" t="str">
        <f ca="1">IF(t_rb[[#This Row],[Antall_rette]]=12,1,"")</f>
        <v/>
      </c>
      <c r="M22" s="3" t="str">
        <f ca="1">IF(t_rb[[#This Row],[Antall_rette]]=11,1,"")</f>
        <v/>
      </c>
      <c r="N22" s="3" t="str">
        <f ca="1">IF(t_rb[[#This Row],[Antall_rette]]=10,1,"")</f>
        <v/>
      </c>
      <c r="O22" s="3">
        <f ca="1">IF(t_toh[[#This Row],[12_Antall]]=1,Data!$AJ$3,0)</f>
        <v>0</v>
      </c>
      <c r="P22" s="3">
        <f ca="1">IF(t_toh[[#This Row],[11_Antall]]=1,Data!$AJ$2,0)</f>
        <v>0</v>
      </c>
      <c r="Q22" s="3">
        <f ca="1">IF(t_toh[[#This Row],[10_Antall]]=1,Data!$AJ$1,0)</f>
        <v>0</v>
      </c>
      <c r="R22" s="3" t="str" cm="1">
        <f t="array" ref="R22">IFERROR(IF(_xlfn.XLOOKUP(t_toh[[#This Row],[Dato]]&amp;t_toh[[#This Row],[navn]],Regnskap!$C$10:$C$51&amp;Regnskap!$K$10:$K$51,Regnskap!$H$10:$H$51)&gt;0,Data!$AJ$3,""),"")</f>
        <v/>
      </c>
      <c r="S22" s="3" t="str" cm="1">
        <f t="array" ref="S22">IFERROR(IF(t_toh[[#This Row],[12_pLEV]]="",IF(_xlfn.XLOOKUP(t_toh[[#This Row],[Dato]]&amp;t_toh[[#This Row],[navn]],Regnskap!$C$10:$C$51&amp;Regnskap!$K$10:$K$51,Regnskap!$I$10:$I$51)&gt;0,Data!$AJ$2)),"")</f>
        <v/>
      </c>
      <c r="T22" s="3" t="str" cm="1">
        <f t="array" ref="T22">IFERROR(IF(t_toh[[#This Row],[11_pLEV]]="",IF(_xlfn.XLOOKUP(t_toh[[#This Row],[Dato]]&amp;t_toh[[#This Row],[navn]],Regnskap!$C$10:$C$51&amp;Regnskap!$K$10:$K$51,Regnskap!$J$10:$J$51)&gt;0,Data!$AJ$1),""),"")</f>
        <v/>
      </c>
      <c r="U22" s="3">
        <f ca="1">SUM(t_toh[[#This Row],[12_poeng]:[10_pLEV]])</f>
        <v>0</v>
      </c>
      <c r="V22" s="3">
        <f ca="1">SUM(t_toh[[#This Row],[Summert]]+t_toh[[#This Row],[LEV_poeng]])</f>
        <v>0</v>
      </c>
    </row>
    <row r="23" spans="1:28" x14ac:dyDescent="0.2">
      <c r="A23" s="3" t="s">
        <v>910</v>
      </c>
      <c r="B23">
        <f>IF(t_toh[[#This Row],[Dato]]&lt;&gt;"",WEEKNUM(t_toh[[#This Row],[Dato]]),"")</f>
        <v>2</v>
      </c>
      <c r="C23" s="22">
        <f>Data!AL22</f>
        <v>46396</v>
      </c>
      <c r="D23">
        <f ca="1">IFERROR(IF(t_toh[[#This Row],[Dato]]="","",OFFSET(_xlfn.XLOOKUP(C23,Kuponger!E:E,Kuponger!BS:BS),15,0)),"")</f>
        <v>0</v>
      </c>
      <c r="E23">
        <f ca="1">IFERROR(OFFSET(_xlfn.XLOOKUP(C23,Kuponger!E:E,Kuponger!BS:BS),15,1),"")</f>
        <v>0</v>
      </c>
      <c r="F23">
        <f ca="1">IFERROR(IF(t_toh[[#This Row],[Dato]]="","",OFFSET(_xlfn.XLOOKUP(C23,Kuponger!E:E,Kuponger!BS:BS),15,2)),"")</f>
        <v>0</v>
      </c>
      <c r="G23">
        <f ca="1">IFERROR(IF(OFFSET(_xlfn.XLOOKUP(C23,Kuponger!E:E,Kuponger!BS:BS),0,2)=0,"",OFFSET(_xlfn.XLOOKUP(C23,Kuponger!E:E,Kuponger!BS:BS),1,2))*-1,"")</f>
        <v>0</v>
      </c>
      <c r="H23" t="str">
        <f t="shared" ca="1" si="1"/>
        <v/>
      </c>
      <c r="I23" t="str">
        <f ca="1">IFERROR(IF(t_toh[[#This Row],[tp]]&lt;&gt;"",OFFSET(_xlfn.XLOOKUP(C23,Kuponger!E:E,Kuponger!BS:BS),1,1),""),"")</f>
        <v/>
      </c>
      <c r="J23" s="3">
        <f ca="1">IFERROR(IF(t_toh[[#This Row],[Dato]]="",0,OFFSET(_xlfn.XLOOKUP(t_toh[[#This Row],[Dato]],Kuponger!E:E,Kuponger!BS:BS),1,7)),"")</f>
        <v>0</v>
      </c>
      <c r="K23" s="3">
        <f ca="1">IFERROR(SUM(t_toh[[#This Row],[tp]]),0)</f>
        <v>0</v>
      </c>
      <c r="L23" s="3" t="str">
        <f ca="1">IF(t_rb[[#This Row],[Antall_rette]]=12,1,"")</f>
        <v/>
      </c>
      <c r="M23" s="3" t="str">
        <f ca="1">IF(t_rb[[#This Row],[Antall_rette]]=11,1,"")</f>
        <v/>
      </c>
      <c r="N23" s="3" t="str">
        <f ca="1">IF(t_rb[[#This Row],[Antall_rette]]=10,1,"")</f>
        <v/>
      </c>
      <c r="O23" s="3">
        <f ca="1">IF(t_toh[[#This Row],[12_Antall]]=1,Data!$AJ$3,0)</f>
        <v>0</v>
      </c>
      <c r="P23" s="3">
        <f ca="1">IF(t_toh[[#This Row],[11_Antall]]=1,Data!$AJ$2,0)</f>
        <v>0</v>
      </c>
      <c r="Q23" s="3">
        <f ca="1">IF(t_toh[[#This Row],[10_Antall]]=1,Data!$AJ$1,0)</f>
        <v>0</v>
      </c>
      <c r="R23" s="3" t="str" cm="1">
        <f t="array" ref="R23">IFERROR(IF(_xlfn.XLOOKUP(t_toh[[#This Row],[Dato]]&amp;t_toh[[#This Row],[navn]],Regnskap!$C$10:$C$51&amp;Regnskap!$K$10:$K$51,Regnskap!$H$10:$H$51)&gt;0,Data!$AJ$3,""),"")</f>
        <v/>
      </c>
      <c r="S23" s="3" t="str" cm="1">
        <f t="array" ref="S23">IFERROR(IF(t_toh[[#This Row],[12_pLEV]]="",IF(_xlfn.XLOOKUP(t_toh[[#This Row],[Dato]]&amp;t_toh[[#This Row],[navn]],Regnskap!$C$10:$C$51&amp;Regnskap!$K$10:$K$51,Regnskap!$I$10:$I$51)&gt;0,Data!$AJ$2)),"")</f>
        <v/>
      </c>
      <c r="T23" s="3" t="str" cm="1">
        <f t="array" ref="T23">IFERROR(IF(t_toh[[#This Row],[11_pLEV]]="",IF(_xlfn.XLOOKUP(t_toh[[#This Row],[Dato]]&amp;t_toh[[#This Row],[navn]],Regnskap!$C$10:$C$51&amp;Regnskap!$K$10:$K$51,Regnskap!$J$10:$J$51)&gt;0,Data!$AJ$1),""),"")</f>
        <v/>
      </c>
      <c r="U23" s="3">
        <f ca="1">SUM(t_toh[[#This Row],[12_poeng]:[10_pLEV]])</f>
        <v>0</v>
      </c>
      <c r="V23" s="3">
        <f ca="1">SUM(t_toh[[#This Row],[Summert]]+t_toh[[#This Row],[LEV_poeng]])</f>
        <v>0</v>
      </c>
    </row>
    <row r="24" spans="1:28" x14ac:dyDescent="0.2">
      <c r="A24" s="3" t="s">
        <v>910</v>
      </c>
      <c r="B24">
        <f>IF(t_toh[[#This Row],[Dato]]&lt;&gt;"",WEEKNUM(t_toh[[#This Row],[Dato]]),"")</f>
        <v>3</v>
      </c>
      <c r="C24" s="22">
        <f>Data!AL23</f>
        <v>46403</v>
      </c>
      <c r="D24">
        <f ca="1">IFERROR(IF(t_toh[[#This Row],[Dato]]="","",OFFSET(_xlfn.XLOOKUP(C24,Kuponger!E:E,Kuponger!BS:BS),15,0)),"")</f>
        <v>0</v>
      </c>
      <c r="E24">
        <f ca="1">IFERROR(OFFSET(_xlfn.XLOOKUP(C24,Kuponger!E:E,Kuponger!BS:BS),15,1),"")</f>
        <v>0</v>
      </c>
      <c r="F24">
        <f ca="1">IFERROR(IF(t_toh[[#This Row],[Dato]]="","",OFFSET(_xlfn.XLOOKUP(C24,Kuponger!E:E,Kuponger!BS:BS),15,2)),"")</f>
        <v>0</v>
      </c>
      <c r="G24">
        <f ca="1">IFERROR(IF(OFFSET(_xlfn.XLOOKUP(C24,Kuponger!E:E,Kuponger!BS:BS),0,2)=0,"",OFFSET(_xlfn.XLOOKUP(C24,Kuponger!E:E,Kuponger!BS:BS),1,2))*-1,"")</f>
        <v>0</v>
      </c>
      <c r="H24" t="str">
        <f t="shared" ca="1" si="1"/>
        <v/>
      </c>
      <c r="I24" t="str">
        <f ca="1">IFERROR(IF(t_toh[[#This Row],[tp]]&lt;&gt;"",OFFSET(_xlfn.XLOOKUP(C24,Kuponger!E:E,Kuponger!BS:BS),1,1),""),"")</f>
        <v/>
      </c>
      <c r="J24" s="3">
        <f ca="1">IFERROR(IF(t_toh[[#This Row],[Dato]]="",0,OFFSET(_xlfn.XLOOKUP(t_toh[[#This Row],[Dato]],Kuponger!E:E,Kuponger!BS:BS),1,7)),"")</f>
        <v>0</v>
      </c>
      <c r="K24" s="3">
        <f ca="1">IFERROR(SUM(t_toh[[#This Row],[tp]]),0)</f>
        <v>0</v>
      </c>
      <c r="L24" s="3" t="str">
        <f ca="1">IF(t_rb[[#This Row],[Antall_rette]]=12,1,"")</f>
        <v/>
      </c>
      <c r="M24" s="3" t="str">
        <f ca="1">IF(t_rb[[#This Row],[Antall_rette]]=11,1,"")</f>
        <v/>
      </c>
      <c r="N24" s="3" t="str">
        <f ca="1">IF(t_rb[[#This Row],[Antall_rette]]=10,1,"")</f>
        <v/>
      </c>
      <c r="O24" s="3">
        <f ca="1">IF(t_toh[[#This Row],[12_Antall]]=1,Data!$AJ$3,0)</f>
        <v>0</v>
      </c>
      <c r="P24" s="3">
        <f ca="1">IF(t_toh[[#This Row],[11_Antall]]=1,Data!$AJ$2,0)</f>
        <v>0</v>
      </c>
      <c r="Q24" s="3">
        <f ca="1">IF(t_toh[[#This Row],[10_Antall]]=1,Data!$AJ$1,0)</f>
        <v>0</v>
      </c>
      <c r="R24" s="3" t="str" cm="1">
        <f t="array" ref="R24">IFERROR(IF(_xlfn.XLOOKUP(t_toh[[#This Row],[Dato]]&amp;t_toh[[#This Row],[navn]],Regnskap!$C$10:$C$51&amp;Regnskap!$K$10:$K$51,Regnskap!$H$10:$H$51)&gt;0,Data!$AJ$3,""),"")</f>
        <v/>
      </c>
      <c r="S24" s="3" t="str" cm="1">
        <f t="array" ref="S24">IFERROR(IF(t_toh[[#This Row],[12_pLEV]]="",IF(_xlfn.XLOOKUP(t_toh[[#This Row],[Dato]]&amp;t_toh[[#This Row],[navn]],Regnskap!$C$10:$C$51&amp;Regnskap!$K$10:$K$51,Regnskap!$I$10:$I$51)&gt;0,Data!$AJ$2)),"")</f>
        <v/>
      </c>
      <c r="T24" s="3" t="str" cm="1">
        <f t="array" ref="T24">IFERROR(IF(t_toh[[#This Row],[11_pLEV]]="",IF(_xlfn.XLOOKUP(t_toh[[#This Row],[Dato]]&amp;t_toh[[#This Row],[navn]],Regnskap!$C$10:$C$51&amp;Regnskap!$K$10:$K$51,Regnskap!$J$10:$J$51)&gt;0,Data!$AJ$1),""),"")</f>
        <v/>
      </c>
      <c r="U24" s="3">
        <f ca="1">SUM(t_toh[[#This Row],[12_poeng]:[10_pLEV]])</f>
        <v>0</v>
      </c>
      <c r="V24" s="3">
        <f ca="1">SUM(t_toh[[#This Row],[Summert]]+t_toh[[#This Row],[LEV_poeng]])</f>
        <v>0</v>
      </c>
    </row>
    <row r="25" spans="1:28" x14ac:dyDescent="0.2">
      <c r="A25" s="3" t="s">
        <v>910</v>
      </c>
      <c r="B25">
        <f>IF(t_toh[[#This Row],[Dato]]&lt;&gt;"",WEEKNUM(t_toh[[#This Row],[Dato]]),"")</f>
        <v>4</v>
      </c>
      <c r="C25" s="22">
        <f>Data!AL24</f>
        <v>46410</v>
      </c>
      <c r="D25">
        <f ca="1">IFERROR(IF(t_toh[[#This Row],[Dato]]="","",OFFSET(_xlfn.XLOOKUP(C25,Kuponger!E:E,Kuponger!BS:BS),15,0)),"")</f>
        <v>0</v>
      </c>
      <c r="E25">
        <f ca="1">IFERROR(OFFSET(_xlfn.XLOOKUP(C25,Kuponger!E:E,Kuponger!BS:BS),15,1),"")</f>
        <v>0</v>
      </c>
      <c r="F25">
        <f ca="1">IFERROR(IF(t_toh[[#This Row],[Dato]]="","",OFFSET(_xlfn.XLOOKUP(C25,Kuponger!E:E,Kuponger!BS:BS),15,2)),"")</f>
        <v>0</v>
      </c>
      <c r="G25">
        <f ca="1">IFERROR(IF(OFFSET(_xlfn.XLOOKUP(C25,Kuponger!E:E,Kuponger!BS:BS),0,2)=0,"",OFFSET(_xlfn.XLOOKUP(C25,Kuponger!E:E,Kuponger!BS:BS),1,2))*-1,"")</f>
        <v>0</v>
      </c>
      <c r="H25" t="str">
        <f t="shared" ca="1" si="1"/>
        <v/>
      </c>
      <c r="I25" t="str">
        <f ca="1">IFERROR(IF(t_toh[[#This Row],[tp]]&lt;&gt;"",OFFSET(_xlfn.XLOOKUP(C25,Kuponger!E:E,Kuponger!BS:BS),1,1),""),"")</f>
        <v/>
      </c>
      <c r="J25" s="3">
        <f ca="1">IFERROR(IF(t_toh[[#This Row],[Dato]]="",0,OFFSET(_xlfn.XLOOKUP(t_toh[[#This Row],[Dato]],Kuponger!E:E,Kuponger!BS:BS),1,7)),"")</f>
        <v>0</v>
      </c>
      <c r="K25" s="3">
        <f ca="1">IFERROR(SUM(t_toh[[#This Row],[tp]]),0)</f>
        <v>0</v>
      </c>
      <c r="L25" s="3" t="str">
        <f ca="1">IF(t_rb[[#This Row],[Antall_rette]]=12,1,"")</f>
        <v/>
      </c>
      <c r="M25" s="3" t="str">
        <f ca="1">IF(t_rb[[#This Row],[Antall_rette]]=11,1,"")</f>
        <v/>
      </c>
      <c r="N25" s="3" t="str">
        <f ca="1">IF(t_rb[[#This Row],[Antall_rette]]=10,1,"")</f>
        <v/>
      </c>
      <c r="O25" s="3">
        <f ca="1">IF(t_toh[[#This Row],[12_Antall]]=1,Data!$AJ$3,0)</f>
        <v>0</v>
      </c>
      <c r="P25" s="3">
        <f ca="1">IF(t_toh[[#This Row],[11_Antall]]=1,Data!$AJ$2,0)</f>
        <v>0</v>
      </c>
      <c r="Q25" s="3">
        <f ca="1">IF(t_toh[[#This Row],[10_Antall]]=1,Data!$AJ$1,0)</f>
        <v>0</v>
      </c>
      <c r="R25" s="3" t="str" cm="1">
        <f t="array" ref="R25">IFERROR(IF(_xlfn.XLOOKUP(t_toh[[#This Row],[Dato]]&amp;t_toh[[#This Row],[navn]],Regnskap!$C$10:$C$51&amp;Regnskap!$K$10:$K$51,Regnskap!$H$10:$H$51)&gt;0,Data!$AJ$3,""),"")</f>
        <v/>
      </c>
      <c r="S25" s="3" t="str" cm="1">
        <f t="array" ref="S25">IFERROR(IF(t_toh[[#This Row],[12_pLEV]]="",IF(_xlfn.XLOOKUP(t_toh[[#This Row],[Dato]]&amp;t_toh[[#This Row],[navn]],Regnskap!$C$10:$C$51&amp;Regnskap!$K$10:$K$51,Regnskap!$I$10:$I$51)&gt;0,Data!$AJ$2)),"")</f>
        <v/>
      </c>
      <c r="T25" s="3" t="str" cm="1">
        <f t="array" ref="T25">IFERROR(IF(t_toh[[#This Row],[11_pLEV]]="",IF(_xlfn.XLOOKUP(t_toh[[#This Row],[Dato]]&amp;t_toh[[#This Row],[navn]],Regnskap!$C$10:$C$51&amp;Regnskap!$K$10:$K$51,Regnskap!$J$10:$J$51)&gt;0,Data!$AJ$1),""),"")</f>
        <v/>
      </c>
      <c r="U25" s="3">
        <f ca="1">SUM(t_toh[[#This Row],[12_poeng]:[10_pLEV]])</f>
        <v>0</v>
      </c>
      <c r="V25" s="3">
        <f ca="1">SUM(t_toh[[#This Row],[Summert]]+t_toh[[#This Row],[LEV_poeng]])</f>
        <v>0</v>
      </c>
      <c r="W25" s="2"/>
      <c r="X25" s="2"/>
      <c r="Y25" s="2"/>
      <c r="Z25" s="2"/>
      <c r="AA25" s="2"/>
      <c r="AB25" s="2"/>
    </row>
    <row r="26" spans="1:28" x14ac:dyDescent="0.2">
      <c r="A26" s="3" t="s">
        <v>910</v>
      </c>
      <c r="B26">
        <f>IF(t_toh[[#This Row],[Dato]]&lt;&gt;"",WEEKNUM(t_toh[[#This Row],[Dato]]),"")</f>
        <v>5</v>
      </c>
      <c r="C26" s="22">
        <f>Data!AL25</f>
        <v>46417</v>
      </c>
      <c r="D26">
        <f ca="1">IFERROR(IF(t_toh[[#This Row],[Dato]]="","",OFFSET(_xlfn.XLOOKUP(C26,Kuponger!E:E,Kuponger!BS:BS),15,0)),"")</f>
        <v>0</v>
      </c>
      <c r="E26">
        <f ca="1">IFERROR(OFFSET(_xlfn.XLOOKUP(C26,Kuponger!E:E,Kuponger!BS:BS),15,1),"")</f>
        <v>0</v>
      </c>
      <c r="F26">
        <f ca="1">IFERROR(IF(t_toh[[#This Row],[Dato]]="","",OFFSET(_xlfn.XLOOKUP(C26,Kuponger!E:E,Kuponger!BS:BS),15,2)),"")</f>
        <v>0</v>
      </c>
      <c r="G26">
        <f ca="1">IFERROR(IF(OFFSET(_xlfn.XLOOKUP(C26,Kuponger!E:E,Kuponger!BS:BS),0,2)=0,"",OFFSET(_xlfn.XLOOKUP(C26,Kuponger!E:E,Kuponger!BS:BS),1,2))*-1,"")</f>
        <v>0</v>
      </c>
      <c r="H26" t="str">
        <f t="shared" ca="1" si="1"/>
        <v/>
      </c>
      <c r="I26" t="str">
        <f ca="1">IFERROR(IF(t_toh[[#This Row],[tp]]&lt;&gt;"",OFFSET(_xlfn.XLOOKUP(C26,Kuponger!E:E,Kuponger!BS:BS),1,1),""),"")</f>
        <v/>
      </c>
      <c r="J26" s="3">
        <f ca="1">IFERROR(IF(t_toh[[#This Row],[Dato]]="",0,OFFSET(_xlfn.XLOOKUP(t_toh[[#This Row],[Dato]],Kuponger!E:E,Kuponger!BS:BS),1,7)),"")</f>
        <v>0</v>
      </c>
      <c r="K26" s="3">
        <f ca="1">IFERROR(SUM(t_toh[[#This Row],[tp]]),0)</f>
        <v>0</v>
      </c>
      <c r="L26" s="3" t="str">
        <f ca="1">IF(t_rb[[#This Row],[Antall_rette]]=12,1,"")</f>
        <v/>
      </c>
      <c r="M26" s="3" t="str">
        <f ca="1">IF(t_rb[[#This Row],[Antall_rette]]=11,1,"")</f>
        <v/>
      </c>
      <c r="N26" s="3" t="str">
        <f ca="1">IF(t_rb[[#This Row],[Antall_rette]]=10,1,"")</f>
        <v/>
      </c>
      <c r="O26" s="3">
        <f ca="1">IF(t_toh[[#This Row],[12_Antall]]=1,Data!$AJ$3,0)</f>
        <v>0</v>
      </c>
      <c r="P26" s="3">
        <f ca="1">IF(t_toh[[#This Row],[11_Antall]]=1,Data!$AJ$2,0)</f>
        <v>0</v>
      </c>
      <c r="Q26" s="3">
        <f ca="1">IF(t_toh[[#This Row],[10_Antall]]=1,Data!$AJ$1,0)</f>
        <v>0</v>
      </c>
      <c r="R26" s="3" t="str" cm="1">
        <f t="array" ref="R26">IFERROR(IF(_xlfn.XLOOKUP(t_toh[[#This Row],[Dato]]&amp;t_toh[[#This Row],[navn]],Regnskap!$C$10:$C$51&amp;Regnskap!$K$10:$K$51,Regnskap!$H$10:$H$51)&gt;0,Data!$AJ$3,""),"")</f>
        <v/>
      </c>
      <c r="S26" s="3" t="b" cm="1">
        <f t="array" ref="S26">IFERROR(IF(t_toh[[#This Row],[12_pLEV]]="",IF(_xlfn.XLOOKUP(t_toh[[#This Row],[Dato]]&amp;t_toh[[#This Row],[navn]],Regnskap!$C$10:$C$51&amp;Regnskap!$K$10:$K$51,Regnskap!$I$10:$I$51)&gt;0,Data!$AJ$2)),"")</f>
        <v>0</v>
      </c>
      <c r="T26" s="3" t="str" cm="1">
        <f t="array" ref="T26">IFERROR(IF(t_toh[[#This Row],[11_pLEV]]="",IF(_xlfn.XLOOKUP(t_toh[[#This Row],[Dato]]&amp;t_toh[[#This Row],[navn]],Regnskap!$C$10:$C$51&amp;Regnskap!$K$10:$K$51,Regnskap!$J$10:$J$51)&gt;0,Data!$AJ$1),""),"")</f>
        <v/>
      </c>
      <c r="U26" s="3">
        <f ca="1">SUM(t_toh[[#This Row],[12_poeng]:[10_pLEV]])</f>
        <v>0</v>
      </c>
      <c r="V26" s="3">
        <f ca="1">SUM(t_toh[[#This Row],[Summert]]+t_toh[[#This Row],[LEV_poeng]])</f>
        <v>0</v>
      </c>
    </row>
    <row r="27" spans="1:28" x14ac:dyDescent="0.2">
      <c r="A27" s="3" t="s">
        <v>910</v>
      </c>
      <c r="B27">
        <f>IF(t_toh[[#This Row],[Dato]]&lt;&gt;"",WEEKNUM(t_toh[[#This Row],[Dato]]),"")</f>
        <v>6</v>
      </c>
      <c r="C27" s="22">
        <f>Data!AL26</f>
        <v>46424</v>
      </c>
      <c r="D27">
        <f ca="1">IFERROR(IF(t_toh[[#This Row],[Dato]]="","",OFFSET(_xlfn.XLOOKUP(C27,Kuponger!E:E,Kuponger!BS:BS),15,0)),"")</f>
        <v>0</v>
      </c>
      <c r="E27">
        <f ca="1">IFERROR(OFFSET(_xlfn.XLOOKUP(C27,Kuponger!E:E,Kuponger!BS:BS),15,1),"")</f>
        <v>0</v>
      </c>
      <c r="F27">
        <f ca="1">IFERROR(IF(t_toh[[#This Row],[Dato]]="","",OFFSET(_xlfn.XLOOKUP(C27,Kuponger!E:E,Kuponger!BS:BS),15,2)),"")</f>
        <v>0</v>
      </c>
      <c r="G27">
        <f ca="1">IFERROR(IF(OFFSET(_xlfn.XLOOKUP(C27,Kuponger!E:E,Kuponger!BS:BS),0,2)=0,"",OFFSET(_xlfn.XLOOKUP(C27,Kuponger!E:E,Kuponger!BS:BS),1,2))*-1,"")</f>
        <v>0</v>
      </c>
      <c r="H27" t="str">
        <f t="shared" ca="1" si="1"/>
        <v/>
      </c>
      <c r="I27" t="str">
        <f ca="1">IFERROR(IF(t_toh[[#This Row],[tp]]&lt;&gt;"",OFFSET(_xlfn.XLOOKUP(C27,Kuponger!E:E,Kuponger!BS:BS),1,1),""),"")</f>
        <v/>
      </c>
      <c r="J27" s="3">
        <f ca="1">IFERROR(IF(t_toh[[#This Row],[Dato]]="",0,OFFSET(_xlfn.XLOOKUP(t_toh[[#This Row],[Dato]],Kuponger!E:E,Kuponger!BS:BS),1,7)),"")</f>
        <v>0</v>
      </c>
      <c r="K27" s="3">
        <f ca="1">IFERROR(SUM(t_toh[[#This Row],[tp]]),0)</f>
        <v>0</v>
      </c>
      <c r="L27" s="3" t="str">
        <f ca="1">IF(t_rb[[#This Row],[Antall_rette]]=12,1,"")</f>
        <v/>
      </c>
      <c r="M27" s="3" t="str">
        <f ca="1">IF(t_rb[[#This Row],[Antall_rette]]=11,1,"")</f>
        <v/>
      </c>
      <c r="N27" s="3" t="str">
        <f ca="1">IF(t_rb[[#This Row],[Antall_rette]]=10,1,"")</f>
        <v/>
      </c>
      <c r="O27" s="3">
        <f ca="1">IF(t_toh[[#This Row],[12_Antall]]=1,Data!$AJ$3,0)</f>
        <v>0</v>
      </c>
      <c r="P27" s="3">
        <f ca="1">IF(t_toh[[#This Row],[11_Antall]]=1,Data!$AJ$2,0)</f>
        <v>0</v>
      </c>
      <c r="Q27" s="3">
        <f ca="1">IF(t_toh[[#This Row],[10_Antall]]=1,Data!$AJ$1,0)</f>
        <v>0</v>
      </c>
      <c r="R27" s="3" t="str" cm="1">
        <f t="array" ref="R27">IFERROR(IF(_xlfn.XLOOKUP(t_toh[[#This Row],[Dato]]&amp;t_toh[[#This Row],[navn]],Regnskap!$C$10:$C$51&amp;Regnskap!$K$10:$K$51,Regnskap!$H$10:$H$51)&gt;0,Data!$AJ$3,""),"")</f>
        <v/>
      </c>
      <c r="S27" s="3" t="str" cm="1">
        <f t="array" ref="S27">IFERROR(IF(t_toh[[#This Row],[12_pLEV]]="",IF(_xlfn.XLOOKUP(t_toh[[#This Row],[Dato]]&amp;t_toh[[#This Row],[navn]],Regnskap!$C$10:$C$51&amp;Regnskap!$K$10:$K$51,Regnskap!$I$10:$I$51)&gt;0,Data!$AJ$2)),"")</f>
        <v/>
      </c>
      <c r="T27" s="3" t="str" cm="1">
        <f t="array" ref="T27">IFERROR(IF(t_toh[[#This Row],[11_pLEV]]="",IF(_xlfn.XLOOKUP(t_toh[[#This Row],[Dato]]&amp;t_toh[[#This Row],[navn]],Regnskap!$C$10:$C$51&amp;Regnskap!$K$10:$K$51,Regnskap!$J$10:$J$51)&gt;0,Data!$AJ$1),""),"")</f>
        <v/>
      </c>
      <c r="U27" s="3">
        <f ca="1">SUM(t_toh[[#This Row],[12_poeng]:[10_pLEV]])</f>
        <v>0</v>
      </c>
      <c r="V27" s="3">
        <f ca="1">SUM(t_toh[[#This Row],[Summert]]+t_toh[[#This Row],[LEV_poeng]])</f>
        <v>0</v>
      </c>
    </row>
    <row r="28" spans="1:28" x14ac:dyDescent="0.2">
      <c r="A28" s="3" t="s">
        <v>910</v>
      </c>
      <c r="B28">
        <f>IF(t_toh[[#This Row],[Dato]]&lt;&gt;"",WEEKNUM(t_toh[[#This Row],[Dato]]),"")</f>
        <v>7</v>
      </c>
      <c r="C28" s="22">
        <f>Data!AL27</f>
        <v>46431</v>
      </c>
      <c r="D28">
        <f ca="1">IFERROR(IF(t_toh[[#This Row],[Dato]]="","",OFFSET(_xlfn.XLOOKUP(C28,Kuponger!E:E,Kuponger!BS:BS),15,0)),"")</f>
        <v>0</v>
      </c>
      <c r="E28">
        <f ca="1">IFERROR(OFFSET(_xlfn.XLOOKUP(C28,Kuponger!E:E,Kuponger!BS:BS),15,1),"")</f>
        <v>0</v>
      </c>
      <c r="F28">
        <f ca="1">IFERROR(IF(t_toh[[#This Row],[Dato]]="","",OFFSET(_xlfn.XLOOKUP(C28,Kuponger!E:E,Kuponger!BS:BS),15,2)),"")</f>
        <v>0</v>
      </c>
      <c r="G28">
        <f ca="1">IFERROR(IF(OFFSET(_xlfn.XLOOKUP(C28,Kuponger!E:E,Kuponger!BS:BS),0,2)=0,"",OFFSET(_xlfn.XLOOKUP(C28,Kuponger!E:E,Kuponger!BS:BS),1,2))*-1,"")</f>
        <v>0</v>
      </c>
      <c r="H28" t="str">
        <f t="shared" ca="1" si="1"/>
        <v/>
      </c>
      <c r="I28" t="str">
        <f ca="1">IFERROR(IF(t_toh[[#This Row],[tp]]&lt;&gt;"",OFFSET(_xlfn.XLOOKUP(C28,Kuponger!E:E,Kuponger!BS:BS),1,1),""),"")</f>
        <v/>
      </c>
      <c r="J28" s="3">
        <f ca="1">IFERROR(IF(t_toh[[#This Row],[Dato]]="",0,OFFSET(_xlfn.XLOOKUP(t_toh[[#This Row],[Dato]],Kuponger!E:E,Kuponger!BS:BS),1,7)),"")</f>
        <v>0</v>
      </c>
      <c r="K28" s="3">
        <f ca="1">IFERROR(SUM(t_toh[[#This Row],[tp]]),0)</f>
        <v>0</v>
      </c>
      <c r="L28" s="3" t="str">
        <f ca="1">IF(t_rb[[#This Row],[Antall_rette]]=12,1,"")</f>
        <v/>
      </c>
      <c r="M28" s="3" t="str">
        <f ca="1">IF(t_rb[[#This Row],[Antall_rette]]=11,1,"")</f>
        <v/>
      </c>
      <c r="N28" s="3" t="str">
        <f ca="1">IF(t_rb[[#This Row],[Antall_rette]]=10,1,"")</f>
        <v/>
      </c>
      <c r="O28" s="3">
        <f ca="1">IF(t_toh[[#This Row],[12_Antall]]=1,Data!$AJ$3,0)</f>
        <v>0</v>
      </c>
      <c r="P28" s="3">
        <f ca="1">IF(t_toh[[#This Row],[11_Antall]]=1,Data!$AJ$2,0)</f>
        <v>0</v>
      </c>
      <c r="Q28" s="3">
        <f ca="1">IF(t_toh[[#This Row],[10_Antall]]=1,Data!$AJ$1,0)</f>
        <v>0</v>
      </c>
      <c r="R28" s="3" t="str" cm="1">
        <f t="array" ref="R28">IFERROR(IF(_xlfn.XLOOKUP(t_toh[[#This Row],[Dato]]&amp;t_toh[[#This Row],[navn]],Regnskap!$C$10:$C$51&amp;Regnskap!$K$10:$K$51,Regnskap!$H$10:$H$51)&gt;0,Data!$AJ$3,""),"")</f>
        <v/>
      </c>
      <c r="S28" s="3" t="str" cm="1">
        <f t="array" ref="S28">IFERROR(IF(t_toh[[#This Row],[12_pLEV]]="",IF(_xlfn.XLOOKUP(t_toh[[#This Row],[Dato]]&amp;t_toh[[#This Row],[navn]],Regnskap!$C$10:$C$51&amp;Regnskap!$K$10:$K$51,Regnskap!$I$10:$I$51)&gt;0,Data!$AJ$2)),"")</f>
        <v/>
      </c>
      <c r="T28" s="3" t="str" cm="1">
        <f t="array" ref="T28">IFERROR(IF(t_toh[[#This Row],[11_pLEV]]="",IF(_xlfn.XLOOKUP(t_toh[[#This Row],[Dato]]&amp;t_toh[[#This Row],[navn]],Regnskap!$C$10:$C$51&amp;Regnskap!$K$10:$K$51,Regnskap!$J$10:$J$51)&gt;0,Data!$AJ$1),""),"")</f>
        <v/>
      </c>
      <c r="U28" s="3">
        <f ca="1">SUM(t_toh[[#This Row],[12_poeng]:[10_pLEV]])</f>
        <v>0</v>
      </c>
      <c r="V28" s="3">
        <f ca="1">SUM(t_toh[[#This Row],[Summert]]+t_toh[[#This Row],[LEV_poeng]])</f>
        <v>0</v>
      </c>
    </row>
    <row r="29" spans="1:28" x14ac:dyDescent="0.2">
      <c r="A29" s="3" t="s">
        <v>910</v>
      </c>
      <c r="B29">
        <f>IF(t_toh[[#This Row],[Dato]]&lt;&gt;"",WEEKNUM(t_toh[[#This Row],[Dato]]),"")</f>
        <v>8</v>
      </c>
      <c r="C29" s="22">
        <f>Data!AL28</f>
        <v>46438</v>
      </c>
      <c r="D29">
        <f ca="1">IFERROR(IF(t_toh[[#This Row],[Dato]]="","",OFFSET(_xlfn.XLOOKUP(C29,Kuponger!E:E,Kuponger!BS:BS),15,0)),"")</f>
        <v>0</v>
      </c>
      <c r="E29">
        <f ca="1">IFERROR(OFFSET(_xlfn.XLOOKUP(C29,Kuponger!E:E,Kuponger!BS:BS),15,1),"")</f>
        <v>0</v>
      </c>
      <c r="F29">
        <f ca="1">IFERROR(IF(t_toh[[#This Row],[Dato]]="","",OFFSET(_xlfn.XLOOKUP(C29,Kuponger!E:E,Kuponger!BS:BS),15,2)),"")</f>
        <v>0</v>
      </c>
      <c r="G29">
        <f ca="1">IFERROR(IF(OFFSET(_xlfn.XLOOKUP(C29,Kuponger!E:E,Kuponger!BS:BS),0,2)=0,"",OFFSET(_xlfn.XLOOKUP(C29,Kuponger!E:E,Kuponger!BS:BS),1,2))*-1,"")</f>
        <v>0</v>
      </c>
      <c r="H29" t="str">
        <f t="shared" ca="1" si="1"/>
        <v/>
      </c>
      <c r="I29" t="str">
        <f ca="1">IFERROR(IF(t_toh[[#This Row],[tp]]&lt;&gt;"",OFFSET(_xlfn.XLOOKUP(C29,Kuponger!E:E,Kuponger!BS:BS),1,1),""),"")</f>
        <v/>
      </c>
      <c r="J29" s="3">
        <f ca="1">IFERROR(IF(t_toh[[#This Row],[Dato]]="",0,OFFSET(_xlfn.XLOOKUP(t_toh[[#This Row],[Dato]],Kuponger!E:E,Kuponger!BS:BS),1,7)),"")</f>
        <v>0</v>
      </c>
      <c r="K29" s="3">
        <f ca="1">IFERROR(SUM(t_toh[[#This Row],[tp]]),0)</f>
        <v>0</v>
      </c>
      <c r="L29" s="3" t="str">
        <f ca="1">IF(t_rb[[#This Row],[Antall_rette]]=12,1,"")</f>
        <v/>
      </c>
      <c r="M29" s="3" t="str">
        <f ca="1">IF(t_rb[[#This Row],[Antall_rette]]=11,1,"")</f>
        <v/>
      </c>
      <c r="N29" s="3" t="str">
        <f ca="1">IF(t_rb[[#This Row],[Antall_rette]]=10,1,"")</f>
        <v/>
      </c>
      <c r="O29" s="3">
        <f ca="1">IF(t_toh[[#This Row],[12_Antall]]=1,Data!$AJ$3,0)</f>
        <v>0</v>
      </c>
      <c r="P29" s="3">
        <f ca="1">IF(t_toh[[#This Row],[11_Antall]]=1,Data!$AJ$2,0)</f>
        <v>0</v>
      </c>
      <c r="Q29" s="3">
        <f ca="1">IF(t_toh[[#This Row],[10_Antall]]=1,Data!$AJ$1,0)</f>
        <v>0</v>
      </c>
      <c r="R29" s="3" t="str" cm="1">
        <f t="array" ref="R29">IFERROR(IF(_xlfn.XLOOKUP(t_toh[[#This Row],[Dato]]&amp;t_toh[[#This Row],[navn]],Regnskap!$C$10:$C$51&amp;Regnskap!$K$10:$K$51,Regnskap!$H$10:$H$51)&gt;0,Data!$AJ$3,""),"")</f>
        <v/>
      </c>
      <c r="S29" s="3" t="str" cm="1">
        <f t="array" ref="S29">IFERROR(IF(t_toh[[#This Row],[12_pLEV]]="",IF(_xlfn.XLOOKUP(t_toh[[#This Row],[Dato]]&amp;t_toh[[#This Row],[navn]],Regnskap!$C$10:$C$51&amp;Regnskap!$K$10:$K$51,Regnskap!$I$10:$I$51)&gt;0,Data!$AJ$2)),"")</f>
        <v/>
      </c>
      <c r="T29" s="3" t="str" cm="1">
        <f t="array" ref="T29">IFERROR(IF(t_toh[[#This Row],[11_pLEV]]="",IF(_xlfn.XLOOKUP(t_toh[[#This Row],[Dato]]&amp;t_toh[[#This Row],[navn]],Regnskap!$C$10:$C$51&amp;Regnskap!$K$10:$K$51,Regnskap!$J$10:$J$51)&gt;0,Data!$AJ$1),""),"")</f>
        <v/>
      </c>
      <c r="U29" s="3">
        <f ca="1">SUM(t_toh[[#This Row],[12_poeng]:[10_pLEV]])</f>
        <v>0</v>
      </c>
      <c r="V29" s="3">
        <f ca="1">SUM(t_toh[[#This Row],[Summert]]+t_toh[[#This Row],[LEV_poeng]])</f>
        <v>0</v>
      </c>
    </row>
    <row r="30" spans="1:28" x14ac:dyDescent="0.2">
      <c r="A30" s="3" t="s">
        <v>910</v>
      </c>
      <c r="B30">
        <f>IF(t_toh[[#This Row],[Dato]]&lt;&gt;"",WEEKNUM(t_toh[[#This Row],[Dato]]),"")</f>
        <v>9</v>
      </c>
      <c r="C30" s="22">
        <f>Data!AL29</f>
        <v>46445</v>
      </c>
      <c r="D30">
        <f ca="1">IFERROR(IF(t_toh[[#This Row],[Dato]]="","",OFFSET(_xlfn.XLOOKUP(C30,Kuponger!E:E,Kuponger!BS:BS),15,0)),"")</f>
        <v>0</v>
      </c>
      <c r="E30">
        <f ca="1">IFERROR(OFFSET(_xlfn.XLOOKUP(C30,Kuponger!E:E,Kuponger!BS:BS),15,1),"")</f>
        <v>0</v>
      </c>
      <c r="F30">
        <f ca="1">IFERROR(IF(t_toh[[#This Row],[Dato]]="","",OFFSET(_xlfn.XLOOKUP(C30,Kuponger!E:E,Kuponger!BS:BS),15,2)),"")</f>
        <v>0</v>
      </c>
      <c r="G30">
        <f ca="1">IFERROR(IF(OFFSET(_xlfn.XLOOKUP(C30,Kuponger!E:E,Kuponger!BS:BS),0,2)=0,"",OFFSET(_xlfn.XLOOKUP(C30,Kuponger!E:E,Kuponger!BS:BS),1,2))*-1,"")</f>
        <v>0</v>
      </c>
      <c r="H30" t="str">
        <f t="shared" ca="1" si="1"/>
        <v/>
      </c>
      <c r="I30" t="str">
        <f ca="1">IFERROR(IF(t_toh[[#This Row],[tp]]&lt;&gt;"",OFFSET(_xlfn.XLOOKUP(C30,Kuponger!E:E,Kuponger!BS:BS),1,1),""),"")</f>
        <v/>
      </c>
      <c r="J30" s="3">
        <f ca="1">IFERROR(IF(t_toh[[#This Row],[Dato]]="",0,OFFSET(_xlfn.XLOOKUP(t_toh[[#This Row],[Dato]],Kuponger!E:E,Kuponger!BS:BS),1,7)),"")</f>
        <v>0</v>
      </c>
      <c r="K30" s="3">
        <f ca="1">IFERROR(SUM(t_toh[[#This Row],[tp]]),0)</f>
        <v>0</v>
      </c>
      <c r="L30" s="3" t="str">
        <f ca="1">IF(t_rb[[#This Row],[Antall_rette]]=12,1,"")</f>
        <v/>
      </c>
      <c r="M30" s="3" t="str">
        <f ca="1">IF(t_rb[[#This Row],[Antall_rette]]=11,1,"")</f>
        <v/>
      </c>
      <c r="N30" s="3" t="str">
        <f ca="1">IF(t_rb[[#This Row],[Antall_rette]]=10,1,"")</f>
        <v/>
      </c>
      <c r="O30" s="3">
        <f ca="1">IF(t_toh[[#This Row],[12_Antall]]=1,Data!$AJ$3,0)</f>
        <v>0</v>
      </c>
      <c r="P30" s="3">
        <f ca="1">IF(t_toh[[#This Row],[11_Antall]]=1,Data!$AJ$2,0)</f>
        <v>0</v>
      </c>
      <c r="Q30" s="3">
        <f ca="1">IF(t_toh[[#This Row],[10_Antall]]=1,Data!$AJ$1,0)</f>
        <v>0</v>
      </c>
      <c r="R30" s="3" t="str" cm="1">
        <f t="array" ref="R30">IFERROR(IF(_xlfn.XLOOKUP(t_toh[[#This Row],[Dato]]&amp;t_toh[[#This Row],[navn]],Regnskap!$C$10:$C$51&amp;Regnskap!$K$10:$K$51,Regnskap!$H$10:$H$51)&gt;0,Data!$AJ$3,""),"")</f>
        <v/>
      </c>
      <c r="S30" s="3" t="str" cm="1">
        <f t="array" ref="S30">IFERROR(IF(t_toh[[#This Row],[12_pLEV]]="",IF(_xlfn.XLOOKUP(t_toh[[#This Row],[Dato]]&amp;t_toh[[#This Row],[navn]],Regnskap!$C$10:$C$51&amp;Regnskap!$K$10:$K$51,Regnskap!$I$10:$I$51)&gt;0,Data!$AJ$2)),"")</f>
        <v/>
      </c>
      <c r="T30" s="3" t="str" cm="1">
        <f t="array" ref="T30">IFERROR(IF(t_toh[[#This Row],[11_pLEV]]="",IF(_xlfn.XLOOKUP(t_toh[[#This Row],[Dato]]&amp;t_toh[[#This Row],[navn]],Regnskap!$C$10:$C$51&amp;Regnskap!$K$10:$K$51,Regnskap!$J$10:$J$51)&gt;0,Data!$AJ$1),""),"")</f>
        <v/>
      </c>
      <c r="U30" s="3">
        <f ca="1">SUM(t_toh[[#This Row],[12_poeng]:[10_pLEV]])</f>
        <v>0</v>
      </c>
      <c r="V30" s="3">
        <f ca="1">SUM(t_toh[[#This Row],[Summert]]+t_toh[[#This Row],[LEV_poeng]])</f>
        <v>0</v>
      </c>
    </row>
    <row r="31" spans="1:28" x14ac:dyDescent="0.2">
      <c r="A31" s="3" t="s">
        <v>910</v>
      </c>
      <c r="B31">
        <f>IF(t_toh[[#This Row],[Dato]]&lt;&gt;"",WEEKNUM(t_toh[[#This Row],[Dato]]),"")</f>
        <v>10</v>
      </c>
      <c r="C31" s="22">
        <f>Data!AL30</f>
        <v>46452</v>
      </c>
      <c r="D31">
        <f ca="1">IFERROR(IF(t_toh[[#This Row],[Dato]]="","",OFFSET(_xlfn.XLOOKUP(C31,Kuponger!E:E,Kuponger!BS:BS),15,0)),"")</f>
        <v>0</v>
      </c>
      <c r="E31">
        <f ca="1">IFERROR(OFFSET(_xlfn.XLOOKUP(C31,Kuponger!E:E,Kuponger!BS:BS),15,1),"")</f>
        <v>0</v>
      </c>
      <c r="F31">
        <f ca="1">IFERROR(IF(t_toh[[#This Row],[Dato]]="","",OFFSET(_xlfn.XLOOKUP(C31,Kuponger!E:E,Kuponger!BS:BS),15,2)),"")</f>
        <v>0</v>
      </c>
      <c r="G31">
        <f ca="1">IFERROR(IF(OFFSET(_xlfn.XLOOKUP(C31,Kuponger!E:E,Kuponger!BS:BS),0,2)=0,"",OFFSET(_xlfn.XLOOKUP(C31,Kuponger!E:E,Kuponger!BS:BS),1,2))*-1,"")</f>
        <v>0</v>
      </c>
      <c r="H31" t="str">
        <f t="shared" ca="1" si="1"/>
        <v/>
      </c>
      <c r="I31" t="str">
        <f ca="1">IFERROR(IF(t_toh[[#This Row],[tp]]&lt;&gt;"",OFFSET(_xlfn.XLOOKUP(C31,Kuponger!E:E,Kuponger!BS:BS),1,1),""),"")</f>
        <v/>
      </c>
      <c r="J31" s="3">
        <f ca="1">IFERROR(IF(t_toh[[#This Row],[Dato]]="",0,OFFSET(_xlfn.XLOOKUP(t_toh[[#This Row],[Dato]],Kuponger!E:E,Kuponger!BS:BS),1,7)),"")</f>
        <v>0</v>
      </c>
      <c r="K31" s="3">
        <f ca="1">IFERROR(SUM(t_toh[[#This Row],[tp]]),0)</f>
        <v>0</v>
      </c>
      <c r="L31" s="3" t="str">
        <f ca="1">IF(t_rb[[#This Row],[Antall_rette]]=12,1,"")</f>
        <v/>
      </c>
      <c r="M31" s="3" t="str">
        <f ca="1">IF(t_rb[[#This Row],[Antall_rette]]=11,1,"")</f>
        <v/>
      </c>
      <c r="N31" s="3" t="str">
        <f ca="1">IF(t_rb[[#This Row],[Antall_rette]]=10,1,"")</f>
        <v/>
      </c>
      <c r="O31" s="3">
        <f ca="1">IF(t_toh[[#This Row],[12_Antall]]=1,Data!$AJ$3,0)</f>
        <v>0</v>
      </c>
      <c r="P31" s="3">
        <f ca="1">IF(t_toh[[#This Row],[11_Antall]]=1,Data!$AJ$2,0)</f>
        <v>0</v>
      </c>
      <c r="Q31" s="3">
        <f ca="1">IF(t_toh[[#This Row],[10_Antall]]=1,Data!$AJ$1,0)</f>
        <v>0</v>
      </c>
      <c r="R31" s="3" t="str" cm="1">
        <f t="array" ref="R31">IFERROR(IF(_xlfn.XLOOKUP(t_toh[[#This Row],[Dato]]&amp;t_toh[[#This Row],[navn]],Regnskap!$C$10:$C$51&amp;Regnskap!$K$10:$K$51,Regnskap!$H$10:$H$51)&gt;0,Data!$AJ$3,""),"")</f>
        <v/>
      </c>
      <c r="S31" s="3" t="str" cm="1">
        <f t="array" ref="S31">IFERROR(IF(t_toh[[#This Row],[12_pLEV]]="",IF(_xlfn.XLOOKUP(t_toh[[#This Row],[Dato]]&amp;t_toh[[#This Row],[navn]],Regnskap!$C$10:$C$51&amp;Regnskap!$K$10:$K$51,Regnskap!$I$10:$I$51)&gt;0,Data!$AJ$2)),"")</f>
        <v/>
      </c>
      <c r="T31" s="3" t="str" cm="1">
        <f t="array" ref="T31">IFERROR(IF(t_toh[[#This Row],[11_pLEV]]="",IF(_xlfn.XLOOKUP(t_toh[[#This Row],[Dato]]&amp;t_toh[[#This Row],[navn]],Regnskap!$C$10:$C$51&amp;Regnskap!$K$10:$K$51,Regnskap!$J$10:$J$51)&gt;0,Data!$AJ$1),""),"")</f>
        <v/>
      </c>
      <c r="U31" s="3">
        <f ca="1">SUM(t_toh[[#This Row],[12_poeng]:[10_pLEV]])</f>
        <v>0</v>
      </c>
      <c r="V31" s="3">
        <f ca="1">SUM(t_toh[[#This Row],[Summert]]+t_toh[[#This Row],[LEV_poeng]])</f>
        <v>0</v>
      </c>
    </row>
    <row r="32" spans="1:28" x14ac:dyDescent="0.2">
      <c r="A32" s="3" t="s">
        <v>910</v>
      </c>
      <c r="B32">
        <f>IF(t_toh[[#This Row],[Dato]]&lt;&gt;"",WEEKNUM(t_toh[[#This Row],[Dato]]),"")</f>
        <v>11</v>
      </c>
      <c r="C32" s="22">
        <f>Data!AL31</f>
        <v>46459</v>
      </c>
      <c r="D32">
        <f ca="1">IFERROR(IF(t_toh[[#This Row],[Dato]]="","",OFFSET(_xlfn.XLOOKUP(C32,Kuponger!E:E,Kuponger!BS:BS),15,0)),"")</f>
        <v>0</v>
      </c>
      <c r="E32">
        <f ca="1">IFERROR(OFFSET(_xlfn.XLOOKUP(C32,Kuponger!E:E,Kuponger!BS:BS),15,1),"")</f>
        <v>0</v>
      </c>
      <c r="F32">
        <f ca="1">IFERROR(IF(t_toh[[#This Row],[Dato]]="","",OFFSET(_xlfn.XLOOKUP(C32,Kuponger!E:E,Kuponger!BS:BS),15,2)),"")</f>
        <v>0</v>
      </c>
      <c r="G32">
        <f ca="1">IFERROR(IF(OFFSET(_xlfn.XLOOKUP(C32,Kuponger!E:E,Kuponger!BS:BS),0,2)=0,"",OFFSET(_xlfn.XLOOKUP(C32,Kuponger!E:E,Kuponger!BS:BS),1,2))*-1,"")</f>
        <v>0</v>
      </c>
      <c r="H32" t="str">
        <f t="shared" ca="1" si="1"/>
        <v/>
      </c>
      <c r="I32" t="str">
        <f ca="1">IFERROR(IF(t_toh[[#This Row],[tp]]&lt;&gt;"",OFFSET(_xlfn.XLOOKUP(C32,Kuponger!E:E,Kuponger!BS:BS),1,1),""),"")</f>
        <v/>
      </c>
      <c r="J32" s="3">
        <f ca="1">IFERROR(IF(t_toh[[#This Row],[Dato]]="",0,OFFSET(_xlfn.XLOOKUP(t_toh[[#This Row],[Dato]],Kuponger!E:E,Kuponger!BS:BS),1,7)),"")</f>
        <v>0</v>
      </c>
      <c r="K32" s="3">
        <f ca="1">IFERROR(SUM(t_toh[[#This Row],[tp]]),0)</f>
        <v>0</v>
      </c>
      <c r="L32" s="3" t="str">
        <f ca="1">IF(t_rb[[#This Row],[Antall_rette]]=12,1,"")</f>
        <v/>
      </c>
      <c r="M32" s="3" t="str">
        <f ca="1">IF(t_rb[[#This Row],[Antall_rette]]=11,1,"")</f>
        <v/>
      </c>
      <c r="N32" s="3" t="str">
        <f ca="1">IF(t_rb[[#This Row],[Antall_rette]]=10,1,"")</f>
        <v/>
      </c>
      <c r="O32" s="3">
        <f ca="1">IF(t_toh[[#This Row],[12_Antall]]=1,Data!$AJ$3,0)</f>
        <v>0</v>
      </c>
      <c r="P32" s="3">
        <f ca="1">IF(t_toh[[#This Row],[11_Antall]]=1,Data!$AJ$2,0)</f>
        <v>0</v>
      </c>
      <c r="Q32" s="3">
        <f ca="1">IF(t_toh[[#This Row],[10_Antall]]=1,Data!$AJ$1,0)</f>
        <v>0</v>
      </c>
      <c r="R32" s="3" t="str" cm="1">
        <f t="array" ref="R32">IFERROR(IF(_xlfn.XLOOKUP(t_toh[[#This Row],[Dato]]&amp;t_toh[[#This Row],[navn]],Regnskap!$C$10:$C$51&amp;Regnskap!$K$10:$K$51,Regnskap!$H$10:$H$51)&gt;0,Data!$AJ$3,""),"")</f>
        <v/>
      </c>
      <c r="S32" s="3" t="str" cm="1">
        <f t="array" ref="S32">IFERROR(IF(t_toh[[#This Row],[12_pLEV]]="",IF(_xlfn.XLOOKUP(t_toh[[#This Row],[Dato]]&amp;t_toh[[#This Row],[navn]],Regnskap!$C$10:$C$51&amp;Regnskap!$K$10:$K$51,Regnskap!$I$10:$I$51)&gt;0,Data!$AJ$2)),"")</f>
        <v/>
      </c>
      <c r="T32" s="3" t="str" cm="1">
        <f t="array" ref="T32">IFERROR(IF(t_toh[[#This Row],[11_pLEV]]="",IF(_xlfn.XLOOKUP(t_toh[[#This Row],[Dato]]&amp;t_toh[[#This Row],[navn]],Regnskap!$C$10:$C$51&amp;Regnskap!$K$10:$K$51,Regnskap!$J$10:$J$51)&gt;0,Data!$AJ$1),""),"")</f>
        <v/>
      </c>
      <c r="U32" s="3">
        <f ca="1">SUM(t_toh[[#This Row],[12_poeng]:[10_pLEV]])</f>
        <v>0</v>
      </c>
      <c r="V32" s="3">
        <f ca="1">SUM(t_toh[[#This Row],[Summert]]+t_toh[[#This Row],[LEV_poeng]])</f>
        <v>0</v>
      </c>
    </row>
    <row r="33" spans="1:22" x14ac:dyDescent="0.2">
      <c r="A33" s="3" t="s">
        <v>910</v>
      </c>
      <c r="B33">
        <f>IF(t_toh[[#This Row],[Dato]]&lt;&gt;"",WEEKNUM(t_toh[[#This Row],[Dato]]),"")</f>
        <v>12</v>
      </c>
      <c r="C33" s="22">
        <f>Data!AL32</f>
        <v>46466</v>
      </c>
      <c r="D33">
        <f ca="1">IFERROR(IF(t_toh[[#This Row],[Dato]]="","",OFFSET(_xlfn.XLOOKUP(C33,Kuponger!E:E,Kuponger!BS:BS),15,0)),"")</f>
        <v>0</v>
      </c>
      <c r="E33">
        <f ca="1">IFERROR(OFFSET(_xlfn.XLOOKUP(C33,Kuponger!E:E,Kuponger!BS:BS),15,1),"")</f>
        <v>0</v>
      </c>
      <c r="F33">
        <f ca="1">IFERROR(IF(t_toh[[#This Row],[Dato]]="","",OFFSET(_xlfn.XLOOKUP(C33,Kuponger!E:E,Kuponger!BS:BS),15,2)),"")</f>
        <v>0</v>
      </c>
      <c r="G33">
        <f ca="1">IFERROR(IF(OFFSET(_xlfn.XLOOKUP(C33,Kuponger!E:E,Kuponger!BS:BS),0,2)=0,"",OFFSET(_xlfn.XLOOKUP(C33,Kuponger!E:E,Kuponger!BS:BS),1,2))*-1,"")</f>
        <v>0</v>
      </c>
      <c r="H33" t="str">
        <f t="shared" ca="1" si="1"/>
        <v/>
      </c>
      <c r="I33" t="str">
        <f ca="1">IFERROR(IF(t_toh[[#This Row],[tp]]&lt;&gt;"",OFFSET(_xlfn.XLOOKUP(C33,Kuponger!E:E,Kuponger!BS:BS),1,1),""),"")</f>
        <v/>
      </c>
      <c r="J33" s="3">
        <f ca="1">IFERROR(IF(t_toh[[#This Row],[Dato]]="",0,OFFSET(_xlfn.XLOOKUP(t_toh[[#This Row],[Dato]],Kuponger!E:E,Kuponger!BS:BS),1,7)),"")</f>
        <v>0</v>
      </c>
      <c r="K33" s="3">
        <f ca="1">IFERROR(SUM(t_toh[[#This Row],[tp]]),0)</f>
        <v>0</v>
      </c>
      <c r="L33" s="3" t="str">
        <f ca="1">IF(t_rb[[#This Row],[Antall_rette]]=12,1,"")</f>
        <v/>
      </c>
      <c r="M33" s="3" t="str">
        <f ca="1">IF(t_rb[[#This Row],[Antall_rette]]=11,1,"")</f>
        <v/>
      </c>
      <c r="N33" s="3" t="str">
        <f ca="1">IF(t_rb[[#This Row],[Antall_rette]]=10,1,"")</f>
        <v/>
      </c>
      <c r="O33" s="3">
        <f ca="1">IF(t_toh[[#This Row],[12_Antall]]=1,Data!$AJ$3,0)</f>
        <v>0</v>
      </c>
      <c r="P33" s="3">
        <f ca="1">IF(t_toh[[#This Row],[11_Antall]]=1,Data!$AJ$2,0)</f>
        <v>0</v>
      </c>
      <c r="Q33" s="3">
        <f ca="1">IF(t_toh[[#This Row],[10_Antall]]=1,Data!$AJ$1,0)</f>
        <v>0</v>
      </c>
      <c r="R33" s="3" t="str" cm="1">
        <f t="array" ref="R33">IFERROR(IF(_xlfn.XLOOKUP(t_toh[[#This Row],[Dato]]&amp;t_toh[[#This Row],[navn]],Regnskap!$C$10:$C$51&amp;Regnskap!$K$10:$K$51,Regnskap!$H$10:$H$51)&gt;0,Data!$AJ$3,""),"")</f>
        <v/>
      </c>
      <c r="S33" s="3" t="str" cm="1">
        <f t="array" ref="S33">IFERROR(IF(t_toh[[#This Row],[12_pLEV]]="",IF(_xlfn.XLOOKUP(t_toh[[#This Row],[Dato]]&amp;t_toh[[#This Row],[navn]],Regnskap!$C$10:$C$51&amp;Regnskap!$K$10:$K$51,Regnskap!$I$10:$I$51)&gt;0,Data!$AJ$2)),"")</f>
        <v/>
      </c>
      <c r="T33" s="3" t="str" cm="1">
        <f t="array" ref="T33">IFERROR(IF(t_toh[[#This Row],[11_pLEV]]="",IF(_xlfn.XLOOKUP(t_toh[[#This Row],[Dato]]&amp;t_toh[[#This Row],[navn]],Regnskap!$C$10:$C$51&amp;Regnskap!$K$10:$K$51,Regnskap!$J$10:$J$51)&gt;0,Data!$AJ$1),""),"")</f>
        <v/>
      </c>
      <c r="U33" s="3">
        <f ca="1">SUM(t_toh[[#This Row],[12_poeng]:[10_pLEV]])</f>
        <v>0</v>
      </c>
      <c r="V33" s="3">
        <f ca="1">SUM(t_toh[[#This Row],[Summert]]+t_toh[[#This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671"/>
      <c r="X1" s="671"/>
      <c r="Y1" s="671"/>
      <c r="Z1" s="671"/>
      <c r="AA1" s="671"/>
      <c r="AB1" s="671"/>
      <c r="AC1" s="676"/>
      <c r="AD1" s="23"/>
      <c r="AF1" s="468"/>
      <c r="AG1" s="468"/>
      <c r="AH1" s="468"/>
      <c r="AI1" s="468"/>
      <c r="AJ1" s="468"/>
    </row>
    <row r="2" spans="1:36" ht="13.5" thickTop="1" x14ac:dyDescent="0.2">
      <c r="A2" s="3" t="s">
        <v>911</v>
      </c>
      <c r="B2">
        <f>IF(t_utg[[#This Row],[Dato]]&lt;&gt;"",WEEKNUM(t_utg[[#This Row],[Dato]]),"")</f>
        <v>33</v>
      </c>
      <c r="C2" s="22">
        <f>Data!AL1</f>
        <v>46249</v>
      </c>
      <c r="D2">
        <f ca="1">IFERROR(IF(t_utg[[#This Row],[Dato]]="","",OFFSET(_xlfn.XLOOKUP(C2,Kuponger!E:E,Kuponger!CB:CB),15,0)),"")</f>
        <v>0</v>
      </c>
      <c r="E2">
        <f ca="1">IFERROR(OFFSET(_xlfn.XLOOKUP(C2,Kuponger!E:E,Kuponger!CB:CB),15,1),"")</f>
        <v>0</v>
      </c>
      <c r="F2">
        <f ca="1">IFERROR(IF(t_utg[[#This Row],[Dato]]="","",OFFSET(_xlfn.XLOOKUP(C2,Kuponger!E:E,Kuponger!CB:CB),15,2)),"")</f>
        <v>0</v>
      </c>
      <c r="G2">
        <f ca="1">IFERROR(IF(OFFSET(_xlfn.XLOOKUP(C2,Kuponger!E:E,Kuponger!CB:CB),0,2)=0,"",OFFSET(_xlfn.XLOOKUP(C2,Kuponger!E:E,Kuponger!CB:CB),1,2))*-1,"")</f>
        <v>0</v>
      </c>
      <c r="H2" t="str">
        <f t="shared" ref="H2" ca="1" si="0">IF(SUMIF(D2:G2,"&lt;&gt;""")=0,"",SUMIF(D2:G2,"&lt;&gt;"""))</f>
        <v/>
      </c>
      <c r="I2" t="str">
        <f ca="1">IFERROR(IF(t_utg[[#This Row],[tp]]&lt;&gt;"",OFFSET(_xlfn.XLOOKUP(C2,Kuponger!E:E,Kuponger!CB:CB),1,1),""),"")</f>
        <v/>
      </c>
      <c r="J2" s="3">
        <f ca="1">IFERROR(IF(t_utg[[#This Row],[Dato]]="",0,OFFSET(_xlfn.XLOOKUP(t_utg[[#This Row],[Dato]],Kuponger!E:E,Kuponger!CB:CB),1,7)),"")</f>
        <v>0</v>
      </c>
      <c r="K2" s="3">
        <f ca="1">IFERROR(SUM(t_utg[[#This Row],[tp]]),0)</f>
        <v>0</v>
      </c>
      <c r="L2" s="3" t="str">
        <f ca="1">IF(t_rb[[#This Row],[Antall_rette]]=12,1,"")</f>
        <v/>
      </c>
      <c r="M2" s="3" t="str">
        <f ca="1">IF(t_rb[[#This Row],[Antall_rette]]=11,1,"")</f>
        <v/>
      </c>
      <c r="N2" s="3" t="str">
        <f ca="1">IF(t_rb[[#This Row],[Antall_rette]]=10,1,"")</f>
        <v/>
      </c>
      <c r="O2" s="3">
        <f ca="1">IF(t_utg[[#This Row],[12_Antall]]=1,Data!$AJ$3,0)</f>
        <v>0</v>
      </c>
      <c r="P2" s="3">
        <f ca="1">IF(t_utg[[#This Row],[11_Antall]]=1,Data!$AJ$2,0)</f>
        <v>0</v>
      </c>
      <c r="Q2" s="3">
        <f ca="1">IF(t_utg[[#This Row],[10_Antall]]=1,Data!$AJ$1,0)</f>
        <v>0</v>
      </c>
      <c r="R2" s="3" t="str" cm="1">
        <f t="array" ref="R2">IFERROR(IF(_xlfn.XLOOKUP(t_utg[[#This Row],[Dato]]&amp;t_utg[[#This Row],[navn]],Regnskap!$C$10:$C$51&amp;Regnskap!$K$10:$K$51,Regnskap!$H$10:$H$51)&gt;0,Data!$AJ$3,""),"")</f>
        <v/>
      </c>
      <c r="S2" s="3" t="str" cm="1">
        <f t="array" ref="S2">IFERROR(IF(t_utg[[#This Row],[12_pLEV]]="",IF(_xlfn.XLOOKUP(t_utg[[#This Row],[Dato]]&amp;t_utg[[#This Row],[navn]],Regnskap!$C$10:$C$51&amp;Regnskap!$K$10:$K$51,Regnskap!$I$10:$I$51)&gt;0,Data!$AJ$2)),"")</f>
        <v/>
      </c>
      <c r="T2" s="3" t="str" cm="1">
        <f t="array" ref="T2">IFERROR(IF(t_utg[[#This Row],[11_pLEV]]="",IF(_xlfn.XLOOKUP(t_utg[[#This Row],[Dato]]&amp;t_utg[[#This Row],[navn]],Regnskap!$C$10:$C$51&amp;Regnskap!$K$10:$K$51,Regnskap!$J$10:$J$51)&gt;0,Data!$AJ$1),""),"")</f>
        <v/>
      </c>
      <c r="U2" s="3">
        <f ca="1">SUM(t_utg[[#This Row],[12_poeng]:[10_pLEV]])</f>
        <v>0</v>
      </c>
      <c r="V2" s="3">
        <f ca="1">SUM(t_utg[[#This Row],[Summert]]+t_utg[[#This Row],[LEV_poeng]])</f>
        <v>0</v>
      </c>
      <c r="AF2" s="3"/>
      <c r="AG2" s="3"/>
      <c r="AH2" s="3"/>
      <c r="AI2" s="4"/>
      <c r="AJ2" s="3"/>
    </row>
    <row r="3" spans="1:36" x14ac:dyDescent="0.2">
      <c r="A3" s="3" t="s">
        <v>911</v>
      </c>
      <c r="B3">
        <f>IF(t_utg[[#This Row],[Dato]]&lt;&gt;"",WEEKNUM(t_utg[[#This Row],[Dato]]),"")</f>
        <v>34</v>
      </c>
      <c r="C3" s="22">
        <f>Data!AL2</f>
        <v>46256</v>
      </c>
      <c r="D3">
        <f ca="1">IFERROR(IF(t_utg[[#This Row],[Dato]]="","",OFFSET(_xlfn.XLOOKUP(C3,Kuponger!E:E,Kuponger!CB:CB),15,0)),"")</f>
        <v>780</v>
      </c>
      <c r="E3">
        <f ca="1">IFERROR(OFFSET(_xlfn.XLOOKUP(C3,Kuponger!E:E,Kuponger!CB:CB),15,1),"")</f>
        <v>0</v>
      </c>
      <c r="F3">
        <f ca="1">IFERROR(IF(t_utg[[#This Row],[Dato]]="","",OFFSET(_xlfn.XLOOKUP(C3,Kuponger!E:E,Kuponger!CB:CB),15,2)),"")</f>
        <v>0</v>
      </c>
      <c r="G3">
        <f ca="1">IFERROR(IF(OFFSET(_xlfn.XLOOKUP(C3,Kuponger!E:E,Kuponger!CB:CB),0,2)=0,"",OFFSET(_xlfn.XLOOKUP(C3,Kuponger!E:E,Kuponger!CB:CB),1,2))*-1,"")</f>
        <v>0</v>
      </c>
      <c r="H3">
        <f t="shared" ref="H3:H41" ca="1" si="1">IF(SUMIF(D3:G3,"&lt;&gt;""")=0,"",SUMIF(D3:G3,"&lt;&gt;"""))</f>
        <v>780</v>
      </c>
      <c r="I3">
        <f ca="1">IFERROR(IF(t_utg[[#This Row],[tp]]&lt;&gt;"",OFFSET(_xlfn.XLOOKUP(C3,Kuponger!E:E,Kuponger!CB:CB),1,1),""),"")</f>
        <v>1</v>
      </c>
      <c r="J3" s="3">
        <f ca="1">IFERROR(IF(t_utg[[#This Row],[Dato]]="",0,OFFSET(_xlfn.XLOOKUP(t_utg[[#This Row],[Dato]],Kuponger!E:E,Kuponger!CB:CB),1,7)),"")</f>
        <v>12</v>
      </c>
      <c r="K3" s="3">
        <f ca="1">IFERROR(SUM(t_utg[[#This Row],[tp]]),0)</f>
        <v>780</v>
      </c>
      <c r="L3" s="3">
        <f ca="1">IF(t_rb[[#This Row],[Antall_rette]]=12,1,"")</f>
        <v>1</v>
      </c>
      <c r="M3" s="3" t="str">
        <f ca="1">IF(t_rb[[#This Row],[Antall_rette]]=11,1,"")</f>
        <v/>
      </c>
      <c r="N3" s="3" t="str">
        <f ca="1">IF(t_rb[[#This Row],[Antall_rette]]=10,1,"")</f>
        <v/>
      </c>
      <c r="O3" s="3">
        <f ca="1">IF(t_utg[[#This Row],[12_Antall]]=1,Data!$AJ$3,0)</f>
        <v>1070</v>
      </c>
      <c r="P3" s="3">
        <f ca="1">IF(t_utg[[#This Row],[11_Antall]]=1,Data!$AJ$2,0)</f>
        <v>0</v>
      </c>
      <c r="Q3" s="3">
        <f ca="1">IF(t_utg[[#This Row],[10_Antall]]=1,Data!$AJ$1,0)</f>
        <v>0</v>
      </c>
      <c r="R3" s="3" t="str" cm="1">
        <f t="array" ref="R3">IFERROR(IF(_xlfn.XLOOKUP(t_utg[[#This Row],[Dato]]&amp;t_utg[[#This Row],[navn]],Regnskap!$C$10:$C$51&amp;Regnskap!$K$10:$K$51,Regnskap!$H$10:$H$51)&gt;0,Data!$AJ$3,""),"")</f>
        <v/>
      </c>
      <c r="S3" s="3" t="str" cm="1">
        <f t="array" ref="S3">IFERROR(IF(t_utg[[#This Row],[12_pLEV]]="",IF(_xlfn.XLOOKUP(t_utg[[#This Row],[Dato]]&amp;t_utg[[#This Row],[navn]],Regnskap!$C$10:$C$51&amp;Regnskap!$K$10:$K$51,Regnskap!$I$10:$I$51)&gt;0,Data!$AJ$2)),"")</f>
        <v/>
      </c>
      <c r="T3" s="3" t="str" cm="1">
        <f t="array" ref="T3">IFERROR(IF(t_utg[[#This Row],[11_pLEV]]="",IF(_xlfn.XLOOKUP(t_utg[[#This Row],[Dato]]&amp;t_utg[[#This Row],[navn]],Regnskap!$C$10:$C$51&amp;Regnskap!$K$10:$K$51,Regnskap!$J$10:$J$51)&gt;0,Data!$AJ$1),""),"")</f>
        <v/>
      </c>
      <c r="U3" s="3">
        <f ca="1">SUM(t_utg[[#This Row],[12_poeng]:[10_pLEV]])</f>
        <v>1070</v>
      </c>
      <c r="V3" s="3">
        <f ca="1">SUM(t_utg[[#This Row],[Summert]]+t_utg[[#This Row],[LEV_poeng]])</f>
        <v>1850</v>
      </c>
      <c r="AI3" s="4"/>
    </row>
    <row r="4" spans="1:36" x14ac:dyDescent="0.2">
      <c r="A4" s="3" t="s">
        <v>911</v>
      </c>
      <c r="B4">
        <f>IF(t_utg[[#This Row],[Dato]]&lt;&gt;"",WEEKNUM(t_utg[[#This Row],[Dato]]),"")</f>
        <v>35</v>
      </c>
      <c r="C4" s="22">
        <f>Data!AL3</f>
        <v>46263</v>
      </c>
      <c r="D4">
        <f ca="1">IFERROR(IF(t_utg[[#This Row],[Dato]]="","",OFFSET(_xlfn.XLOOKUP(C4,Kuponger!E:E,Kuponger!CB:CB),15,0)),"")</f>
        <v>780</v>
      </c>
      <c r="E4">
        <f ca="1">IFERROR(OFFSET(_xlfn.XLOOKUP(C4,Kuponger!E:E,Kuponger!CB:CB),15,1),"")</f>
        <v>0</v>
      </c>
      <c r="F4">
        <f ca="1">IFERROR(IF(t_utg[[#This Row],[Dato]]="","",OFFSET(_xlfn.XLOOKUP(C4,Kuponger!E:E,Kuponger!CB:CB),15,2)),"")</f>
        <v>0</v>
      </c>
      <c r="G4">
        <f ca="1">IFERROR(IF(OFFSET(_xlfn.XLOOKUP(C4,Kuponger!E:E,Kuponger!CB:CB),0,2)=0,"",OFFSET(_xlfn.XLOOKUP(C4,Kuponger!E:E,Kuponger!CB:CB),1,2))*-1,"")</f>
        <v>0</v>
      </c>
      <c r="H4">
        <f t="shared" ca="1" si="1"/>
        <v>780</v>
      </c>
      <c r="I4">
        <f ca="1">IFERROR(IF(t_utg[[#This Row],[tp]]&lt;&gt;"",OFFSET(_xlfn.XLOOKUP(C4,Kuponger!E:E,Kuponger!CB:CB),1,1),""),"")</f>
        <v>1</v>
      </c>
      <c r="J4" s="3">
        <f ca="1">IFERROR(IF(t_utg[[#This Row],[Dato]]="",0,OFFSET(_xlfn.XLOOKUP(t_utg[[#This Row],[Dato]],Kuponger!E:E,Kuponger!CB:CB),1,7)),"")</f>
        <v>12</v>
      </c>
      <c r="K4" s="3">
        <f ca="1">IFERROR(SUM(t_utg[[#This Row],[tp]]),0)</f>
        <v>780</v>
      </c>
      <c r="L4" s="3">
        <f ca="1">IF(t_rb[[#This Row],[Antall_rette]]=12,1,"")</f>
        <v>1</v>
      </c>
      <c r="M4" s="3" t="str">
        <f ca="1">IF(t_rb[[#This Row],[Antall_rette]]=11,1,"")</f>
        <v/>
      </c>
      <c r="N4" s="3" t="str">
        <f ca="1">IF(t_rb[[#This Row],[Antall_rette]]=10,1,"")</f>
        <v/>
      </c>
      <c r="O4" s="3">
        <f ca="1">IF(t_utg[[#This Row],[12_Antall]]=1,Data!$AJ$3,0)</f>
        <v>1070</v>
      </c>
      <c r="P4" s="3">
        <f ca="1">IF(t_utg[[#This Row],[11_Antall]]=1,Data!$AJ$2,0)</f>
        <v>0</v>
      </c>
      <c r="Q4" s="3">
        <f ca="1">IF(t_utg[[#This Row],[10_Antall]]=1,Data!$AJ$1,0)</f>
        <v>0</v>
      </c>
      <c r="R4" s="3" t="str" cm="1">
        <f t="array" ref="R4">IFERROR(IF(_xlfn.XLOOKUP(t_utg[[#This Row],[Dato]]&amp;t_utg[[#This Row],[navn]],Regnskap!$C$10:$C$51&amp;Regnskap!$K$10:$K$51,Regnskap!$H$10:$H$51)&gt;0,Data!$AJ$3,""),"")</f>
        <v/>
      </c>
      <c r="S4" s="3" t="str" cm="1">
        <f t="array" ref="S4">IFERROR(IF(t_utg[[#This Row],[12_pLEV]]="",IF(_xlfn.XLOOKUP(t_utg[[#This Row],[Dato]]&amp;t_utg[[#This Row],[navn]],Regnskap!$C$10:$C$51&amp;Regnskap!$K$10:$K$51,Regnskap!$I$10:$I$51)&gt;0,Data!$AJ$2)),"")</f>
        <v/>
      </c>
      <c r="T4" s="3" t="str" cm="1">
        <f t="array" ref="T4">IFERROR(IF(t_utg[[#This Row],[11_pLEV]]="",IF(_xlfn.XLOOKUP(t_utg[[#This Row],[Dato]]&amp;t_utg[[#This Row],[navn]],Regnskap!$C$10:$C$51&amp;Regnskap!$K$10:$K$51,Regnskap!$J$10:$J$51)&gt;0,Data!$AJ$1),""),"")</f>
        <v/>
      </c>
      <c r="U4" s="3">
        <f ca="1">SUM(t_utg[[#This Row],[12_poeng]:[10_pLEV]])</f>
        <v>1070</v>
      </c>
      <c r="V4" s="3">
        <f ca="1">SUM(t_utg[[#This Row],[Summert]]+t_utg[[#This Row],[LEV_poeng]])</f>
        <v>1850</v>
      </c>
      <c r="AI4" s="4"/>
    </row>
    <row r="5" spans="1:36" x14ac:dyDescent="0.2">
      <c r="A5" s="3" t="s">
        <v>911</v>
      </c>
      <c r="B5">
        <f>IF(t_utg[[#This Row],[Dato]]&lt;&gt;"",WEEKNUM(t_utg[[#This Row],[Dato]]),"")</f>
        <v>36</v>
      </c>
      <c r="C5" s="22">
        <f>Data!AL4</f>
        <v>46270</v>
      </c>
      <c r="D5">
        <f ca="1">IFERROR(IF(t_utg[[#This Row],[Dato]]="","",OFFSET(_xlfn.XLOOKUP(C5,Kuponger!E:E,Kuponger!CB:CB),15,0)),"")</f>
        <v>780</v>
      </c>
      <c r="E5">
        <f ca="1">IFERROR(OFFSET(_xlfn.XLOOKUP(C5,Kuponger!E:E,Kuponger!CB:CB),15,1),"")</f>
        <v>0</v>
      </c>
      <c r="F5">
        <f ca="1">IFERROR(IF(t_utg[[#This Row],[Dato]]="","",OFFSET(_xlfn.XLOOKUP(C5,Kuponger!E:E,Kuponger!CB:CB),15,2)),"")</f>
        <v>0</v>
      </c>
      <c r="G5">
        <f ca="1">IFERROR(IF(OFFSET(_xlfn.XLOOKUP(C5,Kuponger!E:E,Kuponger!CB:CB),0,2)=0,"",OFFSET(_xlfn.XLOOKUP(C5,Kuponger!E:E,Kuponger!CB:CB),1,2))*-1,"")</f>
        <v>0</v>
      </c>
      <c r="H5">
        <f t="shared" ca="1" si="1"/>
        <v>780</v>
      </c>
      <c r="I5">
        <f ca="1">IFERROR(IF(t_utg[[#This Row],[tp]]&lt;&gt;"",OFFSET(_xlfn.XLOOKUP(C5,Kuponger!E:E,Kuponger!CB:CB),1,1),""),"")</f>
        <v>1</v>
      </c>
      <c r="J5" s="3">
        <f ca="1">IFERROR(IF(t_utg[[#This Row],[Dato]]="",0,OFFSET(_xlfn.XLOOKUP(t_utg[[#This Row],[Dato]],Kuponger!E:E,Kuponger!CB:CB),1,7)),"")</f>
        <v>12</v>
      </c>
      <c r="K5" s="3">
        <f ca="1">IFERROR(SUM(t_utg[[#This Row],[tp]]),0)</f>
        <v>780</v>
      </c>
      <c r="L5" s="3">
        <f ca="1">IF(t_rb[[#This Row],[Antall_rette]]=12,1,"")</f>
        <v>1</v>
      </c>
      <c r="M5" s="3" t="str">
        <f ca="1">IF(t_rb[[#This Row],[Antall_rette]]=11,1,"")</f>
        <v/>
      </c>
      <c r="N5" s="3" t="str">
        <f ca="1">IF(t_rb[[#This Row],[Antall_rette]]=10,1,"")</f>
        <v/>
      </c>
      <c r="O5" s="3">
        <f ca="1">IF(t_utg[[#This Row],[12_Antall]]=1,Data!$AJ$3,0)</f>
        <v>1070</v>
      </c>
      <c r="P5" s="3">
        <f ca="1">IF(t_utg[[#This Row],[11_Antall]]=1,Data!$AJ$2,0)</f>
        <v>0</v>
      </c>
      <c r="Q5" s="3">
        <f ca="1">IF(t_utg[[#This Row],[10_Antall]]=1,Data!$AJ$1,0)</f>
        <v>0</v>
      </c>
      <c r="R5" s="3" t="str" cm="1">
        <f t="array" ref="R5">IFERROR(IF(_xlfn.XLOOKUP(t_utg[[#This Row],[Dato]]&amp;t_utg[[#This Row],[navn]],Regnskap!$C$10:$C$51&amp;Regnskap!$K$10:$K$51,Regnskap!$H$10:$H$51)&gt;0,Data!$AJ$3,""),"")</f>
        <v/>
      </c>
      <c r="S5" s="3" t="str" cm="1">
        <f t="array" ref="S5">IFERROR(IF(t_utg[[#This Row],[12_pLEV]]="",IF(_xlfn.XLOOKUP(t_utg[[#This Row],[Dato]]&amp;t_utg[[#This Row],[navn]],Regnskap!$C$10:$C$51&amp;Regnskap!$K$10:$K$51,Regnskap!$I$10:$I$51)&gt;0,Data!$AJ$2)),"")</f>
        <v/>
      </c>
      <c r="T5" s="3" t="str" cm="1">
        <f t="array" ref="T5">IFERROR(IF(t_utg[[#This Row],[11_pLEV]]="",IF(_xlfn.XLOOKUP(t_utg[[#This Row],[Dato]]&amp;t_utg[[#This Row],[navn]],Regnskap!$C$10:$C$51&amp;Regnskap!$K$10:$K$51,Regnskap!$J$10:$J$51)&gt;0,Data!$AJ$1),""),"")</f>
        <v/>
      </c>
      <c r="U5" s="3">
        <f ca="1">SUM(t_utg[[#This Row],[12_poeng]:[10_pLEV]])</f>
        <v>1070</v>
      </c>
      <c r="V5" s="3">
        <f ca="1">SUM(t_utg[[#This Row],[Summert]]+t_utg[[#This Row],[LEV_poeng]])</f>
        <v>1850</v>
      </c>
    </row>
    <row r="6" spans="1:36" x14ac:dyDescent="0.2">
      <c r="A6" s="3" t="s">
        <v>911</v>
      </c>
      <c r="B6">
        <f>IF(t_utg[[#This Row],[Dato]]&lt;&gt;"",WEEKNUM(t_utg[[#This Row],[Dato]]),"")</f>
        <v>37</v>
      </c>
      <c r="C6" s="22">
        <f>Data!AL5</f>
        <v>46277</v>
      </c>
      <c r="D6">
        <f ca="1">IFERROR(IF(t_utg[[#This Row],[Dato]]="","",OFFSET(_xlfn.XLOOKUP(C6,Kuponger!E:E,Kuponger!CB:CB),15,0)),"")</f>
        <v>0</v>
      </c>
      <c r="E6">
        <f ca="1">IFERROR(OFFSET(_xlfn.XLOOKUP(C6,Kuponger!E:E,Kuponger!CB:CB),15,1),"")</f>
        <v>0</v>
      </c>
      <c r="F6">
        <f ca="1">IFERROR(IF(t_utg[[#This Row],[Dato]]="","",OFFSET(_xlfn.XLOOKUP(C6,Kuponger!E:E,Kuponger!CB:CB),15,2)),"")</f>
        <v>852</v>
      </c>
      <c r="G6">
        <f ca="1">IFERROR(IF(OFFSET(_xlfn.XLOOKUP(C6,Kuponger!E:E,Kuponger!CB:CB),0,2)=0,"",OFFSET(_xlfn.XLOOKUP(C6,Kuponger!E:E,Kuponger!CB:CB),1,2))*-1,"")</f>
        <v>0</v>
      </c>
      <c r="H6">
        <f t="shared" ca="1" si="1"/>
        <v>852</v>
      </c>
      <c r="I6" t="str">
        <f ca="1">IFERROR(IF(t_utg[[#This Row],[tp]]&lt;&gt;"",OFFSET(_xlfn.XLOOKUP(C6,Kuponger!E:E,Kuponger!CB:CB),1,1),""),"")</f>
        <v/>
      </c>
      <c r="J6" s="3">
        <f ca="1">IFERROR(IF(t_utg[[#This Row],[Dato]]="",0,OFFSET(_xlfn.XLOOKUP(t_utg[[#This Row],[Dato]],Kuponger!E:E,Kuponger!CB:CB),1,7)),"")</f>
        <v>12</v>
      </c>
      <c r="K6" s="3">
        <f ca="1">IFERROR(SUM(t_utg[[#This Row],[tp]]),0)</f>
        <v>852</v>
      </c>
      <c r="L6" s="3">
        <f ca="1">IF(t_rb[[#This Row],[Antall_rette]]=12,1,"")</f>
        <v>1</v>
      </c>
      <c r="M6" s="3" t="str">
        <f ca="1">IF(t_rb[[#This Row],[Antall_rette]]=11,1,"")</f>
        <v/>
      </c>
      <c r="N6" s="3" t="str">
        <f ca="1">IF(t_rb[[#This Row],[Antall_rette]]=10,1,"")</f>
        <v/>
      </c>
      <c r="O6" s="3">
        <f ca="1">IF(t_utg[[#This Row],[12_Antall]]=1,Data!$AJ$3,0)</f>
        <v>1070</v>
      </c>
      <c r="P6" s="3">
        <f ca="1">IF(t_utg[[#This Row],[11_Antall]]=1,Data!$AJ$2,0)</f>
        <v>0</v>
      </c>
      <c r="Q6" s="3">
        <f ca="1">IF(t_utg[[#This Row],[10_Antall]]=1,Data!$AJ$1,0)</f>
        <v>0</v>
      </c>
      <c r="R6" s="3" t="str" cm="1">
        <f t="array" ref="R6">IFERROR(IF(_xlfn.XLOOKUP(t_utg[[#This Row],[Dato]]&amp;t_utg[[#This Row],[navn]],Regnskap!$C$10:$C$51&amp;Regnskap!$K$10:$K$51,Regnskap!$H$10:$H$51)&gt;0,Data!$AJ$3,""),"")</f>
        <v/>
      </c>
      <c r="S6" s="3" t="str" cm="1">
        <f t="array" ref="S6">IFERROR(IF(t_utg[[#This Row],[12_pLEV]]="",IF(_xlfn.XLOOKUP(t_utg[[#This Row],[Dato]]&amp;t_utg[[#This Row],[navn]],Regnskap!$C$10:$C$51&amp;Regnskap!$K$10:$K$51,Regnskap!$I$10:$I$51)&gt;0,Data!$AJ$2)),"")</f>
        <v/>
      </c>
      <c r="T6" s="3" t="str" cm="1">
        <f t="array" ref="T6">IFERROR(IF(t_utg[[#This Row],[11_pLEV]]="",IF(_xlfn.XLOOKUP(t_utg[[#This Row],[Dato]]&amp;t_utg[[#This Row],[navn]],Regnskap!$C$10:$C$51&amp;Regnskap!$K$10:$K$51,Regnskap!$J$10:$J$51)&gt;0,Data!$AJ$1),""),"")</f>
        <v/>
      </c>
      <c r="U6" s="3">
        <f ca="1">SUM(t_utg[[#This Row],[12_poeng]:[10_pLEV]])</f>
        <v>1070</v>
      </c>
      <c r="V6" s="3">
        <f ca="1">SUM(t_utg[[#This Row],[Summert]]+t_utg[[#This Row],[LEV_poeng]])</f>
        <v>1922</v>
      </c>
    </row>
    <row r="7" spans="1:36" ht="15" x14ac:dyDescent="0.25">
      <c r="A7" s="3" t="s">
        <v>911</v>
      </c>
      <c r="B7">
        <f ca="1">IF(t_utg[[#This Row],[Dato]]&lt;&gt;"",WEEKNUM(t_utg[[#This Row],[Dato]]),"")</f>
        <v>38</v>
      </c>
      <c r="C7" s="22">
        <f ca="1">IF(D34="","",Data!AL6)</f>
        <v>46284</v>
      </c>
      <c r="D7">
        <f ca="1">IFERROR(IF(t_utg[[#This Row],[Dato]]="","",OFFSET(_xlfn.XLOOKUP(C7,Kuponger!E:E,Kuponger!CB:CB),15,0)),"")</f>
        <v>0</v>
      </c>
      <c r="E7">
        <f ca="1">IFERROR(OFFSET(_xlfn.XLOOKUP(C7,Kuponger!E:E,Kuponger!CB:CB),15,1),"")</f>
        <v>0</v>
      </c>
      <c r="F7">
        <f ca="1">IFERROR(IF(t_utg[[#This Row],[Dato]]="","",OFFSET(_xlfn.XLOOKUP(C7,Kuponger!E:E,Kuponger!CB:CB),15,2)),"")</f>
        <v>852</v>
      </c>
      <c r="G7">
        <f ca="1">IFERROR(IF(OFFSET(_xlfn.XLOOKUP(C7,Kuponger!E:E,Kuponger!CB:CB),0,2)=0,"",OFFSET(_xlfn.XLOOKUP(C7,Kuponger!E:E,Kuponger!CB:CB),1,2))*-1,"")</f>
        <v>0</v>
      </c>
      <c r="H7">
        <f t="shared" ca="1" si="1"/>
        <v>852</v>
      </c>
      <c r="I7" t="str">
        <f ca="1">IFERROR(IF(t_utg[[#This Row],[tp]]&lt;&gt;"",OFFSET(_xlfn.XLOOKUP(C7,Kuponger!E:E,Kuponger!CB:CB),1,1),""),"")</f>
        <v/>
      </c>
      <c r="J7" s="3">
        <f ca="1">IFERROR(IF(t_utg[[#This Row],[Dato]]="",0,OFFSET(_xlfn.XLOOKUP(t_utg[[#This Row],[Dato]],Kuponger!E:E,Kuponger!CB:CB),1,7)),"")</f>
        <v>12</v>
      </c>
      <c r="K7" s="3">
        <f ca="1">IFERROR(SUM(t_utg[[#This Row],[tp]]),0)</f>
        <v>852</v>
      </c>
      <c r="L7" s="3">
        <f ca="1">IF(t_rb[[#This Row],[Antall_rette]]=12,1,"")</f>
        <v>1</v>
      </c>
      <c r="M7" s="3" t="str">
        <f ca="1">IF(t_rb[[#This Row],[Antall_rette]]=11,1,"")</f>
        <v/>
      </c>
      <c r="N7" s="3" t="str">
        <f ca="1">IF(t_rb[[#This Row],[Antall_rette]]=10,1,"")</f>
        <v/>
      </c>
      <c r="O7" s="3">
        <f ca="1">IF(t_utg[[#This Row],[12_Antall]]=1,Data!$AJ$3,0)</f>
        <v>1070</v>
      </c>
      <c r="P7" s="3">
        <f ca="1">IF(t_utg[[#This Row],[11_Antall]]=1,Data!$AJ$2,0)</f>
        <v>0</v>
      </c>
      <c r="Q7" s="3">
        <f ca="1">IF(t_utg[[#This Row],[10_Antall]]=1,Data!$AJ$1,0)</f>
        <v>0</v>
      </c>
      <c r="R7" s="3" t="str" cm="1">
        <f t="array" aca="1" ref="R7" ca="1">IFERROR(IF(_xlfn.XLOOKUP(t_utg[[#This Row],[Dato]]&amp;t_utg[[#This Row],[navn]],Regnskap!$C$10:$C$51&amp;Regnskap!$K$10:$K$51,Regnskap!$H$10:$H$51)&gt;0,Data!$AJ$3,""),"")</f>
        <v/>
      </c>
      <c r="S7" s="3" t="str" cm="1">
        <f t="array" aca="1" ref="S7" ca="1">IFERROR(IF(t_utg[[#This Row],[12_pLEV]]="",IF(_xlfn.XLOOKUP(t_utg[[#This Row],[Dato]]&amp;t_utg[[#This Row],[navn]],Regnskap!$C$10:$C$51&amp;Regnskap!$K$10:$K$51,Regnskap!$I$10:$I$51)&gt;0,Data!$AJ$2)),"")</f>
        <v/>
      </c>
      <c r="T7" s="3" t="str" cm="1">
        <f t="array" aca="1" ref="T7" ca="1">IFERROR(IF(t_utg[[#This Row],[11_pLEV]]="",IF(_xlfn.XLOOKUP(t_utg[[#This Row],[Dato]]&amp;t_utg[[#This Row],[navn]],Regnskap!$C$10:$C$51&amp;Regnskap!$K$10:$K$51,Regnskap!$J$10:$J$51)&gt;0,Data!$AJ$1),""),"")</f>
        <v/>
      </c>
      <c r="U7" s="3">
        <f ca="1">SUM(t_utg[[#This Row],[12_poeng]:[10_pLEV]])</f>
        <v>1070</v>
      </c>
      <c r="V7" s="3">
        <f ca="1">SUM(t_utg[[#This Row],[Summert]]+t_utg[[#This Row],[LEV_poeng]])</f>
        <v>1922</v>
      </c>
      <c r="W7" s="671"/>
      <c r="X7" s="671"/>
      <c r="Y7" s="671"/>
      <c r="Z7" s="671"/>
      <c r="AA7" s="671"/>
      <c r="AB7" s="671"/>
      <c r="AC7" s="23"/>
    </row>
    <row r="8" spans="1:36" x14ac:dyDescent="0.2">
      <c r="A8" s="3" t="s">
        <v>911</v>
      </c>
      <c r="B8">
        <f>IF(t_utg[[#This Row],[Dato]]&lt;&gt;"",WEEKNUM(t_utg[[#This Row],[Dato]]),"")</f>
        <v>39</v>
      </c>
      <c r="C8" s="22">
        <f>Data!AL7</f>
        <v>46291</v>
      </c>
      <c r="D8">
        <f ca="1">IFERROR(IF(t_utg[[#This Row],[Dato]]="","",OFFSET(_xlfn.XLOOKUP(C8,Kuponger!E:E,Kuponger!CB:CB),15,0)),"")</f>
        <v>0</v>
      </c>
      <c r="E8">
        <f ca="1">IFERROR(OFFSET(_xlfn.XLOOKUP(C8,Kuponger!E:E,Kuponger!CB:CB),15,1),"")</f>
        <v>0</v>
      </c>
      <c r="F8">
        <f ca="1">IFERROR(IF(t_utg[[#This Row],[Dato]]="","",OFFSET(_xlfn.XLOOKUP(C8,Kuponger!E:E,Kuponger!CB:CB),15,2)),"")</f>
        <v>710</v>
      </c>
      <c r="G8">
        <f ca="1">IFERROR(IF(OFFSET(_xlfn.XLOOKUP(C8,Kuponger!E:E,Kuponger!CB:CB),0,2)=0,"",OFFSET(_xlfn.XLOOKUP(C8,Kuponger!E:E,Kuponger!CB:CB),1,2))*-1,"")</f>
        <v>0</v>
      </c>
      <c r="H8">
        <f t="shared" ca="1" si="1"/>
        <v>710</v>
      </c>
      <c r="I8" t="str">
        <f ca="1">IFERROR(IF(t_utg[[#This Row],[tp]]&lt;&gt;"",OFFSET(_xlfn.XLOOKUP(C8,Kuponger!E:E,Kuponger!CB:CB),1,1),""),"")</f>
        <v/>
      </c>
      <c r="J8" s="3">
        <f ca="1">IFERROR(IF(t_utg[[#This Row],[Dato]]="",0,OFFSET(_xlfn.XLOOKUP(t_utg[[#This Row],[Dato]],Kuponger!E:E,Kuponger!CB:CB),1,7)),"")</f>
        <v>10</v>
      </c>
      <c r="K8" s="3">
        <f ca="1">IFERROR(SUM(t_utg[[#This Row],[tp]]),0)</f>
        <v>710</v>
      </c>
      <c r="L8" s="3" t="str">
        <f ca="1">IF(t_rb[[#This Row],[Antall_rette]]=12,1,"")</f>
        <v/>
      </c>
      <c r="M8" s="3" t="str">
        <f ca="1">IF(t_rb[[#This Row],[Antall_rette]]=11,1,"")</f>
        <v/>
      </c>
      <c r="N8" s="3">
        <f ca="1">IF(t_rb[[#This Row],[Antall_rette]]=10,1,"")</f>
        <v>1</v>
      </c>
      <c r="O8" s="3">
        <f ca="1">IF(t_utg[[#This Row],[12_Antall]]=1,Data!$AJ$3,0)</f>
        <v>0</v>
      </c>
      <c r="P8" s="3">
        <f ca="1">IF(t_utg[[#This Row],[11_Antall]]=1,Data!$AJ$2,0)</f>
        <v>0</v>
      </c>
      <c r="Q8" s="3">
        <f ca="1">IF(t_utg[[#This Row],[10_Antall]]=1,Data!$AJ$1,0)</f>
        <v>58</v>
      </c>
      <c r="R8" s="3" t="str" cm="1">
        <f t="array" ref="R8">IFERROR(IF(_xlfn.XLOOKUP(t_utg[[#This Row],[Dato]]&amp;t_utg[[#This Row],[navn]],Regnskap!$C$10:$C$51&amp;Regnskap!$K$10:$K$51,Regnskap!$H$10:$H$51)&gt;0,Data!$AJ$3,""),"")</f>
        <v/>
      </c>
      <c r="S8" s="3" t="str" cm="1">
        <f t="array" ref="S8">IFERROR(IF(t_utg[[#This Row],[12_pLEV]]="",IF(_xlfn.XLOOKUP(t_utg[[#This Row],[Dato]]&amp;t_utg[[#This Row],[navn]],Regnskap!$C$10:$C$51&amp;Regnskap!$K$10:$K$51,Regnskap!$I$10:$I$51)&gt;0,Data!$AJ$2)),"")</f>
        <v/>
      </c>
      <c r="T8" s="3" t="str" cm="1">
        <f t="array" ref="T8">IFERROR(IF(t_utg[[#This Row],[11_pLEV]]="",IF(_xlfn.XLOOKUP(t_utg[[#This Row],[Dato]]&amp;t_utg[[#This Row],[navn]],Regnskap!$C$10:$C$51&amp;Regnskap!$K$10:$K$51,Regnskap!$J$10:$J$51)&gt;0,Data!$AJ$1),""),"")</f>
        <v/>
      </c>
      <c r="U8" s="3">
        <f ca="1">SUM(t_utg[[#This Row],[12_poeng]:[10_pLEV]])</f>
        <v>58</v>
      </c>
      <c r="V8" s="3">
        <f ca="1">SUM(t_utg[[#This Row],[Summert]]+t_utg[[#This Row],[LEV_poeng]])</f>
        <v>768</v>
      </c>
    </row>
    <row r="9" spans="1:36" x14ac:dyDescent="0.2">
      <c r="A9" s="3" t="s">
        <v>911</v>
      </c>
      <c r="B9">
        <f>IF(t_utg[[#This Row],[Dato]]&lt;&gt;"",WEEKNUM(t_utg[[#This Row],[Dato]]),"")</f>
        <v>40</v>
      </c>
      <c r="C9" s="22">
        <f>Data!AL8</f>
        <v>46298</v>
      </c>
      <c r="D9">
        <f ca="1">IFERROR(IF(t_utg[[#This Row],[Dato]]="","",OFFSET(_xlfn.XLOOKUP(C9,Kuponger!E:E,Kuponger!CB:CB),15,0)),"")</f>
        <v>0</v>
      </c>
      <c r="E9">
        <f ca="1">IFERROR(OFFSET(_xlfn.XLOOKUP(C9,Kuponger!E:E,Kuponger!CB:CB),15,1),"")</f>
        <v>814</v>
      </c>
      <c r="F9">
        <f ca="1">IFERROR(IF(t_utg[[#This Row],[Dato]]="","",OFFSET(_xlfn.XLOOKUP(C9,Kuponger!E:E,Kuponger!CB:CB),15,2)),"")</f>
        <v>0</v>
      </c>
      <c r="G9">
        <f ca="1">IFERROR(IF(OFFSET(_xlfn.XLOOKUP(C9,Kuponger!E:E,Kuponger!CB:CB),0,2)=0,"",OFFSET(_xlfn.XLOOKUP(C9,Kuponger!E:E,Kuponger!CB:CB),1,2))*-1,"")</f>
        <v>0</v>
      </c>
      <c r="H9">
        <f t="shared" ca="1" si="1"/>
        <v>814</v>
      </c>
      <c r="I9">
        <f ca="1">IFERROR(IF(t_utg[[#This Row],[tp]]&lt;&gt;"",OFFSET(_xlfn.XLOOKUP(C9,Kuponger!E:E,Kuponger!CB:CB),1,1),""),"")</f>
        <v>1</v>
      </c>
      <c r="J9" s="3">
        <f ca="1">IFERROR(IF(t_utg[[#This Row],[Dato]]="",0,OFFSET(_xlfn.XLOOKUP(t_utg[[#This Row],[Dato]],Kuponger!E:E,Kuponger!CB:CB),1,7)),"")</f>
        <v>11</v>
      </c>
      <c r="K9" s="3">
        <f ca="1">IFERROR(SUM(t_utg[[#This Row],[tp]]),0)</f>
        <v>814</v>
      </c>
      <c r="L9" s="3" t="str">
        <f ca="1">IF(t_rb[[#This Row],[Antall_rette]]=12,1,"")</f>
        <v/>
      </c>
      <c r="M9" s="3">
        <f ca="1">IF(t_rb[[#This Row],[Antall_rette]]=11,1,"")</f>
        <v>1</v>
      </c>
      <c r="N9" s="3" t="str">
        <f ca="1">IF(t_rb[[#This Row],[Antall_rette]]=10,1,"")</f>
        <v/>
      </c>
      <c r="O9" s="3">
        <f ca="1">IF(t_utg[[#This Row],[12_Antall]]=1,Data!$AJ$3,0)</f>
        <v>0</v>
      </c>
      <c r="P9" s="3">
        <f ca="1">IF(t_utg[[#This Row],[11_Antall]]=1,Data!$AJ$2,0)</f>
        <v>161</v>
      </c>
      <c r="Q9" s="3">
        <f ca="1">IF(t_utg[[#This Row],[10_Antall]]=1,Data!$AJ$1,0)</f>
        <v>0</v>
      </c>
      <c r="R9" s="3" t="str" cm="1">
        <f t="array" ref="R9">IFERROR(IF(_xlfn.XLOOKUP(t_utg[[#This Row],[Dato]]&amp;t_utg[[#This Row],[navn]],Regnskap!$C$10:$C$51&amp;Regnskap!$K$10:$K$51,Regnskap!$H$10:$H$51)&gt;0,Data!$AJ$3,""),"")</f>
        <v/>
      </c>
      <c r="S9" s="3" t="str" cm="1">
        <f t="array" ref="S9">IFERROR(IF(t_utg[[#This Row],[12_pLEV]]="",IF(_xlfn.XLOOKUP(t_utg[[#This Row],[Dato]]&amp;t_utg[[#This Row],[navn]],Regnskap!$C$10:$C$51&amp;Regnskap!$K$10:$K$51,Regnskap!$I$10:$I$51)&gt;0,Data!$AJ$2)),"")</f>
        <v/>
      </c>
      <c r="T9" s="3" t="str" cm="1">
        <f t="array" ref="T9">IFERROR(IF(t_utg[[#This Row],[11_pLEV]]="",IF(_xlfn.XLOOKUP(t_utg[[#This Row],[Dato]]&amp;t_utg[[#This Row],[navn]],Regnskap!$C$10:$C$51&amp;Regnskap!$K$10:$K$51,Regnskap!$J$10:$J$51)&gt;0,Data!$AJ$1),""),"")</f>
        <v/>
      </c>
      <c r="U9" s="3">
        <f ca="1">SUM(t_utg[[#This Row],[12_poeng]:[10_pLEV]])</f>
        <v>161</v>
      </c>
      <c r="V9" s="3">
        <f ca="1">SUM(t_utg[[#This Row],[Summert]]+t_utg[[#This Row],[LEV_poeng]])</f>
        <v>975</v>
      </c>
    </row>
    <row r="10" spans="1:36" x14ac:dyDescent="0.2">
      <c r="A10" s="3" t="s">
        <v>911</v>
      </c>
      <c r="B10">
        <f>IF(t_utg[[#This Row],[Dato]]&lt;&gt;"",WEEKNUM(t_utg[[#This Row],[Dato]]),"")</f>
        <v>41</v>
      </c>
      <c r="C10" s="22">
        <f>Data!AL9</f>
        <v>46305</v>
      </c>
      <c r="D10">
        <f ca="1">IFERROR(IF(t_utg[[#This Row],[Dato]]="","",OFFSET(_xlfn.XLOOKUP(C10,Kuponger!E:E,Kuponger!CB:CB),15,0)),"")</f>
        <v>0</v>
      </c>
      <c r="E10">
        <f ca="1">IFERROR(OFFSET(_xlfn.XLOOKUP(C10,Kuponger!E:E,Kuponger!CB:CB),15,1),"")</f>
        <v>888</v>
      </c>
      <c r="F10">
        <f ca="1">IFERROR(IF(t_utg[[#This Row],[Dato]]="","",OFFSET(_xlfn.XLOOKUP(C10,Kuponger!E:E,Kuponger!CB:CB),15,2)),"")</f>
        <v>0</v>
      </c>
      <c r="G10">
        <f ca="1">IFERROR(IF(OFFSET(_xlfn.XLOOKUP(C10,Kuponger!E:E,Kuponger!CB:CB),0,2)=0,"",OFFSET(_xlfn.XLOOKUP(C10,Kuponger!E:E,Kuponger!CB:CB),1,2))*-1,"")</f>
        <v>0</v>
      </c>
      <c r="H10">
        <f t="shared" ca="1" si="1"/>
        <v>888</v>
      </c>
      <c r="I10">
        <f ca="1">IFERROR(IF(t_utg[[#This Row],[tp]]&lt;&gt;"",OFFSET(_xlfn.XLOOKUP(C10,Kuponger!E:E,Kuponger!CB:CB),1,1),""),"")</f>
        <v>1</v>
      </c>
      <c r="J10" s="3">
        <f ca="1">IFERROR(IF(t_utg[[#This Row],[Dato]]="",0,OFFSET(_xlfn.XLOOKUP(t_utg[[#This Row],[Dato]],Kuponger!E:E,Kuponger!CB:CB),1,7)),"")</f>
        <v>12</v>
      </c>
      <c r="K10" s="3">
        <f ca="1">IFERROR(SUM(t_utg[[#This Row],[tp]]),0)</f>
        <v>888</v>
      </c>
      <c r="L10" s="3">
        <f ca="1">IF(t_rb[[#This Row],[Antall_rette]]=12,1,"")</f>
        <v>1</v>
      </c>
      <c r="M10" s="3" t="str">
        <f ca="1">IF(t_rb[[#This Row],[Antall_rette]]=11,1,"")</f>
        <v/>
      </c>
      <c r="N10" s="3" t="str">
        <f ca="1">IF(t_rb[[#This Row],[Antall_rette]]=10,1,"")</f>
        <v/>
      </c>
      <c r="O10" s="3">
        <f ca="1">IF(t_utg[[#This Row],[12_Antall]]=1,Data!$AJ$3,0)</f>
        <v>1070</v>
      </c>
      <c r="P10" s="3">
        <f ca="1">IF(t_utg[[#This Row],[11_Antall]]=1,Data!$AJ$2,0)</f>
        <v>0</v>
      </c>
      <c r="Q10" s="3">
        <f ca="1">IF(t_utg[[#This Row],[10_Antall]]=1,Data!$AJ$1,0)</f>
        <v>0</v>
      </c>
      <c r="R10" s="3" t="str" cm="1">
        <f t="array" ref="R10">IFERROR(IF(_xlfn.XLOOKUP(t_utg[[#This Row],[Dato]]&amp;t_utg[[#This Row],[navn]],Regnskap!$C$10:$C$51&amp;Regnskap!$K$10:$K$51,Regnskap!$H$10:$H$51)&gt;0,Data!$AJ$3,""),"")</f>
        <v/>
      </c>
      <c r="S10" s="3" t="str" cm="1">
        <f t="array" ref="S10">IFERROR(IF(t_utg[[#This Row],[12_pLEV]]="",IF(_xlfn.XLOOKUP(t_utg[[#This Row],[Dato]]&amp;t_utg[[#This Row],[navn]],Regnskap!$C$10:$C$51&amp;Regnskap!$K$10:$K$51,Regnskap!$I$10:$I$51)&gt;0,Data!$AJ$2)),"")</f>
        <v/>
      </c>
      <c r="T10" s="3" t="str" cm="1">
        <f t="array" ref="T10">IFERROR(IF(t_utg[[#This Row],[11_pLEV]]="",IF(_xlfn.XLOOKUP(t_utg[[#This Row],[Dato]]&amp;t_utg[[#This Row],[navn]],Regnskap!$C$10:$C$51&amp;Regnskap!$K$10:$K$51,Regnskap!$J$10:$J$51)&gt;0,Data!$AJ$1),""),"")</f>
        <v/>
      </c>
      <c r="U10" s="3">
        <f ca="1">SUM(t_utg[[#This Row],[12_poeng]:[10_pLEV]])</f>
        <v>1070</v>
      </c>
      <c r="V10" s="3">
        <f ca="1">SUM(t_utg[[#This Row],[Summert]]+t_utg[[#This Row],[LEV_poeng]])</f>
        <v>1958</v>
      </c>
    </row>
    <row r="11" spans="1:36" x14ac:dyDescent="0.2">
      <c r="A11" s="3" t="s">
        <v>911</v>
      </c>
      <c r="B11">
        <f>IF(t_utg[[#This Row],[Dato]]&lt;&gt;"",WEEKNUM(t_utg[[#This Row],[Dato]]),"")</f>
        <v>42</v>
      </c>
      <c r="C11" s="22">
        <f>Data!AL10</f>
        <v>46312</v>
      </c>
      <c r="D11">
        <f ca="1">IFERROR(IF(t_utg[[#This Row],[Dato]]="","",OFFSET(_xlfn.XLOOKUP(C11,Kuponger!E:E,Kuponger!CB:CB),15,0)),"")</f>
        <v>0</v>
      </c>
      <c r="E11">
        <f ca="1">IFERROR(OFFSET(_xlfn.XLOOKUP(C11,Kuponger!E:E,Kuponger!CB:CB),15,1),"")</f>
        <v>0</v>
      </c>
      <c r="F11">
        <f ca="1">IFERROR(IF(t_utg[[#This Row],[Dato]]="","",OFFSET(_xlfn.XLOOKUP(C11,Kuponger!E:E,Kuponger!CB:CB),15,2)),"")</f>
        <v>0</v>
      </c>
      <c r="G11">
        <f ca="1">IFERROR(IF(OFFSET(_xlfn.XLOOKUP(C11,Kuponger!E:E,Kuponger!CB:CB),0,2)=0,"",OFFSET(_xlfn.XLOOKUP(C11,Kuponger!E:E,Kuponger!CB:CB),1,2))*-1,"")</f>
        <v>0</v>
      </c>
      <c r="H11" t="str">
        <f t="shared" ca="1" si="1"/>
        <v/>
      </c>
      <c r="I11" t="str">
        <f ca="1">IFERROR(IF(t_utg[[#This Row],[tp]]&lt;&gt;"",OFFSET(_xlfn.XLOOKUP(C11,Kuponger!E:E,Kuponger!CB:CB),1,1),""),"")</f>
        <v/>
      </c>
      <c r="J11" s="3">
        <f ca="1">IFERROR(IF(t_utg[[#This Row],[Dato]]="",0,OFFSET(_xlfn.XLOOKUP(t_utg[[#This Row],[Dato]],Kuponger!E:E,Kuponger!CB:CB),1,7)),"")</f>
        <v>0</v>
      </c>
      <c r="K11" s="3">
        <f ca="1">IFERROR(SUM(t_utg[[#This Row],[tp]]),0)</f>
        <v>0</v>
      </c>
      <c r="L11" s="3" t="str">
        <f ca="1">IF(t_rb[[#This Row],[Antall_rette]]=12,1,"")</f>
        <v/>
      </c>
      <c r="M11" s="3" t="str">
        <f ca="1">IF(t_rb[[#This Row],[Antall_rette]]=11,1,"")</f>
        <v/>
      </c>
      <c r="N11" s="3" t="str">
        <f ca="1">IF(t_rb[[#This Row],[Antall_rette]]=10,1,"")</f>
        <v/>
      </c>
      <c r="O11" s="3">
        <f ca="1">IF(t_utg[[#This Row],[12_Antall]]=1,Data!$AJ$3,0)</f>
        <v>0</v>
      </c>
      <c r="P11" s="3">
        <f ca="1">IF(t_utg[[#This Row],[11_Antall]]=1,Data!$AJ$2,0)</f>
        <v>0</v>
      </c>
      <c r="Q11" s="3">
        <f ca="1">IF(t_utg[[#This Row],[10_Antall]]=1,Data!$AJ$1,0)</f>
        <v>0</v>
      </c>
      <c r="R11" s="3" t="str" cm="1">
        <f t="array" ref="R11">IFERROR(IF(_xlfn.XLOOKUP(t_utg[[#This Row],[Dato]]&amp;t_utg[[#This Row],[navn]],Regnskap!$C$10:$C$51&amp;Regnskap!$K$10:$K$51,Regnskap!$H$10:$H$51)&gt;0,Data!$AJ$3,""),"")</f>
        <v/>
      </c>
      <c r="S11" s="3" t="str" cm="1">
        <f t="array" ref="S11">IFERROR(IF(t_utg[[#This Row],[12_pLEV]]="",IF(_xlfn.XLOOKUP(t_utg[[#This Row],[Dato]]&amp;t_utg[[#This Row],[navn]],Regnskap!$C$10:$C$51&amp;Regnskap!$K$10:$K$51,Regnskap!$I$10:$I$51)&gt;0,Data!$AJ$2)),"")</f>
        <v/>
      </c>
      <c r="T11" s="3" t="str" cm="1">
        <f t="array" ref="T11">IFERROR(IF(t_utg[[#This Row],[11_pLEV]]="",IF(_xlfn.XLOOKUP(t_utg[[#This Row],[Dato]]&amp;t_utg[[#This Row],[navn]],Regnskap!$C$10:$C$51&amp;Regnskap!$K$10:$K$51,Regnskap!$J$10:$J$51)&gt;0,Data!$AJ$1),""),"")</f>
        <v/>
      </c>
      <c r="U11" s="3">
        <f ca="1">SUM(t_utg[[#This Row],[12_poeng]:[10_pLEV]])</f>
        <v>0</v>
      </c>
      <c r="V11" s="3">
        <f ca="1">SUM(t_utg[[#This Row],[Summert]]+t_utg[[#This Row],[LEV_poeng]])</f>
        <v>0</v>
      </c>
    </row>
    <row r="12" spans="1:36" x14ac:dyDescent="0.2">
      <c r="A12" s="3" t="s">
        <v>911</v>
      </c>
      <c r="B12">
        <f>IF(t_utg[[#This Row],[Dato]]&lt;&gt;"",WEEKNUM(t_utg[[#This Row],[Dato]]),"")</f>
        <v>43</v>
      </c>
      <c r="C12" s="22">
        <f>Data!AL11</f>
        <v>46319</v>
      </c>
      <c r="D12">
        <f ca="1">IFERROR(IF(t_utg[[#This Row],[Dato]]="","",OFFSET(_xlfn.XLOOKUP(C12,Kuponger!E:E,Kuponger!CB:CB),15,0)),"")</f>
        <v>0</v>
      </c>
      <c r="E12">
        <f ca="1">IFERROR(OFFSET(_xlfn.XLOOKUP(C12,Kuponger!E:E,Kuponger!CB:CB),15,1),"")</f>
        <v>0</v>
      </c>
      <c r="F12">
        <f ca="1">IFERROR(IF(t_utg[[#This Row],[Dato]]="","",OFFSET(_xlfn.XLOOKUP(C12,Kuponger!E:E,Kuponger!CB:CB),15,2)),"")</f>
        <v>0</v>
      </c>
      <c r="G12">
        <f ca="1">IFERROR(IF(OFFSET(_xlfn.XLOOKUP(C12,Kuponger!E:E,Kuponger!CB:CB),0,2)=0,"",OFFSET(_xlfn.XLOOKUP(C12,Kuponger!E:E,Kuponger!CB:CB),1,2))*-1,"")</f>
        <v>0</v>
      </c>
      <c r="H12" t="str">
        <f t="shared" ca="1" si="1"/>
        <v/>
      </c>
      <c r="I12" t="str">
        <f ca="1">IFERROR(IF(t_utg[[#This Row],[tp]]&lt;&gt;"",OFFSET(_xlfn.XLOOKUP(C12,Kuponger!E:E,Kuponger!CB:CB),1,1),""),"")</f>
        <v/>
      </c>
      <c r="J12" s="3">
        <f ca="1">IFERROR(IF(t_utg[[#This Row],[Dato]]="",0,OFFSET(_xlfn.XLOOKUP(t_utg[[#This Row],[Dato]],Kuponger!E:E,Kuponger!CB:CB),1,7)),"")</f>
        <v>0</v>
      </c>
      <c r="K12" s="3">
        <f ca="1">IFERROR(SUM(t_utg[[#This Row],[tp]]),0)</f>
        <v>0</v>
      </c>
      <c r="L12" s="3" t="str">
        <f ca="1">IF(t_rb[[#This Row],[Antall_rette]]=12,1,"")</f>
        <v/>
      </c>
      <c r="M12" s="3" t="str">
        <f ca="1">IF(t_rb[[#This Row],[Antall_rette]]=11,1,"")</f>
        <v/>
      </c>
      <c r="N12" s="3" t="str">
        <f ca="1">IF(t_rb[[#This Row],[Antall_rette]]=10,1,"")</f>
        <v/>
      </c>
      <c r="O12" s="3">
        <f ca="1">IF(t_utg[[#This Row],[12_Antall]]=1,Data!$AJ$3,0)</f>
        <v>0</v>
      </c>
      <c r="P12" s="3">
        <f ca="1">IF(t_utg[[#This Row],[11_Antall]]=1,Data!$AJ$2,0)</f>
        <v>0</v>
      </c>
      <c r="Q12" s="3">
        <f ca="1">IF(t_utg[[#This Row],[10_Antall]]=1,Data!$AJ$1,0)</f>
        <v>0</v>
      </c>
      <c r="R12" s="3" t="str" cm="1">
        <f t="array" ref="R12">IFERROR(IF(_xlfn.XLOOKUP(t_utg[[#This Row],[Dato]]&amp;t_utg[[#This Row],[navn]],Regnskap!$C$10:$C$51&amp;Regnskap!$K$10:$K$51,Regnskap!$H$10:$H$51)&gt;0,Data!$AJ$3,""),"")</f>
        <v/>
      </c>
      <c r="S12" s="3" t="str" cm="1">
        <f t="array" ref="S12">IFERROR(IF(t_utg[[#This Row],[12_pLEV]]="",IF(_xlfn.XLOOKUP(t_utg[[#This Row],[Dato]]&amp;t_utg[[#This Row],[navn]],Regnskap!$C$10:$C$51&amp;Regnskap!$K$10:$K$51,Regnskap!$I$10:$I$51)&gt;0,Data!$AJ$2)),"")</f>
        <v/>
      </c>
      <c r="T12" s="3" t="str" cm="1">
        <f t="array" ref="T12">IFERROR(IF(t_utg[[#This Row],[11_pLEV]]="",IF(_xlfn.XLOOKUP(t_utg[[#This Row],[Dato]]&amp;t_utg[[#This Row],[navn]],Regnskap!$C$10:$C$51&amp;Regnskap!$K$10:$K$51,Regnskap!$J$10:$J$51)&gt;0,Data!$AJ$1),""),"")</f>
        <v/>
      </c>
      <c r="U12" s="3">
        <f ca="1">SUM(t_utg[[#This Row],[12_poeng]:[10_pLEV]])</f>
        <v>0</v>
      </c>
      <c r="V12" s="3">
        <f ca="1">SUM(t_utg[[#This Row],[Summert]]+t_utg[[#This Row],[LEV_poeng]])</f>
        <v>0</v>
      </c>
    </row>
    <row r="13" spans="1:36" ht="15" x14ac:dyDescent="0.25">
      <c r="A13" s="3" t="s">
        <v>911</v>
      </c>
      <c r="B13">
        <f>IF(t_utg[[#This Row],[Dato]]&lt;&gt;"",WEEKNUM(t_utg[[#This Row],[Dato]]),"")</f>
        <v>44</v>
      </c>
      <c r="C13" s="22">
        <f>Data!AL12</f>
        <v>46326</v>
      </c>
      <c r="D13">
        <f ca="1">IFERROR(IF(t_utg[[#This Row],[Dato]]="","",OFFSET(_xlfn.XLOOKUP(C13,Kuponger!E:E,Kuponger!CB:CB),15,0)),"")</f>
        <v>0</v>
      </c>
      <c r="E13">
        <f ca="1">IFERROR(OFFSET(_xlfn.XLOOKUP(C13,Kuponger!E:E,Kuponger!CB:CB),15,1),"")</f>
        <v>0</v>
      </c>
      <c r="F13">
        <f ca="1">IFERROR(IF(t_utg[[#This Row],[Dato]]="","",OFFSET(_xlfn.XLOOKUP(C13,Kuponger!E:E,Kuponger!CB:CB),15,2)),"")</f>
        <v>0</v>
      </c>
      <c r="G13">
        <f ca="1">IFERROR(IF(OFFSET(_xlfn.XLOOKUP(C13,Kuponger!E:E,Kuponger!CB:CB),0,2)=0,"",OFFSET(_xlfn.XLOOKUP(C13,Kuponger!E:E,Kuponger!CB:CB),1,2))*-1,"")</f>
        <v>0</v>
      </c>
      <c r="H13" t="str">
        <f t="shared" ca="1" si="1"/>
        <v/>
      </c>
      <c r="I13" t="str">
        <f ca="1">IFERROR(IF(t_utg[[#This Row],[tp]]&lt;&gt;"",OFFSET(_xlfn.XLOOKUP(C13,Kuponger!E:E,Kuponger!CB:CB),1,1),""),"")</f>
        <v/>
      </c>
      <c r="J13" s="3">
        <f ca="1">IFERROR(IF(t_utg[[#This Row],[Dato]]="",0,OFFSET(_xlfn.XLOOKUP(t_utg[[#This Row],[Dato]],Kuponger!E:E,Kuponger!CB:CB),1,7)),"")</f>
        <v>0</v>
      </c>
      <c r="K13" s="3">
        <f ca="1">IFERROR(SUM(t_utg[[#This Row],[tp]]),0)</f>
        <v>0</v>
      </c>
      <c r="L13" s="3" t="str">
        <f ca="1">IF(t_rb[[#This Row],[Antall_rette]]=12,1,"")</f>
        <v/>
      </c>
      <c r="M13" s="3" t="str">
        <f ca="1">IF(t_rb[[#This Row],[Antall_rette]]=11,1,"")</f>
        <v/>
      </c>
      <c r="N13" s="3" t="str">
        <f ca="1">IF(t_rb[[#This Row],[Antall_rette]]=10,1,"")</f>
        <v/>
      </c>
      <c r="O13" s="3">
        <f ca="1">IF(t_utg[[#This Row],[12_Antall]]=1,Data!$AJ$3,0)</f>
        <v>0</v>
      </c>
      <c r="P13" s="3">
        <f ca="1">IF(t_utg[[#This Row],[11_Antall]]=1,Data!$AJ$2,0)</f>
        <v>0</v>
      </c>
      <c r="Q13" s="3">
        <f ca="1">IF(t_utg[[#This Row],[10_Antall]]=1,Data!$AJ$1,0)</f>
        <v>0</v>
      </c>
      <c r="R13" s="3" t="str" cm="1">
        <f t="array" ref="R13">IFERROR(IF(_xlfn.XLOOKUP(t_utg[[#This Row],[Dato]]&amp;t_utg[[#This Row],[navn]],Regnskap!$C$10:$C$51&amp;Regnskap!$K$10:$K$51,Regnskap!$H$10:$H$51)&gt;0,Data!$AJ$3,""),"")</f>
        <v/>
      </c>
      <c r="S13" s="3" t="str" cm="1">
        <f t="array" ref="S13">IFERROR(IF(t_utg[[#This Row],[12_pLEV]]="",IF(_xlfn.XLOOKUP(t_utg[[#This Row],[Dato]]&amp;t_utg[[#This Row],[navn]],Regnskap!$C$10:$C$51&amp;Regnskap!$K$10:$K$51,Regnskap!$I$10:$I$51)&gt;0,Data!$AJ$2)),"")</f>
        <v/>
      </c>
      <c r="T13" s="3" t="str" cm="1">
        <f t="array" ref="T13">IFERROR(IF(t_utg[[#This Row],[11_pLEV]]="",IF(_xlfn.XLOOKUP(t_utg[[#This Row],[Dato]]&amp;t_utg[[#This Row],[navn]],Regnskap!$C$10:$C$51&amp;Regnskap!$K$10:$K$51,Regnskap!$J$10:$J$51)&gt;0,Data!$AJ$1),""),"")</f>
        <v/>
      </c>
      <c r="U13" s="3">
        <f ca="1">SUM(t_utg[[#This Row],[12_poeng]:[10_pLEV]])</f>
        <v>0</v>
      </c>
      <c r="V13" s="3">
        <f ca="1">SUM(t_utg[[#This Row],[Summert]]+t_utg[[#This Row],[LEV_poeng]])</f>
        <v>0</v>
      </c>
      <c r="W13" s="671"/>
      <c r="X13" s="671"/>
      <c r="Y13" s="671"/>
      <c r="Z13" s="671"/>
      <c r="AA13" s="671"/>
      <c r="AB13" s="671"/>
      <c r="AC13" s="23"/>
    </row>
    <row r="14" spans="1:36" x14ac:dyDescent="0.2">
      <c r="A14" s="3" t="s">
        <v>911</v>
      </c>
      <c r="B14">
        <f>IF(t_utg[[#This Row],[Dato]]&lt;&gt;"",WEEKNUM(t_utg[[#This Row],[Dato]]),"")</f>
        <v>45</v>
      </c>
      <c r="C14" s="22">
        <f>Data!AL13</f>
        <v>46333</v>
      </c>
      <c r="D14">
        <f ca="1">IFERROR(IF(t_utg[[#This Row],[Dato]]="","",OFFSET(_xlfn.XLOOKUP(C14,Kuponger!E:E,Kuponger!CB:CB),15,0)),"")</f>
        <v>0</v>
      </c>
      <c r="E14">
        <f ca="1">IFERROR(OFFSET(_xlfn.XLOOKUP(C14,Kuponger!E:E,Kuponger!CB:CB),15,1),"")</f>
        <v>0</v>
      </c>
      <c r="F14">
        <f ca="1">IFERROR(IF(t_utg[[#This Row],[Dato]]="","",OFFSET(_xlfn.XLOOKUP(C14,Kuponger!E:E,Kuponger!CB:CB),15,2)),"")</f>
        <v>0</v>
      </c>
      <c r="G14">
        <f ca="1">IFERROR(IF(OFFSET(_xlfn.XLOOKUP(C14,Kuponger!E:E,Kuponger!CB:CB),0,2)=0,"",OFFSET(_xlfn.XLOOKUP(C14,Kuponger!E:E,Kuponger!CB:CB),1,2))*-1,"")</f>
        <v>0</v>
      </c>
      <c r="H14" t="str">
        <f t="shared" ca="1" si="1"/>
        <v/>
      </c>
      <c r="I14" t="str">
        <f ca="1">IFERROR(IF(t_utg[[#This Row],[tp]]&lt;&gt;"",OFFSET(_xlfn.XLOOKUP(C14,Kuponger!E:E,Kuponger!CB:CB),1,1),""),"")</f>
        <v/>
      </c>
      <c r="J14" s="3">
        <f ca="1">IFERROR(IF(t_utg[[#This Row],[Dato]]="",0,OFFSET(_xlfn.XLOOKUP(t_utg[[#This Row],[Dato]],Kuponger!E:E,Kuponger!CB:CB),1,7)),"")</f>
        <v>0</v>
      </c>
      <c r="K14" s="3">
        <f ca="1">IFERROR(SUM(t_utg[[#This Row],[tp]]),0)</f>
        <v>0</v>
      </c>
      <c r="L14" s="3" t="str">
        <f ca="1">IF(t_rb[[#This Row],[Antall_rette]]=12,1,"")</f>
        <v/>
      </c>
      <c r="M14" s="3" t="str">
        <f ca="1">IF(t_rb[[#This Row],[Antall_rette]]=11,1,"")</f>
        <v/>
      </c>
      <c r="N14" s="3" t="str">
        <f ca="1">IF(t_rb[[#This Row],[Antall_rette]]=10,1,"")</f>
        <v/>
      </c>
      <c r="O14" s="3">
        <f ca="1">IF(t_utg[[#This Row],[12_Antall]]=1,Data!$AJ$3,0)</f>
        <v>0</v>
      </c>
      <c r="P14" s="3">
        <f ca="1">IF(t_utg[[#This Row],[11_Antall]]=1,Data!$AJ$2,0)</f>
        <v>0</v>
      </c>
      <c r="Q14" s="3">
        <f ca="1">IF(t_utg[[#This Row],[10_Antall]]=1,Data!$AJ$1,0)</f>
        <v>0</v>
      </c>
      <c r="R14" s="3" t="str" cm="1">
        <f t="array" ref="R14">IFERROR(IF(_xlfn.XLOOKUP(t_utg[[#This Row],[Dato]]&amp;t_utg[[#This Row],[navn]],Regnskap!$C$10:$C$51&amp;Regnskap!$K$10:$K$51,Regnskap!$H$10:$H$51)&gt;0,Data!$AJ$3,""),"")</f>
        <v/>
      </c>
      <c r="S14" s="3" t="str" cm="1">
        <f t="array" ref="S14">IFERROR(IF(t_utg[[#This Row],[12_pLEV]]="",IF(_xlfn.XLOOKUP(t_utg[[#This Row],[Dato]]&amp;t_utg[[#This Row],[navn]],Regnskap!$C$10:$C$51&amp;Regnskap!$K$10:$K$51,Regnskap!$I$10:$I$51)&gt;0,Data!$AJ$2)),"")</f>
        <v/>
      </c>
      <c r="T14" s="3" t="str" cm="1">
        <f t="array" ref="T14">IFERROR(IF(t_utg[[#This Row],[11_pLEV]]="",IF(_xlfn.XLOOKUP(t_utg[[#This Row],[Dato]]&amp;t_utg[[#This Row],[navn]],Regnskap!$C$10:$C$51&amp;Regnskap!$K$10:$K$51,Regnskap!$J$10:$J$51)&gt;0,Data!$AJ$1),""),"")</f>
        <v/>
      </c>
      <c r="U14" s="3">
        <f ca="1">SUM(t_utg[[#This Row],[12_poeng]:[10_pLEV]])</f>
        <v>0</v>
      </c>
      <c r="V14" s="3">
        <f ca="1">SUM(t_utg[[#This Row],[Summert]]+t_utg[[#This Row],[LEV_poeng]])</f>
        <v>0</v>
      </c>
    </row>
    <row r="15" spans="1:36" x14ac:dyDescent="0.2">
      <c r="A15" s="3" t="s">
        <v>911</v>
      </c>
      <c r="B15">
        <f>IF(t_utg[[#This Row],[Dato]]&lt;&gt;"",WEEKNUM(t_utg[[#This Row],[Dato]]),"")</f>
        <v>46</v>
      </c>
      <c r="C15" s="22">
        <f>Data!AL14</f>
        <v>46340</v>
      </c>
      <c r="D15">
        <f ca="1">IFERROR(IF(t_utg[[#This Row],[Dato]]="","",OFFSET(_xlfn.XLOOKUP(C15,Kuponger!E:E,Kuponger!CB:CB),15,0)),"")</f>
        <v>0</v>
      </c>
      <c r="E15">
        <f ca="1">IFERROR(OFFSET(_xlfn.XLOOKUP(C15,Kuponger!E:E,Kuponger!CB:CB),15,1),"")</f>
        <v>0</v>
      </c>
      <c r="F15">
        <f ca="1">IFERROR(IF(t_utg[[#This Row],[Dato]]="","",OFFSET(_xlfn.XLOOKUP(C15,Kuponger!E:E,Kuponger!CB:CB),15,2)),"")</f>
        <v>0</v>
      </c>
      <c r="G15">
        <f ca="1">IFERROR(IF(OFFSET(_xlfn.XLOOKUP(C15,Kuponger!E:E,Kuponger!CB:CB),0,2)=0,"",OFFSET(_xlfn.XLOOKUP(C15,Kuponger!E:E,Kuponger!CB:CB),1,2))*-1,"")</f>
        <v>0</v>
      </c>
      <c r="H15" t="str">
        <f t="shared" ca="1" si="1"/>
        <v/>
      </c>
      <c r="I15" t="str">
        <f ca="1">IFERROR(IF(t_utg[[#This Row],[tp]]&lt;&gt;"",OFFSET(_xlfn.XLOOKUP(C15,Kuponger!E:E,Kuponger!CB:CB),1,1),""),"")</f>
        <v/>
      </c>
      <c r="J15" s="3">
        <f ca="1">IFERROR(IF(t_utg[[#This Row],[Dato]]="",0,OFFSET(_xlfn.XLOOKUP(t_utg[[#This Row],[Dato]],Kuponger!E:E,Kuponger!CB:CB),1,7)),"")</f>
        <v>0</v>
      </c>
      <c r="K15" s="3">
        <f ca="1">IFERROR(SUM(t_utg[[#This Row],[tp]]),0)</f>
        <v>0</v>
      </c>
      <c r="L15" s="3" t="str">
        <f ca="1">IF(t_rb[[#This Row],[Antall_rette]]=12,1,"")</f>
        <v/>
      </c>
      <c r="M15" s="3" t="str">
        <f ca="1">IF(t_rb[[#This Row],[Antall_rette]]=11,1,"")</f>
        <v/>
      </c>
      <c r="N15" s="3" t="str">
        <f ca="1">IF(t_rb[[#This Row],[Antall_rette]]=10,1,"")</f>
        <v/>
      </c>
      <c r="O15" s="3">
        <f ca="1">IF(t_utg[[#This Row],[12_Antall]]=1,Data!$AJ$3,0)</f>
        <v>0</v>
      </c>
      <c r="P15" s="3">
        <f ca="1">IF(t_utg[[#This Row],[11_Antall]]=1,Data!$AJ$2,0)</f>
        <v>0</v>
      </c>
      <c r="Q15" s="3">
        <f ca="1">IF(t_utg[[#This Row],[10_Antall]]=1,Data!$AJ$1,0)</f>
        <v>0</v>
      </c>
      <c r="R15" s="3" t="str" cm="1">
        <f t="array" ref="R15">IFERROR(IF(_xlfn.XLOOKUP(t_utg[[#This Row],[Dato]]&amp;t_utg[[#This Row],[navn]],Regnskap!$C$10:$C$51&amp;Regnskap!$K$10:$K$51,Regnskap!$H$10:$H$51)&gt;0,Data!$AJ$3,""),"")</f>
        <v/>
      </c>
      <c r="S15" s="3" t="str" cm="1">
        <f t="array" ref="S15">IFERROR(IF(t_utg[[#This Row],[12_pLEV]]="",IF(_xlfn.XLOOKUP(t_utg[[#This Row],[Dato]]&amp;t_utg[[#This Row],[navn]],Regnskap!$C$10:$C$51&amp;Regnskap!$K$10:$K$51,Regnskap!$I$10:$I$51)&gt;0,Data!$AJ$2)),"")</f>
        <v/>
      </c>
      <c r="T15" s="3" t="str" cm="1">
        <f t="array" ref="T15">IFERROR(IF(t_utg[[#This Row],[11_pLEV]]="",IF(_xlfn.XLOOKUP(t_utg[[#This Row],[Dato]]&amp;t_utg[[#This Row],[navn]],Regnskap!$C$10:$C$51&amp;Regnskap!$K$10:$K$51,Regnskap!$J$10:$J$51)&gt;0,Data!$AJ$1),""),"")</f>
        <v/>
      </c>
      <c r="U15" s="3">
        <f ca="1">SUM(t_utg[[#This Row],[12_poeng]:[10_pLEV]])</f>
        <v>0</v>
      </c>
      <c r="V15" s="3">
        <f ca="1">SUM(t_utg[[#This Row],[Summert]]+t_utg[[#This Row],[LEV_poeng]])</f>
        <v>0</v>
      </c>
    </row>
    <row r="16" spans="1:36" x14ac:dyDescent="0.2">
      <c r="A16" s="3" t="s">
        <v>911</v>
      </c>
      <c r="B16">
        <f>IF(t_utg[[#This Row],[Dato]]&lt;&gt;"",WEEKNUM(t_utg[[#This Row],[Dato]]),"")</f>
        <v>47</v>
      </c>
      <c r="C16" s="22">
        <f>Data!AL15</f>
        <v>46347</v>
      </c>
      <c r="D16">
        <f ca="1">IFERROR(IF(t_utg[[#This Row],[Dato]]="","",OFFSET(_xlfn.XLOOKUP(C16,Kuponger!E:E,Kuponger!CB:CB),15,0)),"")</f>
        <v>0</v>
      </c>
      <c r="E16">
        <f ca="1">IFERROR(OFFSET(_xlfn.XLOOKUP(C16,Kuponger!E:E,Kuponger!CB:CB),15,1),"")</f>
        <v>0</v>
      </c>
      <c r="F16">
        <f ca="1">IFERROR(IF(t_utg[[#This Row],[Dato]]="","",OFFSET(_xlfn.XLOOKUP(C16,Kuponger!E:E,Kuponger!CB:CB),15,2)),"")</f>
        <v>0</v>
      </c>
      <c r="G16">
        <f ca="1">IFERROR(IF(OFFSET(_xlfn.XLOOKUP(C16,Kuponger!E:E,Kuponger!CB:CB),0,2)=0,"",OFFSET(_xlfn.XLOOKUP(C16,Kuponger!E:E,Kuponger!CB:CB),1,2))*-1,"")</f>
        <v>0</v>
      </c>
      <c r="H16" t="str">
        <f t="shared" ca="1" si="1"/>
        <v/>
      </c>
      <c r="I16" t="str">
        <f ca="1">IFERROR(IF(t_utg[[#This Row],[tp]]&lt;&gt;"",OFFSET(_xlfn.XLOOKUP(C16,Kuponger!E:E,Kuponger!CB:CB),1,1),""),"")</f>
        <v/>
      </c>
      <c r="J16" s="3">
        <f ca="1">IFERROR(IF(t_utg[[#This Row],[Dato]]="",0,OFFSET(_xlfn.XLOOKUP(t_utg[[#This Row],[Dato]],Kuponger!E:E,Kuponger!CB:CB),1,7)),"")</f>
        <v>0</v>
      </c>
      <c r="K16" s="3">
        <f ca="1">IFERROR(SUM(t_utg[[#This Row],[tp]]),0)</f>
        <v>0</v>
      </c>
      <c r="L16" s="3" t="str">
        <f ca="1">IF(t_rb[[#This Row],[Antall_rette]]=12,1,"")</f>
        <v/>
      </c>
      <c r="M16" s="3" t="str">
        <f ca="1">IF(t_rb[[#This Row],[Antall_rette]]=11,1,"")</f>
        <v/>
      </c>
      <c r="N16" s="3" t="str">
        <f ca="1">IF(t_rb[[#This Row],[Antall_rette]]=10,1,"")</f>
        <v/>
      </c>
      <c r="O16" s="3">
        <f ca="1">IF(t_utg[[#This Row],[12_Antall]]=1,Data!$AJ$3,0)</f>
        <v>0</v>
      </c>
      <c r="P16" s="3">
        <f ca="1">IF(t_utg[[#This Row],[11_Antall]]=1,Data!$AJ$2,0)</f>
        <v>0</v>
      </c>
      <c r="Q16" s="3">
        <f ca="1">IF(t_utg[[#This Row],[10_Antall]]=1,Data!$AJ$1,0)</f>
        <v>0</v>
      </c>
      <c r="R16" s="3" t="str" cm="1">
        <f t="array" ref="R16">IFERROR(IF(_xlfn.XLOOKUP(t_utg[[#This Row],[Dato]]&amp;t_utg[[#This Row],[navn]],Regnskap!$C$10:$C$51&amp;Regnskap!$K$10:$K$51,Regnskap!$H$10:$H$51)&gt;0,Data!$AJ$3,""),"")</f>
        <v/>
      </c>
      <c r="S16" s="3" t="str" cm="1">
        <f t="array" ref="S16">IFERROR(IF(t_utg[[#This Row],[12_pLEV]]="",IF(_xlfn.XLOOKUP(t_utg[[#This Row],[Dato]]&amp;t_utg[[#This Row],[navn]],Regnskap!$C$10:$C$51&amp;Regnskap!$K$10:$K$51,Regnskap!$I$10:$I$51)&gt;0,Data!$AJ$2)),"")</f>
        <v/>
      </c>
      <c r="T16" s="3" t="str" cm="1">
        <f t="array" ref="T16">IFERROR(IF(t_utg[[#This Row],[11_pLEV]]="",IF(_xlfn.XLOOKUP(t_utg[[#This Row],[Dato]]&amp;t_utg[[#This Row],[navn]],Regnskap!$C$10:$C$51&amp;Regnskap!$K$10:$K$51,Regnskap!$J$10:$J$51)&gt;0,Data!$AJ$1),""),"")</f>
        <v/>
      </c>
      <c r="U16" s="3">
        <f ca="1">SUM(t_utg[[#This Row],[12_poeng]:[10_pLEV]])</f>
        <v>0</v>
      </c>
      <c r="V16" s="3">
        <f ca="1">SUM(t_utg[[#This Row],[Summert]]+t_utg[[#This Row],[LEV_poeng]])</f>
        <v>0</v>
      </c>
    </row>
    <row r="17" spans="1:28" x14ac:dyDescent="0.2">
      <c r="A17" s="3" t="s">
        <v>911</v>
      </c>
      <c r="B17">
        <f>IF(t_utg[[#This Row],[Dato]]&lt;&gt;"",WEEKNUM(t_utg[[#This Row],[Dato]]),"")</f>
        <v>48</v>
      </c>
      <c r="C17" s="22">
        <f>Data!AL16</f>
        <v>46354</v>
      </c>
      <c r="D17">
        <f ca="1">IFERROR(IF(t_utg[[#This Row],[Dato]]="","",OFFSET(_xlfn.XLOOKUP(C17,Kuponger!E:E,Kuponger!CB:CB),15,0)),"")</f>
        <v>0</v>
      </c>
      <c r="E17">
        <f ca="1">IFERROR(OFFSET(_xlfn.XLOOKUP(C17,Kuponger!E:E,Kuponger!CB:CB),15,1),"")</f>
        <v>0</v>
      </c>
      <c r="F17">
        <f ca="1">IFERROR(IF(t_utg[[#This Row],[Dato]]="","",OFFSET(_xlfn.XLOOKUP(C17,Kuponger!E:E,Kuponger!CB:CB),15,2)),"")</f>
        <v>0</v>
      </c>
      <c r="G17">
        <f ca="1">IFERROR(IF(OFFSET(_xlfn.XLOOKUP(C17,Kuponger!E:E,Kuponger!CB:CB),0,2)=0,"",OFFSET(_xlfn.XLOOKUP(C17,Kuponger!E:E,Kuponger!CB:CB),1,2))*-1,"")</f>
        <v>0</v>
      </c>
      <c r="H17" t="str">
        <f t="shared" ca="1" si="1"/>
        <v/>
      </c>
      <c r="I17" t="str">
        <f ca="1">IFERROR(IF(t_utg[[#This Row],[tp]]&lt;&gt;"",OFFSET(_xlfn.XLOOKUP(C17,Kuponger!E:E,Kuponger!CB:CB),1,1),""),"")</f>
        <v/>
      </c>
      <c r="J17" s="3">
        <f ca="1">IFERROR(IF(t_utg[[#This Row],[Dato]]="",0,OFFSET(_xlfn.XLOOKUP(t_utg[[#This Row],[Dato]],Kuponger!E:E,Kuponger!CB:CB),1,7)),"")</f>
        <v>0</v>
      </c>
      <c r="K17" s="3">
        <f ca="1">IFERROR(SUM(t_utg[[#This Row],[tp]]),0)</f>
        <v>0</v>
      </c>
      <c r="L17" s="3" t="str">
        <f ca="1">IF(t_rb[[#This Row],[Antall_rette]]=12,1,"")</f>
        <v/>
      </c>
      <c r="M17" s="3" t="str">
        <f ca="1">IF(t_rb[[#This Row],[Antall_rette]]=11,1,"")</f>
        <v/>
      </c>
      <c r="N17" s="3" t="str">
        <f ca="1">IF(t_rb[[#This Row],[Antall_rette]]=10,1,"")</f>
        <v/>
      </c>
      <c r="O17" s="3">
        <f ca="1">IF(t_utg[[#This Row],[12_Antall]]=1,Data!$AJ$3,0)</f>
        <v>0</v>
      </c>
      <c r="P17" s="3">
        <f ca="1">IF(t_utg[[#This Row],[11_Antall]]=1,Data!$AJ$2,0)</f>
        <v>0</v>
      </c>
      <c r="Q17" s="3">
        <f ca="1">IF(t_utg[[#This Row],[10_Antall]]=1,Data!$AJ$1,0)</f>
        <v>0</v>
      </c>
      <c r="R17" s="3" t="str" cm="1">
        <f t="array" ref="R17">IFERROR(IF(_xlfn.XLOOKUP(t_utg[[#This Row],[Dato]]&amp;t_utg[[#This Row],[navn]],Regnskap!$C$10:$C$51&amp;Regnskap!$K$10:$K$51,Regnskap!$H$10:$H$51)&gt;0,Data!$AJ$3,""),"")</f>
        <v/>
      </c>
      <c r="S17" s="3" t="str" cm="1">
        <f t="array" ref="S17">IFERROR(IF(t_utg[[#This Row],[12_pLEV]]="",IF(_xlfn.XLOOKUP(t_utg[[#This Row],[Dato]]&amp;t_utg[[#This Row],[navn]],Regnskap!$C$10:$C$51&amp;Regnskap!$K$10:$K$51,Regnskap!$I$10:$I$51)&gt;0,Data!$AJ$2)),"")</f>
        <v/>
      </c>
      <c r="T17" s="3" t="str" cm="1">
        <f t="array" ref="T17">IFERROR(IF(t_utg[[#This Row],[11_pLEV]]="",IF(_xlfn.XLOOKUP(t_utg[[#This Row],[Dato]]&amp;t_utg[[#This Row],[navn]],Regnskap!$C$10:$C$51&amp;Regnskap!$K$10:$K$51,Regnskap!$J$10:$J$51)&gt;0,Data!$AJ$1),""),"")</f>
        <v/>
      </c>
      <c r="U17" s="3">
        <f ca="1">SUM(t_utg[[#This Row],[12_poeng]:[10_pLEV]])</f>
        <v>0</v>
      </c>
      <c r="V17" s="3">
        <f ca="1">SUM(t_utg[[#This Row],[Summert]]+t_utg[[#This Row],[LEV_poeng]])</f>
        <v>0</v>
      </c>
    </row>
    <row r="18" spans="1:28" x14ac:dyDescent="0.2">
      <c r="A18" s="3" t="s">
        <v>911</v>
      </c>
      <c r="B18">
        <f>IF(t_utg[[#This Row],[Dato]]&lt;&gt;"",WEEKNUM(t_utg[[#This Row],[Dato]]),"")</f>
        <v>49</v>
      </c>
      <c r="C18" s="22">
        <f>Data!AL17</f>
        <v>46361</v>
      </c>
      <c r="D18">
        <f ca="1">IFERROR(IF(t_utg[[#This Row],[Dato]]="","",OFFSET(_xlfn.XLOOKUP(C18,Kuponger!E:E,Kuponger!CB:CB),15,0)),"")</f>
        <v>0</v>
      </c>
      <c r="E18">
        <f ca="1">IFERROR(OFFSET(_xlfn.XLOOKUP(C18,Kuponger!E:E,Kuponger!CB:CB),15,1),"")</f>
        <v>0</v>
      </c>
      <c r="F18">
        <f ca="1">IFERROR(IF(t_utg[[#This Row],[Dato]]="","",OFFSET(_xlfn.XLOOKUP(C18,Kuponger!E:E,Kuponger!CB:CB),15,2)),"")</f>
        <v>0</v>
      </c>
      <c r="G18">
        <f ca="1">IFERROR(IF(OFFSET(_xlfn.XLOOKUP(C18,Kuponger!E:E,Kuponger!CB:CB),0,2)=0,"",OFFSET(_xlfn.XLOOKUP(C18,Kuponger!E:E,Kuponger!CB:CB),1,2))*-1,"")</f>
        <v>0</v>
      </c>
      <c r="H18" t="str">
        <f t="shared" ca="1" si="1"/>
        <v/>
      </c>
      <c r="I18" t="str">
        <f ca="1">IFERROR(IF(t_utg[[#This Row],[tp]]&lt;&gt;"",OFFSET(_xlfn.XLOOKUP(C18,Kuponger!E:E,Kuponger!CB:CB),1,1),""),"")</f>
        <v/>
      </c>
      <c r="J18" s="3">
        <f ca="1">IFERROR(IF(t_utg[[#This Row],[Dato]]="",0,OFFSET(_xlfn.XLOOKUP(t_utg[[#This Row],[Dato]],Kuponger!E:E,Kuponger!CB:CB),1,7)),"")</f>
        <v>0</v>
      </c>
      <c r="K18" s="3">
        <f ca="1">IFERROR(SUM(t_utg[[#This Row],[tp]]),0)</f>
        <v>0</v>
      </c>
      <c r="L18" s="3" t="str">
        <f ca="1">IF(t_rb[[#This Row],[Antall_rette]]=12,1,"")</f>
        <v/>
      </c>
      <c r="M18" s="3" t="str">
        <f ca="1">IF(t_rb[[#This Row],[Antall_rette]]=11,1,"")</f>
        <v/>
      </c>
      <c r="N18" s="3" t="str">
        <f ca="1">IF(t_rb[[#This Row],[Antall_rette]]=10,1,"")</f>
        <v/>
      </c>
      <c r="O18" s="3">
        <f ca="1">IF(t_utg[[#This Row],[12_Antall]]=1,Data!$AJ$3,0)</f>
        <v>0</v>
      </c>
      <c r="P18" s="3">
        <f ca="1">IF(t_utg[[#This Row],[11_Antall]]=1,Data!$AJ$2,0)</f>
        <v>0</v>
      </c>
      <c r="Q18" s="3">
        <f ca="1">IF(t_utg[[#This Row],[10_Antall]]=1,Data!$AJ$1,0)</f>
        <v>0</v>
      </c>
      <c r="R18" s="3" t="str" cm="1">
        <f t="array" ref="R18">IFERROR(IF(_xlfn.XLOOKUP(t_utg[[#This Row],[Dato]]&amp;t_utg[[#This Row],[navn]],Regnskap!$C$10:$C$51&amp;Regnskap!$K$10:$K$51,Regnskap!$H$10:$H$51)&gt;0,Data!$AJ$3,""),"")</f>
        <v/>
      </c>
      <c r="S18" s="3" t="str" cm="1">
        <f t="array" ref="S18">IFERROR(IF(t_utg[[#This Row],[12_pLEV]]="",IF(_xlfn.XLOOKUP(t_utg[[#This Row],[Dato]]&amp;t_utg[[#This Row],[navn]],Regnskap!$C$10:$C$51&amp;Regnskap!$K$10:$K$51,Regnskap!$I$10:$I$51)&gt;0,Data!$AJ$2)),"")</f>
        <v/>
      </c>
      <c r="T18" s="3" t="str" cm="1">
        <f t="array" ref="T18">IFERROR(IF(t_utg[[#This Row],[11_pLEV]]="",IF(_xlfn.XLOOKUP(t_utg[[#This Row],[Dato]]&amp;t_utg[[#This Row],[navn]],Regnskap!$C$10:$C$51&amp;Regnskap!$K$10:$K$51,Regnskap!$J$10:$J$51)&gt;0,Data!$AJ$1),""),"")</f>
        <v/>
      </c>
      <c r="U18" s="3">
        <f ca="1">SUM(t_utg[[#This Row],[12_poeng]:[10_pLEV]])</f>
        <v>0</v>
      </c>
      <c r="V18" s="3">
        <f ca="1">SUM(t_utg[[#This Row],[Summert]]+t_utg[[#This Row],[LEV_poeng]])</f>
        <v>0</v>
      </c>
    </row>
    <row r="19" spans="1:28" x14ac:dyDescent="0.2">
      <c r="A19" s="3" t="s">
        <v>911</v>
      </c>
      <c r="B19">
        <f>IF(t_utg[[#This Row],[Dato]]&lt;&gt;"",WEEKNUM(t_utg[[#This Row],[Dato]]),"")</f>
        <v>50</v>
      </c>
      <c r="C19" s="22">
        <f>Data!AL18</f>
        <v>46368</v>
      </c>
      <c r="D19">
        <f ca="1">IFERROR(IF(t_utg[[#This Row],[Dato]]="","",OFFSET(_xlfn.XLOOKUP(C19,Kuponger!E:E,Kuponger!CB:CB),15,0)),"")</f>
        <v>0</v>
      </c>
      <c r="E19">
        <f ca="1">IFERROR(OFFSET(_xlfn.XLOOKUP(C19,Kuponger!E:E,Kuponger!CB:CB),15,1),"")</f>
        <v>0</v>
      </c>
      <c r="F19">
        <f ca="1">IFERROR(IF(t_utg[[#This Row],[Dato]]="","",OFFSET(_xlfn.XLOOKUP(C19,Kuponger!E:E,Kuponger!CB:CB),15,2)),"")</f>
        <v>0</v>
      </c>
      <c r="G19">
        <f ca="1">IFERROR(IF(OFFSET(_xlfn.XLOOKUP(C19,Kuponger!E:E,Kuponger!CB:CB),0,2)=0,"",OFFSET(_xlfn.XLOOKUP(C19,Kuponger!E:E,Kuponger!CB:CB),1,2))*-1,"")</f>
        <v>0</v>
      </c>
      <c r="H19" t="str">
        <f t="shared" ca="1" si="1"/>
        <v/>
      </c>
      <c r="I19" t="str">
        <f ca="1">IFERROR(IF(t_utg[[#This Row],[tp]]&lt;&gt;"",OFFSET(_xlfn.XLOOKUP(C19,Kuponger!E:E,Kuponger!CB:CB),1,1),""),"")</f>
        <v/>
      </c>
      <c r="J19" s="3">
        <f ca="1">IFERROR(IF(t_utg[[#This Row],[Dato]]="",0,OFFSET(_xlfn.XLOOKUP(t_utg[[#This Row],[Dato]],Kuponger!E:E,Kuponger!CB:CB),1,7)),"")</f>
        <v>0</v>
      </c>
      <c r="K19" s="3">
        <f ca="1">IFERROR(SUM(t_utg[[#This Row],[tp]]),0)</f>
        <v>0</v>
      </c>
      <c r="L19" s="3" t="str">
        <f ca="1">IF(t_rb[[#This Row],[Antall_rette]]=12,1,"")</f>
        <v/>
      </c>
      <c r="M19" s="3" t="str">
        <f ca="1">IF(t_rb[[#This Row],[Antall_rette]]=11,1,"")</f>
        <v/>
      </c>
      <c r="N19" s="3" t="str">
        <f ca="1">IF(t_rb[[#This Row],[Antall_rette]]=10,1,"")</f>
        <v/>
      </c>
      <c r="O19" s="3">
        <f ca="1">IF(t_utg[[#This Row],[12_Antall]]=1,Data!$AJ$3,0)</f>
        <v>0</v>
      </c>
      <c r="P19" s="3">
        <f ca="1">IF(t_utg[[#This Row],[11_Antall]]=1,Data!$AJ$2,0)</f>
        <v>0</v>
      </c>
      <c r="Q19" s="3">
        <f ca="1">IF(t_utg[[#This Row],[10_Antall]]=1,Data!$AJ$1,0)</f>
        <v>0</v>
      </c>
      <c r="R19" s="3" t="str" cm="1">
        <f t="array" ref="R19">IFERROR(IF(_xlfn.XLOOKUP(t_utg[[#This Row],[Dato]]&amp;t_utg[[#This Row],[navn]],Regnskap!$C$10:$C$51&amp;Regnskap!$K$10:$K$51,Regnskap!$H$10:$H$51)&gt;0,Data!$AJ$3,""),"")</f>
        <v/>
      </c>
      <c r="S19" s="3" t="str" cm="1">
        <f t="array" ref="S19">IFERROR(IF(t_utg[[#This Row],[12_pLEV]]="",IF(_xlfn.XLOOKUP(t_utg[[#This Row],[Dato]]&amp;t_utg[[#This Row],[navn]],Regnskap!$C$10:$C$51&amp;Regnskap!$K$10:$K$51,Regnskap!$I$10:$I$51)&gt;0,Data!$AJ$2)),"")</f>
        <v/>
      </c>
      <c r="T19" s="3" t="str" cm="1">
        <f t="array" ref="T19">IFERROR(IF(t_utg[[#This Row],[11_pLEV]]="",IF(_xlfn.XLOOKUP(t_utg[[#This Row],[Dato]]&amp;t_utg[[#This Row],[navn]],Regnskap!$C$10:$C$51&amp;Regnskap!$K$10:$K$51,Regnskap!$J$10:$J$51)&gt;0,Data!$AJ$1),""),"")</f>
        <v/>
      </c>
      <c r="U19" s="3">
        <f ca="1">SUM(t_utg[[#This Row],[12_poeng]:[10_pLEV]])</f>
        <v>0</v>
      </c>
      <c r="V19" s="3">
        <f ca="1">SUM(t_utg[[#This Row],[Summert]]+t_utg[[#This Row],[LEV_poeng]])</f>
        <v>0</v>
      </c>
      <c r="W19" s="2"/>
      <c r="X19" s="2"/>
      <c r="Y19" s="2"/>
      <c r="Z19" s="2"/>
      <c r="AA19" s="2"/>
      <c r="AB19" s="2"/>
    </row>
    <row r="20" spans="1:28" x14ac:dyDescent="0.2">
      <c r="A20" s="3" t="s">
        <v>911</v>
      </c>
      <c r="B20">
        <f>IF(t_utg[[#This Row],[Dato]]&lt;&gt;"",WEEKNUM(t_utg[[#This Row],[Dato]]),"")</f>
        <v>51</v>
      </c>
      <c r="C20" s="22">
        <f>Data!AL19</f>
        <v>46375</v>
      </c>
      <c r="D20">
        <f ca="1">IFERROR(IF(t_utg[[#This Row],[Dato]]="","",OFFSET(_xlfn.XLOOKUP(C20,Kuponger!E:E,Kuponger!CB:CB),15,0)),"")</f>
        <v>0</v>
      </c>
      <c r="E20">
        <f ca="1">IFERROR(OFFSET(_xlfn.XLOOKUP(C20,Kuponger!E:E,Kuponger!CB:CB),15,1),"")</f>
        <v>0</v>
      </c>
      <c r="F20">
        <f ca="1">IFERROR(IF(t_utg[[#This Row],[Dato]]="","",OFFSET(_xlfn.XLOOKUP(C20,Kuponger!E:E,Kuponger!CB:CB),15,2)),"")</f>
        <v>0</v>
      </c>
      <c r="G20">
        <f ca="1">IFERROR(IF(OFFSET(_xlfn.XLOOKUP(C20,Kuponger!E:E,Kuponger!CB:CB),0,2)=0,"",OFFSET(_xlfn.XLOOKUP(C20,Kuponger!E:E,Kuponger!CB:CB),1,2))*-1,"")</f>
        <v>0</v>
      </c>
      <c r="H20" t="str">
        <f t="shared" ca="1" si="1"/>
        <v/>
      </c>
      <c r="I20" t="str">
        <f ca="1">IFERROR(IF(t_utg[[#This Row],[tp]]&lt;&gt;"",OFFSET(_xlfn.XLOOKUP(C20,Kuponger!E:E,Kuponger!CB:CB),1,1),""),"")</f>
        <v/>
      </c>
      <c r="J20" s="3">
        <f ca="1">IFERROR(IF(t_utg[[#This Row],[Dato]]="",0,OFFSET(_xlfn.XLOOKUP(t_utg[[#This Row],[Dato]],Kuponger!E:E,Kuponger!CB:CB),1,7)),"")</f>
        <v>0</v>
      </c>
      <c r="K20" s="3">
        <f ca="1">IFERROR(SUM(t_utg[[#This Row],[tp]]),0)</f>
        <v>0</v>
      </c>
      <c r="L20" s="3" t="str">
        <f ca="1">IF(t_rb[[#This Row],[Antall_rette]]=12,1,"")</f>
        <v/>
      </c>
      <c r="M20" s="3" t="str">
        <f ca="1">IF(t_rb[[#This Row],[Antall_rette]]=11,1,"")</f>
        <v/>
      </c>
      <c r="N20" s="3" t="str">
        <f ca="1">IF(t_rb[[#This Row],[Antall_rette]]=10,1,"")</f>
        <v/>
      </c>
      <c r="O20" s="3">
        <f ca="1">IF(t_utg[[#This Row],[12_Antall]]=1,Data!$AJ$3,0)</f>
        <v>0</v>
      </c>
      <c r="P20" s="3">
        <f ca="1">IF(t_utg[[#This Row],[11_Antall]]=1,Data!$AJ$2,0)</f>
        <v>0</v>
      </c>
      <c r="Q20" s="3">
        <f ca="1">IF(t_utg[[#This Row],[10_Antall]]=1,Data!$AJ$1,0)</f>
        <v>0</v>
      </c>
      <c r="R20" s="3" t="str" cm="1">
        <f t="array" ref="R20">IFERROR(IF(_xlfn.XLOOKUP(t_utg[[#This Row],[Dato]]&amp;t_utg[[#This Row],[navn]],Regnskap!$C$10:$C$51&amp;Regnskap!$K$10:$K$51,Regnskap!$H$10:$H$51)&gt;0,Data!$AJ$3,""),"")</f>
        <v/>
      </c>
      <c r="S20" s="3" t="str" cm="1">
        <f t="array" ref="S20">IFERROR(IF(t_utg[[#This Row],[12_pLEV]]="",IF(_xlfn.XLOOKUP(t_utg[[#This Row],[Dato]]&amp;t_utg[[#This Row],[navn]],Regnskap!$C$10:$C$51&amp;Regnskap!$K$10:$K$51,Regnskap!$I$10:$I$51)&gt;0,Data!$AJ$2)),"")</f>
        <v/>
      </c>
      <c r="T20" s="3" t="str" cm="1">
        <f t="array" ref="T20">IFERROR(IF(t_utg[[#This Row],[11_pLEV]]="",IF(_xlfn.XLOOKUP(t_utg[[#This Row],[Dato]]&amp;t_utg[[#This Row],[navn]],Regnskap!$C$10:$C$51&amp;Regnskap!$K$10:$K$51,Regnskap!$J$10:$J$51)&gt;0,Data!$AJ$1),""),"")</f>
        <v/>
      </c>
      <c r="U20" s="3">
        <f ca="1">SUM(t_utg[[#This Row],[12_poeng]:[10_pLEV]])</f>
        <v>0</v>
      </c>
      <c r="V20" s="3">
        <f ca="1">SUM(t_utg[[#This Row],[Summert]]+t_utg[[#This Row],[LEV_poeng]])</f>
        <v>0</v>
      </c>
    </row>
    <row r="21" spans="1:28" x14ac:dyDescent="0.2">
      <c r="A21" s="3" t="s">
        <v>911</v>
      </c>
      <c r="B21">
        <f>IF(t_utg[[#This Row],[Dato]]&lt;&gt;"",WEEKNUM(t_utg[[#This Row],[Dato]]),"")</f>
        <v>52</v>
      </c>
      <c r="C21" s="22">
        <f>Data!AL20</f>
        <v>46382</v>
      </c>
      <c r="D21">
        <f ca="1">IFERROR(IF(t_utg[[#This Row],[Dato]]="","",OFFSET(_xlfn.XLOOKUP(C21,Kuponger!E:E,Kuponger!CB:CB),15,0)),"")</f>
        <v>0</v>
      </c>
      <c r="E21">
        <f ca="1">IFERROR(OFFSET(_xlfn.XLOOKUP(C21,Kuponger!E:E,Kuponger!CB:CB),15,1),"")</f>
        <v>0</v>
      </c>
      <c r="F21">
        <f ca="1">IFERROR(IF(t_utg[[#This Row],[Dato]]="","",OFFSET(_xlfn.XLOOKUP(C21,Kuponger!E:E,Kuponger!CB:CB),15,2)),"")</f>
        <v>0</v>
      </c>
      <c r="G21">
        <f ca="1">IFERROR(IF(OFFSET(_xlfn.XLOOKUP(C21,Kuponger!E:E,Kuponger!CB:CB),0,2)=0,"",OFFSET(_xlfn.XLOOKUP(C21,Kuponger!E:E,Kuponger!CB:CB),1,2))*-1,"")</f>
        <v>0</v>
      </c>
      <c r="H21" t="str">
        <f t="shared" ca="1" si="1"/>
        <v/>
      </c>
      <c r="I21" t="str">
        <f ca="1">IFERROR(IF(t_utg[[#This Row],[tp]]&lt;&gt;"",OFFSET(_xlfn.XLOOKUP(C21,Kuponger!E:E,Kuponger!CB:CB),1,1),""),"")</f>
        <v/>
      </c>
      <c r="J21" s="3">
        <f ca="1">IFERROR(IF(t_utg[[#This Row],[Dato]]="",0,OFFSET(_xlfn.XLOOKUP(t_utg[[#This Row],[Dato]],Kuponger!E:E,Kuponger!CB:CB),1,7)),"")</f>
        <v>0</v>
      </c>
      <c r="K21" s="3">
        <f ca="1">IFERROR(SUM(t_utg[[#This Row],[tp]]),0)</f>
        <v>0</v>
      </c>
      <c r="L21" s="3" t="str">
        <f ca="1">IF(t_rb[[#This Row],[Antall_rette]]=12,1,"")</f>
        <v/>
      </c>
      <c r="M21" s="3" t="str">
        <f ca="1">IF(t_rb[[#This Row],[Antall_rette]]=11,1,"")</f>
        <v/>
      </c>
      <c r="N21" s="3" t="str">
        <f ca="1">IF(t_rb[[#This Row],[Antall_rette]]=10,1,"")</f>
        <v/>
      </c>
      <c r="O21" s="3">
        <f ca="1">IF(t_utg[[#This Row],[12_Antall]]=1,Data!$AJ$3,0)</f>
        <v>0</v>
      </c>
      <c r="P21" s="3">
        <f ca="1">IF(t_utg[[#This Row],[11_Antall]]=1,Data!$AJ$2,0)</f>
        <v>0</v>
      </c>
      <c r="Q21" s="3">
        <f ca="1">IF(t_utg[[#This Row],[10_Antall]]=1,Data!$AJ$1,0)</f>
        <v>0</v>
      </c>
      <c r="R21" s="3" t="str" cm="1">
        <f t="array" ref="R21">IFERROR(IF(_xlfn.XLOOKUP(t_utg[[#This Row],[Dato]]&amp;t_utg[[#This Row],[navn]],Regnskap!$C$10:$C$51&amp;Regnskap!$K$10:$K$51,Regnskap!$H$10:$H$51)&gt;0,Data!$AJ$3,""),"")</f>
        <v/>
      </c>
      <c r="S21" s="3" t="str" cm="1">
        <f t="array" ref="S21">IFERROR(IF(t_utg[[#This Row],[12_pLEV]]="",IF(_xlfn.XLOOKUP(t_utg[[#This Row],[Dato]]&amp;t_utg[[#This Row],[navn]],Regnskap!$C$10:$C$51&amp;Regnskap!$K$10:$K$51,Regnskap!$I$10:$I$51)&gt;0,Data!$AJ$2)),"")</f>
        <v/>
      </c>
      <c r="T21" s="3" t="str" cm="1">
        <f t="array" ref="T21">IFERROR(IF(t_utg[[#This Row],[11_pLEV]]="",IF(_xlfn.XLOOKUP(t_utg[[#This Row],[Dato]]&amp;t_utg[[#This Row],[navn]],Regnskap!$C$10:$C$51&amp;Regnskap!$K$10:$K$51,Regnskap!$J$10:$J$51)&gt;0,Data!$AJ$1),""),"")</f>
        <v/>
      </c>
      <c r="U21" s="3">
        <f ca="1">SUM(t_utg[[#This Row],[12_poeng]:[10_pLEV]])</f>
        <v>0</v>
      </c>
      <c r="V21" s="3">
        <f ca="1">SUM(t_utg[[#This Row],[Summert]]+t_utg[[#This Row],[LEV_poeng]])</f>
        <v>0</v>
      </c>
    </row>
    <row r="22" spans="1:28" x14ac:dyDescent="0.2">
      <c r="A22" s="3" t="s">
        <v>911</v>
      </c>
      <c r="B22">
        <f>IF(t_utg[[#This Row],[Dato]]&lt;&gt;"",WEEKNUM(t_utg[[#This Row],[Dato]]),"")</f>
        <v>1</v>
      </c>
      <c r="C22" s="22">
        <f>Data!AL21</f>
        <v>46389</v>
      </c>
      <c r="D22">
        <f ca="1">IFERROR(IF(t_utg[[#This Row],[Dato]]="","",OFFSET(_xlfn.XLOOKUP(C22,Kuponger!E:E,Kuponger!CB:CB),15,0)),"")</f>
        <v>0</v>
      </c>
      <c r="E22">
        <f ca="1">IFERROR(OFFSET(_xlfn.XLOOKUP(C22,Kuponger!E:E,Kuponger!CB:CB),15,1),"")</f>
        <v>0</v>
      </c>
      <c r="F22">
        <f ca="1">IFERROR(IF(t_utg[[#This Row],[Dato]]="","",OFFSET(_xlfn.XLOOKUP(C22,Kuponger!E:E,Kuponger!CB:CB),15,2)),"")</f>
        <v>0</v>
      </c>
      <c r="G22">
        <f ca="1">IFERROR(IF(OFFSET(_xlfn.XLOOKUP(C22,Kuponger!E:E,Kuponger!CB:CB),0,2)=0,"",OFFSET(_xlfn.XLOOKUP(C22,Kuponger!E:E,Kuponger!CB:CB),1,2))*-1,"")</f>
        <v>0</v>
      </c>
      <c r="H22" t="str">
        <f t="shared" ca="1" si="1"/>
        <v/>
      </c>
      <c r="I22" t="str">
        <f ca="1">IFERROR(IF(t_utg[[#This Row],[tp]]&lt;&gt;"",OFFSET(_xlfn.XLOOKUP(C22,Kuponger!E:E,Kuponger!CB:CB),1,1),""),"")</f>
        <v/>
      </c>
      <c r="J22" s="3">
        <f ca="1">IFERROR(IF(t_utg[[#This Row],[Dato]]="",0,OFFSET(_xlfn.XLOOKUP(t_utg[[#This Row],[Dato]],Kuponger!E:E,Kuponger!CB:CB),1,7)),"")</f>
        <v>0</v>
      </c>
      <c r="K22" s="3">
        <f ca="1">IFERROR(SUM(t_utg[[#This Row],[tp]]),0)</f>
        <v>0</v>
      </c>
      <c r="L22" s="3" t="str">
        <f ca="1">IF(t_rb[[#This Row],[Antall_rette]]=12,1,"")</f>
        <v/>
      </c>
      <c r="M22" s="3" t="str">
        <f ca="1">IF(t_rb[[#This Row],[Antall_rette]]=11,1,"")</f>
        <v/>
      </c>
      <c r="N22" s="3" t="str">
        <f ca="1">IF(t_rb[[#This Row],[Antall_rette]]=10,1,"")</f>
        <v/>
      </c>
      <c r="O22" s="3">
        <f ca="1">IF(t_utg[[#This Row],[12_Antall]]=1,Data!$AJ$3,0)</f>
        <v>0</v>
      </c>
      <c r="P22" s="3">
        <f ca="1">IF(t_utg[[#This Row],[11_Antall]]=1,Data!$AJ$2,0)</f>
        <v>0</v>
      </c>
      <c r="Q22" s="3">
        <f ca="1">IF(t_utg[[#This Row],[10_Antall]]=1,Data!$AJ$1,0)</f>
        <v>0</v>
      </c>
      <c r="R22" s="3" t="str" cm="1">
        <f t="array" ref="R22">IFERROR(IF(_xlfn.XLOOKUP(t_utg[[#This Row],[Dato]]&amp;t_utg[[#This Row],[navn]],Regnskap!$C$10:$C$51&amp;Regnskap!$K$10:$K$51,Regnskap!$H$10:$H$51)&gt;0,Data!$AJ$3,""),"")</f>
        <v/>
      </c>
      <c r="S22" s="3" t="str" cm="1">
        <f t="array" ref="S22">IFERROR(IF(t_utg[[#This Row],[12_pLEV]]="",IF(_xlfn.XLOOKUP(t_utg[[#This Row],[Dato]]&amp;t_utg[[#This Row],[navn]],Regnskap!$C$10:$C$51&amp;Regnskap!$K$10:$K$51,Regnskap!$I$10:$I$51)&gt;0,Data!$AJ$2)),"")</f>
        <v/>
      </c>
      <c r="T22" s="3" t="str" cm="1">
        <f t="array" ref="T22">IFERROR(IF(t_utg[[#This Row],[11_pLEV]]="",IF(_xlfn.XLOOKUP(t_utg[[#This Row],[Dato]]&amp;t_utg[[#This Row],[navn]],Regnskap!$C$10:$C$51&amp;Regnskap!$K$10:$K$51,Regnskap!$J$10:$J$51)&gt;0,Data!$AJ$1),""),"")</f>
        <v/>
      </c>
      <c r="U22" s="3">
        <f ca="1">SUM(t_utg[[#This Row],[12_poeng]:[10_pLEV]])</f>
        <v>0</v>
      </c>
      <c r="V22" s="3">
        <f ca="1">SUM(t_utg[[#This Row],[Summert]]+t_utg[[#This Row],[LEV_poeng]])</f>
        <v>0</v>
      </c>
    </row>
    <row r="23" spans="1:28" x14ac:dyDescent="0.2">
      <c r="A23" s="3" t="s">
        <v>911</v>
      </c>
      <c r="B23">
        <f>IF(t_utg[[#This Row],[Dato]]&lt;&gt;"",WEEKNUM(t_utg[[#This Row],[Dato]]),"")</f>
        <v>2</v>
      </c>
      <c r="C23" s="22">
        <f>Data!AL22</f>
        <v>46396</v>
      </c>
      <c r="D23">
        <f ca="1">IFERROR(IF(t_utg[[#This Row],[Dato]]="","",OFFSET(_xlfn.XLOOKUP(C23,Kuponger!E:E,Kuponger!CB:CB),15,0)),"")</f>
        <v>0</v>
      </c>
      <c r="E23">
        <f ca="1">IFERROR(OFFSET(_xlfn.XLOOKUP(C23,Kuponger!E:E,Kuponger!CB:CB),15,1),"")</f>
        <v>0</v>
      </c>
      <c r="F23">
        <f ca="1">IFERROR(IF(t_utg[[#This Row],[Dato]]="","",OFFSET(_xlfn.XLOOKUP(C23,Kuponger!E:E,Kuponger!CB:CB),15,2)),"")</f>
        <v>0</v>
      </c>
      <c r="G23">
        <f ca="1">IFERROR(IF(OFFSET(_xlfn.XLOOKUP(C23,Kuponger!E:E,Kuponger!CB:CB),0,2)=0,"",OFFSET(_xlfn.XLOOKUP(C23,Kuponger!E:E,Kuponger!CB:CB),1,2))*-1,"")</f>
        <v>0</v>
      </c>
      <c r="H23" t="str">
        <f t="shared" ca="1" si="1"/>
        <v/>
      </c>
      <c r="I23" t="str">
        <f ca="1">IFERROR(IF(t_utg[[#This Row],[tp]]&lt;&gt;"",OFFSET(_xlfn.XLOOKUP(C23,Kuponger!E:E,Kuponger!CB:CB),1,1),""),"")</f>
        <v/>
      </c>
      <c r="J23" s="3">
        <f ca="1">IFERROR(IF(t_utg[[#This Row],[Dato]]="",0,OFFSET(_xlfn.XLOOKUP(t_utg[[#This Row],[Dato]],Kuponger!E:E,Kuponger!CB:CB),1,7)),"")</f>
        <v>0</v>
      </c>
      <c r="K23" s="3">
        <f ca="1">IFERROR(SUM(t_utg[[#This Row],[tp]]),0)</f>
        <v>0</v>
      </c>
      <c r="L23" s="3" t="str">
        <f ca="1">IF(t_rb[[#This Row],[Antall_rette]]=12,1,"")</f>
        <v/>
      </c>
      <c r="M23" s="3" t="str">
        <f ca="1">IF(t_rb[[#This Row],[Antall_rette]]=11,1,"")</f>
        <v/>
      </c>
      <c r="N23" s="3" t="str">
        <f ca="1">IF(t_rb[[#This Row],[Antall_rette]]=10,1,"")</f>
        <v/>
      </c>
      <c r="O23" s="3">
        <f ca="1">IF(t_utg[[#This Row],[12_Antall]]=1,Data!$AJ$3,0)</f>
        <v>0</v>
      </c>
      <c r="P23" s="3">
        <f ca="1">IF(t_utg[[#This Row],[11_Antall]]=1,Data!$AJ$2,0)</f>
        <v>0</v>
      </c>
      <c r="Q23" s="3">
        <f ca="1">IF(t_utg[[#This Row],[10_Antall]]=1,Data!$AJ$1,0)</f>
        <v>0</v>
      </c>
      <c r="R23" s="3" t="str" cm="1">
        <f t="array" ref="R23">IFERROR(IF(_xlfn.XLOOKUP(t_utg[[#This Row],[Dato]]&amp;t_utg[[#This Row],[navn]],Regnskap!$C$10:$C$51&amp;Regnskap!$K$10:$K$51,Regnskap!$H$10:$H$51)&gt;0,Data!$AJ$3,""),"")</f>
        <v/>
      </c>
      <c r="S23" s="3" t="str" cm="1">
        <f t="array" ref="S23">IFERROR(IF(t_utg[[#This Row],[12_pLEV]]="",IF(_xlfn.XLOOKUP(t_utg[[#This Row],[Dato]]&amp;t_utg[[#This Row],[navn]],Regnskap!$C$10:$C$51&amp;Regnskap!$K$10:$K$51,Regnskap!$I$10:$I$51)&gt;0,Data!$AJ$2)),"")</f>
        <v/>
      </c>
      <c r="T23" s="3" t="str" cm="1">
        <f t="array" ref="T23">IFERROR(IF(t_utg[[#This Row],[11_pLEV]]="",IF(_xlfn.XLOOKUP(t_utg[[#This Row],[Dato]]&amp;t_utg[[#This Row],[navn]],Regnskap!$C$10:$C$51&amp;Regnskap!$K$10:$K$51,Regnskap!$J$10:$J$51)&gt;0,Data!$AJ$1),""),"")</f>
        <v/>
      </c>
      <c r="U23" s="3">
        <f ca="1">SUM(t_utg[[#This Row],[12_poeng]:[10_pLEV]])</f>
        <v>0</v>
      </c>
      <c r="V23" s="3">
        <f ca="1">SUM(t_utg[[#This Row],[Summert]]+t_utg[[#This Row],[LEV_poeng]])</f>
        <v>0</v>
      </c>
    </row>
    <row r="24" spans="1:28" x14ac:dyDescent="0.2">
      <c r="A24" s="3" t="s">
        <v>911</v>
      </c>
      <c r="B24">
        <f>IF(t_utg[[#This Row],[Dato]]&lt;&gt;"",WEEKNUM(t_utg[[#This Row],[Dato]]),"")</f>
        <v>3</v>
      </c>
      <c r="C24" s="22">
        <f>Data!AL23</f>
        <v>46403</v>
      </c>
      <c r="D24">
        <f ca="1">IFERROR(IF(t_utg[[#This Row],[Dato]]="","",OFFSET(_xlfn.XLOOKUP(C24,Kuponger!E:E,Kuponger!CB:CB),15,0)),"")</f>
        <v>0</v>
      </c>
      <c r="E24">
        <f ca="1">IFERROR(OFFSET(_xlfn.XLOOKUP(C24,Kuponger!E:E,Kuponger!CB:CB),15,1),"")</f>
        <v>0</v>
      </c>
      <c r="F24">
        <f ca="1">IFERROR(IF(t_utg[[#This Row],[Dato]]="","",OFFSET(_xlfn.XLOOKUP(C24,Kuponger!E:E,Kuponger!CB:CB),15,2)),"")</f>
        <v>0</v>
      </c>
      <c r="G24">
        <f ca="1">IFERROR(IF(OFFSET(_xlfn.XLOOKUP(C24,Kuponger!E:E,Kuponger!CB:CB),0,2)=0,"",OFFSET(_xlfn.XLOOKUP(C24,Kuponger!E:E,Kuponger!CB:CB),1,2))*-1,"")</f>
        <v>0</v>
      </c>
      <c r="H24" t="str">
        <f t="shared" ca="1" si="1"/>
        <v/>
      </c>
      <c r="I24" t="str">
        <f ca="1">IFERROR(IF(t_utg[[#This Row],[tp]]&lt;&gt;"",OFFSET(_xlfn.XLOOKUP(C24,Kuponger!E:E,Kuponger!CB:CB),1,1),""),"")</f>
        <v/>
      </c>
      <c r="J24" s="3">
        <f ca="1">IFERROR(IF(t_utg[[#This Row],[Dato]]="",0,OFFSET(_xlfn.XLOOKUP(t_utg[[#This Row],[Dato]],Kuponger!E:E,Kuponger!CB:CB),1,7)),"")</f>
        <v>0</v>
      </c>
      <c r="K24" s="3">
        <f ca="1">IFERROR(SUM(t_utg[[#This Row],[tp]]),0)</f>
        <v>0</v>
      </c>
      <c r="L24" s="3" t="str">
        <f ca="1">IF(t_rb[[#This Row],[Antall_rette]]=12,1,"")</f>
        <v/>
      </c>
      <c r="M24" s="3" t="str">
        <f ca="1">IF(t_rb[[#This Row],[Antall_rette]]=11,1,"")</f>
        <v/>
      </c>
      <c r="N24" s="3" t="str">
        <f ca="1">IF(t_rb[[#This Row],[Antall_rette]]=10,1,"")</f>
        <v/>
      </c>
      <c r="O24" s="3">
        <f ca="1">IF(t_utg[[#This Row],[12_Antall]]=1,Data!$AJ$3,0)</f>
        <v>0</v>
      </c>
      <c r="P24" s="3">
        <f ca="1">IF(t_utg[[#This Row],[11_Antall]]=1,Data!$AJ$2,0)</f>
        <v>0</v>
      </c>
      <c r="Q24" s="3">
        <f ca="1">IF(t_utg[[#This Row],[10_Antall]]=1,Data!$AJ$1,0)</f>
        <v>0</v>
      </c>
      <c r="R24" s="3" t="str" cm="1">
        <f t="array" ref="R24">IFERROR(IF(_xlfn.XLOOKUP(t_utg[[#This Row],[Dato]]&amp;t_utg[[#This Row],[navn]],Regnskap!$C$10:$C$51&amp;Regnskap!$K$10:$K$51,Regnskap!$H$10:$H$51)&gt;0,Data!$AJ$3,""),"")</f>
        <v/>
      </c>
      <c r="S24" s="3" t="str" cm="1">
        <f t="array" ref="S24">IFERROR(IF(t_utg[[#This Row],[12_pLEV]]="",IF(_xlfn.XLOOKUP(t_utg[[#This Row],[Dato]]&amp;t_utg[[#This Row],[navn]],Regnskap!$C$10:$C$51&amp;Regnskap!$K$10:$K$51,Regnskap!$I$10:$I$51)&gt;0,Data!$AJ$2)),"")</f>
        <v/>
      </c>
      <c r="T24" s="3" t="str" cm="1">
        <f t="array" ref="T24">IFERROR(IF(t_utg[[#This Row],[11_pLEV]]="",IF(_xlfn.XLOOKUP(t_utg[[#This Row],[Dato]]&amp;t_utg[[#This Row],[navn]],Regnskap!$C$10:$C$51&amp;Regnskap!$K$10:$K$51,Regnskap!$J$10:$J$51)&gt;0,Data!$AJ$1),""),"")</f>
        <v/>
      </c>
      <c r="U24" s="3">
        <f ca="1">SUM(t_utg[[#This Row],[12_poeng]:[10_pLEV]])</f>
        <v>0</v>
      </c>
      <c r="V24" s="3">
        <f ca="1">SUM(t_utg[[#This Row],[Summert]]+t_utg[[#This Row],[LEV_poeng]])</f>
        <v>0</v>
      </c>
    </row>
    <row r="25" spans="1:28" x14ac:dyDescent="0.2">
      <c r="A25" s="3" t="s">
        <v>911</v>
      </c>
      <c r="B25">
        <f>IF(t_utg[[#This Row],[Dato]]&lt;&gt;"",WEEKNUM(t_utg[[#This Row],[Dato]]),"")</f>
        <v>4</v>
      </c>
      <c r="C25" s="22">
        <f>Data!AL24</f>
        <v>46410</v>
      </c>
      <c r="D25">
        <f ca="1">IFERROR(IF(t_utg[[#This Row],[Dato]]="","",OFFSET(_xlfn.XLOOKUP(C25,Kuponger!E:E,Kuponger!CB:CB),15,0)),"")</f>
        <v>0</v>
      </c>
      <c r="E25">
        <f ca="1">IFERROR(OFFSET(_xlfn.XLOOKUP(C25,Kuponger!E:E,Kuponger!CB:CB),15,1),"")</f>
        <v>0</v>
      </c>
      <c r="F25">
        <f ca="1">IFERROR(IF(t_utg[[#This Row],[Dato]]="","",OFFSET(_xlfn.XLOOKUP(C25,Kuponger!E:E,Kuponger!CB:CB),15,2)),"")</f>
        <v>0</v>
      </c>
      <c r="G25">
        <f ca="1">IFERROR(IF(OFFSET(_xlfn.XLOOKUP(C25,Kuponger!E:E,Kuponger!CB:CB),0,2)=0,"",OFFSET(_xlfn.XLOOKUP(C25,Kuponger!E:E,Kuponger!CB:CB),1,2))*-1,"")</f>
        <v>0</v>
      </c>
      <c r="H25" t="str">
        <f t="shared" ca="1" si="1"/>
        <v/>
      </c>
      <c r="I25" t="str">
        <f ca="1">IFERROR(IF(t_utg[[#This Row],[tp]]&lt;&gt;"",OFFSET(_xlfn.XLOOKUP(C25,Kuponger!E:E,Kuponger!CB:CB),1,1),""),"")</f>
        <v/>
      </c>
      <c r="J25" s="3">
        <f ca="1">IFERROR(IF(t_utg[[#This Row],[Dato]]="",0,OFFSET(_xlfn.XLOOKUP(t_utg[[#This Row],[Dato]],Kuponger!E:E,Kuponger!CB:CB),1,7)),"")</f>
        <v>0</v>
      </c>
      <c r="K25" s="3">
        <f ca="1">IFERROR(SUM(t_utg[[#This Row],[tp]]),0)</f>
        <v>0</v>
      </c>
      <c r="L25" s="3" t="str">
        <f ca="1">IF(t_rb[[#This Row],[Antall_rette]]=12,1,"")</f>
        <v/>
      </c>
      <c r="M25" s="3" t="str">
        <f ca="1">IF(t_rb[[#This Row],[Antall_rette]]=11,1,"")</f>
        <v/>
      </c>
      <c r="N25" s="3" t="str">
        <f ca="1">IF(t_rb[[#This Row],[Antall_rette]]=10,1,"")</f>
        <v/>
      </c>
      <c r="O25" s="3">
        <f ca="1">IF(t_utg[[#This Row],[12_Antall]]=1,Data!$AJ$3,0)</f>
        <v>0</v>
      </c>
      <c r="P25" s="3">
        <f ca="1">IF(t_utg[[#This Row],[11_Antall]]=1,Data!$AJ$2,0)</f>
        <v>0</v>
      </c>
      <c r="Q25" s="3">
        <f ca="1">IF(t_utg[[#This Row],[10_Antall]]=1,Data!$AJ$1,0)</f>
        <v>0</v>
      </c>
      <c r="R25" s="3" t="str" cm="1">
        <f t="array" ref="R25">IFERROR(IF(_xlfn.XLOOKUP(t_utg[[#This Row],[Dato]]&amp;t_utg[[#This Row],[navn]],Regnskap!$C$10:$C$51&amp;Regnskap!$K$10:$K$51,Regnskap!$H$10:$H$51)&gt;0,Data!$AJ$3,""),"")</f>
        <v/>
      </c>
      <c r="S25" s="3" t="str" cm="1">
        <f t="array" ref="S25">IFERROR(IF(t_utg[[#This Row],[12_pLEV]]="",IF(_xlfn.XLOOKUP(t_utg[[#This Row],[Dato]]&amp;t_utg[[#This Row],[navn]],Regnskap!$C$10:$C$51&amp;Regnskap!$K$10:$K$51,Regnskap!$I$10:$I$51)&gt;0,Data!$AJ$2)),"")</f>
        <v/>
      </c>
      <c r="T25" s="3" t="str" cm="1">
        <f t="array" ref="T25">IFERROR(IF(t_utg[[#This Row],[11_pLEV]]="",IF(_xlfn.XLOOKUP(t_utg[[#This Row],[Dato]]&amp;t_utg[[#This Row],[navn]],Regnskap!$C$10:$C$51&amp;Regnskap!$K$10:$K$51,Regnskap!$J$10:$J$51)&gt;0,Data!$AJ$1),""),"")</f>
        <v/>
      </c>
      <c r="U25" s="3">
        <f ca="1">SUM(t_utg[[#This Row],[12_poeng]:[10_pLEV]])</f>
        <v>0</v>
      </c>
      <c r="V25" s="3">
        <f ca="1">SUM(t_utg[[#This Row],[Summert]]+t_utg[[#This Row],[LEV_poeng]])</f>
        <v>0</v>
      </c>
      <c r="W25" s="2"/>
      <c r="X25" s="2"/>
      <c r="Y25" s="2"/>
      <c r="Z25" s="2"/>
      <c r="AA25" s="2"/>
      <c r="AB25" s="2"/>
    </row>
    <row r="26" spans="1:28" x14ac:dyDescent="0.2">
      <c r="A26" s="3" t="s">
        <v>911</v>
      </c>
      <c r="B26">
        <f>IF(t_utg[[#This Row],[Dato]]&lt;&gt;"",WEEKNUM(t_utg[[#This Row],[Dato]]),"")</f>
        <v>5</v>
      </c>
      <c r="C26" s="22">
        <f>Data!AL25</f>
        <v>46417</v>
      </c>
      <c r="D26">
        <f ca="1">IFERROR(IF(t_utg[[#This Row],[Dato]]="","",OFFSET(_xlfn.XLOOKUP(C26,Kuponger!E:E,Kuponger!CB:CB),15,0)),"")</f>
        <v>0</v>
      </c>
      <c r="E26">
        <f ca="1">IFERROR(OFFSET(_xlfn.XLOOKUP(C26,Kuponger!E:E,Kuponger!CB:CB),15,1),"")</f>
        <v>0</v>
      </c>
      <c r="F26">
        <f ca="1">IFERROR(IF(t_utg[[#This Row],[Dato]]="","",OFFSET(_xlfn.XLOOKUP(C26,Kuponger!E:E,Kuponger!CB:CB),15,2)),"")</f>
        <v>0</v>
      </c>
      <c r="G26">
        <f ca="1">IFERROR(IF(OFFSET(_xlfn.XLOOKUP(C26,Kuponger!E:E,Kuponger!CB:CB),0,2)=0,"",OFFSET(_xlfn.XLOOKUP(C26,Kuponger!E:E,Kuponger!CB:CB),1,2))*-1,"")</f>
        <v>0</v>
      </c>
      <c r="H26" t="str">
        <f t="shared" ca="1" si="1"/>
        <v/>
      </c>
      <c r="I26" t="str">
        <f ca="1">IFERROR(IF(t_utg[[#This Row],[tp]]&lt;&gt;"",OFFSET(_xlfn.XLOOKUP(C26,Kuponger!E:E,Kuponger!CB:CB),1,1),""),"")</f>
        <v/>
      </c>
      <c r="J26" s="3">
        <f ca="1">IFERROR(IF(t_utg[[#This Row],[Dato]]="",0,OFFSET(_xlfn.XLOOKUP(t_utg[[#This Row],[Dato]],Kuponger!E:E,Kuponger!CB:CB),1,7)),"")</f>
        <v>0</v>
      </c>
      <c r="K26" s="3">
        <f ca="1">IFERROR(SUM(t_utg[[#This Row],[tp]]),0)</f>
        <v>0</v>
      </c>
      <c r="L26" s="3" t="str">
        <f ca="1">IF(t_rb[[#This Row],[Antall_rette]]=12,1,"")</f>
        <v/>
      </c>
      <c r="M26" s="3" t="str">
        <f ca="1">IF(t_rb[[#This Row],[Antall_rette]]=11,1,"")</f>
        <v/>
      </c>
      <c r="N26" s="3" t="str">
        <f ca="1">IF(t_rb[[#This Row],[Antall_rette]]=10,1,"")</f>
        <v/>
      </c>
      <c r="O26" s="3">
        <f ca="1">IF(t_utg[[#This Row],[12_Antall]]=1,Data!$AJ$3,0)</f>
        <v>0</v>
      </c>
      <c r="P26" s="3">
        <f ca="1">IF(t_utg[[#This Row],[11_Antall]]=1,Data!$AJ$2,0)</f>
        <v>0</v>
      </c>
      <c r="Q26" s="3">
        <f ca="1">IF(t_utg[[#This Row],[10_Antall]]=1,Data!$AJ$1,0)</f>
        <v>0</v>
      </c>
      <c r="R26" s="3" t="str" cm="1">
        <f t="array" ref="R26">IFERROR(IF(_xlfn.XLOOKUP(t_utg[[#This Row],[Dato]]&amp;t_utg[[#This Row],[navn]],Regnskap!$C$10:$C$51&amp;Regnskap!$K$10:$K$51,Regnskap!$H$10:$H$51)&gt;0,Data!$AJ$3,""),"")</f>
        <v/>
      </c>
      <c r="S26" s="3" t="str" cm="1">
        <f t="array" ref="S26">IFERROR(IF(t_utg[[#This Row],[12_pLEV]]="",IF(_xlfn.XLOOKUP(t_utg[[#This Row],[Dato]]&amp;t_utg[[#This Row],[navn]],Regnskap!$C$10:$C$51&amp;Regnskap!$K$10:$K$51,Regnskap!$I$10:$I$51)&gt;0,Data!$AJ$2)),"")</f>
        <v/>
      </c>
      <c r="T26" s="3" t="str" cm="1">
        <f t="array" ref="T26">IFERROR(IF(t_utg[[#This Row],[11_pLEV]]="",IF(_xlfn.XLOOKUP(t_utg[[#This Row],[Dato]]&amp;t_utg[[#This Row],[navn]],Regnskap!$C$10:$C$51&amp;Regnskap!$K$10:$K$51,Regnskap!$J$10:$J$51)&gt;0,Data!$AJ$1),""),"")</f>
        <v/>
      </c>
      <c r="U26" s="3">
        <f ca="1">SUM(t_utg[[#This Row],[12_poeng]:[10_pLEV]])</f>
        <v>0</v>
      </c>
      <c r="V26" s="3">
        <f ca="1">SUM(t_utg[[#This Row],[Summert]]+t_utg[[#This Row],[LEV_poeng]])</f>
        <v>0</v>
      </c>
    </row>
    <row r="27" spans="1:28" x14ac:dyDescent="0.2">
      <c r="A27" s="3" t="s">
        <v>911</v>
      </c>
      <c r="B27">
        <f>IF(t_utg[[#This Row],[Dato]]&lt;&gt;"",WEEKNUM(t_utg[[#This Row],[Dato]]),"")</f>
        <v>6</v>
      </c>
      <c r="C27" s="22">
        <f>Data!AL26</f>
        <v>46424</v>
      </c>
      <c r="D27">
        <f ca="1">IFERROR(IF(t_utg[[#This Row],[Dato]]="","",OFFSET(_xlfn.XLOOKUP(C27,Kuponger!E:E,Kuponger!CB:CB),15,0)),"")</f>
        <v>0</v>
      </c>
      <c r="E27">
        <f ca="1">IFERROR(OFFSET(_xlfn.XLOOKUP(C27,Kuponger!E:E,Kuponger!CB:CB),15,1),"")</f>
        <v>0</v>
      </c>
      <c r="F27">
        <f ca="1">IFERROR(IF(t_utg[[#This Row],[Dato]]="","",OFFSET(_xlfn.XLOOKUP(C27,Kuponger!E:E,Kuponger!CB:CB),15,2)),"")</f>
        <v>0</v>
      </c>
      <c r="G27">
        <f ca="1">IFERROR(IF(OFFSET(_xlfn.XLOOKUP(C27,Kuponger!E:E,Kuponger!CB:CB),0,2)=0,"",OFFSET(_xlfn.XLOOKUP(C27,Kuponger!E:E,Kuponger!CB:CB),1,2))*-1,"")</f>
        <v>0</v>
      </c>
      <c r="H27" t="str">
        <f t="shared" ca="1" si="1"/>
        <v/>
      </c>
      <c r="I27" t="str">
        <f ca="1">IFERROR(IF(t_utg[[#This Row],[tp]]&lt;&gt;"",OFFSET(_xlfn.XLOOKUP(C27,Kuponger!E:E,Kuponger!CB:CB),1,1),""),"")</f>
        <v/>
      </c>
      <c r="J27" s="3">
        <f ca="1">IFERROR(IF(t_utg[[#This Row],[Dato]]="",0,OFFSET(_xlfn.XLOOKUP(t_utg[[#This Row],[Dato]],Kuponger!E:E,Kuponger!CB:CB),1,7)),"")</f>
        <v>0</v>
      </c>
      <c r="K27" s="3">
        <f ca="1">IFERROR(SUM(t_utg[[#This Row],[tp]]),0)</f>
        <v>0</v>
      </c>
      <c r="L27" s="3" t="str">
        <f ca="1">IF(t_rb[[#This Row],[Antall_rette]]=12,1,"")</f>
        <v/>
      </c>
      <c r="M27" s="3" t="str">
        <f ca="1">IF(t_rb[[#This Row],[Antall_rette]]=11,1,"")</f>
        <v/>
      </c>
      <c r="N27" s="3" t="str">
        <f ca="1">IF(t_rb[[#This Row],[Antall_rette]]=10,1,"")</f>
        <v/>
      </c>
      <c r="O27" s="3">
        <f ca="1">IF(t_utg[[#This Row],[12_Antall]]=1,Data!$AJ$3,0)</f>
        <v>0</v>
      </c>
      <c r="P27" s="3">
        <f ca="1">IF(t_utg[[#This Row],[11_Antall]]=1,Data!$AJ$2,0)</f>
        <v>0</v>
      </c>
      <c r="Q27" s="3">
        <f ca="1">IF(t_utg[[#This Row],[10_Antall]]=1,Data!$AJ$1,0)</f>
        <v>0</v>
      </c>
      <c r="R27" s="3" t="str" cm="1">
        <f t="array" ref="R27">IFERROR(IF(_xlfn.XLOOKUP(t_utg[[#This Row],[Dato]]&amp;t_utg[[#This Row],[navn]],Regnskap!$C$10:$C$51&amp;Regnskap!$K$10:$K$51,Regnskap!$H$10:$H$51)&gt;0,Data!$AJ$3,""),"")</f>
        <v/>
      </c>
      <c r="S27" s="3" t="str" cm="1">
        <f t="array" ref="S27">IFERROR(IF(t_utg[[#This Row],[12_pLEV]]="",IF(_xlfn.XLOOKUP(t_utg[[#This Row],[Dato]]&amp;t_utg[[#This Row],[navn]],Regnskap!$C$10:$C$51&amp;Regnskap!$K$10:$K$51,Regnskap!$I$10:$I$51)&gt;0,Data!$AJ$2)),"")</f>
        <v/>
      </c>
      <c r="T27" s="3" t="str" cm="1">
        <f t="array" ref="T27">IFERROR(IF(t_utg[[#This Row],[11_pLEV]]="",IF(_xlfn.XLOOKUP(t_utg[[#This Row],[Dato]]&amp;t_utg[[#This Row],[navn]],Regnskap!$C$10:$C$51&amp;Regnskap!$K$10:$K$51,Regnskap!$J$10:$J$51)&gt;0,Data!$AJ$1),""),"")</f>
        <v/>
      </c>
      <c r="U27" s="3">
        <f ca="1">SUM(t_utg[[#This Row],[12_poeng]:[10_pLEV]])</f>
        <v>0</v>
      </c>
      <c r="V27" s="3">
        <f ca="1">SUM(t_utg[[#This Row],[Summert]]+t_utg[[#This Row],[LEV_poeng]])</f>
        <v>0</v>
      </c>
    </row>
    <row r="28" spans="1:28" x14ac:dyDescent="0.2">
      <c r="A28" s="3" t="s">
        <v>911</v>
      </c>
      <c r="B28">
        <f>IF(t_utg[[#This Row],[Dato]]&lt;&gt;"",WEEKNUM(t_utg[[#This Row],[Dato]]),"")</f>
        <v>7</v>
      </c>
      <c r="C28" s="22">
        <f>Data!AL27</f>
        <v>46431</v>
      </c>
      <c r="D28">
        <f ca="1">IFERROR(IF(t_utg[[#This Row],[Dato]]="","",OFFSET(_xlfn.XLOOKUP(C28,Kuponger!E:E,Kuponger!CB:CB),15,0)),"")</f>
        <v>0</v>
      </c>
      <c r="E28">
        <f ca="1">IFERROR(OFFSET(_xlfn.XLOOKUP(C28,Kuponger!E:E,Kuponger!CB:CB),15,1),"")</f>
        <v>0</v>
      </c>
      <c r="F28">
        <f ca="1">IFERROR(IF(t_utg[[#This Row],[Dato]]="","",OFFSET(_xlfn.XLOOKUP(C28,Kuponger!E:E,Kuponger!CB:CB),15,2)),"")</f>
        <v>0</v>
      </c>
      <c r="G28">
        <f ca="1">IFERROR(IF(OFFSET(_xlfn.XLOOKUP(C28,Kuponger!E:E,Kuponger!CB:CB),0,2)=0,"",OFFSET(_xlfn.XLOOKUP(C28,Kuponger!E:E,Kuponger!CB:CB),1,2))*-1,"")</f>
        <v>0</v>
      </c>
      <c r="H28" t="str">
        <f t="shared" ca="1" si="1"/>
        <v/>
      </c>
      <c r="I28" t="str">
        <f ca="1">IFERROR(IF(t_utg[[#This Row],[tp]]&lt;&gt;"",OFFSET(_xlfn.XLOOKUP(C28,Kuponger!E:E,Kuponger!CB:CB),1,1),""),"")</f>
        <v/>
      </c>
      <c r="J28" s="3">
        <f ca="1">IFERROR(IF(t_utg[[#This Row],[Dato]]="",0,OFFSET(_xlfn.XLOOKUP(t_utg[[#This Row],[Dato]],Kuponger!E:E,Kuponger!CB:CB),1,7)),"")</f>
        <v>0</v>
      </c>
      <c r="K28" s="3">
        <f ca="1">IFERROR(SUM(t_utg[[#This Row],[tp]]),0)</f>
        <v>0</v>
      </c>
      <c r="L28" s="3" t="str">
        <f ca="1">IF(t_rb[[#This Row],[Antall_rette]]=12,1,"")</f>
        <v/>
      </c>
      <c r="M28" s="3" t="str">
        <f ca="1">IF(t_rb[[#This Row],[Antall_rette]]=11,1,"")</f>
        <v/>
      </c>
      <c r="N28" s="3" t="str">
        <f ca="1">IF(t_rb[[#This Row],[Antall_rette]]=10,1,"")</f>
        <v/>
      </c>
      <c r="O28" s="3">
        <f ca="1">IF(t_utg[[#This Row],[12_Antall]]=1,Data!$AJ$3,0)</f>
        <v>0</v>
      </c>
      <c r="P28" s="3">
        <f ca="1">IF(t_utg[[#This Row],[11_Antall]]=1,Data!$AJ$2,0)</f>
        <v>0</v>
      </c>
      <c r="Q28" s="3">
        <f ca="1">IF(t_utg[[#This Row],[10_Antall]]=1,Data!$AJ$1,0)</f>
        <v>0</v>
      </c>
      <c r="R28" s="3" t="str" cm="1">
        <f t="array" ref="R28">IFERROR(IF(_xlfn.XLOOKUP(t_utg[[#This Row],[Dato]]&amp;t_utg[[#This Row],[navn]],Regnskap!$C$10:$C$51&amp;Regnskap!$K$10:$K$51,Regnskap!$H$10:$H$51)&gt;0,Data!$AJ$3,""),"")</f>
        <v/>
      </c>
      <c r="S28" s="3" t="str" cm="1">
        <f t="array" ref="S28">IFERROR(IF(t_utg[[#This Row],[12_pLEV]]="",IF(_xlfn.XLOOKUP(t_utg[[#This Row],[Dato]]&amp;t_utg[[#This Row],[navn]],Regnskap!$C$10:$C$51&amp;Regnskap!$K$10:$K$51,Regnskap!$I$10:$I$51)&gt;0,Data!$AJ$2)),"")</f>
        <v/>
      </c>
      <c r="T28" s="3" t="str" cm="1">
        <f t="array" ref="T28">IFERROR(IF(t_utg[[#This Row],[11_pLEV]]="",IF(_xlfn.XLOOKUP(t_utg[[#This Row],[Dato]]&amp;t_utg[[#This Row],[navn]],Regnskap!$C$10:$C$51&amp;Regnskap!$K$10:$K$51,Regnskap!$J$10:$J$51)&gt;0,Data!$AJ$1),""),"")</f>
        <v/>
      </c>
      <c r="U28" s="3">
        <f ca="1">SUM(t_utg[[#This Row],[12_poeng]:[10_pLEV]])</f>
        <v>0</v>
      </c>
      <c r="V28" s="3">
        <f ca="1">SUM(t_utg[[#This Row],[Summert]]+t_utg[[#This Row],[LEV_poeng]])</f>
        <v>0</v>
      </c>
    </row>
    <row r="29" spans="1:28" x14ac:dyDescent="0.2">
      <c r="A29" s="3" t="s">
        <v>911</v>
      </c>
      <c r="B29">
        <f>IF(t_utg[[#This Row],[Dato]]&lt;&gt;"",WEEKNUM(t_utg[[#This Row],[Dato]]),"")</f>
        <v>8</v>
      </c>
      <c r="C29" s="22">
        <f>Data!AL28</f>
        <v>46438</v>
      </c>
      <c r="D29">
        <f ca="1">IFERROR(IF(t_utg[[#This Row],[Dato]]="","",OFFSET(_xlfn.XLOOKUP(C29,Kuponger!E:E,Kuponger!CB:CB),15,0)),"")</f>
        <v>0</v>
      </c>
      <c r="E29">
        <f ca="1">IFERROR(OFFSET(_xlfn.XLOOKUP(C29,Kuponger!E:E,Kuponger!CB:CB),15,1),"")</f>
        <v>0</v>
      </c>
      <c r="F29">
        <f ca="1">IFERROR(IF(t_utg[[#This Row],[Dato]]="","",OFFSET(_xlfn.XLOOKUP(C29,Kuponger!E:E,Kuponger!CB:CB),15,2)),"")</f>
        <v>0</v>
      </c>
      <c r="G29">
        <f ca="1">IFERROR(IF(OFFSET(_xlfn.XLOOKUP(C29,Kuponger!E:E,Kuponger!CB:CB),0,2)=0,"",OFFSET(_xlfn.XLOOKUP(C29,Kuponger!E:E,Kuponger!CB:CB),1,2))*-1,"")</f>
        <v>0</v>
      </c>
      <c r="H29" t="str">
        <f t="shared" ca="1" si="1"/>
        <v/>
      </c>
      <c r="I29" t="str">
        <f ca="1">IFERROR(IF(t_utg[[#This Row],[tp]]&lt;&gt;"",OFFSET(_xlfn.XLOOKUP(C29,Kuponger!E:E,Kuponger!CB:CB),1,1),""),"")</f>
        <v/>
      </c>
      <c r="J29" s="3">
        <f ca="1">IFERROR(IF(t_utg[[#This Row],[Dato]]="",0,OFFSET(_xlfn.XLOOKUP(t_utg[[#This Row],[Dato]],Kuponger!E:E,Kuponger!CB:CB),1,7)),"")</f>
        <v>0</v>
      </c>
      <c r="K29" s="3">
        <f ca="1">IFERROR(SUM(t_utg[[#This Row],[tp]]),0)</f>
        <v>0</v>
      </c>
      <c r="L29" s="3" t="str">
        <f ca="1">IF(t_rb[[#This Row],[Antall_rette]]=12,1,"")</f>
        <v/>
      </c>
      <c r="M29" s="3" t="str">
        <f ca="1">IF(t_rb[[#This Row],[Antall_rette]]=11,1,"")</f>
        <v/>
      </c>
      <c r="N29" s="3" t="str">
        <f ca="1">IF(t_rb[[#This Row],[Antall_rette]]=10,1,"")</f>
        <v/>
      </c>
      <c r="O29" s="3">
        <f ca="1">IF(t_utg[[#This Row],[12_Antall]]=1,Data!$AJ$3,0)</f>
        <v>0</v>
      </c>
      <c r="P29" s="3">
        <f ca="1">IF(t_utg[[#This Row],[11_Antall]]=1,Data!$AJ$2,0)</f>
        <v>0</v>
      </c>
      <c r="Q29" s="3">
        <f ca="1">IF(t_utg[[#This Row],[10_Antall]]=1,Data!$AJ$1,0)</f>
        <v>0</v>
      </c>
      <c r="R29" s="3" t="str" cm="1">
        <f t="array" ref="R29">IFERROR(IF(_xlfn.XLOOKUP(t_utg[[#This Row],[Dato]]&amp;t_utg[[#This Row],[navn]],Regnskap!$C$10:$C$51&amp;Regnskap!$K$10:$K$51,Regnskap!$H$10:$H$51)&gt;0,Data!$AJ$3,""),"")</f>
        <v/>
      </c>
      <c r="S29" s="3" t="str" cm="1">
        <f t="array" ref="S29">IFERROR(IF(t_utg[[#This Row],[12_pLEV]]="",IF(_xlfn.XLOOKUP(t_utg[[#This Row],[Dato]]&amp;t_utg[[#This Row],[navn]],Regnskap!$C$10:$C$51&amp;Regnskap!$K$10:$K$51,Regnskap!$I$10:$I$51)&gt;0,Data!$AJ$2)),"")</f>
        <v/>
      </c>
      <c r="T29" s="3" t="str" cm="1">
        <f t="array" ref="T29">IFERROR(IF(t_utg[[#This Row],[11_pLEV]]="",IF(_xlfn.XLOOKUP(t_utg[[#This Row],[Dato]]&amp;t_utg[[#This Row],[navn]],Regnskap!$C$10:$C$51&amp;Regnskap!$K$10:$K$51,Regnskap!$J$10:$J$51)&gt;0,Data!$AJ$1),""),"")</f>
        <v/>
      </c>
      <c r="U29" s="3">
        <f ca="1">SUM(t_utg[[#This Row],[12_poeng]:[10_pLEV]])</f>
        <v>0</v>
      </c>
      <c r="V29" s="3">
        <f ca="1">SUM(t_utg[[#This Row],[Summert]]+t_utg[[#This Row],[LEV_poeng]])</f>
        <v>0</v>
      </c>
    </row>
    <row r="30" spans="1:28" x14ac:dyDescent="0.2">
      <c r="A30" s="3" t="s">
        <v>911</v>
      </c>
      <c r="B30">
        <f>IF(t_utg[[#This Row],[Dato]]&lt;&gt;"",WEEKNUM(t_utg[[#This Row],[Dato]]),"")</f>
        <v>9</v>
      </c>
      <c r="C30" s="22">
        <f>Data!AL29</f>
        <v>46445</v>
      </c>
      <c r="D30">
        <f ca="1">IFERROR(IF(t_utg[[#This Row],[Dato]]="","",OFFSET(_xlfn.XLOOKUP(C30,Kuponger!E:E,Kuponger!CB:CB),15,0)),"")</f>
        <v>0</v>
      </c>
      <c r="E30">
        <f ca="1">IFERROR(OFFSET(_xlfn.XLOOKUP(C30,Kuponger!E:E,Kuponger!CB:CB),15,1),"")</f>
        <v>0</v>
      </c>
      <c r="F30">
        <f ca="1">IFERROR(IF(t_utg[[#This Row],[Dato]]="","",OFFSET(_xlfn.XLOOKUP(C30,Kuponger!E:E,Kuponger!CB:CB),15,2)),"")</f>
        <v>0</v>
      </c>
      <c r="G30">
        <f ca="1">IFERROR(IF(OFFSET(_xlfn.XLOOKUP(C30,Kuponger!E:E,Kuponger!CB:CB),0,2)=0,"",OFFSET(_xlfn.XLOOKUP(C30,Kuponger!E:E,Kuponger!CB:CB),1,2))*-1,"")</f>
        <v>0</v>
      </c>
      <c r="H30" t="str">
        <f t="shared" ca="1" si="1"/>
        <v/>
      </c>
      <c r="I30" t="str">
        <f ca="1">IFERROR(IF(t_utg[[#This Row],[tp]]&lt;&gt;"",OFFSET(_xlfn.XLOOKUP(C30,Kuponger!E:E,Kuponger!CB:CB),1,1),""),"")</f>
        <v/>
      </c>
      <c r="J30" s="3">
        <f ca="1">IFERROR(IF(t_utg[[#This Row],[Dato]]="",0,OFFSET(_xlfn.XLOOKUP(t_utg[[#This Row],[Dato]],Kuponger!E:E,Kuponger!CB:CB),1,7)),"")</f>
        <v>0</v>
      </c>
      <c r="K30" s="3">
        <f ca="1">IFERROR(SUM(t_utg[[#This Row],[tp]]),0)</f>
        <v>0</v>
      </c>
      <c r="L30" s="3" t="str">
        <f ca="1">IF(t_rb[[#This Row],[Antall_rette]]=12,1,"")</f>
        <v/>
      </c>
      <c r="M30" s="3" t="str">
        <f ca="1">IF(t_rb[[#This Row],[Antall_rette]]=11,1,"")</f>
        <v/>
      </c>
      <c r="N30" s="3" t="str">
        <f ca="1">IF(t_rb[[#This Row],[Antall_rette]]=10,1,"")</f>
        <v/>
      </c>
      <c r="O30" s="3">
        <f ca="1">IF(t_utg[[#This Row],[12_Antall]]=1,Data!$AJ$3,0)</f>
        <v>0</v>
      </c>
      <c r="P30" s="3">
        <f ca="1">IF(t_utg[[#This Row],[11_Antall]]=1,Data!$AJ$2,0)</f>
        <v>0</v>
      </c>
      <c r="Q30" s="3">
        <f ca="1">IF(t_utg[[#This Row],[10_Antall]]=1,Data!$AJ$1,0)</f>
        <v>0</v>
      </c>
      <c r="R30" s="3" t="str" cm="1">
        <f t="array" ref="R30">IFERROR(IF(_xlfn.XLOOKUP(t_utg[[#This Row],[Dato]]&amp;t_utg[[#This Row],[navn]],Regnskap!$C$10:$C$51&amp;Regnskap!$K$10:$K$51,Regnskap!$H$10:$H$51)&gt;0,Data!$AJ$3,""),"")</f>
        <v/>
      </c>
      <c r="S30" s="3" t="str" cm="1">
        <f t="array" ref="S30">IFERROR(IF(t_utg[[#This Row],[12_pLEV]]="",IF(_xlfn.XLOOKUP(t_utg[[#This Row],[Dato]]&amp;t_utg[[#This Row],[navn]],Regnskap!$C$10:$C$51&amp;Regnskap!$K$10:$K$51,Regnskap!$I$10:$I$51)&gt;0,Data!$AJ$2)),"")</f>
        <v/>
      </c>
      <c r="T30" s="3" t="str" cm="1">
        <f t="array" ref="T30">IFERROR(IF(t_utg[[#This Row],[11_pLEV]]="",IF(_xlfn.XLOOKUP(t_utg[[#This Row],[Dato]]&amp;t_utg[[#This Row],[navn]],Regnskap!$C$10:$C$51&amp;Regnskap!$K$10:$K$51,Regnskap!$J$10:$J$51)&gt;0,Data!$AJ$1),""),"")</f>
        <v/>
      </c>
      <c r="U30" s="3">
        <f ca="1">SUM(t_utg[[#This Row],[12_poeng]:[10_pLEV]])</f>
        <v>0</v>
      </c>
      <c r="V30" s="3">
        <f ca="1">SUM(t_utg[[#This Row],[Summert]]+t_utg[[#This Row],[LEV_poeng]])</f>
        <v>0</v>
      </c>
    </row>
    <row r="31" spans="1:28" x14ac:dyDescent="0.2">
      <c r="A31" s="3" t="s">
        <v>911</v>
      </c>
      <c r="B31">
        <f>IF(t_utg[[#This Row],[Dato]]&lt;&gt;"",WEEKNUM(t_utg[[#This Row],[Dato]]),"")</f>
        <v>10</v>
      </c>
      <c r="C31" s="22">
        <f>Data!AL30</f>
        <v>46452</v>
      </c>
      <c r="D31">
        <f ca="1">IFERROR(IF(t_utg[[#This Row],[Dato]]="","",OFFSET(_xlfn.XLOOKUP(C31,Kuponger!E:E,Kuponger!CB:CB),15,0)),"")</f>
        <v>0</v>
      </c>
      <c r="E31">
        <f ca="1">IFERROR(OFFSET(_xlfn.XLOOKUP(C31,Kuponger!E:E,Kuponger!CB:CB),15,1),"")</f>
        <v>0</v>
      </c>
      <c r="F31">
        <f ca="1">IFERROR(IF(t_utg[[#This Row],[Dato]]="","",OFFSET(_xlfn.XLOOKUP(C31,Kuponger!E:E,Kuponger!CB:CB),15,2)),"")</f>
        <v>0</v>
      </c>
      <c r="G31">
        <f ca="1">IFERROR(IF(OFFSET(_xlfn.XLOOKUP(C31,Kuponger!E:E,Kuponger!CB:CB),0,2)=0,"",OFFSET(_xlfn.XLOOKUP(C31,Kuponger!E:E,Kuponger!CB:CB),1,2))*-1,"")</f>
        <v>0</v>
      </c>
      <c r="H31" t="str">
        <f t="shared" ca="1" si="1"/>
        <v/>
      </c>
      <c r="I31" t="str">
        <f ca="1">IFERROR(IF(t_utg[[#This Row],[tp]]&lt;&gt;"",OFFSET(_xlfn.XLOOKUP(C31,Kuponger!E:E,Kuponger!CB:CB),1,1),""),"")</f>
        <v/>
      </c>
      <c r="J31" s="3">
        <f ca="1">IFERROR(IF(t_utg[[#This Row],[Dato]]="",0,OFFSET(_xlfn.XLOOKUP(t_utg[[#This Row],[Dato]],Kuponger!E:E,Kuponger!CB:CB),1,7)),"")</f>
        <v>0</v>
      </c>
      <c r="K31" s="3">
        <f ca="1">IFERROR(SUM(t_utg[[#This Row],[tp]]),0)</f>
        <v>0</v>
      </c>
      <c r="L31" s="3" t="str">
        <f ca="1">IF(t_rb[[#This Row],[Antall_rette]]=12,1,"")</f>
        <v/>
      </c>
      <c r="M31" s="3" t="str">
        <f ca="1">IF(t_rb[[#This Row],[Antall_rette]]=11,1,"")</f>
        <v/>
      </c>
      <c r="N31" s="3" t="str">
        <f ca="1">IF(t_rb[[#This Row],[Antall_rette]]=10,1,"")</f>
        <v/>
      </c>
      <c r="O31" s="3">
        <f ca="1">IF(t_utg[[#This Row],[12_Antall]]=1,Data!$AJ$3,0)</f>
        <v>0</v>
      </c>
      <c r="P31" s="3">
        <f ca="1">IF(t_utg[[#This Row],[11_Antall]]=1,Data!$AJ$2,0)</f>
        <v>0</v>
      </c>
      <c r="Q31" s="3">
        <f ca="1">IF(t_utg[[#This Row],[10_Antall]]=1,Data!$AJ$1,0)</f>
        <v>0</v>
      </c>
      <c r="R31" s="3" t="str" cm="1">
        <f t="array" ref="R31">IFERROR(IF(_xlfn.XLOOKUP(t_utg[[#This Row],[Dato]]&amp;t_utg[[#This Row],[navn]],Regnskap!$C$10:$C$51&amp;Regnskap!$K$10:$K$51,Regnskap!$H$10:$H$51)&gt;0,Data!$AJ$3,""),"")</f>
        <v/>
      </c>
      <c r="S31" s="3" t="str" cm="1">
        <f t="array" ref="S31">IFERROR(IF(t_utg[[#This Row],[12_pLEV]]="",IF(_xlfn.XLOOKUP(t_utg[[#This Row],[Dato]]&amp;t_utg[[#This Row],[navn]],Regnskap!$C$10:$C$51&amp;Regnskap!$K$10:$K$51,Regnskap!$I$10:$I$51)&gt;0,Data!$AJ$2)),"")</f>
        <v/>
      </c>
      <c r="T31" s="3" t="str" cm="1">
        <f t="array" ref="T31">IFERROR(IF(t_utg[[#This Row],[11_pLEV]]="",IF(_xlfn.XLOOKUP(t_utg[[#This Row],[Dato]]&amp;t_utg[[#This Row],[navn]],Regnskap!$C$10:$C$51&amp;Regnskap!$K$10:$K$51,Regnskap!$J$10:$J$51)&gt;0,Data!$AJ$1),""),"")</f>
        <v/>
      </c>
      <c r="U31" s="3">
        <f ca="1">SUM(t_utg[[#This Row],[12_poeng]:[10_pLEV]])</f>
        <v>0</v>
      </c>
      <c r="V31" s="3">
        <f ca="1">SUM(t_utg[[#This Row],[Summert]]+t_utg[[#This Row],[LEV_poeng]])</f>
        <v>0</v>
      </c>
    </row>
    <row r="32" spans="1:28" x14ac:dyDescent="0.2">
      <c r="A32" s="3" t="s">
        <v>911</v>
      </c>
      <c r="B32">
        <f>IF(t_utg[[#This Row],[Dato]]&lt;&gt;"",WEEKNUM(t_utg[[#This Row],[Dato]]),"")</f>
        <v>11</v>
      </c>
      <c r="C32" s="22">
        <f>Data!AL31</f>
        <v>46459</v>
      </c>
      <c r="D32">
        <f ca="1">IFERROR(IF(t_utg[[#This Row],[Dato]]="","",OFFSET(_xlfn.XLOOKUP(C32,Kuponger!E:E,Kuponger!CB:CB),15,0)),"")</f>
        <v>0</v>
      </c>
      <c r="E32">
        <f ca="1">IFERROR(OFFSET(_xlfn.XLOOKUP(C32,Kuponger!E:E,Kuponger!CB:CB),15,1),"")</f>
        <v>0</v>
      </c>
      <c r="F32">
        <f ca="1">IFERROR(IF(t_utg[[#This Row],[Dato]]="","",OFFSET(_xlfn.XLOOKUP(C32,Kuponger!E:E,Kuponger!CB:CB),15,2)),"")</f>
        <v>0</v>
      </c>
      <c r="G32">
        <f ca="1">IFERROR(IF(OFFSET(_xlfn.XLOOKUP(C32,Kuponger!E:E,Kuponger!CB:CB),0,2)=0,"",OFFSET(_xlfn.XLOOKUP(C32,Kuponger!E:E,Kuponger!CB:CB),1,2))*-1,"")</f>
        <v>0</v>
      </c>
      <c r="H32" t="str">
        <f t="shared" ca="1" si="1"/>
        <v/>
      </c>
      <c r="I32" t="str">
        <f ca="1">IFERROR(IF(t_utg[[#This Row],[tp]]&lt;&gt;"",OFFSET(_xlfn.XLOOKUP(C32,Kuponger!E:E,Kuponger!CB:CB),1,1),""),"")</f>
        <v/>
      </c>
      <c r="J32" s="3">
        <f ca="1">IFERROR(IF(t_utg[[#This Row],[Dato]]="",0,OFFSET(_xlfn.XLOOKUP(t_utg[[#This Row],[Dato]],Kuponger!E:E,Kuponger!CB:CB),1,7)),"")</f>
        <v>0</v>
      </c>
      <c r="K32" s="3">
        <f ca="1">IFERROR(SUM(t_utg[[#This Row],[tp]]),0)</f>
        <v>0</v>
      </c>
      <c r="L32" s="3" t="str">
        <f ca="1">IF(t_rb[[#This Row],[Antall_rette]]=12,1,"")</f>
        <v/>
      </c>
      <c r="M32" s="3" t="str">
        <f ca="1">IF(t_rb[[#This Row],[Antall_rette]]=11,1,"")</f>
        <v/>
      </c>
      <c r="N32" s="3" t="str">
        <f ca="1">IF(t_rb[[#This Row],[Antall_rette]]=10,1,"")</f>
        <v/>
      </c>
      <c r="O32" s="3">
        <f ca="1">IF(t_utg[[#This Row],[12_Antall]]=1,Data!$AJ$3,0)</f>
        <v>0</v>
      </c>
      <c r="P32" s="3">
        <f ca="1">IF(t_utg[[#This Row],[11_Antall]]=1,Data!$AJ$2,0)</f>
        <v>0</v>
      </c>
      <c r="Q32" s="3">
        <f ca="1">IF(t_utg[[#This Row],[10_Antall]]=1,Data!$AJ$1,0)</f>
        <v>0</v>
      </c>
      <c r="R32" s="3" t="str" cm="1">
        <f t="array" ref="R32">IFERROR(IF(_xlfn.XLOOKUP(t_utg[[#This Row],[Dato]]&amp;t_utg[[#This Row],[navn]],Regnskap!$C$10:$C$51&amp;Regnskap!$K$10:$K$51,Regnskap!$H$10:$H$51)&gt;0,Data!$AJ$3,""),"")</f>
        <v/>
      </c>
      <c r="S32" s="3" t="str" cm="1">
        <f t="array" ref="S32">IFERROR(IF(t_utg[[#This Row],[12_pLEV]]="",IF(_xlfn.XLOOKUP(t_utg[[#This Row],[Dato]]&amp;t_utg[[#This Row],[navn]],Regnskap!$C$10:$C$51&amp;Regnskap!$K$10:$K$51,Regnskap!$I$10:$I$51)&gt;0,Data!$AJ$2)),"")</f>
        <v/>
      </c>
      <c r="T32" s="3" t="str" cm="1">
        <f t="array" ref="T32">IFERROR(IF(t_utg[[#This Row],[11_pLEV]]="",IF(_xlfn.XLOOKUP(t_utg[[#This Row],[Dato]]&amp;t_utg[[#This Row],[navn]],Regnskap!$C$10:$C$51&amp;Regnskap!$K$10:$K$51,Regnskap!$J$10:$J$51)&gt;0,Data!$AJ$1),""),"")</f>
        <v/>
      </c>
      <c r="U32" s="3">
        <f ca="1">SUM(t_utg[[#This Row],[12_poeng]:[10_pLEV]])</f>
        <v>0</v>
      </c>
      <c r="V32" s="3">
        <f ca="1">SUM(t_utg[[#This Row],[Summert]]+t_utg[[#This Row],[LEV_poeng]])</f>
        <v>0</v>
      </c>
    </row>
    <row r="33" spans="1:23" x14ac:dyDescent="0.2">
      <c r="A33" s="3" t="s">
        <v>911</v>
      </c>
      <c r="B33">
        <f>IF(t_utg[[#This Row],[Dato]]&lt;&gt;"",WEEKNUM(t_utg[[#This Row],[Dato]]),"")</f>
        <v>12</v>
      </c>
      <c r="C33" s="22">
        <f>Data!AL32</f>
        <v>46466</v>
      </c>
      <c r="D33">
        <f ca="1">IFERROR(IF(t_utg[[#This Row],[Dato]]="","",OFFSET(_xlfn.XLOOKUP(C33,Kuponger!E:E,Kuponger!CB:CB),15,0)),"")</f>
        <v>0</v>
      </c>
      <c r="E33">
        <f ca="1">IFERROR(OFFSET(_xlfn.XLOOKUP(C33,Kuponger!E:E,Kuponger!CB:CB),15,1),"")</f>
        <v>0</v>
      </c>
      <c r="F33">
        <f ca="1">IFERROR(IF(t_utg[[#This Row],[Dato]]="","",OFFSET(_xlfn.XLOOKUP(C33,Kuponger!E:E,Kuponger!CB:CB),15,2)),"")</f>
        <v>0</v>
      </c>
      <c r="G33">
        <f ca="1">IFERROR(IF(OFFSET(_xlfn.XLOOKUP(C33,Kuponger!E:E,Kuponger!CB:CB),0,2)=0,"",OFFSET(_xlfn.XLOOKUP(C33,Kuponger!E:E,Kuponger!CB:CB),1,2))*-1,"")</f>
        <v>0</v>
      </c>
      <c r="H33" t="str">
        <f t="shared" ca="1" si="1"/>
        <v/>
      </c>
      <c r="I33" t="str">
        <f ca="1">IFERROR(IF(t_utg[[#This Row],[tp]]&lt;&gt;"",OFFSET(_xlfn.XLOOKUP(C33,Kuponger!E:E,Kuponger!CB:CB),1,1),""),"")</f>
        <v/>
      </c>
      <c r="J33" s="3">
        <f ca="1">IFERROR(IF(t_utg[[#This Row],[Dato]]="",0,OFFSET(_xlfn.XLOOKUP(t_utg[[#This Row],[Dato]],Kuponger!E:E,Kuponger!CB:CB),1,7)),"")</f>
        <v>0</v>
      </c>
      <c r="K33" s="3">
        <f ca="1">IFERROR(SUM(t_utg[[#This Row],[tp]]),0)</f>
        <v>0</v>
      </c>
      <c r="L33" s="3" t="str">
        <f ca="1">IF(t_rb[[#This Row],[Antall_rette]]=12,1,"")</f>
        <v/>
      </c>
      <c r="M33" s="3" t="str">
        <f ca="1">IF(t_rb[[#This Row],[Antall_rette]]=11,1,"")</f>
        <v/>
      </c>
      <c r="N33" s="3" t="str">
        <f ca="1">IF(t_rb[[#This Row],[Antall_rette]]=10,1,"")</f>
        <v/>
      </c>
      <c r="O33" s="3">
        <f ca="1">IF(t_utg[[#This Row],[12_Antall]]=1,Data!$AJ$3,0)</f>
        <v>0</v>
      </c>
      <c r="P33" s="3">
        <f ca="1">IF(t_utg[[#This Row],[11_Antall]]=1,Data!$AJ$2,0)</f>
        <v>0</v>
      </c>
      <c r="Q33" s="3">
        <f ca="1">IF(t_utg[[#This Row],[10_Antall]]=1,Data!$AJ$1,0)</f>
        <v>0</v>
      </c>
      <c r="R33" s="3" t="str" cm="1">
        <f t="array" ref="R33">IFERROR(IF(_xlfn.XLOOKUP(t_utg[[#This Row],[Dato]]&amp;t_utg[[#This Row],[navn]],Regnskap!$C$10:$C$51&amp;Regnskap!$K$10:$K$51,Regnskap!$H$10:$H$51)&gt;0,Data!$AJ$3,""),"")</f>
        <v/>
      </c>
      <c r="S33" s="3" t="str" cm="1">
        <f t="array" ref="S33">IFERROR(IF(t_utg[[#This Row],[12_pLEV]]="",IF(_xlfn.XLOOKUP(t_utg[[#This Row],[Dato]]&amp;t_utg[[#This Row],[navn]],Regnskap!$C$10:$C$51&amp;Regnskap!$K$10:$K$51,Regnskap!$I$10:$I$51)&gt;0,Data!$AJ$2)),"")</f>
        <v/>
      </c>
      <c r="T33" s="3" t="str" cm="1">
        <f t="array" ref="T33">IFERROR(IF(t_utg[[#This Row],[11_pLEV]]="",IF(_xlfn.XLOOKUP(t_utg[[#This Row],[Dato]]&amp;t_utg[[#This Row],[navn]],Regnskap!$C$10:$C$51&amp;Regnskap!$K$10:$K$51,Regnskap!$J$10:$J$51)&gt;0,Data!$AJ$1),""),"")</f>
        <v/>
      </c>
      <c r="U33" s="3">
        <f ca="1">SUM(t_utg[[#This Row],[12_poeng]:[10_pLEV]])</f>
        <v>0</v>
      </c>
      <c r="V33" s="3">
        <f ca="1">SUM(t_utg[[#This Row],[Summert]]+t_utg[[#This Row],[LEV_poeng]])</f>
        <v>0</v>
      </c>
    </row>
    <row r="34" spans="1:23" x14ac:dyDescent="0.2">
      <c r="A34" s="3" t="s">
        <v>911</v>
      </c>
      <c r="B34">
        <f>IF(t_utg[[#This Row],[Dato]]&lt;&gt;"",WEEKNUM(t_utg[[#This Row],[Dato]]),"")</f>
        <v>13</v>
      </c>
      <c r="C34" s="22">
        <f>Data!AL33</f>
        <v>46473</v>
      </c>
      <c r="D34">
        <f ca="1">IFERROR(IF(t_utg[[#This Row],[Dato]]="","",OFFSET(_xlfn.XLOOKUP(C34,Kuponger!E:E,Kuponger!CB:CB),15,0)),"")</f>
        <v>0</v>
      </c>
      <c r="E34">
        <f ca="1">IFERROR(OFFSET(_xlfn.XLOOKUP(C34,Kuponger!E:E,Kuponger!CB:CB),15,1),"")</f>
        <v>0</v>
      </c>
      <c r="F34">
        <f ca="1">IFERROR(IF(t_utg[[#This Row],[Dato]]="","",OFFSET(_xlfn.XLOOKUP(C34,Kuponger!E:E,Kuponger!CB:CB),15,2)),"")</f>
        <v>0</v>
      </c>
      <c r="G34">
        <f ca="1">IFERROR(IF(OFFSET(_xlfn.XLOOKUP(C34,Kuponger!E:E,Kuponger!CB:CB),0,2)=0,"",OFFSET(_xlfn.XLOOKUP(C34,Kuponger!E:E,Kuponger!CB:CB),1,2))*-1,"")</f>
        <v>0</v>
      </c>
      <c r="H34" t="str">
        <f t="shared" ca="1" si="1"/>
        <v/>
      </c>
      <c r="I34" t="str">
        <f ca="1">IFERROR(IF(t_utg[[#This Row],[tp]]&lt;&gt;"",OFFSET(_xlfn.XLOOKUP(C34,Kuponger!E:E,Kuponger!CB:CB),1,1),""),"")</f>
        <v/>
      </c>
      <c r="J34" s="3">
        <f ca="1">IFERROR(IF(t_utg[[#This Row],[Dato]]="",0,OFFSET(_xlfn.XLOOKUP(t_utg[[#This Row],[Dato]],Kuponger!E:E,Kuponger!CB:CB),1,7)),"")</f>
        <v>0</v>
      </c>
      <c r="K34" s="3">
        <f ca="1">IFERROR(SUM(t_utg[[#This Row],[tp]]),0)</f>
        <v>0</v>
      </c>
      <c r="L34" s="3" t="str">
        <f ca="1">IF(t_utg[[#This Row],[Antall_rette]]=12,1,"")</f>
        <v/>
      </c>
      <c r="M34" s="3" t="str">
        <f ca="1">IF(t_utg[[#This Row],[Antall_rette]]&gt;10,1,"")</f>
        <v/>
      </c>
      <c r="N34" s="3" t="str">
        <f ca="1">IF(t_utg[[#This Row],[Antall_rette]]&gt;9,1,"")</f>
        <v/>
      </c>
      <c r="O34" s="3">
        <f ca="1">IF(t_utg[[#This Row],[12_Antall]]=1,Data!$AJ$3,0)</f>
        <v>0</v>
      </c>
      <c r="P34" s="3">
        <f ca="1">IF(t_utg[[#This Row],[11_Antall]]=1,Data!$AJ$2,0)</f>
        <v>0</v>
      </c>
      <c r="Q34" s="3">
        <f ca="1">IF(t_utg[[#This Row],[10_Antall]]=1,Data!$AJ$1,0)</f>
        <v>0</v>
      </c>
      <c r="R34" s="3" t="str" cm="1">
        <f t="array" ref="R34">IF(_xlfn.XLOOKUP(t_utg[[#This Row],[Dato]]&amp;B1,Regnskap!C$11:C$51&amp;Regnskap!$K$11:$K$51,Regnskap!$H$11:$H$51,0)&gt;0,Data!$AJ$13,"")</f>
        <v/>
      </c>
      <c r="S34" s="3" t="str" cm="1">
        <f t="array" ref="S34">IF(_xlfn.XLOOKUP(t_utg[[#This Row],[Dato]]&amp;B1,Regnskap!C$11:C$51&amp;Regnskap!$K$11:$K$51,Regnskap!$I$11:$I$51,0)&gt;0,Data!$AJ$2,"")</f>
        <v/>
      </c>
      <c r="T34" s="3" t="str" cm="1">
        <f t="array" ref="T34">IF(_xlfn.XLOOKUP(t_utg[[#This Row],[Dato]]&amp;B1,Regnskap!C$11:C$51&amp;Regnskap!$K$11:$K$51,Regnskap!$J$11:$J$51,0)&gt;0,Data!$AJ$1,"")</f>
        <v/>
      </c>
      <c r="U34" s="3">
        <f ca="1">SUM(t_utg[[#This Row],[12_poeng]:[10_pLEV]])</f>
        <v>0</v>
      </c>
      <c r="V34" s="3">
        <f ca="1">SUM(t_utg[[#This Row],[Summert]]+t_utg[[#This Row],[LEV_poeng]])</f>
        <v>0</v>
      </c>
    </row>
    <row r="35" spans="1:23" x14ac:dyDescent="0.2">
      <c r="A35" s="3" t="s">
        <v>911</v>
      </c>
      <c r="B35">
        <f>IF(t_utg[[#This Row],[Dato]]&lt;&gt;"",WEEKNUM(t_utg[[#This Row],[Dato]]),"")</f>
        <v>14</v>
      </c>
      <c r="C35" s="22">
        <f>Data!AL34</f>
        <v>46480</v>
      </c>
      <c r="D35">
        <f ca="1">IFERROR(IF(t_utg[[#This Row],[Dato]]="","",OFFSET(_xlfn.XLOOKUP(C35,Kuponger!E:E,Kuponger!CB:CB),15,0)),"")</f>
        <v>0</v>
      </c>
      <c r="E35">
        <f ca="1">IFERROR(OFFSET(_xlfn.XLOOKUP(C35,Kuponger!E:E,Kuponger!CB:CB),15,1),"")</f>
        <v>0</v>
      </c>
      <c r="F35">
        <f ca="1">IFERROR(IF(t_utg[[#This Row],[Dato]]="","",OFFSET(_xlfn.XLOOKUP(C35,Kuponger!E:E,Kuponger!CB:CB),15,2)),"")</f>
        <v>0</v>
      </c>
      <c r="G35">
        <f ca="1">IFERROR(IF(OFFSET(_xlfn.XLOOKUP(C35,Kuponger!E:E,Kuponger!CB:CB),0,2)=0,"",OFFSET(_xlfn.XLOOKUP(C35,Kuponger!E:E,Kuponger!CB:CB),1,2))*-1,"")</f>
        <v>0</v>
      </c>
      <c r="H35" t="str">
        <f t="shared" ca="1" si="1"/>
        <v/>
      </c>
      <c r="I35" t="str">
        <f ca="1">IFERROR(IF(t_utg[[#This Row],[tp]]&lt;&gt;"",OFFSET(_xlfn.XLOOKUP(C35,Kuponger!E:E,Kuponger!CB:CB),1,1),""),"")</f>
        <v/>
      </c>
      <c r="J35" s="3">
        <f ca="1">IFERROR(IF(t_utg[[#This Row],[Dato]]="",0,OFFSET(_xlfn.XLOOKUP(t_utg[[#This Row],[Dato]],Kuponger!E:E,Kuponger!CB:CB),1,7)),"")</f>
        <v>0</v>
      </c>
      <c r="K35" s="3">
        <f ca="1">IFERROR(SUM(t_utg[[#This Row],[tp]]),0)</f>
        <v>0</v>
      </c>
      <c r="L35" s="3" t="str">
        <f ca="1">IF(t_utg[[#This Row],[Antall_rette]]=12,1,"")</f>
        <v/>
      </c>
      <c r="M35" s="3" t="str">
        <f ca="1">IF(t_utg[[#This Row],[Antall_rette]]&gt;10,1,"")</f>
        <v/>
      </c>
      <c r="N35" s="3" t="str">
        <f ca="1">IF(t_utg[[#This Row],[Antall_rette]]&gt;9,1,"")</f>
        <v/>
      </c>
      <c r="O35" s="3">
        <f ca="1">IF(t_utg[[#This Row],[12_Antall]]=1,Data!$AJ$3,0)</f>
        <v>0</v>
      </c>
      <c r="P35" s="3">
        <f ca="1">IF(t_utg[[#This Row],[11_Antall]]=1,Data!$AJ$2,0)</f>
        <v>0</v>
      </c>
      <c r="Q35" s="3">
        <f ca="1">IF(t_utg[[#This Row],[10_Antall]]=1,Data!$AJ$1,0)</f>
        <v>0</v>
      </c>
      <c r="R35" s="3" t="str" cm="1">
        <f t="array" ref="R35">IF(_xlfn.XLOOKUP(t_utg[[#This Row],[Dato]]&amp;B1,Regnskap!C$11:C$51&amp;Regnskap!$K$11:$K$51,Regnskap!$H$11:$H$51,0)&gt;0,Data!$AJ$13,"")</f>
        <v/>
      </c>
      <c r="S35" s="3" t="str" cm="1">
        <f t="array" ref="S35">IF(_xlfn.XLOOKUP(t_utg[[#This Row],[Dato]]&amp;B1,Regnskap!C$11:C$51&amp;Regnskap!$K$11:$K$51,Regnskap!$I$11:$I$51,0)&gt;0,Data!$AJ$2,"")</f>
        <v/>
      </c>
      <c r="T35" s="3" t="str" cm="1">
        <f t="array" ref="T35">IF(_xlfn.XLOOKUP(t_utg[[#This Row],[Dato]]&amp;B1,Regnskap!C$11:C$51&amp;Regnskap!$K$11:$K$51,Regnskap!$J$11:$J$51,0)&gt;0,Data!$AJ$1,"")</f>
        <v/>
      </c>
      <c r="U35" s="3">
        <f ca="1">SUM(t_utg[[#This Row],[12_poeng]:[10_pLEV]])</f>
        <v>0</v>
      </c>
      <c r="V35" s="3">
        <f ca="1">SUM(t_utg[[#This Row],[Summert]]+t_utg[[#This Row],[LEV_poeng]])</f>
        <v>0</v>
      </c>
    </row>
    <row r="36" spans="1:23" x14ac:dyDescent="0.2">
      <c r="A36" s="3" t="s">
        <v>911</v>
      </c>
      <c r="B36">
        <f>IF(t_utg[[#This Row],[Dato]]&lt;&gt;"",WEEKNUM(t_utg[[#This Row],[Dato]]),"")</f>
        <v>15</v>
      </c>
      <c r="C36" s="22">
        <f>Data!AL35</f>
        <v>46487</v>
      </c>
      <c r="D36">
        <f ca="1">IFERROR(IF(t_utg[[#This Row],[Dato]]="","",OFFSET(_xlfn.XLOOKUP(C36,Kuponger!E:E,Kuponger!CB:CB),15,0)),"")</f>
        <v>0</v>
      </c>
      <c r="E36">
        <f ca="1">IFERROR(OFFSET(_xlfn.XLOOKUP(C36,Kuponger!E:E,Kuponger!CB:CB),15,1),"")</f>
        <v>0</v>
      </c>
      <c r="F36">
        <f ca="1">IFERROR(IF(t_utg[[#This Row],[Dato]]="","",OFFSET(_xlfn.XLOOKUP(C36,Kuponger!E:E,Kuponger!CB:CB),15,2)),"")</f>
        <v>0</v>
      </c>
      <c r="G36">
        <f ca="1">IFERROR(IF(OFFSET(_xlfn.XLOOKUP(C36,Kuponger!E:E,Kuponger!CB:CB),0,2)=0,"",OFFSET(_xlfn.XLOOKUP(C36,Kuponger!E:E,Kuponger!CB:CB),1,2))*-1,"")</f>
        <v>0</v>
      </c>
      <c r="H36" t="str">
        <f t="shared" ca="1" si="1"/>
        <v/>
      </c>
      <c r="I36" t="str">
        <f ca="1">IFERROR(IF(t_utg[[#This Row],[tp]]&lt;&gt;"",OFFSET(_xlfn.XLOOKUP(C36,Kuponger!E:E,Kuponger!CB:CB),1,1),""),"")</f>
        <v/>
      </c>
      <c r="J36" s="3">
        <f ca="1">IFERROR(IF(t_utg[[#This Row],[Dato]]="",0,OFFSET(_xlfn.XLOOKUP(t_utg[[#This Row],[Dato]],Kuponger!E:E,Kuponger!CB:CB),1,7)),"")</f>
        <v>0</v>
      </c>
      <c r="K36" s="3">
        <f ca="1">IFERROR(SUM(t_utg[[#This Row],[tp]]),0)</f>
        <v>0</v>
      </c>
      <c r="L36" s="3" t="str">
        <f ca="1">IF(t_utg[[#This Row],[Antall_rette]]=12,1,"")</f>
        <v/>
      </c>
      <c r="M36" s="3" t="str">
        <f ca="1">IF(t_utg[[#This Row],[Antall_rette]]&gt;10,1,"")</f>
        <v/>
      </c>
      <c r="N36" s="3" t="str">
        <f ca="1">IF(t_utg[[#This Row],[Antall_rette]]&gt;9,1,"")</f>
        <v/>
      </c>
      <c r="O36" s="3">
        <f ca="1">IF(t_utg[[#This Row],[12_Antall]]=1,Data!$AJ$3,0)</f>
        <v>0</v>
      </c>
      <c r="P36" s="3">
        <f ca="1">IF(t_utg[[#This Row],[11_Antall]]=1,Data!$AJ$2,0)</f>
        <v>0</v>
      </c>
      <c r="Q36" s="3">
        <f ca="1">IF(t_utg[[#This Row],[10_Antall]]=1,Data!$AJ$1,0)</f>
        <v>0</v>
      </c>
      <c r="R36" s="3" t="str" cm="1">
        <f t="array" ref="R36">IF(_xlfn.XLOOKUP(t_utg[[#This Row],[Dato]]&amp;B1,Regnskap!C$11:C$51&amp;Regnskap!$K$11:$K$51,Regnskap!$H$11:$H$51,0)&gt;0,Data!$AJ$13,"")</f>
        <v/>
      </c>
      <c r="S36" s="3" t="str" cm="1">
        <f t="array" ref="S36">IF(_xlfn.XLOOKUP(t_utg[[#This Row],[Dato]]&amp;B1,Regnskap!C$11:C$51&amp;Regnskap!$K$11:$K$51,Regnskap!$I$11:$I$51,0)&gt;0,Data!$AJ$2,"")</f>
        <v/>
      </c>
      <c r="T36" s="3" t="str" cm="1">
        <f t="array" ref="T36">IF(_xlfn.XLOOKUP(t_utg[[#This Row],[Dato]]&amp;B1,Regnskap!C$11:C$51&amp;Regnskap!$K$11:$K$51,Regnskap!$J$11:$J$51,0)&gt;0,Data!$AJ$1,"")</f>
        <v/>
      </c>
      <c r="U36" s="3">
        <f ca="1">SUM(t_utg[[#This Row],[12_poeng]:[10_pLEV]])</f>
        <v>0</v>
      </c>
      <c r="V36" s="3">
        <f ca="1">SUM(t_utg[[#This Row],[Summert]]+t_utg[[#This Row],[LEV_poeng]])</f>
        <v>0</v>
      </c>
      <c r="W36" s="3"/>
    </row>
    <row r="37" spans="1:23" x14ac:dyDescent="0.2">
      <c r="A37" s="3" t="s">
        <v>911</v>
      </c>
      <c r="B37">
        <f>IF(t_utg[[#This Row],[Dato]]&lt;&gt;"",WEEKNUM(t_utg[[#This Row],[Dato]]),"")</f>
        <v>16</v>
      </c>
      <c r="C37" s="22">
        <f>Data!AL36</f>
        <v>46494</v>
      </c>
      <c r="D37">
        <f ca="1">IFERROR(IF(t_utg[[#This Row],[Dato]]="","",OFFSET(_xlfn.XLOOKUP(C37,Kuponger!E:E,Kuponger!CB:CB),15,0)),"")</f>
        <v>0</v>
      </c>
      <c r="E37">
        <f ca="1">IFERROR(OFFSET(_xlfn.XLOOKUP(C37,Kuponger!E:E,Kuponger!CB:CB),15,1),"")</f>
        <v>0</v>
      </c>
      <c r="F37">
        <f ca="1">IFERROR(IF(t_utg[[#This Row],[Dato]]="","",OFFSET(_xlfn.XLOOKUP(C37,Kuponger!E:E,Kuponger!CB:CB),15,2)),"")</f>
        <v>0</v>
      </c>
      <c r="G37">
        <f ca="1">IFERROR(IF(OFFSET(_xlfn.XLOOKUP(C37,Kuponger!E:E,Kuponger!CB:CB),0,2)=0,"",OFFSET(_xlfn.XLOOKUP(C37,Kuponger!E:E,Kuponger!CB:CB),1,2))*-1,"")</f>
        <v>0</v>
      </c>
      <c r="H37" t="str">
        <f t="shared" ca="1" si="1"/>
        <v/>
      </c>
      <c r="I37" t="str">
        <f ca="1">IFERROR(IF(t_utg[[#This Row],[tp]]&lt;&gt;"",OFFSET(_xlfn.XLOOKUP(C37,Kuponger!E:E,Kuponger!CB:CB),1,1),""),"")</f>
        <v/>
      </c>
      <c r="J37" s="3">
        <f ca="1">IFERROR(IF(t_utg[[#This Row],[Dato]]="",0,OFFSET(_xlfn.XLOOKUP(t_utg[[#This Row],[Dato]],Kuponger!E:E,Kuponger!CB:CB),1,7)),"")</f>
        <v>0</v>
      </c>
      <c r="K37" s="3">
        <f ca="1">IFERROR(SUM(t_utg[[#This Row],[tp]]),0)</f>
        <v>0</v>
      </c>
      <c r="L37" s="3" t="str">
        <f ca="1">IF(t_utg[[#This Row],[Antall_rette]]=12,1,"")</f>
        <v/>
      </c>
      <c r="M37" s="3" t="str">
        <f ca="1">IF(t_utg[[#This Row],[Antall_rette]]&gt;10,1,"")</f>
        <v/>
      </c>
      <c r="N37" s="3" t="str">
        <f ca="1">IF(t_utg[[#This Row],[Antall_rette]]&gt;9,1,"")</f>
        <v/>
      </c>
      <c r="O37" s="3">
        <f ca="1">IF(t_utg[[#This Row],[12_Antall]]=1,Data!$AJ$3,0)</f>
        <v>0</v>
      </c>
      <c r="P37" s="3">
        <f ca="1">IF(t_utg[[#This Row],[11_Antall]]=1,Data!$AJ$2,0)</f>
        <v>0</v>
      </c>
      <c r="Q37" s="3">
        <f ca="1">IF(t_utg[[#This Row],[10_Antall]]=1,Data!$AJ$1,0)</f>
        <v>0</v>
      </c>
      <c r="R37" s="3" t="str" cm="1">
        <f t="array" ref="R37">IF(_xlfn.XLOOKUP(t_utg[[#This Row],[Dato]]&amp;B1,Regnskap!C$11:C$51&amp;Regnskap!$K$11:$K$51,Regnskap!$H$11:$H$51,0)&gt;0,Data!$AJ$13,"")</f>
        <v/>
      </c>
      <c r="S37" s="3" t="str" cm="1">
        <f t="array" ref="S37">IF(_xlfn.XLOOKUP(t_utg[[#This Row],[Dato]]&amp;B1,Regnskap!C$11:C$51&amp;Regnskap!$K$11:$K$51,Regnskap!$I$11:$I$51,0)&gt;0,Data!$AJ$2,"")</f>
        <v/>
      </c>
      <c r="T37" s="3" t="str" cm="1">
        <f t="array" ref="T37">IF(_xlfn.XLOOKUP(t_utg[[#This Row],[Dato]]&amp;B1,Regnskap!C$11:C$51&amp;Regnskap!$K$11:$K$51,Regnskap!$J$11:$J$51,0)&gt;0,Data!$AJ$1,"")</f>
        <v/>
      </c>
      <c r="U37" s="3">
        <f ca="1">SUM(t_utg[[#This Row],[12_poeng]:[10_pLEV]])</f>
        <v>0</v>
      </c>
      <c r="V37" s="3">
        <f ca="1">SUM(t_utg[[#This Row],[Summert]]+t_utg[[#This Row],[LEV_poeng]])</f>
        <v>0</v>
      </c>
    </row>
    <row r="38" spans="1:23" x14ac:dyDescent="0.2">
      <c r="A38" s="3" t="s">
        <v>911</v>
      </c>
      <c r="B38">
        <f>IF(t_utg[[#This Row],[Dato]]&lt;&gt;"",WEEKNUM(t_utg[[#This Row],[Dato]]),"")</f>
        <v>17</v>
      </c>
      <c r="C38" s="22">
        <f>Data!AL37</f>
        <v>46501</v>
      </c>
      <c r="D38">
        <f ca="1">IFERROR(IF(t_utg[[#This Row],[Dato]]="","",OFFSET(_xlfn.XLOOKUP(C38,Kuponger!E:E,Kuponger!CB:CB),15,0)),"")</f>
        <v>0</v>
      </c>
      <c r="E38">
        <f ca="1">IFERROR(OFFSET(_xlfn.XLOOKUP(C38,Kuponger!E:E,Kuponger!CB:CB),15,1),"")</f>
        <v>0</v>
      </c>
      <c r="F38">
        <f ca="1">IFERROR(IF(t_utg[[#This Row],[Dato]]="","",OFFSET(_xlfn.XLOOKUP(C38,Kuponger!E:E,Kuponger!CB:CB),15,2)),"")</f>
        <v>0</v>
      </c>
      <c r="G38">
        <f ca="1">IFERROR(IF(OFFSET(_xlfn.XLOOKUP(C38,Kuponger!E:E,Kuponger!CB:CB),0,2)=0,"",OFFSET(_xlfn.XLOOKUP(C38,Kuponger!E:E,Kuponger!CB:CB),1,2))*-1,"")</f>
        <v>0</v>
      </c>
      <c r="H38" t="str">
        <f t="shared" ca="1" si="1"/>
        <v/>
      </c>
      <c r="I38" t="str">
        <f ca="1">IFERROR(IF(t_utg[[#This Row],[tp]]&lt;&gt;"",OFFSET(_xlfn.XLOOKUP(C38,Kuponger!E:E,Kuponger!CB:CB),1,1),""),"")</f>
        <v/>
      </c>
      <c r="J38" s="3">
        <f ca="1">IFERROR(IF(t_utg[[#This Row],[Dato]]="",0,OFFSET(_xlfn.XLOOKUP(t_utg[[#This Row],[Dato]],Kuponger!E:E,Kuponger!CB:CB),1,7)),"")</f>
        <v>0</v>
      </c>
      <c r="K38" s="3">
        <f ca="1">IFERROR(SUM(t_utg[[#This Row],[tp]]),0)</f>
        <v>0</v>
      </c>
      <c r="L38" s="3" t="str">
        <f ca="1">IF(t_utg[[#This Row],[Antall_rette]]=12,1,"")</f>
        <v/>
      </c>
      <c r="M38" s="3" t="str">
        <f ca="1">IF(t_utg[[#This Row],[Antall_rette]]&gt;10,1,"")</f>
        <v/>
      </c>
      <c r="N38" s="3" t="str">
        <f ca="1">IF(t_utg[[#This Row],[Antall_rette]]&gt;9,1,"")</f>
        <v/>
      </c>
      <c r="O38" s="3">
        <f ca="1">IF(t_utg[[#This Row],[12_Antall]]=1,Data!$AJ$3,0)</f>
        <v>0</v>
      </c>
      <c r="P38" s="3">
        <f ca="1">IF(t_utg[[#This Row],[11_Antall]]=1,Data!$AJ$2,0)</f>
        <v>0</v>
      </c>
      <c r="Q38" s="3">
        <f ca="1">IF(t_utg[[#This Row],[10_Antall]]=1,Data!$AJ$1,0)</f>
        <v>0</v>
      </c>
      <c r="R38" s="3" t="str" cm="1">
        <f t="array" ref="R38">IF(_xlfn.XLOOKUP(t_utg[[#This Row],[Dato]]&amp;B1,Regnskap!C$11:C$51&amp;Regnskap!$K$11:$K$51,Regnskap!$H$11:$H$51,0)&gt;0,Data!$AJ$13,"")</f>
        <v/>
      </c>
      <c r="S38" s="3" t="str" cm="1">
        <f t="array" ref="S38">IF(_xlfn.XLOOKUP(t_utg[[#This Row],[Dato]]&amp;B1,Regnskap!C$11:C$51&amp;Regnskap!$K$11:$K$51,Regnskap!$I$11:$I$51,0)&gt;0,Data!$AJ$2,"")</f>
        <v/>
      </c>
      <c r="T38" s="3" t="str" cm="1">
        <f t="array" ref="T38">IF(_xlfn.XLOOKUP(t_utg[[#This Row],[Dato]]&amp;B1,Regnskap!C$11:C$51&amp;Regnskap!$K$11:$K$51,Regnskap!$J$11:$J$51,0)&gt;0,Data!$AJ$1,"")</f>
        <v/>
      </c>
      <c r="U38" s="3">
        <f ca="1">SUM(t_utg[[#This Row],[12_poeng]:[10_pLEV]])</f>
        <v>0</v>
      </c>
      <c r="V38" s="3">
        <f ca="1">SUM(t_utg[[#This Row],[Summert]]+t_utg[[#This Row],[LEV_poeng]])</f>
        <v>0</v>
      </c>
    </row>
    <row r="39" spans="1:23" x14ac:dyDescent="0.2">
      <c r="A39" s="3" t="s">
        <v>911</v>
      </c>
      <c r="B39">
        <f>IF(t_utg[[#This Row],[Dato]]&lt;&gt;"",WEEKNUM(t_utg[[#This Row],[Dato]]),"")</f>
        <v>18</v>
      </c>
      <c r="C39" s="22">
        <f>Data!AL38</f>
        <v>46508</v>
      </c>
      <c r="D39">
        <f ca="1">IFERROR(IF(t_utg[[#This Row],[Dato]]="","",OFFSET(_xlfn.XLOOKUP(C39,Kuponger!E:E,Kuponger!CB:CB),15,0)),"")</f>
        <v>0</v>
      </c>
      <c r="E39">
        <f ca="1">IFERROR(OFFSET(_xlfn.XLOOKUP(C39,Kuponger!E:E,Kuponger!CB:CB),15,1),"")</f>
        <v>0</v>
      </c>
      <c r="F39">
        <f ca="1">IFERROR(IF(t_utg[[#This Row],[Dato]]="","",OFFSET(_xlfn.XLOOKUP(C39,Kuponger!E:E,Kuponger!CB:CB),15,2)),"")</f>
        <v>0</v>
      </c>
      <c r="G39">
        <f ca="1">IFERROR(IF(OFFSET(_xlfn.XLOOKUP(C39,Kuponger!E:E,Kuponger!CB:CB),0,2)=0,"",OFFSET(_xlfn.XLOOKUP(C39,Kuponger!E:E,Kuponger!CB:CB),1,2))*-1,"")</f>
        <v>0</v>
      </c>
      <c r="H39" t="str">
        <f t="shared" ca="1" si="1"/>
        <v/>
      </c>
      <c r="I39" t="str">
        <f ca="1">IFERROR(IF(t_utg[[#This Row],[tp]]&lt;&gt;"",OFFSET(_xlfn.XLOOKUP(C39,Kuponger!E:E,Kuponger!CB:CB),1,1),""),"")</f>
        <v/>
      </c>
      <c r="J39" s="3">
        <f ca="1">IFERROR(IF(t_utg[[#This Row],[Dato]]="",0,OFFSET(_xlfn.XLOOKUP(t_utg[[#This Row],[Dato]],Kuponger!E:E,Kuponger!CB:CB),1,7)),"")</f>
        <v>0</v>
      </c>
      <c r="K39" s="3">
        <f ca="1">IFERROR(SUM(t_utg[[#This Row],[tp]]),0)</f>
        <v>0</v>
      </c>
      <c r="L39" s="3" t="str">
        <f ca="1">IF(t_utg[[#This Row],[Antall_rette]]=12,1,"")</f>
        <v/>
      </c>
      <c r="M39" s="3" t="str">
        <f ca="1">IF(t_utg[[#This Row],[Antall_rette]]&gt;10,1,"")</f>
        <v/>
      </c>
      <c r="N39" s="3" t="str">
        <f ca="1">IF(t_utg[[#This Row],[Antall_rette]]&gt;9,1,"")</f>
        <v/>
      </c>
      <c r="O39" s="3">
        <f ca="1">IF(t_utg[[#This Row],[12_Antall]]=1,Data!$AJ$3,0)</f>
        <v>0</v>
      </c>
      <c r="P39" s="3">
        <f ca="1">IF(t_utg[[#This Row],[11_Antall]]=1,Data!$AJ$2,0)</f>
        <v>0</v>
      </c>
      <c r="Q39" s="3">
        <f ca="1">IF(t_utg[[#This Row],[10_Antall]]=1,Data!$AJ$1,0)</f>
        <v>0</v>
      </c>
      <c r="R39" s="3" t="str" cm="1">
        <f t="array" ref="R39">IF(_xlfn.XLOOKUP(t_utg[[#This Row],[Dato]]&amp;B1,Regnskap!C$11:C$51&amp;Regnskap!$K$11:$K$51,Regnskap!$H$11:$H$51,0)&gt;0,Data!$AJ$13,"")</f>
        <v/>
      </c>
      <c r="S39" s="3" t="str" cm="1">
        <f t="array" ref="S39">IF(_xlfn.XLOOKUP(t_utg[[#This Row],[Dato]]&amp;B1,Regnskap!C$11:C$51&amp;Regnskap!$K$11:$K$51,Regnskap!$I$11:$I$51,0)&gt;0,Data!$AJ$2,"")</f>
        <v/>
      </c>
      <c r="T39" s="3" t="str" cm="1">
        <f t="array" ref="T39">IF(_xlfn.XLOOKUP(t_utg[[#This Row],[Dato]]&amp;B1,Regnskap!C$11:C$51&amp;Regnskap!$K$11:$K$51,Regnskap!$J$11:$J$51,0)&gt;0,Data!$AJ$1,"")</f>
        <v/>
      </c>
      <c r="U39" s="3">
        <f ca="1">SUM(t_utg[[#This Row],[12_poeng]:[10_pLEV]])</f>
        <v>0</v>
      </c>
      <c r="V39" s="3">
        <f ca="1">SUM(t_utg[[#This Row],[Summert]]+t_utg[[#This Row],[LEV_poeng]])</f>
        <v>0</v>
      </c>
    </row>
    <row r="40" spans="1:23" x14ac:dyDescent="0.2">
      <c r="A40" s="3" t="s">
        <v>911</v>
      </c>
      <c r="B40">
        <f>IF(t_utg[[#This Row],[Dato]]&lt;&gt;"",WEEKNUM(t_utg[[#This Row],[Dato]]),"")</f>
        <v>19</v>
      </c>
      <c r="C40" s="22">
        <f>Data!AL39</f>
        <v>46515</v>
      </c>
      <c r="D40">
        <f ca="1">IFERROR(IF(t_utg[[#This Row],[Dato]]="","",OFFSET(_xlfn.XLOOKUP(C40,Kuponger!E:E,Kuponger!CB:CB),15,0)),"")</f>
        <v>0</v>
      </c>
      <c r="E40">
        <f ca="1">IFERROR(OFFSET(_xlfn.XLOOKUP(C40,Kuponger!E:E,Kuponger!CB:CB),15,1),"")</f>
        <v>0</v>
      </c>
      <c r="F40">
        <f ca="1">IFERROR(IF(t_utg[[#This Row],[Dato]]="","",OFFSET(_xlfn.XLOOKUP(C40,Kuponger!E:E,Kuponger!CB:CB),15,2)),"")</f>
        <v>0</v>
      </c>
      <c r="G40">
        <f ca="1">IFERROR(IF(OFFSET(_xlfn.XLOOKUP(C40,Kuponger!E:E,Kuponger!CB:CB),0,2)=0,"",OFFSET(_xlfn.XLOOKUP(C40,Kuponger!E:E,Kuponger!CB:CB),1,2))*-1,"")</f>
        <v>0</v>
      </c>
      <c r="H40" t="str">
        <f t="shared" ca="1" si="1"/>
        <v/>
      </c>
      <c r="I40" t="str">
        <f ca="1">IFERROR(IF(t_utg[[#This Row],[tp]]&lt;&gt;"",OFFSET(_xlfn.XLOOKUP(C40,Kuponger!E:E,Kuponger!CB:CB),1,1),""),"")</f>
        <v/>
      </c>
      <c r="J40" s="3">
        <f ca="1">IFERROR(IF(t_utg[[#This Row],[Dato]]="",0,OFFSET(_xlfn.XLOOKUP(t_utg[[#This Row],[Dato]],Kuponger!E:E,Kuponger!CB:CB),1,7)),"")</f>
        <v>0</v>
      </c>
      <c r="K40" s="3">
        <f ca="1">IFERROR(SUM(t_utg[[#This Row],[tp]]),0)</f>
        <v>0</v>
      </c>
      <c r="L40" s="3" t="str">
        <f ca="1">IF(t_utg[[#This Row],[Antall_rette]]=12,1,"")</f>
        <v/>
      </c>
      <c r="M40" s="3" t="str">
        <f ca="1">IF(t_utg[[#This Row],[Antall_rette]]&gt;10,1,"")</f>
        <v/>
      </c>
      <c r="N40" s="3" t="str">
        <f ca="1">IF(t_utg[[#This Row],[Antall_rette]]&gt;9,1,"")</f>
        <v/>
      </c>
      <c r="O40" s="3">
        <f ca="1">IF(t_utg[[#This Row],[12_Antall]]=1,Data!$AJ$3,0)</f>
        <v>0</v>
      </c>
      <c r="P40" s="3">
        <f ca="1">IF(t_utg[[#This Row],[11_Antall]]=1,Data!$AJ$2,0)</f>
        <v>0</v>
      </c>
      <c r="Q40" s="3">
        <f ca="1">IF(t_utg[[#This Row],[10_Antall]]=1,Data!$AJ$1,0)</f>
        <v>0</v>
      </c>
      <c r="R40" s="3" t="str" cm="1">
        <f t="array" ref="R40">IF(_xlfn.XLOOKUP(t_utg[[#This Row],[Dato]]&amp;B1,Regnskap!C$11:C$51&amp;Regnskap!$K$11:$K$51,Regnskap!$H$11:$H$51,0)&gt;0,Data!$AJ$13,"")</f>
        <v/>
      </c>
      <c r="S40" s="3" t="str" cm="1">
        <f t="array" ref="S40">IF(_xlfn.XLOOKUP(t_utg[[#This Row],[Dato]]&amp;B1,Regnskap!C$11:C$51&amp;Regnskap!$K$11:$K$51,Regnskap!$I$11:$I$51,0)&gt;0,Data!$AJ$2,"")</f>
        <v/>
      </c>
      <c r="T40" s="3" t="str" cm="1">
        <f t="array" ref="T40">IF(_xlfn.XLOOKUP(t_utg[[#This Row],[Dato]]&amp;B1,Regnskap!C$11:C$51&amp;Regnskap!$K$11:$K$51,Regnskap!$J$11:$J$51,0)&gt;0,Data!$AJ$1,"")</f>
        <v/>
      </c>
      <c r="U40" s="3">
        <f ca="1">SUM(t_utg[[#This Row],[12_poeng]:[10_pLEV]])</f>
        <v>0</v>
      </c>
      <c r="V40" s="3">
        <f ca="1">SUM(t_utg[[#This Row],[Summert]]+t_utg[[#This Row],[LEV_poeng]])</f>
        <v>0</v>
      </c>
    </row>
    <row r="41" spans="1:23" x14ac:dyDescent="0.2">
      <c r="A41" s="3" t="s">
        <v>911</v>
      </c>
      <c r="B41">
        <f>IF(t_utg[[#This Row],[Dato]]&lt;&gt;"",WEEKNUM(t_utg[[#This Row],[Dato]]),"")</f>
        <v>20</v>
      </c>
      <c r="C41" s="22">
        <f>Data!AL40</f>
        <v>46522</v>
      </c>
      <c r="D41">
        <f ca="1">IFERROR(IF(t_utg[[#This Row],[Dato]]="","",OFFSET(_xlfn.XLOOKUP(C41,Kuponger!E:E,Kuponger!CB:CB),15,0)),"")</f>
        <v>0</v>
      </c>
      <c r="E41">
        <f ca="1">IFERROR(OFFSET(_xlfn.XLOOKUP(C41,Kuponger!E:E,Kuponger!CB:CB),15,1),"")</f>
        <v>0</v>
      </c>
      <c r="F41">
        <f ca="1">IFERROR(IF(t_utg[[#This Row],[Dato]]="","",OFFSET(_xlfn.XLOOKUP(C41,Kuponger!E:E,Kuponger!CB:CB),15,2)),"")</f>
        <v>0</v>
      </c>
      <c r="G41">
        <f ca="1">IFERROR(IF(OFFSET(_xlfn.XLOOKUP(C41,Kuponger!E:E,Kuponger!CB:CB),0,2)=0,"",OFFSET(_xlfn.XLOOKUP(C41,Kuponger!E:E,Kuponger!CB:CB),1,2))*-1,"")</f>
        <v>0</v>
      </c>
      <c r="H41" t="str">
        <f t="shared" ca="1" si="1"/>
        <v/>
      </c>
      <c r="I41" t="str">
        <f ca="1">IFERROR(IF(t_utg[[#This Row],[tp]]&lt;&gt;"",OFFSET(_xlfn.XLOOKUP(C41,Kuponger!E:E,Kuponger!CB:CB),1,1),""),"")</f>
        <v/>
      </c>
      <c r="J41" s="3">
        <f ca="1">IFERROR(IF(t_utg[[#This Row],[Dato]]="",0,OFFSET(_xlfn.XLOOKUP(t_utg[[#This Row],[Dato]],Kuponger!E:E,Kuponger!CB:CB),1,7)),"")</f>
        <v>0</v>
      </c>
      <c r="K41" s="3">
        <f ca="1">IFERROR(SUM(t_utg[[#This Row],[tp]]),0)</f>
        <v>0</v>
      </c>
      <c r="L41" s="3" t="str">
        <f ca="1">IF(t_utg[[#This Row],[Antall_rette]]=12,1,"")</f>
        <v/>
      </c>
      <c r="M41" s="3" t="str">
        <f ca="1">IF(t_utg[[#This Row],[Antall_rette]]&gt;10,1,"")</f>
        <v/>
      </c>
      <c r="N41" s="3" t="str">
        <f ca="1">IF(t_utg[[#This Row],[Antall_rette]]&gt;9,1,"")</f>
        <v/>
      </c>
      <c r="O41" s="3">
        <f ca="1">IF(t_utg[[#This Row],[12_Antall]]=1,Data!$AJ$3,0)</f>
        <v>0</v>
      </c>
      <c r="P41" s="3">
        <f ca="1">IF(t_utg[[#This Row],[11_Antall]]=1,Data!$AJ$2,0)</f>
        <v>0</v>
      </c>
      <c r="Q41" s="3">
        <f ca="1">IF(t_utg[[#This Row],[10_Antall]]=1,Data!$AJ$1,0)</f>
        <v>0</v>
      </c>
      <c r="R41" s="3" t="str" cm="1">
        <f t="array" ref="R41">IF(_xlfn.XLOOKUP(t_utg[[#This Row],[Dato]]&amp;B1,Regnskap!C$11:C$51&amp;Regnskap!$K$11:$K$51,Regnskap!$H$11:$H$51,0)&gt;0,Data!$AJ$13,"")</f>
        <v/>
      </c>
      <c r="S41" s="3" t="str" cm="1">
        <f t="array" ref="S41">IF(_xlfn.XLOOKUP(t_utg[[#This Row],[Dato]]&amp;B1,Regnskap!C$11:C$51&amp;Regnskap!$K$11:$K$51,Regnskap!$I$11:$I$51,0)&gt;0,Data!$AJ$2,"")</f>
        <v/>
      </c>
      <c r="T41" s="3" t="str" cm="1">
        <f t="array" ref="T41">IF(_xlfn.XLOOKUP(t_utg[[#This Row],[Dato]]&amp;B1,Regnskap!C$11:C$51&amp;Regnskap!$K$11:$K$51,Regnskap!$J$11:$J$51,0)&gt;0,Data!$AJ$1,"")</f>
        <v/>
      </c>
      <c r="U41" s="3">
        <f ca="1">SUM(t_utg[[#This Row],[12_poeng]:[10_pLEV]])</f>
        <v>0</v>
      </c>
      <c r="V41" s="3">
        <f ca="1">SUM(t_utg[[#This Row],[Summert]]+t_utg[[#This Row],[LEV_poeng]])</f>
        <v>0</v>
      </c>
    </row>
    <row r="42" spans="1:23" x14ac:dyDescent="0.2">
      <c r="L42" s="4"/>
      <c r="M42" s="678"/>
    </row>
    <row r="43" spans="1:23" x14ac:dyDescent="0.2">
      <c r="L43" s="4"/>
      <c r="M43" s="678"/>
    </row>
    <row r="44" spans="1:23" x14ac:dyDescent="0.2">
      <c r="L44" s="4"/>
      <c r="M44" s="677"/>
    </row>
    <row r="45" spans="1:23" x14ac:dyDescent="0.2">
      <c r="L45" s="4"/>
      <c r="M45" s="678"/>
    </row>
    <row r="47" spans="1:23" x14ac:dyDescent="0.2">
      <c r="L47" s="4"/>
      <c r="M47"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showZeros="0" workbookViewId="0">
      <pane ySplit="1" topLeftCell="A2" activePane="bottomLeft" state="frozen"/>
      <selection activeCell="K1" sqref="K1"/>
      <selection pane="bottomLeft" activeCell="R2" sqref="R2:T33"/>
    </sheetView>
  </sheetViews>
  <sheetFormatPr baseColWidth="10" defaultColWidth="11.42578125" defaultRowHeight="12.75" x14ac:dyDescent="0.2"/>
  <cols>
    <col min="1" max="1" width="11.42578125" customWidth="1"/>
    <col min="2" max="2" width="10.140625" bestFit="1" customWidth="1"/>
    <col min="3" max="3" width="4" bestFit="1" customWidth="1"/>
    <col min="4" max="4" width="3.5703125" bestFit="1" customWidth="1"/>
    <col min="5"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9" width="11.28515625" customWidth="1"/>
    <col min="20" max="20" width="12.5703125" bestFit="1" customWidth="1"/>
    <col min="21" max="21" width="6.85546875" bestFit="1" customWidth="1"/>
    <col min="24" max="25" width="10.28515625" customWidth="1"/>
  </cols>
  <sheetData>
    <row r="1" spans="1:36" ht="15.75" thickBot="1" x14ac:dyDescent="0.3">
      <c r="A1" s="23" t="s">
        <v>954</v>
      </c>
      <c r="B1" s="23" t="s">
        <v>953</v>
      </c>
      <c r="C1" s="23" t="s">
        <v>497</v>
      </c>
      <c r="D1" s="24" t="s">
        <v>16</v>
      </c>
      <c r="E1" s="24" t="s">
        <v>17</v>
      </c>
      <c r="F1" s="24" t="s">
        <v>18</v>
      </c>
      <c r="G1" s="24" t="s">
        <v>15</v>
      </c>
      <c r="H1" s="24" t="s">
        <v>516</v>
      </c>
      <c r="I1" s="25" t="s">
        <v>517</v>
      </c>
      <c r="J1" s="23" t="s">
        <v>944</v>
      </c>
      <c r="K1" s="23" t="s">
        <v>474</v>
      </c>
      <c r="L1" s="807" t="s">
        <v>475</v>
      </c>
      <c r="M1" s="807" t="s">
        <v>476</v>
      </c>
      <c r="N1" s="807" t="s">
        <v>477</v>
      </c>
      <c r="O1" s="807" t="s">
        <v>478</v>
      </c>
      <c r="P1" s="807" t="s">
        <v>479</v>
      </c>
      <c r="Q1" s="807" t="s">
        <v>480</v>
      </c>
      <c r="R1" s="807" t="s">
        <v>481</v>
      </c>
      <c r="S1" s="807" t="s">
        <v>482</v>
      </c>
      <c r="T1" s="807" t="s">
        <v>483</v>
      </c>
      <c r="U1" s="23" t="s">
        <v>484</v>
      </c>
      <c r="V1" s="23" t="s">
        <v>467</v>
      </c>
      <c r="W1" s="2"/>
      <c r="X1" s="2"/>
      <c r="Y1" s="2"/>
      <c r="Z1" s="2"/>
      <c r="AA1" s="2"/>
      <c r="AB1" s="2"/>
      <c r="AC1" s="676"/>
      <c r="AD1" s="23"/>
      <c r="AF1" s="468"/>
      <c r="AG1" s="468"/>
      <c r="AH1" s="468"/>
      <c r="AI1" s="468"/>
      <c r="AJ1" s="468"/>
    </row>
    <row r="2" spans="1:36" ht="13.5" thickTop="1" x14ac:dyDescent="0.2">
      <c r="A2" s="3" t="s">
        <v>957</v>
      </c>
      <c r="B2">
        <f>IF(t_lev[[#This Row],[Dato]]&lt;&gt;"",WEEKNUM(t_lev[[#This Row],[Dato]]),"")</f>
        <v>33</v>
      </c>
      <c r="C2" s="22">
        <f>Data!AL1</f>
        <v>46249</v>
      </c>
      <c r="D2">
        <f ca="1">IFERROR(IF(t_lev[[#This Row],[Dato]]="","",OFFSET(_xlfn.XLOOKUP(C2,Kuponger!E:E,Kuponger!CK:CK),15,0)),"")</f>
        <v>0</v>
      </c>
      <c r="E2">
        <f ca="1">IFERROR(IF(t_lev[[#This Row],[hp]]&lt;&gt;"",OFFSET(_xlfn.XLOOKUP(C2,Kuponger!E:E,Kuponger!CK:CK),15,1),""),"")</f>
        <v>0</v>
      </c>
      <c r="F2">
        <f ca="1">IFERROR(IF(t_lev[[#This Row],[Dato]]="","",OFFSET(_xlfn.XLOOKUP(C2,Kuponger!E:E,Kuponger!CK:CK),15,2)),"")</f>
        <v>0</v>
      </c>
      <c r="G2" t="str">
        <f ca="1">IFERROR(IF(OFFSET(_xlfn.XLOOKUP(C2,Kuponger!E:E,Kuponger!CK:CK),0,2)=0,"",OFFSET(_xlfn.XLOOKUP(C2,Kuponger!E:E,Kuponger!CK:CK),1,2))*-1,"")</f>
        <v/>
      </c>
      <c r="H2" t="str">
        <f t="shared" ref="H2" ca="1" si="0">IF(SUMIF(D2:G2,"&lt;&gt;""")=0,"",SUMIF(D2:G2,"&lt;&gt;"""))</f>
        <v/>
      </c>
      <c r="I2" t="str">
        <f ca="1">IFERROR(IF(t_lev[[#This Row],[tp]]&lt;&gt;"",OFFSET(_xlfn.XLOOKUP(C2,Kuponger!E:E,Kuponger!CK:CK),1,1),""),"")</f>
        <v/>
      </c>
      <c r="J2" s="3">
        <f ca="1">IFERROR(IF(t_lev[[#This Row],[Dato]]="",0,OFFSET(_xlfn.XLOOKUP(t_lev[[#This Row],[Dato]],Kuponger!E:E,Kuponger!CK:CK),1,7)),"")</f>
        <v>0</v>
      </c>
      <c r="K2" s="3">
        <f ca="1">IFERROR(SUM(t_lev[[#This Row],[tp]]),0)</f>
        <v>0</v>
      </c>
      <c r="L2" s="3" t="str">
        <f ca="1">IF(t_rb[[#This Row],[Antall_rette]]=12,1,"")</f>
        <v/>
      </c>
      <c r="M2" s="3" t="str">
        <f ca="1">IF(t_rb[[#This Row],[Antall_rette]]=11,1,"")</f>
        <v/>
      </c>
      <c r="N2" s="3" t="str">
        <f ca="1">IF(t_rb[[#This Row],[Antall_rette]]=10,1,"")</f>
        <v/>
      </c>
      <c r="O2" s="3">
        <f ca="1">IF(t_lev[[#This Row],[12_Antall]]=1,Data!$AJ$3,0)</f>
        <v>0</v>
      </c>
      <c r="P2" s="3">
        <f ca="1">IF(t_lev[[#This Row],[11_Antall]]=1,Data!$AJ$2,0)</f>
        <v>0</v>
      </c>
      <c r="Q2" s="3">
        <f ca="1">IF(t_lev[[#This Row],[10_Antall]]=1,Data!$AJ$1,0)</f>
        <v>0</v>
      </c>
      <c r="R2" s="3" t="str" cm="1">
        <f t="array" ref="R2">IFERROR(IF(_xlfn.XLOOKUP(t_lev[[#This Row],[Dato]]&amp;t_lev[[#This Row],[navn]],Regnskap!$C$10:$C$51&amp;Regnskap!$K$10:$K$51,Regnskap!$H$10:$H$51)&gt;0,Data!$AJ$3,""),"")</f>
        <v/>
      </c>
      <c r="S2" s="3" t="str" cm="1">
        <f t="array" ref="S2">IFERROR(IF(t_lev[[#This Row],[12_pLEV]]="",IF(_xlfn.XLOOKUP(t_lev[[#This Row],[Dato]]&amp;t_lev[[#This Row],[navn]],Regnskap!$C$10:$C$51&amp;Regnskap!$K$10:$K$51,Regnskap!$I$10:$I$51)&gt;0,Data!$AJ$2)),"")</f>
        <v/>
      </c>
      <c r="T2" s="3" t="str" cm="1">
        <f t="array" ref="T2">IFERROR(IF(t_lev[[#This Row],[11_pLEV]]="",IF(_xlfn.XLOOKUP(t_lev[[#This Row],[Dato]]&amp;t_lev[[#This Row],[navn]],Regnskap!$C$10:$C$51&amp;Regnskap!$K$10:$K$51,Regnskap!$J$10:$J$51)&gt;0,Data!$AJ$1),""),"")</f>
        <v/>
      </c>
      <c r="U2" s="3">
        <f ca="1">SUM(t_lev[[#This Row],[12_poeng]:[10_pLEV]])</f>
        <v>0</v>
      </c>
      <c r="V2" s="3">
        <f ca="1">SUM(t_lev[[#This Row],[Summert]]+t_lev[[#This Row],[LEV_poeng]])</f>
        <v>0</v>
      </c>
      <c r="AF2" s="3"/>
      <c r="AG2" s="3"/>
      <c r="AH2" s="3"/>
      <c r="AI2" s="3"/>
      <c r="AJ2" s="3"/>
    </row>
    <row r="3" spans="1:36" x14ac:dyDescent="0.2">
      <c r="A3" s="3" t="s">
        <v>957</v>
      </c>
      <c r="B3">
        <f>IF(t_lev[[#This Row],[Dato]]&lt;&gt;"",WEEKNUM(t_lev[[#This Row],[Dato]]),"")</f>
        <v>34</v>
      </c>
      <c r="C3" s="22">
        <f>Data!AL2</f>
        <v>46256</v>
      </c>
      <c r="D3">
        <f ca="1">IFERROR(IF(t_lev[[#This Row],[Dato]]="","",OFFSET(_xlfn.XLOOKUP(C3,Kuponger!E:E,Kuponger!CK:CK),15,0)),"")</f>
        <v>780</v>
      </c>
      <c r="E3">
        <f ca="1">IFERROR(IF(t_lev[[#This Row],[hp]]&lt;&gt;"",OFFSET(_xlfn.XLOOKUP(C3,Kuponger!E:E,Kuponger!CK:CK),15,1),""),"")</f>
        <v>0</v>
      </c>
      <c r="F3">
        <f ca="1">IFERROR(IF(t_lev[[#This Row],[Dato]]="","",OFFSET(_xlfn.XLOOKUP(C3,Kuponger!E:E,Kuponger!CK:CK),15,2)),"")</f>
        <v>0</v>
      </c>
      <c r="G3">
        <f ca="1">IFERROR(IF(OFFSET(_xlfn.XLOOKUP(C3,Kuponger!E:E,Kuponger!CK:CK),0,2)=0,"",OFFSET(_xlfn.XLOOKUP(C3,Kuponger!E:E,Kuponger!CK:CK),1,2))*-1,"")</f>
        <v>0</v>
      </c>
      <c r="H3">
        <f t="shared" ref="H3:H33" ca="1" si="1">IF(SUMIF(D3:G3,"&lt;&gt;""")=0,"",SUMIF(D3:G3,"&lt;&gt;"""))</f>
        <v>780</v>
      </c>
      <c r="I3">
        <f ca="1">IFERROR(IF(t_lev[[#This Row],[tp]]&lt;&gt;"",OFFSET(_xlfn.XLOOKUP(C3,Kuponger!E:E,Kuponger!CK:CK),1,1),""),"")</f>
        <v>1</v>
      </c>
      <c r="J3" s="3">
        <f ca="1">IFERROR(IF(t_lev[[#This Row],[Dato]]="",0,OFFSET(_xlfn.XLOOKUP(t_lev[[#This Row],[Dato]],Kuponger!E:E,Kuponger!CK:CK),1,7)),"")</f>
        <v>12</v>
      </c>
      <c r="K3" s="3">
        <f ca="1">IFERROR(SUM(t_lev[[#This Row],[tp]]),0)</f>
        <v>780</v>
      </c>
      <c r="L3" s="3">
        <f ca="1">IF(t_rb[[#This Row],[Antall_rette]]=12,1,"")</f>
        <v>1</v>
      </c>
      <c r="M3" s="3" t="str">
        <f ca="1">IF(t_rb[[#This Row],[Antall_rette]]=11,1,"")</f>
        <v/>
      </c>
      <c r="N3" s="3" t="str">
        <f ca="1">IF(t_rb[[#This Row],[Antall_rette]]=10,1,"")</f>
        <v/>
      </c>
      <c r="O3" s="3">
        <f ca="1">IF(t_lev[[#This Row],[12_Antall]]=1,Data!$AJ$3,0)</f>
        <v>1070</v>
      </c>
      <c r="P3" s="3">
        <f ca="1">IF(t_lev[[#This Row],[11_Antall]]=1,Data!$AJ$2,0)</f>
        <v>0</v>
      </c>
      <c r="Q3" s="3">
        <f ca="1">IF(t_lev[[#This Row],[10_Antall]]=1,Data!$AJ$1,0)</f>
        <v>0</v>
      </c>
      <c r="R3" s="3" t="str" cm="1">
        <f t="array" ref="R3">IFERROR(IF(_xlfn.XLOOKUP(t_lev[[#This Row],[Dato]]&amp;t_lev[[#This Row],[navn]],Regnskap!$C$10:$C$51&amp;Regnskap!$K$10:$K$51,Regnskap!$H$10:$H$51)&gt;0,Data!$AJ$3,""),"")</f>
        <v/>
      </c>
      <c r="S3" s="3" t="str" cm="1">
        <f t="array" ref="S3">IFERROR(IF(t_lev[[#This Row],[12_pLEV]]="",IF(_xlfn.XLOOKUP(t_lev[[#This Row],[Dato]]&amp;t_lev[[#This Row],[navn]],Regnskap!$C$10:$C$51&amp;Regnskap!$K$10:$K$51,Regnskap!$I$10:$I$51)&gt;0,Data!$AJ$2)),"")</f>
        <v/>
      </c>
      <c r="T3" s="3" t="str" cm="1">
        <f t="array" ref="T3">IFERROR(IF(t_lev[[#This Row],[11_pLEV]]="",IF(_xlfn.XLOOKUP(t_lev[[#This Row],[Dato]]&amp;t_lev[[#This Row],[navn]],Regnskap!$C$10:$C$51&amp;Regnskap!$K$10:$K$51,Regnskap!$J$10:$J$51)&gt;0,Data!$AJ$1),""),"")</f>
        <v/>
      </c>
      <c r="U3" s="3">
        <f ca="1">SUM(t_lev[[#This Row],[12_poeng]:[10_pLEV]])</f>
        <v>1070</v>
      </c>
      <c r="V3" s="3">
        <f ca="1">SUM(t_lev[[#This Row],[Summert]]+t_lev[[#This Row],[LEV_poeng]])</f>
        <v>1850</v>
      </c>
    </row>
    <row r="4" spans="1:36" x14ac:dyDescent="0.2">
      <c r="A4" s="3" t="s">
        <v>957</v>
      </c>
      <c r="B4">
        <f>IF(t_lev[[#This Row],[Dato]]&lt;&gt;"",WEEKNUM(t_lev[[#This Row],[Dato]]),"")</f>
        <v>35</v>
      </c>
      <c r="C4" s="22">
        <f>Data!AL3</f>
        <v>46263</v>
      </c>
      <c r="D4">
        <f ca="1">IFERROR(IF(t_lev[[#This Row],[Dato]]="","",OFFSET(_xlfn.XLOOKUP(C4,Kuponger!E:E,Kuponger!CK:CK),15,0)),"")</f>
        <v>780</v>
      </c>
      <c r="E4">
        <f ca="1">IFERROR(IF(t_lev[[#This Row],[hp]]&lt;&gt;"",OFFSET(_xlfn.XLOOKUP(C4,Kuponger!E:E,Kuponger!CK:CK),15,1),""),"")</f>
        <v>0</v>
      </c>
      <c r="F4">
        <f ca="1">IFERROR(IF(t_lev[[#This Row],[Dato]]="","",OFFSET(_xlfn.XLOOKUP(C4,Kuponger!E:E,Kuponger!CK:CK),15,2)),"")</f>
        <v>0</v>
      </c>
      <c r="G4">
        <f ca="1">IFERROR(IF(OFFSET(_xlfn.XLOOKUP(C4,Kuponger!E:E,Kuponger!CK:CK),0,2)=0,"",OFFSET(_xlfn.XLOOKUP(C4,Kuponger!E:E,Kuponger!CK:CK),1,2))*-1,"")</f>
        <v>0</v>
      </c>
      <c r="H4">
        <f t="shared" ca="1" si="1"/>
        <v>780</v>
      </c>
      <c r="I4">
        <f ca="1">IFERROR(IF(t_lev[[#This Row],[tp]]&lt;&gt;"",OFFSET(_xlfn.XLOOKUP(C4,Kuponger!E:E,Kuponger!CK:CK),1,1),""),"")</f>
        <v>1</v>
      </c>
      <c r="J4" s="3">
        <f ca="1">IFERROR(IF(t_lev[[#This Row],[Dato]]="",0,OFFSET(_xlfn.XLOOKUP(t_lev[[#This Row],[Dato]],Kuponger!E:E,Kuponger!CK:CK),1,7)),"")</f>
        <v>12</v>
      </c>
      <c r="K4" s="3">
        <f ca="1">IFERROR(SUM(t_lev[[#This Row],[tp]]),0)</f>
        <v>780</v>
      </c>
      <c r="L4" s="3">
        <f ca="1">IF(t_rb[[#This Row],[Antall_rette]]=12,1,"")</f>
        <v>1</v>
      </c>
      <c r="M4" s="3" t="str">
        <f ca="1">IF(t_rb[[#This Row],[Antall_rette]]=11,1,"")</f>
        <v/>
      </c>
      <c r="N4" s="3" t="str">
        <f ca="1">IF(t_rb[[#This Row],[Antall_rette]]=10,1,"")</f>
        <v/>
      </c>
      <c r="O4" s="3">
        <f ca="1">IF(t_lev[[#This Row],[12_Antall]]=1,Data!$AJ$3,0)</f>
        <v>1070</v>
      </c>
      <c r="P4" s="3">
        <f ca="1">IF(t_lev[[#This Row],[11_Antall]]=1,Data!$AJ$2,0)</f>
        <v>0</v>
      </c>
      <c r="Q4" s="3">
        <f ca="1">IF(t_lev[[#This Row],[10_Antall]]=1,Data!$AJ$1,0)</f>
        <v>0</v>
      </c>
      <c r="R4" s="3" t="str" cm="1">
        <f t="array" ref="R4">IFERROR(IF(_xlfn.XLOOKUP(t_lev[[#This Row],[Dato]]&amp;t_lev[[#This Row],[navn]],Regnskap!$C$10:$C$51&amp;Regnskap!$K$10:$K$51,Regnskap!$H$10:$H$51)&gt;0,Data!$AJ$3,""),"")</f>
        <v/>
      </c>
      <c r="S4" s="3" t="str" cm="1">
        <f t="array" ref="S4">IFERROR(IF(t_lev[[#This Row],[12_pLEV]]="",IF(_xlfn.XLOOKUP(t_lev[[#This Row],[Dato]]&amp;t_lev[[#This Row],[navn]],Regnskap!$C$10:$C$51&amp;Regnskap!$K$10:$K$51,Regnskap!$I$10:$I$51)&gt;0,Data!$AJ$2)),"")</f>
        <v/>
      </c>
      <c r="T4" s="3" t="str" cm="1">
        <f t="array" ref="T4">IFERROR(IF(t_lev[[#This Row],[11_pLEV]]="",IF(_xlfn.XLOOKUP(t_lev[[#This Row],[Dato]]&amp;t_lev[[#This Row],[navn]],Regnskap!$C$10:$C$51&amp;Regnskap!$K$10:$K$51,Regnskap!$J$10:$J$51)&gt;0,Data!$AJ$1),""),"")</f>
        <v/>
      </c>
      <c r="U4" s="3">
        <f ca="1">SUM(t_lev[[#This Row],[12_poeng]:[10_pLEV]])</f>
        <v>1070</v>
      </c>
      <c r="V4" s="3">
        <f ca="1">SUM(t_lev[[#This Row],[Summert]]+t_lev[[#This Row],[LEV_poeng]])</f>
        <v>1850</v>
      </c>
    </row>
    <row r="5" spans="1:36" x14ac:dyDescent="0.2">
      <c r="A5" s="3" t="s">
        <v>957</v>
      </c>
      <c r="B5">
        <f>IF(t_lev[[#This Row],[Dato]]&lt;&gt;"",WEEKNUM(t_lev[[#This Row],[Dato]]),"")</f>
        <v>36</v>
      </c>
      <c r="C5" s="22">
        <f>Data!AL4</f>
        <v>46270</v>
      </c>
      <c r="D5">
        <f ca="1">IFERROR(IF(t_lev[[#This Row],[Dato]]="","",OFFSET(_xlfn.XLOOKUP(C5,Kuponger!E:E,Kuponger!CK:CK),15,0)),"")</f>
        <v>780</v>
      </c>
      <c r="E5">
        <f ca="1">IFERROR(IF(t_lev[[#This Row],[hp]]&lt;&gt;"",OFFSET(_xlfn.XLOOKUP(C5,Kuponger!E:E,Kuponger!CK:CK),15,1),""),"")</f>
        <v>0</v>
      </c>
      <c r="F5">
        <f ca="1">IFERROR(IF(t_lev[[#This Row],[Dato]]="","",OFFSET(_xlfn.XLOOKUP(C5,Kuponger!E:E,Kuponger!CK:CK),15,2)),"")</f>
        <v>0</v>
      </c>
      <c r="G5">
        <f ca="1">IFERROR(IF(OFFSET(_xlfn.XLOOKUP(C5,Kuponger!E:E,Kuponger!CK:CK),0,2)=0,"",OFFSET(_xlfn.XLOOKUP(C5,Kuponger!E:E,Kuponger!CK:CK),1,2))*-1,"")</f>
        <v>0</v>
      </c>
      <c r="H5">
        <f t="shared" ca="1" si="1"/>
        <v>780</v>
      </c>
      <c r="I5">
        <f ca="1">IFERROR(IF(t_lev[[#This Row],[tp]]&lt;&gt;"",OFFSET(_xlfn.XLOOKUP(C5,Kuponger!E:E,Kuponger!CK:CK),1,1),""),"")</f>
        <v>1</v>
      </c>
      <c r="J5" s="3">
        <f ca="1">IFERROR(IF(t_lev[[#This Row],[Dato]]="",0,OFFSET(_xlfn.XLOOKUP(t_lev[[#This Row],[Dato]],Kuponger!E:E,Kuponger!CK:CK),1,7)),"")</f>
        <v>12</v>
      </c>
      <c r="K5" s="3">
        <f ca="1">IFERROR(SUM(t_lev[[#This Row],[tp]]),0)</f>
        <v>780</v>
      </c>
      <c r="L5" s="3">
        <f ca="1">IF(t_rb[[#This Row],[Antall_rette]]=12,1,"")</f>
        <v>1</v>
      </c>
      <c r="M5" s="3" t="str">
        <f ca="1">IF(t_rb[[#This Row],[Antall_rette]]=11,1,"")</f>
        <v/>
      </c>
      <c r="N5" s="3" t="str">
        <f ca="1">IF(t_rb[[#This Row],[Antall_rette]]=10,1,"")</f>
        <v/>
      </c>
      <c r="O5" s="3">
        <f ca="1">IF(t_lev[[#This Row],[12_Antall]]=1,Data!$AJ$3,0)</f>
        <v>1070</v>
      </c>
      <c r="P5" s="3">
        <f ca="1">IF(t_lev[[#This Row],[11_Antall]]=1,Data!$AJ$2,0)</f>
        <v>0</v>
      </c>
      <c r="Q5" s="3">
        <f ca="1">IF(t_lev[[#This Row],[10_Antall]]=1,Data!$AJ$1,0)</f>
        <v>0</v>
      </c>
      <c r="R5" s="3" t="str" cm="1">
        <f t="array" ref="R5">IFERROR(IF(_xlfn.XLOOKUP(t_lev[[#This Row],[Dato]]&amp;t_lev[[#This Row],[navn]],Regnskap!$C$10:$C$51&amp;Regnskap!$K$10:$K$51,Regnskap!$H$10:$H$51)&gt;0,Data!$AJ$3,""),"")</f>
        <v/>
      </c>
      <c r="S5" s="3" t="str" cm="1">
        <f t="array" ref="S5">IFERROR(IF(t_lev[[#This Row],[12_pLEV]]="",IF(_xlfn.XLOOKUP(t_lev[[#This Row],[Dato]]&amp;t_lev[[#This Row],[navn]],Regnskap!$C$10:$C$51&amp;Regnskap!$K$10:$K$51,Regnskap!$I$10:$I$51)&gt;0,Data!$AJ$2)),"")</f>
        <v/>
      </c>
      <c r="T5" s="3" t="str" cm="1">
        <f t="array" ref="T5">IFERROR(IF(t_lev[[#This Row],[11_pLEV]]="",IF(_xlfn.XLOOKUP(t_lev[[#This Row],[Dato]]&amp;t_lev[[#This Row],[navn]],Regnskap!$C$10:$C$51&amp;Regnskap!$K$10:$K$51,Regnskap!$J$10:$J$51)&gt;0,Data!$AJ$1),""),"")</f>
        <v/>
      </c>
      <c r="U5" s="3">
        <f ca="1">SUM(t_lev[[#This Row],[12_poeng]:[10_pLEV]])</f>
        <v>1070</v>
      </c>
      <c r="V5" s="3">
        <f ca="1">SUM(t_lev[[#This Row],[Summert]]+t_lev[[#This Row],[LEV_poeng]])</f>
        <v>1850</v>
      </c>
    </row>
    <row r="6" spans="1:36" x14ac:dyDescent="0.2">
      <c r="A6" s="3" t="s">
        <v>957</v>
      </c>
      <c r="B6">
        <f>IF(t_lev[[#This Row],[Dato]]&lt;&gt;"",WEEKNUM(t_lev[[#This Row],[Dato]]),"")</f>
        <v>37</v>
      </c>
      <c r="C6" s="22">
        <f>Data!AL5</f>
        <v>46277</v>
      </c>
      <c r="D6">
        <f ca="1">IFERROR(IF(t_lev[[#This Row],[Dato]]="","",OFFSET(_xlfn.XLOOKUP(C6,Kuponger!E:E,Kuponger!CK:CK),15,0)),"")</f>
        <v>0</v>
      </c>
      <c r="E6">
        <f ca="1">IFERROR(IF(t_lev[[#This Row],[hp]]&lt;&gt;"",OFFSET(_xlfn.XLOOKUP(C6,Kuponger!E:E,Kuponger!CK:CK),15,1),""),"")</f>
        <v>0</v>
      </c>
      <c r="F6">
        <f ca="1">IFERROR(IF(t_lev[[#This Row],[Dato]]="","",OFFSET(_xlfn.XLOOKUP(C6,Kuponger!E:E,Kuponger!CK:CK),15,2)),"")</f>
        <v>852</v>
      </c>
      <c r="G6">
        <f ca="1">IFERROR(IF(OFFSET(_xlfn.XLOOKUP(C6,Kuponger!E:E,Kuponger!CK:CK),0,2)=0,"",OFFSET(_xlfn.XLOOKUP(C6,Kuponger!E:E,Kuponger!CK:CK),1,2))*-1,"")</f>
        <v>0</v>
      </c>
      <c r="H6">
        <f t="shared" ca="1" si="1"/>
        <v>852</v>
      </c>
      <c r="I6" t="str">
        <f ca="1">IFERROR(IF(t_lev[[#This Row],[tp]]&lt;&gt;"",OFFSET(_xlfn.XLOOKUP(C6,Kuponger!E:E,Kuponger!CK:CK),1,1),""),"")</f>
        <v/>
      </c>
      <c r="J6" s="3">
        <f ca="1">IFERROR(IF(t_lev[[#This Row],[Dato]]="",0,OFFSET(_xlfn.XLOOKUP(t_lev[[#This Row],[Dato]],Kuponger!E:E,Kuponger!CK:CK),1,7)),"")</f>
        <v>12</v>
      </c>
      <c r="K6" s="3">
        <f ca="1">IFERROR(SUM(t_lev[[#This Row],[tp]]),0)</f>
        <v>852</v>
      </c>
      <c r="L6" s="3">
        <f ca="1">IF(t_rb[[#This Row],[Antall_rette]]=12,1,"")</f>
        <v>1</v>
      </c>
      <c r="M6" s="3" t="str">
        <f ca="1">IF(t_rb[[#This Row],[Antall_rette]]=11,1,"")</f>
        <v/>
      </c>
      <c r="N6" s="3" t="str">
        <f ca="1">IF(t_rb[[#This Row],[Antall_rette]]=10,1,"")</f>
        <v/>
      </c>
      <c r="O6" s="3">
        <f ca="1">IF(t_lev[[#This Row],[12_Antall]]=1,Data!$AJ$3,0)</f>
        <v>1070</v>
      </c>
      <c r="P6" s="3">
        <f ca="1">IF(t_lev[[#This Row],[11_Antall]]=1,Data!$AJ$2,0)</f>
        <v>0</v>
      </c>
      <c r="Q6" s="3">
        <f ca="1">IF(t_lev[[#This Row],[10_Antall]]=1,Data!$AJ$1,0)</f>
        <v>0</v>
      </c>
      <c r="R6" s="3" t="str" cm="1">
        <f t="array" ref="R6">IFERROR(IF(_xlfn.XLOOKUP(t_lev[[#This Row],[Dato]]&amp;t_lev[[#This Row],[navn]],Regnskap!$C$10:$C$51&amp;Regnskap!$K$10:$K$51,Regnskap!$H$10:$H$51)&gt;0,Data!$AJ$3,""),"")</f>
        <v/>
      </c>
      <c r="S6" s="3" t="str" cm="1">
        <f t="array" ref="S6">IFERROR(IF(t_lev[[#This Row],[12_pLEV]]="",IF(_xlfn.XLOOKUP(t_lev[[#This Row],[Dato]]&amp;t_lev[[#This Row],[navn]],Regnskap!$C$10:$C$51&amp;Regnskap!$K$10:$K$51,Regnskap!$I$10:$I$51)&gt;0,Data!$AJ$2)),"")</f>
        <v/>
      </c>
      <c r="T6" s="3" t="str" cm="1">
        <f t="array" ref="T6">IFERROR(IF(t_lev[[#This Row],[11_pLEV]]="",IF(_xlfn.XLOOKUP(t_lev[[#This Row],[Dato]]&amp;t_lev[[#This Row],[navn]],Regnskap!$C$10:$C$51&amp;Regnskap!$K$10:$K$51,Regnskap!$J$10:$J$51)&gt;0,Data!$AJ$1),""),"")</f>
        <v/>
      </c>
      <c r="U6" s="3">
        <f ca="1">SUM(t_lev[[#This Row],[12_poeng]:[10_pLEV]])</f>
        <v>1070</v>
      </c>
      <c r="V6" s="3">
        <f ca="1">SUM(t_lev[[#This Row],[Summert]]+t_lev[[#This Row],[LEV_poeng]])</f>
        <v>1922</v>
      </c>
    </row>
    <row r="7" spans="1:36" ht="15" x14ac:dyDescent="0.25">
      <c r="A7" s="3" t="s">
        <v>957</v>
      </c>
      <c r="B7">
        <f>IF(t_lev[[#This Row],[Dato]]&lt;&gt;"",WEEKNUM(t_lev[[#This Row],[Dato]]),"")</f>
        <v>38</v>
      </c>
      <c r="C7" s="22">
        <f>Data!AL6</f>
        <v>46284</v>
      </c>
      <c r="D7">
        <f ca="1">IFERROR(IF(t_lev[[#This Row],[Dato]]="","",OFFSET(_xlfn.XLOOKUP(C7,Kuponger!E:E,Kuponger!CK:CK),15,0)),"")</f>
        <v>0</v>
      </c>
      <c r="E7">
        <f ca="1">IFERROR(IF(t_lev[[#This Row],[hp]]&lt;&gt;"",OFFSET(_xlfn.XLOOKUP(C7,Kuponger!E:E,Kuponger!CK:CK),15,1),""),"")</f>
        <v>0</v>
      </c>
      <c r="F7">
        <f ca="1">IFERROR(IF(t_lev[[#This Row],[Dato]]="","",OFFSET(_xlfn.XLOOKUP(C7,Kuponger!E:E,Kuponger!CK:CK),15,2)),"")</f>
        <v>852</v>
      </c>
      <c r="G7">
        <f ca="1">IFERROR(IF(OFFSET(_xlfn.XLOOKUP(C7,Kuponger!E:E,Kuponger!CK:CK),0,2)=0,"",OFFSET(_xlfn.XLOOKUP(C7,Kuponger!E:E,Kuponger!CK:CK),1,2))*-1,"")</f>
        <v>0</v>
      </c>
      <c r="H7">
        <f t="shared" ca="1" si="1"/>
        <v>852</v>
      </c>
      <c r="I7" t="str">
        <f ca="1">IFERROR(IF(t_lev[[#This Row],[tp]]&lt;&gt;"",OFFSET(_xlfn.XLOOKUP(C7,Kuponger!E:E,Kuponger!CK:CK),1,1),""),"")</f>
        <v/>
      </c>
      <c r="J7" s="3">
        <f ca="1">IFERROR(IF(t_lev[[#This Row],[Dato]]="",0,OFFSET(_xlfn.XLOOKUP(t_lev[[#This Row],[Dato]],Kuponger!E:E,Kuponger!CK:CK),1,7)),"")</f>
        <v>12</v>
      </c>
      <c r="K7" s="3">
        <f ca="1">IFERROR(SUM(t_lev[[#This Row],[tp]]),0)</f>
        <v>852</v>
      </c>
      <c r="L7" s="3">
        <f ca="1">IF(t_rb[[#This Row],[Antall_rette]]=12,1,"")</f>
        <v>1</v>
      </c>
      <c r="M7" s="3" t="str">
        <f ca="1">IF(t_rb[[#This Row],[Antall_rette]]=11,1,"")</f>
        <v/>
      </c>
      <c r="N7" s="3" t="str">
        <f ca="1">IF(t_rb[[#This Row],[Antall_rette]]=10,1,"")</f>
        <v/>
      </c>
      <c r="O7" s="3">
        <f ca="1">IF(t_lev[[#This Row],[12_Antall]]=1,Data!$AJ$3,0)</f>
        <v>1070</v>
      </c>
      <c r="P7" s="3">
        <f ca="1">IF(t_lev[[#This Row],[11_Antall]]=1,Data!$AJ$2,0)</f>
        <v>0</v>
      </c>
      <c r="Q7" s="3">
        <f ca="1">IF(t_lev[[#This Row],[10_Antall]]=1,Data!$AJ$1,0)</f>
        <v>0</v>
      </c>
      <c r="R7" s="3" t="str" cm="1">
        <f t="array" ref="R7">IFERROR(IF(_xlfn.XLOOKUP(t_lev[[#This Row],[Dato]]&amp;t_lev[[#This Row],[navn]],Regnskap!$C$10:$C$51&amp;Regnskap!$K$10:$K$51,Regnskap!$H$10:$H$51)&gt;0,Data!$AJ$3,""),"")</f>
        <v/>
      </c>
      <c r="S7" s="3" t="str" cm="1">
        <f t="array" ref="S7">IFERROR(IF(t_lev[[#This Row],[12_pLEV]]="",IF(_xlfn.XLOOKUP(t_lev[[#This Row],[Dato]]&amp;t_lev[[#This Row],[navn]],Regnskap!$C$10:$C$51&amp;Regnskap!$K$10:$K$51,Regnskap!$I$10:$I$51)&gt;0,Data!$AJ$2)),"")</f>
        <v/>
      </c>
      <c r="T7" s="3" t="str" cm="1">
        <f t="array" ref="T7">IFERROR(IF(t_lev[[#This Row],[11_pLEV]]="",IF(_xlfn.XLOOKUP(t_lev[[#This Row],[Dato]]&amp;t_lev[[#This Row],[navn]],Regnskap!$C$10:$C$51&amp;Regnskap!$K$10:$K$51,Regnskap!$J$10:$J$51)&gt;0,Data!$AJ$1),""),"")</f>
        <v/>
      </c>
      <c r="U7" s="3">
        <f ca="1">SUM(t_lev[[#This Row],[12_poeng]:[10_pLEV]])</f>
        <v>1070</v>
      </c>
      <c r="V7" s="3">
        <f ca="1">SUM(t_lev[[#This Row],[Summert]]+t_lev[[#This Row],[LEV_poeng]])</f>
        <v>1922</v>
      </c>
      <c r="W7" s="671"/>
      <c r="X7" s="671"/>
      <c r="Y7" s="671"/>
      <c r="Z7" s="671"/>
      <c r="AA7" s="671"/>
      <c r="AB7" s="671"/>
      <c r="AC7" s="23"/>
    </row>
    <row r="8" spans="1:36" x14ac:dyDescent="0.2">
      <c r="A8" s="3" t="s">
        <v>957</v>
      </c>
      <c r="B8">
        <f>IF(t_lev[[#This Row],[Dato]]&lt;&gt;"",WEEKNUM(t_lev[[#This Row],[Dato]]),"")</f>
        <v>39</v>
      </c>
      <c r="C8" s="22">
        <f>Data!AL7</f>
        <v>46291</v>
      </c>
      <c r="D8">
        <f ca="1">IFERROR(IF(t_lev[[#This Row],[Dato]]="","",OFFSET(_xlfn.XLOOKUP(C8,Kuponger!E:E,Kuponger!CK:CK),15,0)),"")</f>
        <v>0</v>
      </c>
      <c r="E8">
        <f ca="1">IFERROR(IF(t_lev[[#This Row],[hp]]&lt;&gt;"",OFFSET(_xlfn.XLOOKUP(C8,Kuponger!E:E,Kuponger!CK:CK),15,1),""),"")</f>
        <v>0</v>
      </c>
      <c r="F8">
        <f ca="1">IFERROR(IF(t_lev[[#This Row],[Dato]]="","",OFFSET(_xlfn.XLOOKUP(C8,Kuponger!E:E,Kuponger!CK:CK),15,2)),"")</f>
        <v>710</v>
      </c>
      <c r="G8">
        <f ca="1">IFERROR(IF(OFFSET(_xlfn.XLOOKUP(C8,Kuponger!E:E,Kuponger!CK:CK),0,2)=0,"",OFFSET(_xlfn.XLOOKUP(C8,Kuponger!E:E,Kuponger!CK:CK),1,2))*-1,"")</f>
        <v>0</v>
      </c>
      <c r="H8">
        <f t="shared" ca="1" si="1"/>
        <v>710</v>
      </c>
      <c r="I8" t="str">
        <f ca="1">IFERROR(IF(t_lev[[#This Row],[tp]]&lt;&gt;"",OFFSET(_xlfn.XLOOKUP(C8,Kuponger!E:E,Kuponger!CK:CK),1,1),""),"")</f>
        <v/>
      </c>
      <c r="J8" s="3">
        <f ca="1">IFERROR(IF(t_lev[[#This Row],[Dato]]="",0,OFFSET(_xlfn.XLOOKUP(t_lev[[#This Row],[Dato]],Kuponger!E:E,Kuponger!CK:CK),1,7)),"")</f>
        <v>10</v>
      </c>
      <c r="K8" s="3">
        <f ca="1">IFERROR(SUM(t_lev[[#This Row],[tp]]),0)</f>
        <v>710</v>
      </c>
      <c r="L8" s="3" t="str">
        <f ca="1">IF(t_rb[[#This Row],[Antall_rette]]=12,1,"")</f>
        <v/>
      </c>
      <c r="M8" s="3" t="str">
        <f ca="1">IF(t_rb[[#This Row],[Antall_rette]]=11,1,"")</f>
        <v/>
      </c>
      <c r="N8" s="3">
        <f ca="1">IF(t_rb[[#This Row],[Antall_rette]]=10,1,"")</f>
        <v>1</v>
      </c>
      <c r="O8" s="3">
        <f ca="1">IF(t_lev[[#This Row],[12_Antall]]=1,Data!$AJ$3,0)</f>
        <v>0</v>
      </c>
      <c r="P8" s="3">
        <f ca="1">IF(t_lev[[#This Row],[11_Antall]]=1,Data!$AJ$2,0)</f>
        <v>0</v>
      </c>
      <c r="Q8" s="3">
        <f ca="1">IF(t_lev[[#This Row],[10_Antall]]=1,Data!$AJ$1,0)</f>
        <v>58</v>
      </c>
      <c r="R8" s="3" t="str" cm="1">
        <f t="array" ref="R8">IFERROR(IF(_xlfn.XLOOKUP(t_lev[[#This Row],[Dato]]&amp;t_lev[[#This Row],[navn]],Regnskap!$C$10:$C$51&amp;Regnskap!$K$10:$K$51,Regnskap!$H$10:$H$51)&gt;0,Data!$AJ$3,""),"")</f>
        <v/>
      </c>
      <c r="S8" s="3" t="str" cm="1">
        <f t="array" ref="S8">IFERROR(IF(t_lev[[#This Row],[12_pLEV]]="",IF(_xlfn.XLOOKUP(t_lev[[#This Row],[Dato]]&amp;t_lev[[#This Row],[navn]],Regnskap!$C$10:$C$51&amp;Regnskap!$K$10:$K$51,Regnskap!$I$10:$I$51)&gt;0,Data!$AJ$2)),"")</f>
        <v/>
      </c>
      <c r="T8" s="3" t="str" cm="1">
        <f t="array" ref="T8">IFERROR(IF(t_lev[[#This Row],[11_pLEV]]="",IF(_xlfn.XLOOKUP(t_lev[[#This Row],[Dato]]&amp;t_lev[[#This Row],[navn]],Regnskap!$C$10:$C$51&amp;Regnskap!$K$10:$K$51,Regnskap!$J$10:$J$51)&gt;0,Data!$AJ$1),""),"")</f>
        <v/>
      </c>
      <c r="U8" s="3">
        <f ca="1">SUM(t_lev[[#This Row],[12_poeng]:[10_pLEV]])</f>
        <v>58</v>
      </c>
      <c r="V8" s="3">
        <f ca="1">SUM(t_lev[[#This Row],[Summert]]+t_lev[[#This Row],[LEV_poeng]])</f>
        <v>768</v>
      </c>
    </row>
    <row r="9" spans="1:36" x14ac:dyDescent="0.2">
      <c r="A9" s="3" t="s">
        <v>957</v>
      </c>
      <c r="B9">
        <f>IF(t_lev[[#This Row],[Dato]]&lt;&gt;"",WEEKNUM(t_lev[[#This Row],[Dato]]),"")</f>
        <v>40</v>
      </c>
      <c r="C9" s="22">
        <f>Data!AL8</f>
        <v>46298</v>
      </c>
      <c r="D9">
        <f ca="1">IFERROR(IF(t_lev[[#This Row],[Dato]]="","",OFFSET(_xlfn.XLOOKUP(C9,Kuponger!E:E,Kuponger!CK:CK),15,0)),"")</f>
        <v>0</v>
      </c>
      <c r="E9">
        <f ca="1">IFERROR(IF(t_lev[[#This Row],[hp]]&lt;&gt;"",OFFSET(_xlfn.XLOOKUP(C9,Kuponger!E:E,Kuponger!CK:CK),15,1),""),"")</f>
        <v>814</v>
      </c>
      <c r="F9">
        <f ca="1">IFERROR(IF(t_lev[[#This Row],[Dato]]="","",OFFSET(_xlfn.XLOOKUP(C9,Kuponger!E:E,Kuponger!CK:CK),15,2)),"")</f>
        <v>0</v>
      </c>
      <c r="G9">
        <f ca="1">IFERROR(IF(OFFSET(_xlfn.XLOOKUP(C9,Kuponger!E:E,Kuponger!CK:CK),0,2)=0,"",OFFSET(_xlfn.XLOOKUP(C9,Kuponger!E:E,Kuponger!CK:CK),1,2))*-1,"")</f>
        <v>0</v>
      </c>
      <c r="H9">
        <f t="shared" ca="1" si="1"/>
        <v>814</v>
      </c>
      <c r="I9">
        <f ca="1">IFERROR(IF(t_lev[[#This Row],[tp]]&lt;&gt;"",OFFSET(_xlfn.XLOOKUP(C9,Kuponger!E:E,Kuponger!CK:CK),1,1),""),"")</f>
        <v>1</v>
      </c>
      <c r="J9" s="3">
        <f ca="1">IFERROR(IF(t_lev[[#This Row],[Dato]]="",0,OFFSET(_xlfn.XLOOKUP(t_lev[[#This Row],[Dato]],Kuponger!E:E,Kuponger!CK:CK),1,7)),"")</f>
        <v>11</v>
      </c>
      <c r="K9" s="3">
        <f ca="1">IFERROR(SUM(t_lev[[#This Row],[tp]]),0)</f>
        <v>814</v>
      </c>
      <c r="L9" s="3" t="str">
        <f ca="1">IF(t_rb[[#This Row],[Antall_rette]]=12,1,"")</f>
        <v/>
      </c>
      <c r="M9" s="3">
        <f ca="1">IF(t_rb[[#This Row],[Antall_rette]]=11,1,"")</f>
        <v>1</v>
      </c>
      <c r="N9" s="3" t="str">
        <f ca="1">IF(t_rb[[#This Row],[Antall_rette]]=10,1,"")</f>
        <v/>
      </c>
      <c r="O9" s="3">
        <f ca="1">IF(t_lev[[#This Row],[12_Antall]]=1,Data!$AJ$3,0)</f>
        <v>0</v>
      </c>
      <c r="P9" s="3">
        <f ca="1">IF(t_lev[[#This Row],[11_Antall]]=1,Data!$AJ$2,0)</f>
        <v>161</v>
      </c>
      <c r="Q9" s="3">
        <f ca="1">IF(t_lev[[#This Row],[10_Antall]]=1,Data!$AJ$1,0)</f>
        <v>0</v>
      </c>
      <c r="R9" s="3" t="str" cm="1">
        <f t="array" ref="R9">IFERROR(IF(_xlfn.XLOOKUP(t_lev[[#This Row],[Dato]]&amp;t_lev[[#This Row],[navn]],Regnskap!$C$10:$C$51&amp;Regnskap!$K$10:$K$51,Regnskap!$H$10:$H$51)&gt;0,Data!$AJ$3,""),"")</f>
        <v/>
      </c>
      <c r="S9" s="3" t="str" cm="1">
        <f t="array" ref="S9">IFERROR(IF(t_lev[[#This Row],[12_pLEV]]="",IF(_xlfn.XLOOKUP(t_lev[[#This Row],[Dato]]&amp;t_lev[[#This Row],[navn]],Regnskap!$C$10:$C$51&amp;Regnskap!$K$10:$K$51,Regnskap!$I$10:$I$51)&gt;0,Data!$AJ$2)),"")</f>
        <v/>
      </c>
      <c r="T9" s="3" t="str" cm="1">
        <f t="array" ref="T9">IFERROR(IF(t_lev[[#This Row],[11_pLEV]]="",IF(_xlfn.XLOOKUP(t_lev[[#This Row],[Dato]]&amp;t_lev[[#This Row],[navn]],Regnskap!$C$10:$C$51&amp;Regnskap!$K$10:$K$51,Regnskap!$J$10:$J$51)&gt;0,Data!$AJ$1),""),"")</f>
        <v/>
      </c>
      <c r="U9" s="3">
        <f ca="1">SUM(t_lev[[#This Row],[12_poeng]:[10_pLEV]])</f>
        <v>161</v>
      </c>
      <c r="V9" s="3">
        <f ca="1">SUM(t_lev[[#This Row],[Summert]]+t_lev[[#This Row],[LEV_poeng]])</f>
        <v>975</v>
      </c>
    </row>
    <row r="10" spans="1:36" x14ac:dyDescent="0.2">
      <c r="A10" s="3" t="s">
        <v>957</v>
      </c>
      <c r="B10">
        <f>IF(t_lev[[#This Row],[Dato]]&lt;&gt;"",WEEKNUM(t_lev[[#This Row],[Dato]]),"")</f>
        <v>41</v>
      </c>
      <c r="C10" s="22">
        <f>Data!AL9</f>
        <v>46305</v>
      </c>
      <c r="D10">
        <f ca="1">IFERROR(IF(t_lev[[#This Row],[Dato]]="","",OFFSET(_xlfn.XLOOKUP(C10,Kuponger!E:E,Kuponger!CK:CK),15,0)),"")</f>
        <v>0</v>
      </c>
      <c r="E10">
        <f ca="1">IFERROR(IF(t_lev[[#This Row],[hp]]&lt;&gt;"",OFFSET(_xlfn.XLOOKUP(C10,Kuponger!E:E,Kuponger!CK:CK),15,1),""),"")</f>
        <v>888</v>
      </c>
      <c r="F10">
        <f ca="1">IFERROR(IF(t_lev[[#This Row],[Dato]]="","",OFFSET(_xlfn.XLOOKUP(C10,Kuponger!E:E,Kuponger!CK:CK),15,2)),"")</f>
        <v>0</v>
      </c>
      <c r="G10">
        <f ca="1">IFERROR(IF(OFFSET(_xlfn.XLOOKUP(C10,Kuponger!E:E,Kuponger!CK:CK),0,2)=0,"",OFFSET(_xlfn.XLOOKUP(C10,Kuponger!E:E,Kuponger!CK:CK),1,2))*-1,"")</f>
        <v>0</v>
      </c>
      <c r="H10">
        <f t="shared" ca="1" si="1"/>
        <v>888</v>
      </c>
      <c r="I10">
        <f ca="1">IFERROR(IF(t_lev[[#This Row],[tp]]&lt;&gt;"",OFFSET(_xlfn.XLOOKUP(C10,Kuponger!E:E,Kuponger!CK:CK),1,1),""),"")</f>
        <v>1</v>
      </c>
      <c r="J10" s="3">
        <f ca="1">IFERROR(IF(t_lev[[#This Row],[Dato]]="",0,OFFSET(_xlfn.XLOOKUP(t_lev[[#This Row],[Dato]],Kuponger!E:E,Kuponger!CK:CK),1,7)),"")</f>
        <v>12</v>
      </c>
      <c r="K10" s="3">
        <f ca="1">IFERROR(SUM(t_lev[[#This Row],[tp]]),0)</f>
        <v>888</v>
      </c>
      <c r="L10" s="3">
        <f ca="1">IF(t_rb[[#This Row],[Antall_rette]]=12,1,"")</f>
        <v>1</v>
      </c>
      <c r="M10" s="3" t="str">
        <f ca="1">IF(t_rb[[#This Row],[Antall_rette]]=11,1,"")</f>
        <v/>
      </c>
      <c r="N10" s="3" t="str">
        <f ca="1">IF(t_rb[[#This Row],[Antall_rette]]=10,1,"")</f>
        <v/>
      </c>
      <c r="O10" s="3">
        <f ca="1">IF(t_lev[[#This Row],[12_Antall]]=1,Data!$AJ$3,0)</f>
        <v>1070</v>
      </c>
      <c r="P10" s="3">
        <f ca="1">IF(t_lev[[#This Row],[11_Antall]]=1,Data!$AJ$2,0)</f>
        <v>0</v>
      </c>
      <c r="Q10" s="3">
        <f ca="1">IF(t_lev[[#This Row],[10_Antall]]=1,Data!$AJ$1,0)</f>
        <v>0</v>
      </c>
      <c r="R10" s="3" t="str" cm="1">
        <f t="array" ref="R10">IFERROR(IF(_xlfn.XLOOKUP(t_lev[[#This Row],[Dato]]&amp;t_lev[[#This Row],[navn]],Regnskap!$C$10:$C$51&amp;Regnskap!$K$10:$K$51,Regnskap!$H$10:$H$51)&gt;0,Data!$AJ$3,""),"")</f>
        <v/>
      </c>
      <c r="S10" s="3" t="str" cm="1">
        <f t="array" ref="S10">IFERROR(IF(t_lev[[#This Row],[12_pLEV]]="",IF(_xlfn.XLOOKUP(t_lev[[#This Row],[Dato]]&amp;t_lev[[#This Row],[navn]],Regnskap!$C$10:$C$51&amp;Regnskap!$K$10:$K$51,Regnskap!$I$10:$I$51)&gt;0,Data!$AJ$2)),"")</f>
        <v/>
      </c>
      <c r="T10" s="3" t="str" cm="1">
        <f t="array" ref="T10">IFERROR(IF(t_lev[[#This Row],[11_pLEV]]="",IF(_xlfn.XLOOKUP(t_lev[[#This Row],[Dato]]&amp;t_lev[[#This Row],[navn]],Regnskap!$C$10:$C$51&amp;Regnskap!$K$10:$K$51,Regnskap!$J$10:$J$51)&gt;0,Data!$AJ$1),""),"")</f>
        <v/>
      </c>
      <c r="U10" s="3">
        <f ca="1">SUM(t_lev[[#This Row],[12_poeng]:[10_pLEV]])</f>
        <v>1070</v>
      </c>
      <c r="V10" s="3">
        <f ca="1">SUM(t_lev[[#This Row],[Summert]]+t_lev[[#This Row],[LEV_poeng]])</f>
        <v>1958</v>
      </c>
    </row>
    <row r="11" spans="1:36" x14ac:dyDescent="0.2">
      <c r="A11" s="3" t="s">
        <v>957</v>
      </c>
      <c r="B11">
        <f>IF(t_lev[[#This Row],[Dato]]&lt;&gt;"",WEEKNUM(t_lev[[#This Row],[Dato]]),"")</f>
        <v>42</v>
      </c>
      <c r="C11" s="22">
        <f>Data!AL10</f>
        <v>46312</v>
      </c>
      <c r="D11">
        <f ca="1">IFERROR(IF(t_lev[[#This Row],[Dato]]="","",OFFSET(_xlfn.XLOOKUP(C11,Kuponger!E:E,Kuponger!CK:CK),15,0)),"")</f>
        <v>0</v>
      </c>
      <c r="E11">
        <f ca="1">IFERROR(IF(t_lev[[#This Row],[hp]]&lt;&gt;"",OFFSET(_xlfn.XLOOKUP(C11,Kuponger!E:E,Kuponger!CK:CK),15,1),""),"")</f>
        <v>0</v>
      </c>
      <c r="F11">
        <f ca="1">IFERROR(IF(t_lev[[#This Row],[Dato]]="","",OFFSET(_xlfn.XLOOKUP(C11,Kuponger!E:E,Kuponger!CK:CK),15,2)),"")</f>
        <v>0</v>
      </c>
      <c r="G11">
        <f ca="1">IFERROR(IF(OFFSET(_xlfn.XLOOKUP(C11,Kuponger!E:E,Kuponger!CK:CK),0,2)=0,"",OFFSET(_xlfn.XLOOKUP(C11,Kuponger!E:E,Kuponger!CK:CK),1,2))*-1,"")</f>
        <v>0</v>
      </c>
      <c r="H11" t="str">
        <f t="shared" ca="1" si="1"/>
        <v/>
      </c>
      <c r="I11" t="str">
        <f ca="1">IFERROR(IF(t_lev[[#This Row],[tp]]&lt;&gt;"",OFFSET(_xlfn.XLOOKUP(C11,Kuponger!E:E,Kuponger!CK:CK),1,1),""),"")</f>
        <v/>
      </c>
      <c r="J11" s="3">
        <f ca="1">IFERROR(IF(t_lev[[#This Row],[Dato]]="",0,OFFSET(_xlfn.XLOOKUP(t_lev[[#This Row],[Dato]],Kuponger!E:E,Kuponger!CK:CK),1,7)),"")</f>
        <v>0</v>
      </c>
      <c r="K11" s="3">
        <f ca="1">IFERROR(SUM(t_lev[[#This Row],[tp]]),0)</f>
        <v>0</v>
      </c>
      <c r="L11" s="3" t="str">
        <f ca="1">IF(t_rb[[#This Row],[Antall_rette]]=12,1,"")</f>
        <v/>
      </c>
      <c r="M11" s="3" t="str">
        <f ca="1">IF(t_rb[[#This Row],[Antall_rette]]=11,1,"")</f>
        <v/>
      </c>
      <c r="N11" s="3" t="str">
        <f ca="1">IF(t_rb[[#This Row],[Antall_rette]]=10,1,"")</f>
        <v/>
      </c>
      <c r="O11" s="3">
        <f ca="1">IF(t_lev[[#This Row],[12_Antall]]=1,Data!$AJ$3,0)</f>
        <v>0</v>
      </c>
      <c r="P11" s="3">
        <f ca="1">IF(t_lev[[#This Row],[11_Antall]]=1,Data!$AJ$2,0)</f>
        <v>0</v>
      </c>
      <c r="Q11" s="3">
        <f ca="1">IF(t_lev[[#This Row],[10_Antall]]=1,Data!$AJ$1,0)</f>
        <v>0</v>
      </c>
      <c r="R11" s="3" t="str" cm="1">
        <f t="array" ref="R11">IFERROR(IF(_xlfn.XLOOKUP(t_lev[[#This Row],[Dato]]&amp;t_lev[[#This Row],[navn]],Regnskap!$C$10:$C$51&amp;Regnskap!$K$10:$K$51,Regnskap!$H$10:$H$51)&gt;0,Data!$AJ$3,""),"")</f>
        <v/>
      </c>
      <c r="S11" s="3" t="str" cm="1">
        <f t="array" ref="S11">IFERROR(IF(t_lev[[#This Row],[12_pLEV]]="",IF(_xlfn.XLOOKUP(t_lev[[#This Row],[Dato]]&amp;t_lev[[#This Row],[navn]],Regnskap!$C$10:$C$51&amp;Regnskap!$K$10:$K$51,Regnskap!$I$10:$I$51)&gt;0,Data!$AJ$2)),"")</f>
        <v/>
      </c>
      <c r="T11" s="3" t="str" cm="1">
        <f t="array" ref="T11">IFERROR(IF(t_lev[[#This Row],[11_pLEV]]="",IF(_xlfn.XLOOKUP(t_lev[[#This Row],[Dato]]&amp;t_lev[[#This Row],[navn]],Regnskap!$C$10:$C$51&amp;Regnskap!$K$10:$K$51,Regnskap!$J$10:$J$51)&gt;0,Data!$AJ$1),""),"")</f>
        <v/>
      </c>
      <c r="U11" s="3">
        <f ca="1">SUM(t_lev[[#This Row],[12_poeng]:[10_pLEV]])</f>
        <v>0</v>
      </c>
      <c r="V11" s="3">
        <f ca="1">SUM(t_lev[[#This Row],[Summert]]+t_lev[[#This Row],[LEV_poeng]])</f>
        <v>0</v>
      </c>
    </row>
    <row r="12" spans="1:36" x14ac:dyDescent="0.2">
      <c r="A12" s="3" t="s">
        <v>957</v>
      </c>
      <c r="B12">
        <f>IF(t_lev[[#This Row],[Dato]]&lt;&gt;"",WEEKNUM(t_lev[[#This Row],[Dato]]),"")</f>
        <v>43</v>
      </c>
      <c r="C12" s="22">
        <f>Data!AL11</f>
        <v>46319</v>
      </c>
      <c r="D12">
        <f ca="1">IFERROR(IF(t_lev[[#This Row],[Dato]]="","",OFFSET(_xlfn.XLOOKUP(C12,Kuponger!E:E,Kuponger!CK:CK),15,0)),"")</f>
        <v>0</v>
      </c>
      <c r="E12">
        <f ca="1">IFERROR(IF(t_lev[[#This Row],[hp]]&lt;&gt;"",OFFSET(_xlfn.XLOOKUP(C12,Kuponger!E:E,Kuponger!CK:CK),15,1),""),"")</f>
        <v>0</v>
      </c>
      <c r="F12">
        <f ca="1">IFERROR(IF(t_lev[[#This Row],[Dato]]="","",OFFSET(_xlfn.XLOOKUP(C12,Kuponger!E:E,Kuponger!CK:CK),15,2)),"")</f>
        <v>0</v>
      </c>
      <c r="G12" t="str">
        <f ca="1">IFERROR(IF(OFFSET(_xlfn.XLOOKUP(C12,Kuponger!E:E,Kuponger!CK:CK),0,2)=0,"",OFFSET(_xlfn.XLOOKUP(C12,Kuponger!E:E,Kuponger!CK:CK),1,2))*-1,"")</f>
        <v/>
      </c>
      <c r="H12" t="str">
        <f t="shared" ca="1" si="1"/>
        <v/>
      </c>
      <c r="I12" t="str">
        <f ca="1">IFERROR(IF(t_lev[[#This Row],[tp]]&lt;&gt;"",OFFSET(_xlfn.XLOOKUP(C12,Kuponger!E:E,Kuponger!CK:CK),1,1),""),"")</f>
        <v/>
      </c>
      <c r="J12" s="3">
        <f ca="1">IFERROR(IF(t_lev[[#This Row],[Dato]]="",0,OFFSET(_xlfn.XLOOKUP(t_lev[[#This Row],[Dato]],Kuponger!E:E,Kuponger!CK:CK),1,7)),"")</f>
        <v>0</v>
      </c>
      <c r="K12" s="3">
        <f ca="1">IFERROR(SUM(t_lev[[#This Row],[tp]]),0)</f>
        <v>0</v>
      </c>
      <c r="L12" s="3" t="str">
        <f ca="1">IF(t_rb[[#This Row],[Antall_rette]]=12,1,"")</f>
        <v/>
      </c>
      <c r="M12" s="3" t="str">
        <f ca="1">IF(t_rb[[#This Row],[Antall_rette]]=11,1,"")</f>
        <v/>
      </c>
      <c r="N12" s="3" t="str">
        <f ca="1">IF(t_rb[[#This Row],[Antall_rette]]=10,1,"")</f>
        <v/>
      </c>
      <c r="O12" s="3">
        <f ca="1">IF(t_lev[[#This Row],[12_Antall]]=1,Data!$AJ$3,0)</f>
        <v>0</v>
      </c>
      <c r="P12" s="3">
        <f ca="1">IF(t_lev[[#This Row],[11_Antall]]=1,Data!$AJ$2,0)</f>
        <v>0</v>
      </c>
      <c r="Q12" s="3">
        <f ca="1">IF(t_lev[[#This Row],[10_Antall]]=1,Data!$AJ$1,0)</f>
        <v>0</v>
      </c>
      <c r="R12" s="3" t="str" cm="1">
        <f t="array" ref="R12">IFERROR(IF(_xlfn.XLOOKUP(t_lev[[#This Row],[Dato]]&amp;t_lev[[#This Row],[navn]],Regnskap!$C$10:$C$51&amp;Regnskap!$K$10:$K$51,Regnskap!$H$10:$H$51)&gt;0,Data!$AJ$3,""),"")</f>
        <v/>
      </c>
      <c r="S12" s="3" t="str" cm="1">
        <f t="array" ref="S12">IFERROR(IF(t_lev[[#This Row],[12_pLEV]]="",IF(_xlfn.XLOOKUP(t_lev[[#This Row],[Dato]]&amp;t_lev[[#This Row],[navn]],Regnskap!$C$10:$C$51&amp;Regnskap!$K$10:$K$51,Regnskap!$I$10:$I$51)&gt;0,Data!$AJ$2)),"")</f>
        <v/>
      </c>
      <c r="T12" s="3" t="str" cm="1">
        <f t="array" ref="T12">IFERROR(IF(t_lev[[#This Row],[11_pLEV]]="",IF(_xlfn.XLOOKUP(t_lev[[#This Row],[Dato]]&amp;t_lev[[#This Row],[navn]],Regnskap!$C$10:$C$51&amp;Regnskap!$K$10:$K$51,Regnskap!$J$10:$J$51)&gt;0,Data!$AJ$1),""),"")</f>
        <v/>
      </c>
      <c r="U12" s="3">
        <f ca="1">SUM(t_lev[[#This Row],[12_poeng]:[10_pLEV]])</f>
        <v>0</v>
      </c>
      <c r="V12" s="3">
        <f ca="1">SUM(t_lev[[#This Row],[Summert]]+t_lev[[#This Row],[LEV_poeng]])</f>
        <v>0</v>
      </c>
    </row>
    <row r="13" spans="1:36" ht="15" x14ac:dyDescent="0.25">
      <c r="A13" s="3" t="s">
        <v>957</v>
      </c>
      <c r="B13">
        <f>IF(t_lev[[#This Row],[Dato]]&lt;&gt;"",WEEKNUM(t_lev[[#This Row],[Dato]]),"")</f>
        <v>44</v>
      </c>
      <c r="C13" s="22">
        <f>Data!AL12</f>
        <v>46326</v>
      </c>
      <c r="D13">
        <f ca="1">IFERROR(IF(t_lev[[#This Row],[Dato]]="","",OFFSET(_xlfn.XLOOKUP(C13,Kuponger!E:E,Kuponger!CK:CK),15,0)),"")</f>
        <v>0</v>
      </c>
      <c r="E13">
        <f ca="1">IFERROR(IF(t_lev[[#This Row],[hp]]&lt;&gt;"",OFFSET(_xlfn.XLOOKUP(C13,Kuponger!E:E,Kuponger!CK:CK),15,1),""),"")</f>
        <v>0</v>
      </c>
      <c r="F13">
        <f ca="1">IFERROR(IF(t_lev[[#This Row],[Dato]]="","",OFFSET(_xlfn.XLOOKUP(C13,Kuponger!E:E,Kuponger!CK:CK),15,2)),"")</f>
        <v>0</v>
      </c>
      <c r="G13" t="str">
        <f ca="1">IFERROR(IF(OFFSET(_xlfn.XLOOKUP(C13,Kuponger!E:E,Kuponger!CK:CK),0,2)=0,"",OFFSET(_xlfn.XLOOKUP(C13,Kuponger!E:E,Kuponger!CK:CK),1,2))*-1,"")</f>
        <v/>
      </c>
      <c r="H13" t="str">
        <f t="shared" ca="1" si="1"/>
        <v/>
      </c>
      <c r="I13" t="str">
        <f ca="1">IFERROR(IF(t_lev[[#This Row],[tp]]&lt;&gt;"",OFFSET(_xlfn.XLOOKUP(C13,Kuponger!E:E,Kuponger!CK:CK),1,1),""),"")</f>
        <v/>
      </c>
      <c r="J13" s="3">
        <f ca="1">IFERROR(IF(t_lev[[#This Row],[Dato]]="",0,OFFSET(_xlfn.XLOOKUP(t_lev[[#This Row],[Dato]],Kuponger!E:E,Kuponger!CK:CK),1,7)),"")</f>
        <v>0</v>
      </c>
      <c r="K13" s="3">
        <f ca="1">IFERROR(SUM(t_lev[[#This Row],[tp]]),0)</f>
        <v>0</v>
      </c>
      <c r="L13" s="3" t="str">
        <f ca="1">IF(t_rb[[#This Row],[Antall_rette]]=12,1,"")</f>
        <v/>
      </c>
      <c r="M13" s="3" t="str">
        <f ca="1">IF(t_rb[[#This Row],[Antall_rette]]=11,1,"")</f>
        <v/>
      </c>
      <c r="N13" s="3" t="str">
        <f ca="1">IF(t_rb[[#This Row],[Antall_rette]]=10,1,"")</f>
        <v/>
      </c>
      <c r="O13" s="3">
        <f ca="1">IF(t_lev[[#This Row],[12_Antall]]=1,Data!$AJ$3,0)</f>
        <v>0</v>
      </c>
      <c r="P13" s="3">
        <f ca="1">IF(t_lev[[#This Row],[11_Antall]]=1,Data!$AJ$2,0)</f>
        <v>0</v>
      </c>
      <c r="Q13" s="3">
        <f ca="1">IF(t_lev[[#This Row],[10_Antall]]=1,Data!$AJ$1,0)</f>
        <v>0</v>
      </c>
      <c r="R13" s="3" t="str" cm="1">
        <f t="array" ref="R13">IFERROR(IF(_xlfn.XLOOKUP(t_lev[[#This Row],[Dato]]&amp;t_lev[[#This Row],[navn]],Regnskap!$C$10:$C$51&amp;Regnskap!$K$10:$K$51,Regnskap!$H$10:$H$51)&gt;0,Data!$AJ$3,""),"")</f>
        <v/>
      </c>
      <c r="S13" s="3" t="str" cm="1">
        <f t="array" ref="S13">IFERROR(IF(t_lev[[#This Row],[12_pLEV]]="",IF(_xlfn.XLOOKUP(t_lev[[#This Row],[Dato]]&amp;t_lev[[#This Row],[navn]],Regnskap!$C$10:$C$51&amp;Regnskap!$K$10:$K$51,Regnskap!$I$10:$I$51)&gt;0,Data!$AJ$2)),"")</f>
        <v/>
      </c>
      <c r="T13" s="3" t="str" cm="1">
        <f t="array" ref="T13">IFERROR(IF(t_lev[[#This Row],[11_pLEV]]="",IF(_xlfn.XLOOKUP(t_lev[[#This Row],[Dato]]&amp;t_lev[[#This Row],[navn]],Regnskap!$C$10:$C$51&amp;Regnskap!$K$10:$K$51,Regnskap!$J$10:$J$51)&gt;0,Data!$AJ$1),""),"")</f>
        <v/>
      </c>
      <c r="U13" s="3">
        <f ca="1">SUM(t_lev[[#This Row],[12_poeng]:[10_pLEV]])</f>
        <v>0</v>
      </c>
      <c r="V13" s="3">
        <f ca="1">SUM(t_lev[[#This Row],[Summert]]+t_lev[[#This Row],[LEV_poeng]])</f>
        <v>0</v>
      </c>
      <c r="W13" s="671"/>
      <c r="X13" s="671"/>
      <c r="Y13" s="671"/>
      <c r="Z13" s="671"/>
      <c r="AA13" s="671"/>
      <c r="AB13" s="671"/>
      <c r="AC13" s="23"/>
    </row>
    <row r="14" spans="1:36" x14ac:dyDescent="0.2">
      <c r="A14" s="3" t="s">
        <v>957</v>
      </c>
      <c r="B14">
        <f>IF(t_lev[[#This Row],[Dato]]&lt;&gt;"",WEEKNUM(t_lev[[#This Row],[Dato]]),"")</f>
        <v>45</v>
      </c>
      <c r="C14" s="22">
        <f>Data!AL13</f>
        <v>46333</v>
      </c>
      <c r="D14">
        <f ca="1">IFERROR(IF(t_lev[[#This Row],[Dato]]="","",OFFSET(_xlfn.XLOOKUP(C14,Kuponger!E:E,Kuponger!CK:CK),15,0)),"")</f>
        <v>0</v>
      </c>
      <c r="E14">
        <f ca="1">IFERROR(IF(t_lev[[#This Row],[hp]]&lt;&gt;"",OFFSET(_xlfn.XLOOKUP(C14,Kuponger!E:E,Kuponger!CK:CK),15,1),""),"")</f>
        <v>0</v>
      </c>
      <c r="F14">
        <f ca="1">IFERROR(IF(t_lev[[#This Row],[Dato]]="","",OFFSET(_xlfn.XLOOKUP(C14,Kuponger!E:E,Kuponger!CK:CK),15,2)),"")</f>
        <v>0</v>
      </c>
      <c r="G14">
        <f ca="1">IFERROR(IF(OFFSET(_xlfn.XLOOKUP(C14,Kuponger!E:E,Kuponger!CK:CK),0,2)=0,"",OFFSET(_xlfn.XLOOKUP(C14,Kuponger!E:E,Kuponger!CK:CK),1,2))*-1,"")</f>
        <v>0</v>
      </c>
      <c r="H14" t="str">
        <f t="shared" ca="1" si="1"/>
        <v/>
      </c>
      <c r="I14" t="str">
        <f ca="1">IFERROR(IF(t_lev[[#This Row],[tp]]&lt;&gt;"",OFFSET(_xlfn.XLOOKUP(C14,Kuponger!E:E,Kuponger!CK:CK),1,1),""),"")</f>
        <v/>
      </c>
      <c r="J14" s="3">
        <f ca="1">IFERROR(IF(t_lev[[#This Row],[Dato]]="",0,OFFSET(_xlfn.XLOOKUP(t_lev[[#This Row],[Dato]],Kuponger!E:E,Kuponger!CK:CK),1,7)),"")</f>
        <v>0</v>
      </c>
      <c r="K14" s="3">
        <f ca="1">IFERROR(SUM(t_lev[[#This Row],[tp]]),0)</f>
        <v>0</v>
      </c>
      <c r="L14" s="3" t="str">
        <f ca="1">IF(t_rb[[#This Row],[Antall_rette]]=12,1,"")</f>
        <v/>
      </c>
      <c r="M14" s="3" t="str">
        <f ca="1">IF(t_rb[[#This Row],[Antall_rette]]=11,1,"")</f>
        <v/>
      </c>
      <c r="N14" s="3" t="str">
        <f ca="1">IF(t_rb[[#This Row],[Antall_rette]]=10,1,"")</f>
        <v/>
      </c>
      <c r="O14" s="3">
        <f ca="1">IF(t_lev[[#This Row],[12_Antall]]=1,Data!$AJ$3,0)</f>
        <v>0</v>
      </c>
      <c r="P14" s="3">
        <f ca="1">IF(t_lev[[#This Row],[11_Antall]]=1,Data!$AJ$2,0)</f>
        <v>0</v>
      </c>
      <c r="Q14" s="3">
        <f ca="1">IF(t_lev[[#This Row],[10_Antall]]=1,Data!$AJ$1,0)</f>
        <v>0</v>
      </c>
      <c r="R14" s="3" t="str" cm="1">
        <f t="array" ref="R14">IFERROR(IF(_xlfn.XLOOKUP(t_lev[[#This Row],[Dato]]&amp;t_lev[[#This Row],[navn]],Regnskap!$C$10:$C$51&amp;Regnskap!$K$10:$K$51,Regnskap!$H$10:$H$51)&gt;0,Data!$AJ$3,""),"")</f>
        <v/>
      </c>
      <c r="S14" s="3" t="str" cm="1">
        <f t="array" ref="S14">IFERROR(IF(t_lev[[#This Row],[12_pLEV]]="",IF(_xlfn.XLOOKUP(t_lev[[#This Row],[Dato]]&amp;t_lev[[#This Row],[navn]],Regnskap!$C$10:$C$51&amp;Regnskap!$K$10:$K$51,Regnskap!$I$10:$I$51)&gt;0,Data!$AJ$2)),"")</f>
        <v/>
      </c>
      <c r="T14" s="3" t="str" cm="1">
        <f t="array" ref="T14">IFERROR(IF(t_lev[[#This Row],[11_pLEV]]="",IF(_xlfn.XLOOKUP(t_lev[[#This Row],[Dato]]&amp;t_lev[[#This Row],[navn]],Regnskap!$C$10:$C$51&amp;Regnskap!$K$10:$K$51,Regnskap!$J$10:$J$51)&gt;0,Data!$AJ$1),""),"")</f>
        <v/>
      </c>
      <c r="U14" s="3">
        <f ca="1">SUM(t_lev[[#This Row],[12_poeng]:[10_pLEV]])</f>
        <v>0</v>
      </c>
      <c r="V14" s="3">
        <f ca="1">SUM(t_lev[[#This Row],[Summert]]+t_lev[[#This Row],[LEV_poeng]])</f>
        <v>0</v>
      </c>
    </row>
    <row r="15" spans="1:36" x14ac:dyDescent="0.2">
      <c r="A15" s="3" t="s">
        <v>957</v>
      </c>
      <c r="B15">
        <f>IF(t_lev[[#This Row],[Dato]]&lt;&gt;"",WEEKNUM(t_lev[[#This Row],[Dato]]),"")</f>
        <v>46</v>
      </c>
      <c r="C15" s="22">
        <f>Data!AL14</f>
        <v>46340</v>
      </c>
      <c r="D15">
        <f ca="1">IFERROR(IF(t_lev[[#This Row],[Dato]]="","",OFFSET(_xlfn.XLOOKUP(C15,Kuponger!E:E,Kuponger!CK:CK),15,0)),"")</f>
        <v>0</v>
      </c>
      <c r="E15">
        <f ca="1">IFERROR(IF(t_lev[[#This Row],[hp]]&lt;&gt;"",OFFSET(_xlfn.XLOOKUP(C15,Kuponger!E:E,Kuponger!CK:CK),15,1),""),"")</f>
        <v>0</v>
      </c>
      <c r="F15">
        <f ca="1">IFERROR(IF(t_lev[[#This Row],[Dato]]="","",OFFSET(_xlfn.XLOOKUP(C15,Kuponger!E:E,Kuponger!CK:CK),15,2)),"")</f>
        <v>0</v>
      </c>
      <c r="G15">
        <f ca="1">IFERROR(IF(OFFSET(_xlfn.XLOOKUP(C15,Kuponger!E:E,Kuponger!CK:CK),0,2)=0,"",OFFSET(_xlfn.XLOOKUP(C15,Kuponger!E:E,Kuponger!CK:CK),1,2))*-1,"")</f>
        <v>0</v>
      </c>
      <c r="H15" t="str">
        <f t="shared" ca="1" si="1"/>
        <v/>
      </c>
      <c r="I15" t="str">
        <f ca="1">IFERROR(IF(t_lev[[#This Row],[tp]]&lt;&gt;"",OFFSET(_xlfn.XLOOKUP(C15,Kuponger!E:E,Kuponger!CK:CK),1,1),""),"")</f>
        <v/>
      </c>
      <c r="J15" s="3">
        <f ca="1">IFERROR(IF(t_lev[[#This Row],[Dato]]="",0,OFFSET(_xlfn.XLOOKUP(t_lev[[#This Row],[Dato]],Kuponger!E:E,Kuponger!CK:CK),1,7)),"")</f>
        <v>0</v>
      </c>
      <c r="K15" s="3">
        <f ca="1">IFERROR(SUM(t_lev[[#This Row],[tp]]),0)</f>
        <v>0</v>
      </c>
      <c r="L15" s="3" t="str">
        <f ca="1">IF(t_rb[[#This Row],[Antall_rette]]=12,1,"")</f>
        <v/>
      </c>
      <c r="M15" s="3" t="str">
        <f ca="1">IF(t_rb[[#This Row],[Antall_rette]]=11,1,"")</f>
        <v/>
      </c>
      <c r="N15" s="3" t="str">
        <f ca="1">IF(t_rb[[#This Row],[Antall_rette]]=10,1,"")</f>
        <v/>
      </c>
      <c r="O15" s="3">
        <f ca="1">IF(t_lev[[#This Row],[12_Antall]]=1,Data!$AJ$3,0)</f>
        <v>0</v>
      </c>
      <c r="P15" s="3">
        <f ca="1">IF(t_lev[[#This Row],[11_Antall]]=1,Data!$AJ$2,0)</f>
        <v>0</v>
      </c>
      <c r="Q15" s="3">
        <f ca="1">IF(t_lev[[#This Row],[10_Antall]]=1,Data!$AJ$1,0)</f>
        <v>0</v>
      </c>
      <c r="R15" s="3" t="str" cm="1">
        <f t="array" ref="R15">IFERROR(IF(_xlfn.XLOOKUP(t_lev[[#This Row],[Dato]]&amp;t_lev[[#This Row],[navn]],Regnskap!$C$10:$C$51&amp;Regnskap!$K$10:$K$51,Regnskap!$H$10:$H$51)&gt;0,Data!$AJ$3,""),"")</f>
        <v/>
      </c>
      <c r="S15" s="3" t="str" cm="1">
        <f t="array" ref="S15">IFERROR(IF(t_lev[[#This Row],[12_pLEV]]="",IF(_xlfn.XLOOKUP(t_lev[[#This Row],[Dato]]&amp;t_lev[[#This Row],[navn]],Regnskap!$C$10:$C$51&amp;Regnskap!$K$10:$K$51,Regnskap!$I$10:$I$51)&gt;0,Data!$AJ$2)),"")</f>
        <v/>
      </c>
      <c r="T15" s="3" t="str" cm="1">
        <f t="array" ref="T15">IFERROR(IF(t_lev[[#This Row],[11_pLEV]]="",IF(_xlfn.XLOOKUP(t_lev[[#This Row],[Dato]]&amp;t_lev[[#This Row],[navn]],Regnskap!$C$10:$C$51&amp;Regnskap!$K$10:$K$51,Regnskap!$J$10:$J$51)&gt;0,Data!$AJ$1),""),"")</f>
        <v/>
      </c>
      <c r="U15" s="3">
        <f ca="1">SUM(t_lev[[#This Row],[12_poeng]:[10_pLEV]])</f>
        <v>0</v>
      </c>
      <c r="V15" s="3">
        <f ca="1">SUM(t_lev[[#This Row],[Summert]]+t_lev[[#This Row],[LEV_poeng]])</f>
        <v>0</v>
      </c>
    </row>
    <row r="16" spans="1:36" x14ac:dyDescent="0.2">
      <c r="A16" s="3" t="s">
        <v>957</v>
      </c>
      <c r="B16">
        <f>IF(t_lev[[#This Row],[Dato]]&lt;&gt;"",WEEKNUM(t_lev[[#This Row],[Dato]]),"")</f>
        <v>47</v>
      </c>
      <c r="C16" s="22">
        <f>Data!AL15</f>
        <v>46347</v>
      </c>
      <c r="D16">
        <f ca="1">IFERROR(IF(t_lev[[#This Row],[Dato]]="","",OFFSET(_xlfn.XLOOKUP(C16,Kuponger!E:E,Kuponger!CK:CK),15,0)),"")</f>
        <v>0</v>
      </c>
      <c r="E16">
        <f ca="1">IFERROR(IF(t_lev[[#This Row],[hp]]&lt;&gt;"",OFFSET(_xlfn.XLOOKUP(C16,Kuponger!E:E,Kuponger!CK:CK),15,1),""),"")</f>
        <v>0</v>
      </c>
      <c r="F16">
        <f ca="1">IFERROR(IF(t_lev[[#This Row],[Dato]]="","",OFFSET(_xlfn.XLOOKUP(C16,Kuponger!E:E,Kuponger!CK:CK),15,2)),"")</f>
        <v>0</v>
      </c>
      <c r="G16">
        <f ca="1">IFERROR(IF(OFFSET(_xlfn.XLOOKUP(C16,Kuponger!E:E,Kuponger!CK:CK),0,2)=0,"",OFFSET(_xlfn.XLOOKUP(C16,Kuponger!E:E,Kuponger!CK:CK),1,2))*-1,"")</f>
        <v>0</v>
      </c>
      <c r="H16" t="str">
        <f t="shared" ca="1" si="1"/>
        <v/>
      </c>
      <c r="I16" t="str">
        <f ca="1">IFERROR(IF(t_lev[[#This Row],[tp]]&lt;&gt;"",OFFSET(_xlfn.XLOOKUP(C16,Kuponger!E:E,Kuponger!CK:CK),1,1),""),"")</f>
        <v/>
      </c>
      <c r="J16" s="3">
        <f ca="1">IFERROR(IF(t_lev[[#This Row],[Dato]]="",0,OFFSET(_xlfn.XLOOKUP(t_lev[[#This Row],[Dato]],Kuponger!E:E,Kuponger!CK:CK),1,7)),"")</f>
        <v>0</v>
      </c>
      <c r="K16" s="3">
        <f ca="1">IFERROR(SUM(t_lev[[#This Row],[tp]]),0)</f>
        <v>0</v>
      </c>
      <c r="L16" s="3" t="str">
        <f ca="1">IF(t_rb[[#This Row],[Antall_rette]]=12,1,"")</f>
        <v/>
      </c>
      <c r="M16" s="3" t="str">
        <f ca="1">IF(t_rb[[#This Row],[Antall_rette]]=11,1,"")</f>
        <v/>
      </c>
      <c r="N16" s="3" t="str">
        <f ca="1">IF(t_rb[[#This Row],[Antall_rette]]=10,1,"")</f>
        <v/>
      </c>
      <c r="O16" s="3">
        <f ca="1">IF(t_lev[[#This Row],[12_Antall]]=1,Data!$AJ$3,0)</f>
        <v>0</v>
      </c>
      <c r="P16" s="3">
        <f ca="1">IF(t_lev[[#This Row],[11_Antall]]=1,Data!$AJ$2,0)</f>
        <v>0</v>
      </c>
      <c r="Q16" s="3">
        <f ca="1">IF(t_lev[[#This Row],[10_Antall]]=1,Data!$AJ$1,0)</f>
        <v>0</v>
      </c>
      <c r="R16" s="3" t="str" cm="1">
        <f t="array" ref="R16">IFERROR(IF(_xlfn.XLOOKUP(t_lev[[#This Row],[Dato]]&amp;t_lev[[#This Row],[navn]],Regnskap!$C$10:$C$51&amp;Regnskap!$K$10:$K$51,Regnskap!$H$10:$H$51)&gt;0,Data!$AJ$3,""),"")</f>
        <v/>
      </c>
      <c r="S16" s="3" t="str" cm="1">
        <f t="array" ref="S16">IFERROR(IF(t_lev[[#This Row],[12_pLEV]]="",IF(_xlfn.XLOOKUP(t_lev[[#This Row],[Dato]]&amp;t_lev[[#This Row],[navn]],Regnskap!$C$10:$C$51&amp;Regnskap!$K$10:$K$51,Regnskap!$I$10:$I$51)&gt;0,Data!$AJ$2)),"")</f>
        <v/>
      </c>
      <c r="T16" s="3" t="str" cm="1">
        <f t="array" ref="T16">IFERROR(IF(t_lev[[#This Row],[11_pLEV]]="",IF(_xlfn.XLOOKUP(t_lev[[#This Row],[Dato]]&amp;t_lev[[#This Row],[navn]],Regnskap!$C$10:$C$51&amp;Regnskap!$K$10:$K$51,Regnskap!$J$10:$J$51)&gt;0,Data!$AJ$1),""),"")</f>
        <v/>
      </c>
      <c r="U16" s="3">
        <f ca="1">SUM(t_lev[[#This Row],[12_poeng]:[10_pLEV]])</f>
        <v>0</v>
      </c>
      <c r="V16" s="3">
        <f ca="1">SUM(t_lev[[#This Row],[Summert]]+t_lev[[#This Row],[LEV_poeng]])</f>
        <v>0</v>
      </c>
    </row>
    <row r="17" spans="1:28" x14ac:dyDescent="0.2">
      <c r="A17" s="3" t="s">
        <v>957</v>
      </c>
      <c r="B17">
        <f>IF(t_lev[[#This Row],[Dato]]&lt;&gt;"",WEEKNUM(t_lev[[#This Row],[Dato]]),"")</f>
        <v>48</v>
      </c>
      <c r="C17" s="22">
        <f>Data!AL16</f>
        <v>46354</v>
      </c>
      <c r="D17">
        <f ca="1">IFERROR(IF(t_lev[[#This Row],[Dato]]="","",OFFSET(_xlfn.XLOOKUP(C17,Kuponger!E:E,Kuponger!CK:CK),15,0)),"")</f>
        <v>0</v>
      </c>
      <c r="E17">
        <f ca="1">IFERROR(IF(t_lev[[#This Row],[hp]]&lt;&gt;"",OFFSET(_xlfn.XLOOKUP(C17,Kuponger!E:E,Kuponger!CK:CK),15,1),""),"")</f>
        <v>0</v>
      </c>
      <c r="F17">
        <f ca="1">IFERROR(IF(t_lev[[#This Row],[Dato]]="","",OFFSET(_xlfn.XLOOKUP(C17,Kuponger!E:E,Kuponger!CK:CK),15,2)),"")</f>
        <v>0</v>
      </c>
      <c r="G17">
        <f ca="1">IFERROR(IF(OFFSET(_xlfn.XLOOKUP(C17,Kuponger!E:E,Kuponger!CK:CK),0,2)=0,"",OFFSET(_xlfn.XLOOKUP(C17,Kuponger!E:E,Kuponger!CK:CK),1,2))*-1,"")</f>
        <v>0</v>
      </c>
      <c r="H17" t="str">
        <f t="shared" ca="1" si="1"/>
        <v/>
      </c>
      <c r="I17" t="str">
        <f ca="1">IFERROR(IF(t_lev[[#This Row],[tp]]&lt;&gt;"",OFFSET(_xlfn.XLOOKUP(C17,Kuponger!E:E,Kuponger!CK:CK),1,1),""),"")</f>
        <v/>
      </c>
      <c r="J17" s="3">
        <f ca="1">IFERROR(IF(t_lev[[#This Row],[Dato]]="",0,OFFSET(_xlfn.XLOOKUP(t_lev[[#This Row],[Dato]],Kuponger!E:E,Kuponger!CK:CK),1,7)),"")</f>
        <v>0</v>
      </c>
      <c r="K17" s="3">
        <f ca="1">IFERROR(SUM(t_lev[[#This Row],[tp]]),0)</f>
        <v>0</v>
      </c>
      <c r="L17" s="3" t="str">
        <f ca="1">IF(t_rb[[#This Row],[Antall_rette]]=12,1,"")</f>
        <v/>
      </c>
      <c r="M17" s="3" t="str">
        <f ca="1">IF(t_rb[[#This Row],[Antall_rette]]=11,1,"")</f>
        <v/>
      </c>
      <c r="N17" s="3" t="str">
        <f ca="1">IF(t_rb[[#This Row],[Antall_rette]]=10,1,"")</f>
        <v/>
      </c>
      <c r="O17" s="3">
        <f ca="1">IF(t_lev[[#This Row],[12_Antall]]=1,Data!$AJ$3,0)</f>
        <v>0</v>
      </c>
      <c r="P17" s="3">
        <f ca="1">IF(t_lev[[#This Row],[11_Antall]]=1,Data!$AJ$2,0)</f>
        <v>0</v>
      </c>
      <c r="Q17" s="3">
        <f ca="1">IF(t_lev[[#This Row],[10_Antall]]=1,Data!$AJ$1,0)</f>
        <v>0</v>
      </c>
      <c r="R17" s="3" t="str" cm="1">
        <f t="array" ref="R17">IFERROR(IF(_xlfn.XLOOKUP(t_lev[[#This Row],[Dato]]&amp;t_lev[[#This Row],[navn]],Regnskap!$C$10:$C$51&amp;Regnskap!$K$10:$K$51,Regnskap!$H$10:$H$51)&gt;0,Data!$AJ$3,""),"")</f>
        <v/>
      </c>
      <c r="S17" s="3" t="str" cm="1">
        <f t="array" ref="S17">IFERROR(IF(t_lev[[#This Row],[12_pLEV]]="",IF(_xlfn.XLOOKUP(t_lev[[#This Row],[Dato]]&amp;t_lev[[#This Row],[navn]],Regnskap!$C$10:$C$51&amp;Regnskap!$K$10:$K$51,Regnskap!$I$10:$I$51)&gt;0,Data!$AJ$2)),"")</f>
        <v/>
      </c>
      <c r="T17" s="3" t="str" cm="1">
        <f t="array" ref="T17">IFERROR(IF(t_lev[[#This Row],[11_pLEV]]="",IF(_xlfn.XLOOKUP(t_lev[[#This Row],[Dato]]&amp;t_lev[[#This Row],[navn]],Regnskap!$C$10:$C$51&amp;Regnskap!$K$10:$K$51,Regnskap!$J$10:$J$51)&gt;0,Data!$AJ$1),""),"")</f>
        <v/>
      </c>
      <c r="U17" s="3">
        <f ca="1">SUM(t_lev[[#This Row],[12_poeng]:[10_pLEV]])</f>
        <v>0</v>
      </c>
      <c r="V17" s="3">
        <f ca="1">SUM(t_lev[[#This Row],[Summert]]+t_lev[[#This Row],[LEV_poeng]])</f>
        <v>0</v>
      </c>
    </row>
    <row r="18" spans="1:28" x14ac:dyDescent="0.2">
      <c r="A18" s="3" t="s">
        <v>957</v>
      </c>
      <c r="B18">
        <f>IF(t_lev[[#This Row],[Dato]]&lt;&gt;"",WEEKNUM(t_lev[[#This Row],[Dato]]),"")</f>
        <v>49</v>
      </c>
      <c r="C18" s="22">
        <f>Data!AL17</f>
        <v>46361</v>
      </c>
      <c r="D18">
        <f ca="1">IFERROR(IF(t_lev[[#This Row],[Dato]]="","",OFFSET(_xlfn.XLOOKUP(C18,Kuponger!E:E,Kuponger!CK:CK),15,0)),"")</f>
        <v>0</v>
      </c>
      <c r="E18">
        <f ca="1">IFERROR(IF(t_lev[[#This Row],[hp]]&lt;&gt;"",OFFSET(_xlfn.XLOOKUP(C18,Kuponger!E:E,Kuponger!CK:CK),15,1),""),"")</f>
        <v>0</v>
      </c>
      <c r="F18">
        <f ca="1">IFERROR(IF(t_lev[[#This Row],[Dato]]="","",OFFSET(_xlfn.XLOOKUP(C18,Kuponger!E:E,Kuponger!CK:CK),15,2)),"")</f>
        <v>0</v>
      </c>
      <c r="G18">
        <f ca="1">IFERROR(IF(OFFSET(_xlfn.XLOOKUP(C18,Kuponger!E:E,Kuponger!CK:CK),0,2)=0,"",OFFSET(_xlfn.XLOOKUP(C18,Kuponger!E:E,Kuponger!CK:CK),1,2))*-1,"")</f>
        <v>0</v>
      </c>
      <c r="H18" t="str">
        <f t="shared" ca="1" si="1"/>
        <v/>
      </c>
      <c r="I18" t="str">
        <f ca="1">IFERROR(IF(t_lev[[#This Row],[tp]]&lt;&gt;"",OFFSET(_xlfn.XLOOKUP(C18,Kuponger!E:E,Kuponger!CK:CK),1,1),""),"")</f>
        <v/>
      </c>
      <c r="J18" s="3">
        <f ca="1">IFERROR(IF(t_lev[[#This Row],[Dato]]="",0,OFFSET(_xlfn.XLOOKUP(t_lev[[#This Row],[Dato]],Kuponger!E:E,Kuponger!CK:CK),1,7)),"")</f>
        <v>0</v>
      </c>
      <c r="K18" s="3">
        <f ca="1">IFERROR(SUM(t_lev[[#This Row],[tp]]),0)</f>
        <v>0</v>
      </c>
      <c r="L18" s="3" t="str">
        <f ca="1">IF(t_rb[[#This Row],[Antall_rette]]=12,1,"")</f>
        <v/>
      </c>
      <c r="M18" s="3" t="str">
        <f ca="1">IF(t_rb[[#This Row],[Antall_rette]]=11,1,"")</f>
        <v/>
      </c>
      <c r="N18" s="3" t="str">
        <f ca="1">IF(t_rb[[#This Row],[Antall_rette]]=10,1,"")</f>
        <v/>
      </c>
      <c r="O18" s="3">
        <f ca="1">IF(t_lev[[#This Row],[12_Antall]]=1,Data!$AJ$3,0)</f>
        <v>0</v>
      </c>
      <c r="P18" s="3">
        <f ca="1">IF(t_lev[[#This Row],[11_Antall]]=1,Data!$AJ$2,0)</f>
        <v>0</v>
      </c>
      <c r="Q18" s="3">
        <f ca="1">IF(t_lev[[#This Row],[10_Antall]]=1,Data!$AJ$1,0)</f>
        <v>0</v>
      </c>
      <c r="R18" s="3" t="str" cm="1">
        <f t="array" ref="R18">IFERROR(IF(_xlfn.XLOOKUP(t_lev[[#This Row],[Dato]]&amp;t_lev[[#This Row],[navn]],Regnskap!$C$10:$C$51&amp;Regnskap!$K$10:$K$51,Regnskap!$H$10:$H$51)&gt;0,Data!$AJ$3,""),"")</f>
        <v/>
      </c>
      <c r="S18" s="3" t="str" cm="1">
        <f t="array" ref="S18">IFERROR(IF(t_lev[[#This Row],[12_pLEV]]="",IF(_xlfn.XLOOKUP(t_lev[[#This Row],[Dato]]&amp;t_lev[[#This Row],[navn]],Regnskap!$C$10:$C$51&amp;Regnskap!$K$10:$K$51,Regnskap!$I$10:$I$51)&gt;0,Data!$AJ$2)),"")</f>
        <v/>
      </c>
      <c r="T18" s="3" t="str" cm="1">
        <f t="array" ref="T18">IFERROR(IF(t_lev[[#This Row],[11_pLEV]]="",IF(_xlfn.XLOOKUP(t_lev[[#This Row],[Dato]]&amp;t_lev[[#This Row],[navn]],Regnskap!$C$10:$C$51&amp;Regnskap!$K$10:$K$51,Regnskap!$J$10:$J$51)&gt;0,Data!$AJ$1),""),"")</f>
        <v/>
      </c>
      <c r="U18" s="3">
        <f ca="1">SUM(t_lev[[#This Row],[12_poeng]:[10_pLEV]])</f>
        <v>0</v>
      </c>
      <c r="V18" s="3">
        <f ca="1">SUM(t_lev[[#This Row],[Summert]]+t_lev[[#This Row],[LEV_poeng]])</f>
        <v>0</v>
      </c>
    </row>
    <row r="19" spans="1:28" x14ac:dyDescent="0.2">
      <c r="A19" s="3" t="s">
        <v>957</v>
      </c>
      <c r="B19">
        <f>IF(t_lev[[#This Row],[Dato]]&lt;&gt;"",WEEKNUM(t_lev[[#This Row],[Dato]]),"")</f>
        <v>50</v>
      </c>
      <c r="C19" s="22">
        <f>Data!AL18</f>
        <v>46368</v>
      </c>
      <c r="D19">
        <f ca="1">IFERROR(IF(t_lev[[#This Row],[Dato]]="","",OFFSET(_xlfn.XLOOKUP(C19,Kuponger!E:E,Kuponger!CK:CK),15,0)),"")</f>
        <v>0</v>
      </c>
      <c r="E19">
        <f ca="1">IFERROR(IF(t_lev[[#This Row],[hp]]&lt;&gt;"",OFFSET(_xlfn.XLOOKUP(C19,Kuponger!E:E,Kuponger!CK:CK),15,1),""),"")</f>
        <v>0</v>
      </c>
      <c r="F19">
        <f ca="1">IFERROR(IF(t_lev[[#This Row],[Dato]]="","",OFFSET(_xlfn.XLOOKUP(C19,Kuponger!E:E,Kuponger!CK:CK),15,2)),"")</f>
        <v>0</v>
      </c>
      <c r="G19">
        <f ca="1">IFERROR(IF(OFFSET(_xlfn.XLOOKUP(C19,Kuponger!E:E,Kuponger!CK:CK),0,2)=0,"",OFFSET(_xlfn.XLOOKUP(C19,Kuponger!E:E,Kuponger!CK:CK),1,2))*-1,"")</f>
        <v>0</v>
      </c>
      <c r="H19" t="str">
        <f t="shared" ca="1" si="1"/>
        <v/>
      </c>
      <c r="I19" t="str">
        <f ca="1">IFERROR(IF(t_lev[[#This Row],[tp]]&lt;&gt;"",OFFSET(_xlfn.XLOOKUP(C19,Kuponger!E:E,Kuponger!CK:CK),1,1),""),"")</f>
        <v/>
      </c>
      <c r="J19" s="3">
        <f ca="1">IFERROR(IF(t_lev[[#This Row],[Dato]]="",0,OFFSET(_xlfn.XLOOKUP(t_lev[[#This Row],[Dato]],Kuponger!E:E,Kuponger!CK:CK),1,7)),"")</f>
        <v>0</v>
      </c>
      <c r="K19" s="3">
        <f ca="1">IFERROR(SUM(t_lev[[#This Row],[tp]]),0)</f>
        <v>0</v>
      </c>
      <c r="L19" s="3" t="str">
        <f ca="1">IF(t_rb[[#This Row],[Antall_rette]]=12,1,"")</f>
        <v/>
      </c>
      <c r="M19" s="3" t="str">
        <f ca="1">IF(t_rb[[#This Row],[Antall_rette]]=11,1,"")</f>
        <v/>
      </c>
      <c r="N19" s="3" t="str">
        <f ca="1">IF(t_rb[[#This Row],[Antall_rette]]=10,1,"")</f>
        <v/>
      </c>
      <c r="O19" s="3">
        <f ca="1">IF(t_lev[[#This Row],[12_Antall]]=1,Data!$AJ$3,0)</f>
        <v>0</v>
      </c>
      <c r="P19" s="3">
        <f ca="1">IF(t_lev[[#This Row],[11_Antall]]=1,Data!$AJ$2,0)</f>
        <v>0</v>
      </c>
      <c r="Q19" s="3">
        <f ca="1">IF(t_lev[[#This Row],[10_Antall]]=1,Data!$AJ$1,0)</f>
        <v>0</v>
      </c>
      <c r="R19" s="3" t="str" cm="1">
        <f t="array" ref="R19">IFERROR(IF(_xlfn.XLOOKUP(t_lev[[#This Row],[Dato]]&amp;t_lev[[#This Row],[navn]],Regnskap!$C$10:$C$51&amp;Regnskap!$K$10:$K$51,Regnskap!$H$10:$H$51)&gt;0,Data!$AJ$3,""),"")</f>
        <v/>
      </c>
      <c r="S19" s="3" t="str" cm="1">
        <f t="array" ref="S19">IFERROR(IF(t_lev[[#This Row],[12_pLEV]]="",IF(_xlfn.XLOOKUP(t_lev[[#This Row],[Dato]]&amp;t_lev[[#This Row],[navn]],Regnskap!$C$10:$C$51&amp;Regnskap!$K$10:$K$51,Regnskap!$I$10:$I$51)&gt;0,Data!$AJ$2)),"")</f>
        <v/>
      </c>
      <c r="T19" s="3" t="str" cm="1">
        <f t="array" ref="T19">IFERROR(IF(t_lev[[#This Row],[11_pLEV]]="",IF(_xlfn.XLOOKUP(t_lev[[#This Row],[Dato]]&amp;t_lev[[#This Row],[navn]],Regnskap!$C$10:$C$51&amp;Regnskap!$K$10:$K$51,Regnskap!$J$10:$J$51)&gt;0,Data!$AJ$1),""),"")</f>
        <v/>
      </c>
      <c r="U19" s="3">
        <f ca="1">SUM(t_lev[[#This Row],[12_poeng]:[10_pLEV]])</f>
        <v>0</v>
      </c>
      <c r="V19" s="3">
        <f ca="1">SUM(t_lev[[#This Row],[Summert]]+t_lev[[#This Row],[LEV_poeng]])</f>
        <v>0</v>
      </c>
      <c r="W19" s="2"/>
      <c r="X19" s="2"/>
      <c r="Y19" s="2"/>
      <c r="Z19" s="2"/>
      <c r="AA19" s="2"/>
      <c r="AB19" s="2"/>
    </row>
    <row r="20" spans="1:28" x14ac:dyDescent="0.2">
      <c r="A20" s="3" t="s">
        <v>957</v>
      </c>
      <c r="B20">
        <f>IF(t_lev[[#This Row],[Dato]]&lt;&gt;"",WEEKNUM(t_lev[[#This Row],[Dato]]),"")</f>
        <v>51</v>
      </c>
      <c r="C20" s="22">
        <f>Data!AL19</f>
        <v>46375</v>
      </c>
      <c r="D20">
        <f ca="1">IFERROR(IF(t_lev[[#This Row],[Dato]]="","",OFFSET(_xlfn.XLOOKUP(C20,Kuponger!E:E,Kuponger!CK:CK),15,0)),"")</f>
        <v>0</v>
      </c>
      <c r="E20">
        <f ca="1">IFERROR(IF(t_lev[[#This Row],[hp]]&lt;&gt;"",OFFSET(_xlfn.XLOOKUP(C20,Kuponger!E:E,Kuponger!CK:CK),15,1),""),"")</f>
        <v>0</v>
      </c>
      <c r="F20">
        <f ca="1">IFERROR(IF(t_lev[[#This Row],[Dato]]="","",OFFSET(_xlfn.XLOOKUP(C20,Kuponger!E:E,Kuponger!CK:CK),15,2)),"")</f>
        <v>0</v>
      </c>
      <c r="G20">
        <f ca="1">IFERROR(IF(OFFSET(_xlfn.XLOOKUP(C20,Kuponger!E:E,Kuponger!CK:CK),0,2)=0,"",OFFSET(_xlfn.XLOOKUP(C20,Kuponger!E:E,Kuponger!CK:CK),1,2))*-1,"")</f>
        <v>0</v>
      </c>
      <c r="H20" t="str">
        <f t="shared" ca="1" si="1"/>
        <v/>
      </c>
      <c r="I20" t="str">
        <f ca="1">IFERROR(IF(t_lev[[#This Row],[tp]]&lt;&gt;"",OFFSET(_xlfn.XLOOKUP(C20,Kuponger!E:E,Kuponger!CK:CK),1,1),""),"")</f>
        <v/>
      </c>
      <c r="J20" s="3">
        <f ca="1">IFERROR(IF(t_lev[[#This Row],[Dato]]="",0,OFFSET(_xlfn.XLOOKUP(t_lev[[#This Row],[Dato]],Kuponger!E:E,Kuponger!CK:CK),1,7)),"")</f>
        <v>0</v>
      </c>
      <c r="K20" s="3">
        <f ca="1">IFERROR(SUM(t_lev[[#This Row],[tp]]),0)</f>
        <v>0</v>
      </c>
      <c r="L20" s="3" t="str">
        <f ca="1">IF(t_rb[[#This Row],[Antall_rette]]=12,1,"")</f>
        <v/>
      </c>
      <c r="M20" s="3" t="str">
        <f ca="1">IF(t_rb[[#This Row],[Antall_rette]]=11,1,"")</f>
        <v/>
      </c>
      <c r="N20" s="3" t="str">
        <f ca="1">IF(t_rb[[#This Row],[Antall_rette]]=10,1,"")</f>
        <v/>
      </c>
      <c r="O20" s="3">
        <f ca="1">IF(t_lev[[#This Row],[12_Antall]]=1,Data!$AJ$3,0)</f>
        <v>0</v>
      </c>
      <c r="P20" s="3">
        <f ca="1">IF(t_lev[[#This Row],[11_Antall]]=1,Data!$AJ$2,0)</f>
        <v>0</v>
      </c>
      <c r="Q20" s="3">
        <f ca="1">IF(t_lev[[#This Row],[10_Antall]]=1,Data!$AJ$1,0)</f>
        <v>0</v>
      </c>
      <c r="R20" s="3" t="str" cm="1">
        <f t="array" ref="R20">IFERROR(IF(_xlfn.XLOOKUP(t_lev[[#This Row],[Dato]]&amp;t_lev[[#This Row],[navn]],Regnskap!$C$10:$C$51&amp;Regnskap!$K$10:$K$51,Regnskap!$H$10:$H$51)&gt;0,Data!$AJ$3,""),"")</f>
        <v/>
      </c>
      <c r="S20" s="3" t="str" cm="1">
        <f t="array" ref="S20">IFERROR(IF(t_lev[[#This Row],[12_pLEV]]="",IF(_xlfn.XLOOKUP(t_lev[[#This Row],[Dato]]&amp;t_lev[[#This Row],[navn]],Regnskap!$C$10:$C$51&amp;Regnskap!$K$10:$K$51,Regnskap!$I$10:$I$51)&gt;0,Data!$AJ$2)),"")</f>
        <v/>
      </c>
      <c r="T20" s="3" t="str" cm="1">
        <f t="array" ref="T20">IFERROR(IF(t_lev[[#This Row],[11_pLEV]]="",IF(_xlfn.XLOOKUP(t_lev[[#This Row],[Dato]]&amp;t_lev[[#This Row],[navn]],Regnskap!$C$10:$C$51&amp;Regnskap!$K$10:$K$51,Regnskap!$J$10:$J$51)&gt;0,Data!$AJ$1),""),"")</f>
        <v/>
      </c>
      <c r="U20" s="3">
        <f ca="1">SUM(t_lev[[#This Row],[12_poeng]:[10_pLEV]])</f>
        <v>0</v>
      </c>
      <c r="V20" s="3">
        <f ca="1">SUM(t_lev[[#This Row],[Summert]]+t_lev[[#This Row],[LEV_poeng]])</f>
        <v>0</v>
      </c>
    </row>
    <row r="21" spans="1:28" x14ac:dyDescent="0.2">
      <c r="A21" s="3" t="s">
        <v>957</v>
      </c>
      <c r="B21">
        <f>IF(t_lev[[#This Row],[Dato]]&lt;&gt;"",WEEKNUM(t_lev[[#This Row],[Dato]]),"")</f>
        <v>52</v>
      </c>
      <c r="C21" s="22">
        <f>Data!AL20</f>
        <v>46382</v>
      </c>
      <c r="D21">
        <f ca="1">IFERROR(IF(t_lev[[#This Row],[Dato]]="","",OFFSET(_xlfn.XLOOKUP(C21,Kuponger!E:E,Kuponger!CK:CK),15,0)),"")</f>
        <v>0</v>
      </c>
      <c r="E21">
        <f ca="1">IFERROR(IF(t_lev[[#This Row],[hp]]&lt;&gt;"",OFFSET(_xlfn.XLOOKUP(C21,Kuponger!E:E,Kuponger!CK:CK),15,1),""),"")</f>
        <v>0</v>
      </c>
      <c r="F21">
        <f ca="1">IFERROR(IF(t_lev[[#This Row],[Dato]]="","",OFFSET(_xlfn.XLOOKUP(C21,Kuponger!E:E,Kuponger!CK:CK),15,2)),"")</f>
        <v>0</v>
      </c>
      <c r="G21">
        <f ca="1">IFERROR(IF(OFFSET(_xlfn.XLOOKUP(C21,Kuponger!E:E,Kuponger!CK:CK),0,2)=0,"",OFFSET(_xlfn.XLOOKUP(C21,Kuponger!E:E,Kuponger!CK:CK),1,2))*-1,"")</f>
        <v>0</v>
      </c>
      <c r="H21" t="str">
        <f t="shared" ca="1" si="1"/>
        <v/>
      </c>
      <c r="I21" t="str">
        <f ca="1">IFERROR(IF(t_lev[[#This Row],[tp]]&lt;&gt;"",OFFSET(_xlfn.XLOOKUP(C21,Kuponger!E:E,Kuponger!CK:CK),1,1),""),"")</f>
        <v/>
      </c>
      <c r="J21" s="3">
        <f ca="1">IFERROR(IF(t_lev[[#This Row],[Dato]]="",0,OFFSET(_xlfn.XLOOKUP(t_lev[[#This Row],[Dato]],Kuponger!E:E,Kuponger!CK:CK),1,7)),"")</f>
        <v>0</v>
      </c>
      <c r="K21" s="3">
        <f ca="1">IFERROR(SUM(t_lev[[#This Row],[tp]]),0)</f>
        <v>0</v>
      </c>
      <c r="L21" s="3" t="str">
        <f ca="1">IF(t_rb[[#This Row],[Antall_rette]]=12,1,"")</f>
        <v/>
      </c>
      <c r="M21" s="3" t="str">
        <f ca="1">IF(t_rb[[#This Row],[Antall_rette]]=11,1,"")</f>
        <v/>
      </c>
      <c r="N21" s="3" t="str">
        <f ca="1">IF(t_rb[[#This Row],[Antall_rette]]=10,1,"")</f>
        <v/>
      </c>
      <c r="O21" s="3">
        <f ca="1">IF(t_lev[[#This Row],[12_Antall]]=1,Data!$AJ$3,0)</f>
        <v>0</v>
      </c>
      <c r="P21" s="3">
        <f ca="1">IF(t_lev[[#This Row],[11_Antall]]=1,Data!$AJ$2,0)</f>
        <v>0</v>
      </c>
      <c r="Q21" s="3">
        <f ca="1">IF(t_lev[[#This Row],[10_Antall]]=1,Data!$AJ$1,0)</f>
        <v>0</v>
      </c>
      <c r="R21" s="3" t="str" cm="1">
        <f t="array" ref="R21">IFERROR(IF(_xlfn.XLOOKUP(t_lev[[#This Row],[Dato]]&amp;t_lev[[#This Row],[navn]],Regnskap!$C$10:$C$51&amp;Regnskap!$K$10:$K$51,Regnskap!$H$10:$H$51)&gt;0,Data!$AJ$3,""),"")</f>
        <v/>
      </c>
      <c r="S21" s="3" t="str" cm="1">
        <f t="array" ref="S21">IFERROR(IF(t_lev[[#This Row],[12_pLEV]]="",IF(_xlfn.XLOOKUP(t_lev[[#This Row],[Dato]]&amp;t_lev[[#This Row],[navn]],Regnskap!$C$10:$C$51&amp;Regnskap!$K$10:$K$51,Regnskap!$I$10:$I$51)&gt;0,Data!$AJ$2)),"")</f>
        <v/>
      </c>
      <c r="T21" s="3" t="str" cm="1">
        <f t="array" ref="T21">IFERROR(IF(t_lev[[#This Row],[11_pLEV]]="",IF(_xlfn.XLOOKUP(t_lev[[#This Row],[Dato]]&amp;t_lev[[#This Row],[navn]],Regnskap!$C$10:$C$51&amp;Regnskap!$K$10:$K$51,Regnskap!$J$10:$J$51)&gt;0,Data!$AJ$1),""),"")</f>
        <v/>
      </c>
      <c r="U21" s="3">
        <f ca="1">SUM(t_lev[[#This Row],[12_poeng]:[10_pLEV]])</f>
        <v>0</v>
      </c>
      <c r="V21" s="3">
        <f ca="1">SUM(t_lev[[#This Row],[Summert]]+t_lev[[#This Row],[LEV_poeng]])</f>
        <v>0</v>
      </c>
    </row>
    <row r="22" spans="1:28" x14ac:dyDescent="0.2">
      <c r="A22" s="3" t="s">
        <v>957</v>
      </c>
      <c r="B22">
        <f>IF(t_lev[[#This Row],[Dato]]&lt;&gt;"",WEEKNUM(t_lev[[#This Row],[Dato]]),"")</f>
        <v>1</v>
      </c>
      <c r="C22" s="22">
        <f>Data!AL21</f>
        <v>46389</v>
      </c>
      <c r="D22">
        <f ca="1">IFERROR(IF(t_lev[[#This Row],[Dato]]="","",OFFSET(_xlfn.XLOOKUP(C22,Kuponger!E:E,Kuponger!CK:CK),15,0)),"")</f>
        <v>0</v>
      </c>
      <c r="E22">
        <f ca="1">IFERROR(IF(t_lev[[#This Row],[hp]]&lt;&gt;"",OFFSET(_xlfn.XLOOKUP(C22,Kuponger!E:E,Kuponger!CK:CK),15,1),""),"")</f>
        <v>0</v>
      </c>
      <c r="F22">
        <f ca="1">IFERROR(IF(t_lev[[#This Row],[Dato]]="","",OFFSET(_xlfn.XLOOKUP(C22,Kuponger!E:E,Kuponger!CK:CK),15,2)),"")</f>
        <v>0</v>
      </c>
      <c r="G22">
        <f ca="1">IFERROR(IF(OFFSET(_xlfn.XLOOKUP(C22,Kuponger!E:E,Kuponger!CK:CK),0,2)=0,"",OFFSET(_xlfn.XLOOKUP(C22,Kuponger!E:E,Kuponger!CK:CK),1,2))*-1,"")</f>
        <v>0</v>
      </c>
      <c r="H22" t="str">
        <f t="shared" ca="1" si="1"/>
        <v/>
      </c>
      <c r="I22" t="str">
        <f ca="1">IFERROR(IF(t_lev[[#This Row],[tp]]&lt;&gt;"",OFFSET(_xlfn.XLOOKUP(C22,Kuponger!E:E,Kuponger!CK:CK),1,1),""),"")</f>
        <v/>
      </c>
      <c r="J22" s="3">
        <f ca="1">IFERROR(IF(t_lev[[#This Row],[Dato]]="",0,OFFSET(_xlfn.XLOOKUP(t_lev[[#This Row],[Dato]],Kuponger!E:E,Kuponger!CK:CK),1,7)),"")</f>
        <v>0</v>
      </c>
      <c r="K22" s="3">
        <f ca="1">IFERROR(SUM(t_lev[[#This Row],[tp]]),0)</f>
        <v>0</v>
      </c>
      <c r="L22" s="3" t="str">
        <f ca="1">IF(t_rb[[#This Row],[Antall_rette]]=12,1,"")</f>
        <v/>
      </c>
      <c r="M22" s="3" t="str">
        <f ca="1">IF(t_rb[[#This Row],[Antall_rette]]=11,1,"")</f>
        <v/>
      </c>
      <c r="N22" s="3" t="str">
        <f ca="1">IF(t_rb[[#This Row],[Antall_rette]]=10,1,"")</f>
        <v/>
      </c>
      <c r="O22" s="3">
        <f ca="1">IF(t_lev[[#This Row],[12_Antall]]=1,Data!$AJ$3,0)</f>
        <v>0</v>
      </c>
      <c r="P22" s="3">
        <f ca="1">IF(t_lev[[#This Row],[11_Antall]]=1,Data!$AJ$2,0)</f>
        <v>0</v>
      </c>
      <c r="Q22" s="3">
        <f ca="1">IF(t_lev[[#This Row],[10_Antall]]=1,Data!$AJ$1,0)</f>
        <v>0</v>
      </c>
      <c r="R22" s="3" t="str" cm="1">
        <f t="array" ref="R22">IFERROR(IF(_xlfn.XLOOKUP(t_lev[[#This Row],[Dato]]&amp;t_lev[[#This Row],[navn]],Regnskap!$C$10:$C$51&amp;Regnskap!$K$10:$K$51,Regnskap!$H$10:$H$51)&gt;0,Data!$AJ$3,""),"")</f>
        <v/>
      </c>
      <c r="S22" s="3" t="str" cm="1">
        <f t="array" ref="S22">IFERROR(IF(t_lev[[#This Row],[12_pLEV]]="",IF(_xlfn.XLOOKUP(t_lev[[#This Row],[Dato]]&amp;t_lev[[#This Row],[navn]],Regnskap!$C$10:$C$51&amp;Regnskap!$K$10:$K$51,Regnskap!$I$10:$I$51)&gt;0,Data!$AJ$2)),"")</f>
        <v/>
      </c>
      <c r="T22" s="3" t="str" cm="1">
        <f t="array" ref="T22">IFERROR(IF(t_lev[[#This Row],[11_pLEV]]="",IF(_xlfn.XLOOKUP(t_lev[[#This Row],[Dato]]&amp;t_lev[[#This Row],[navn]],Regnskap!$C$10:$C$51&amp;Regnskap!$K$10:$K$51,Regnskap!$J$10:$J$51)&gt;0,Data!$AJ$1),""),"")</f>
        <v/>
      </c>
      <c r="U22" s="3">
        <f ca="1">SUM(t_lev[[#This Row],[12_poeng]:[10_pLEV]])</f>
        <v>0</v>
      </c>
      <c r="V22" s="3">
        <f ca="1">SUM(t_lev[[#This Row],[Summert]]+t_lev[[#This Row],[LEV_poeng]])</f>
        <v>0</v>
      </c>
    </row>
    <row r="23" spans="1:28" x14ac:dyDescent="0.2">
      <c r="A23" s="3" t="s">
        <v>957</v>
      </c>
      <c r="B23">
        <f>IF(t_lev[[#This Row],[Dato]]&lt;&gt;"",WEEKNUM(t_lev[[#This Row],[Dato]]),"")</f>
        <v>2</v>
      </c>
      <c r="C23" s="22">
        <f>Data!AL22</f>
        <v>46396</v>
      </c>
      <c r="D23">
        <f ca="1">IFERROR(IF(t_lev[[#This Row],[Dato]]="","",OFFSET(_xlfn.XLOOKUP(C23,Kuponger!E:E,Kuponger!CK:CK),15,0)),"")</f>
        <v>0</v>
      </c>
      <c r="E23">
        <f ca="1">IFERROR(IF(t_lev[[#This Row],[hp]]&lt;&gt;"",OFFSET(_xlfn.XLOOKUP(C23,Kuponger!E:E,Kuponger!CK:CK),15,1),""),"")</f>
        <v>0</v>
      </c>
      <c r="F23">
        <f ca="1">IFERROR(IF(t_lev[[#This Row],[Dato]]="","",OFFSET(_xlfn.XLOOKUP(C23,Kuponger!E:E,Kuponger!CK:CK),15,2)),"")</f>
        <v>0</v>
      </c>
      <c r="G23">
        <f ca="1">IFERROR(IF(OFFSET(_xlfn.XLOOKUP(C23,Kuponger!E:E,Kuponger!CK:CK),0,2)=0,"",OFFSET(_xlfn.XLOOKUP(C23,Kuponger!E:E,Kuponger!CK:CK),1,2))*-1,"")</f>
        <v>0</v>
      </c>
      <c r="H23" t="str">
        <f t="shared" ca="1" si="1"/>
        <v/>
      </c>
      <c r="I23" t="str">
        <f ca="1">IFERROR(IF(t_lev[[#This Row],[tp]]&lt;&gt;"",OFFSET(_xlfn.XLOOKUP(C23,Kuponger!E:E,Kuponger!CK:CK),1,1),""),"")</f>
        <v/>
      </c>
      <c r="J23" s="3">
        <f ca="1">IFERROR(IF(t_lev[[#This Row],[Dato]]="",0,OFFSET(_xlfn.XLOOKUP(t_lev[[#This Row],[Dato]],Kuponger!E:E,Kuponger!CK:CK),1,7)),"")</f>
        <v>0</v>
      </c>
      <c r="K23" s="3">
        <f ca="1">IFERROR(SUM(t_lev[[#This Row],[tp]]),0)</f>
        <v>0</v>
      </c>
      <c r="L23" s="3" t="str">
        <f ca="1">IF(t_rb[[#This Row],[Antall_rette]]=12,1,"")</f>
        <v/>
      </c>
      <c r="M23" s="3" t="str">
        <f ca="1">IF(t_rb[[#This Row],[Antall_rette]]=11,1,"")</f>
        <v/>
      </c>
      <c r="N23" s="3" t="str">
        <f ca="1">IF(t_rb[[#This Row],[Antall_rette]]=10,1,"")</f>
        <v/>
      </c>
      <c r="O23" s="3">
        <f ca="1">IF(t_lev[[#This Row],[12_Antall]]=1,Data!$AJ$3,0)</f>
        <v>0</v>
      </c>
      <c r="P23" s="3">
        <f ca="1">IF(t_lev[[#This Row],[11_Antall]]=1,Data!$AJ$2,0)</f>
        <v>0</v>
      </c>
      <c r="Q23" s="3">
        <f ca="1">IF(t_lev[[#This Row],[10_Antall]]=1,Data!$AJ$1,0)</f>
        <v>0</v>
      </c>
      <c r="R23" s="3" t="str" cm="1">
        <f t="array" ref="R23">IFERROR(IF(_xlfn.XLOOKUP(t_lev[[#This Row],[Dato]]&amp;t_lev[[#This Row],[navn]],Regnskap!$C$10:$C$51&amp;Regnskap!$K$10:$K$51,Regnskap!$H$10:$H$51)&gt;0,Data!$AJ$3,""),"")</f>
        <v/>
      </c>
      <c r="S23" s="3" t="str" cm="1">
        <f t="array" ref="S23">IFERROR(IF(t_lev[[#This Row],[12_pLEV]]="",IF(_xlfn.XLOOKUP(t_lev[[#This Row],[Dato]]&amp;t_lev[[#This Row],[navn]],Regnskap!$C$10:$C$51&amp;Regnskap!$K$10:$K$51,Regnskap!$I$10:$I$51)&gt;0,Data!$AJ$2)),"")</f>
        <v/>
      </c>
      <c r="T23" s="3" t="str" cm="1">
        <f t="array" ref="T23">IFERROR(IF(t_lev[[#This Row],[11_pLEV]]="",IF(_xlfn.XLOOKUP(t_lev[[#This Row],[Dato]]&amp;t_lev[[#This Row],[navn]],Regnskap!$C$10:$C$51&amp;Regnskap!$K$10:$K$51,Regnskap!$J$10:$J$51)&gt;0,Data!$AJ$1),""),"")</f>
        <v/>
      </c>
      <c r="U23" s="3">
        <f ca="1">SUM(t_lev[[#This Row],[12_poeng]:[10_pLEV]])</f>
        <v>0</v>
      </c>
      <c r="V23" s="3">
        <f ca="1">SUM(t_lev[[#This Row],[Summert]]+t_lev[[#This Row],[LEV_poeng]])</f>
        <v>0</v>
      </c>
    </row>
    <row r="24" spans="1:28" x14ac:dyDescent="0.2">
      <c r="A24" s="3" t="s">
        <v>957</v>
      </c>
      <c r="B24">
        <f>IF(t_lev[[#This Row],[Dato]]&lt;&gt;"",WEEKNUM(t_lev[[#This Row],[Dato]]),"")</f>
        <v>3</v>
      </c>
      <c r="C24" s="22">
        <f>Data!AL23</f>
        <v>46403</v>
      </c>
      <c r="D24">
        <f ca="1">IFERROR(IF(t_lev[[#This Row],[Dato]]="","",OFFSET(_xlfn.XLOOKUP(C24,Kuponger!E:E,Kuponger!CK:CK),15,0)),"")</f>
        <v>0</v>
      </c>
      <c r="E24">
        <f ca="1">IFERROR(IF(t_lev[[#This Row],[hp]]&lt;&gt;"",OFFSET(_xlfn.XLOOKUP(C24,Kuponger!E:E,Kuponger!CK:CK),15,1),""),"")</f>
        <v>0</v>
      </c>
      <c r="F24">
        <f ca="1">IFERROR(IF(t_lev[[#This Row],[Dato]]="","",OFFSET(_xlfn.XLOOKUP(C24,Kuponger!E:E,Kuponger!CK:CK),15,2)),"")</f>
        <v>0</v>
      </c>
      <c r="G24">
        <f ca="1">IFERROR(IF(OFFSET(_xlfn.XLOOKUP(C24,Kuponger!E:E,Kuponger!CK:CK),0,2)=0,"",OFFSET(_xlfn.XLOOKUP(C24,Kuponger!E:E,Kuponger!CK:CK),1,2))*-1,"")</f>
        <v>0</v>
      </c>
      <c r="H24" t="str">
        <f t="shared" ca="1" si="1"/>
        <v/>
      </c>
      <c r="I24" t="str">
        <f ca="1">IFERROR(IF(t_lev[[#This Row],[tp]]&lt;&gt;"",OFFSET(_xlfn.XLOOKUP(C24,Kuponger!E:E,Kuponger!CK:CK),1,1),""),"")</f>
        <v/>
      </c>
      <c r="J24" s="3">
        <f ca="1">IFERROR(IF(t_lev[[#This Row],[Dato]]="",0,OFFSET(_xlfn.XLOOKUP(t_lev[[#This Row],[Dato]],Kuponger!E:E,Kuponger!CK:CK),1,7)),"")</f>
        <v>0</v>
      </c>
      <c r="K24" s="3">
        <f ca="1">IFERROR(SUM(t_lev[[#This Row],[tp]]),0)</f>
        <v>0</v>
      </c>
      <c r="L24" s="3" t="str">
        <f ca="1">IF(t_rb[[#This Row],[Antall_rette]]=12,1,"")</f>
        <v/>
      </c>
      <c r="M24" s="3" t="str">
        <f ca="1">IF(t_rb[[#This Row],[Antall_rette]]=11,1,"")</f>
        <v/>
      </c>
      <c r="N24" s="3" t="str">
        <f ca="1">IF(t_rb[[#This Row],[Antall_rette]]=10,1,"")</f>
        <v/>
      </c>
      <c r="O24" s="3">
        <f ca="1">IF(t_lev[[#This Row],[12_Antall]]=1,Data!$AJ$3,0)</f>
        <v>0</v>
      </c>
      <c r="P24" s="3">
        <f ca="1">IF(t_lev[[#This Row],[11_Antall]]=1,Data!$AJ$2,0)</f>
        <v>0</v>
      </c>
      <c r="Q24" s="3">
        <f ca="1">IF(t_lev[[#This Row],[10_Antall]]=1,Data!$AJ$1,0)</f>
        <v>0</v>
      </c>
      <c r="R24" s="3" t="str" cm="1">
        <f t="array" ref="R24">IFERROR(IF(_xlfn.XLOOKUP(t_lev[[#This Row],[Dato]]&amp;t_lev[[#This Row],[navn]],Regnskap!$C$10:$C$51&amp;Regnskap!$K$10:$K$51,Regnskap!$H$10:$H$51)&gt;0,Data!$AJ$3,""),"")</f>
        <v/>
      </c>
      <c r="S24" s="3" t="str" cm="1">
        <f t="array" ref="S24">IFERROR(IF(t_lev[[#This Row],[12_pLEV]]="",IF(_xlfn.XLOOKUP(t_lev[[#This Row],[Dato]]&amp;t_lev[[#This Row],[navn]],Regnskap!$C$10:$C$51&amp;Regnskap!$K$10:$K$51,Regnskap!$I$10:$I$51)&gt;0,Data!$AJ$2)),"")</f>
        <v/>
      </c>
      <c r="T24" s="3" t="str" cm="1">
        <f t="array" ref="T24">IFERROR(IF(t_lev[[#This Row],[11_pLEV]]="",IF(_xlfn.XLOOKUP(t_lev[[#This Row],[Dato]]&amp;t_lev[[#This Row],[navn]],Regnskap!$C$10:$C$51&amp;Regnskap!$K$10:$K$51,Regnskap!$J$10:$J$51)&gt;0,Data!$AJ$1),""),"")</f>
        <v/>
      </c>
      <c r="U24" s="3">
        <f ca="1">SUM(t_lev[[#This Row],[12_poeng]:[10_pLEV]])</f>
        <v>0</v>
      </c>
      <c r="V24" s="3">
        <f ca="1">SUM(t_lev[[#This Row],[Summert]]+t_lev[[#This Row],[LEV_poeng]])</f>
        <v>0</v>
      </c>
    </row>
    <row r="25" spans="1:28" x14ac:dyDescent="0.2">
      <c r="A25" s="3" t="s">
        <v>957</v>
      </c>
      <c r="B25">
        <f>IF(t_lev[[#This Row],[Dato]]&lt;&gt;"",WEEKNUM(t_lev[[#This Row],[Dato]]),"")</f>
        <v>4</v>
      </c>
      <c r="C25" s="22">
        <f>Data!AL24</f>
        <v>46410</v>
      </c>
      <c r="D25">
        <f ca="1">IFERROR(IF(t_lev[[#This Row],[Dato]]="","",OFFSET(_xlfn.XLOOKUP(C25,Kuponger!E:E,Kuponger!CK:CK),15,0)),"")</f>
        <v>0</v>
      </c>
      <c r="E25">
        <f ca="1">IFERROR(IF(t_lev[[#This Row],[hp]]&lt;&gt;"",OFFSET(_xlfn.XLOOKUP(C25,Kuponger!E:E,Kuponger!CK:CK),15,1),""),"")</f>
        <v>0</v>
      </c>
      <c r="F25">
        <f ca="1">IFERROR(IF(t_lev[[#This Row],[Dato]]="","",OFFSET(_xlfn.XLOOKUP(C25,Kuponger!E:E,Kuponger!CK:CK),15,2)),"")</f>
        <v>0</v>
      </c>
      <c r="G25">
        <f ca="1">IFERROR(IF(OFFSET(_xlfn.XLOOKUP(C25,Kuponger!E:E,Kuponger!CK:CK),0,2)=0,"",OFFSET(_xlfn.XLOOKUP(C25,Kuponger!E:E,Kuponger!CK:CK),1,2))*-1,"")</f>
        <v>0</v>
      </c>
      <c r="H25" t="str">
        <f t="shared" ca="1" si="1"/>
        <v/>
      </c>
      <c r="I25" t="str">
        <f ca="1">IFERROR(IF(t_lev[[#This Row],[tp]]&lt;&gt;"",OFFSET(_xlfn.XLOOKUP(C25,Kuponger!E:E,Kuponger!CK:CK),1,1),""),"")</f>
        <v/>
      </c>
      <c r="J25" s="3">
        <f ca="1">IFERROR(IF(t_lev[[#This Row],[Dato]]="",0,OFFSET(_xlfn.XLOOKUP(t_lev[[#This Row],[Dato]],Kuponger!E:E,Kuponger!CK:CK),1,7)),"")</f>
        <v>0</v>
      </c>
      <c r="K25" s="3">
        <f ca="1">IFERROR(SUM(t_lev[[#This Row],[tp]]),0)</f>
        <v>0</v>
      </c>
      <c r="L25" s="3" t="str">
        <f ca="1">IF(t_rb[[#This Row],[Antall_rette]]=12,1,"")</f>
        <v/>
      </c>
      <c r="M25" s="3" t="str">
        <f ca="1">IF(t_rb[[#This Row],[Antall_rette]]=11,1,"")</f>
        <v/>
      </c>
      <c r="N25" s="3" t="str">
        <f ca="1">IF(t_rb[[#This Row],[Antall_rette]]=10,1,"")</f>
        <v/>
      </c>
      <c r="O25" s="3">
        <f ca="1">IF(t_lev[[#This Row],[12_Antall]]=1,Data!$AJ$3,0)</f>
        <v>0</v>
      </c>
      <c r="P25" s="3">
        <f ca="1">IF(t_lev[[#This Row],[11_Antall]]=1,Data!$AJ$2,0)</f>
        <v>0</v>
      </c>
      <c r="Q25" s="3">
        <f ca="1">IF(t_lev[[#This Row],[10_Antall]]=1,Data!$AJ$1,0)</f>
        <v>0</v>
      </c>
      <c r="R25" s="3" t="str" cm="1">
        <f t="array" ref="R25">IFERROR(IF(_xlfn.XLOOKUP(t_lev[[#This Row],[Dato]]&amp;t_lev[[#This Row],[navn]],Regnskap!$C$10:$C$51&amp;Regnskap!$K$10:$K$51,Regnskap!$H$10:$H$51)&gt;0,Data!$AJ$3,""),"")</f>
        <v/>
      </c>
      <c r="S25" s="3" t="str" cm="1">
        <f t="array" ref="S25">IFERROR(IF(t_lev[[#This Row],[12_pLEV]]="",IF(_xlfn.XLOOKUP(t_lev[[#This Row],[Dato]]&amp;t_lev[[#This Row],[navn]],Regnskap!$C$10:$C$51&amp;Regnskap!$K$10:$K$51,Regnskap!$I$10:$I$51)&gt;0,Data!$AJ$2)),"")</f>
        <v/>
      </c>
      <c r="T25" s="3" t="str" cm="1">
        <f t="array" ref="T25">IFERROR(IF(t_lev[[#This Row],[11_pLEV]]="",IF(_xlfn.XLOOKUP(t_lev[[#This Row],[Dato]]&amp;t_lev[[#This Row],[navn]],Regnskap!$C$10:$C$51&amp;Regnskap!$K$10:$K$51,Regnskap!$J$10:$J$51)&gt;0,Data!$AJ$1),""),"")</f>
        <v/>
      </c>
      <c r="U25" s="3">
        <f ca="1">SUM(t_lev[[#This Row],[12_poeng]:[10_pLEV]])</f>
        <v>0</v>
      </c>
      <c r="V25" s="3">
        <f ca="1">SUM(t_lev[[#This Row],[Summert]]+t_lev[[#This Row],[LEV_poeng]])</f>
        <v>0</v>
      </c>
      <c r="W25" s="2"/>
      <c r="X25" s="2"/>
      <c r="Y25" s="2"/>
      <c r="Z25" s="2"/>
      <c r="AA25" s="2"/>
      <c r="AB25" s="2"/>
    </row>
    <row r="26" spans="1:28" x14ac:dyDescent="0.2">
      <c r="A26" s="3" t="s">
        <v>957</v>
      </c>
      <c r="B26">
        <f>IF(t_lev[[#This Row],[Dato]]&lt;&gt;"",WEEKNUM(t_lev[[#This Row],[Dato]]),"")</f>
        <v>5</v>
      </c>
      <c r="C26" s="22">
        <f>Data!AL25</f>
        <v>46417</v>
      </c>
      <c r="D26">
        <f ca="1">IFERROR(IF(t_lev[[#This Row],[Dato]]="","",OFFSET(_xlfn.XLOOKUP(C26,Kuponger!E:E,Kuponger!CK:CK),15,0)),"")</f>
        <v>0</v>
      </c>
      <c r="E26">
        <f ca="1">IFERROR(IF(t_lev[[#This Row],[hp]]&lt;&gt;"",OFFSET(_xlfn.XLOOKUP(C26,Kuponger!E:E,Kuponger!CK:CK),15,1),""),"")</f>
        <v>0</v>
      </c>
      <c r="F26">
        <f ca="1">IFERROR(IF(t_lev[[#This Row],[Dato]]="","",OFFSET(_xlfn.XLOOKUP(C26,Kuponger!E:E,Kuponger!CK:CK),15,2)),"")</f>
        <v>0</v>
      </c>
      <c r="G26">
        <f ca="1">IFERROR(IF(OFFSET(_xlfn.XLOOKUP(C26,Kuponger!E:E,Kuponger!CK:CK),0,2)=0,"",OFFSET(_xlfn.XLOOKUP(C26,Kuponger!E:E,Kuponger!CK:CK),1,2))*-1,"")</f>
        <v>0</v>
      </c>
      <c r="H26" t="str">
        <f t="shared" ca="1" si="1"/>
        <v/>
      </c>
      <c r="I26" t="str">
        <f ca="1">IFERROR(IF(t_lev[[#This Row],[tp]]&lt;&gt;"",OFFSET(_xlfn.XLOOKUP(C26,Kuponger!E:E,Kuponger!CK:CK),1,1),""),"")</f>
        <v/>
      </c>
      <c r="J26" s="3">
        <f ca="1">IFERROR(IF(t_lev[[#This Row],[Dato]]="",0,OFFSET(_xlfn.XLOOKUP(t_lev[[#This Row],[Dato]],Kuponger!E:E,Kuponger!CK:CK),1,7)),"")</f>
        <v>0</v>
      </c>
      <c r="K26" s="3">
        <f ca="1">IFERROR(SUM(t_lev[[#This Row],[tp]]),0)</f>
        <v>0</v>
      </c>
      <c r="L26" s="3" t="str">
        <f ca="1">IF(t_rb[[#This Row],[Antall_rette]]=12,1,"")</f>
        <v/>
      </c>
      <c r="M26" s="3" t="str">
        <f ca="1">IF(t_rb[[#This Row],[Antall_rette]]=11,1,"")</f>
        <v/>
      </c>
      <c r="N26" s="3" t="str">
        <f ca="1">IF(t_rb[[#This Row],[Antall_rette]]=10,1,"")</f>
        <v/>
      </c>
      <c r="O26" s="3">
        <f ca="1">IF(t_lev[[#This Row],[12_Antall]]=1,Data!$AJ$3,0)</f>
        <v>0</v>
      </c>
      <c r="P26" s="3">
        <f ca="1">IF(t_lev[[#This Row],[11_Antall]]=1,Data!$AJ$2,0)</f>
        <v>0</v>
      </c>
      <c r="Q26" s="3">
        <f ca="1">IF(t_lev[[#This Row],[10_Antall]]=1,Data!$AJ$1,0)</f>
        <v>0</v>
      </c>
      <c r="R26" s="3" t="str" cm="1">
        <f t="array" ref="R26">IFERROR(IF(_xlfn.XLOOKUP(t_lev[[#This Row],[Dato]]&amp;t_lev[[#This Row],[navn]],Regnskap!$C$10:$C$51&amp;Regnskap!$K$10:$K$51,Regnskap!$H$10:$H$51)&gt;0,Data!$AJ$3,""),"")</f>
        <v/>
      </c>
      <c r="S26" s="3" t="str" cm="1">
        <f t="array" ref="S26">IFERROR(IF(t_lev[[#This Row],[12_pLEV]]="",IF(_xlfn.XLOOKUP(t_lev[[#This Row],[Dato]]&amp;t_lev[[#This Row],[navn]],Regnskap!$C$10:$C$51&amp;Regnskap!$K$10:$K$51,Regnskap!$I$10:$I$51)&gt;0,Data!$AJ$2)),"")</f>
        <v/>
      </c>
      <c r="T26" s="3" t="str" cm="1">
        <f t="array" ref="T26">IFERROR(IF(t_lev[[#This Row],[11_pLEV]]="",IF(_xlfn.XLOOKUP(t_lev[[#This Row],[Dato]]&amp;t_lev[[#This Row],[navn]],Regnskap!$C$10:$C$51&amp;Regnskap!$K$10:$K$51,Regnskap!$J$10:$J$51)&gt;0,Data!$AJ$1),""),"")</f>
        <v/>
      </c>
      <c r="U26" s="3">
        <f ca="1">SUM(t_lev[[#This Row],[12_poeng]:[10_pLEV]])</f>
        <v>0</v>
      </c>
      <c r="V26" s="3">
        <f ca="1">SUM(t_lev[[#This Row],[Summert]]+t_lev[[#This Row],[LEV_poeng]])</f>
        <v>0</v>
      </c>
    </row>
    <row r="27" spans="1:28" x14ac:dyDescent="0.2">
      <c r="A27" s="3" t="s">
        <v>957</v>
      </c>
      <c r="B27">
        <f>IF(t_lev[[#This Row],[Dato]]&lt;&gt;"",WEEKNUM(t_lev[[#This Row],[Dato]]),"")</f>
        <v>6</v>
      </c>
      <c r="C27" s="22">
        <f>Data!AL26</f>
        <v>46424</v>
      </c>
      <c r="D27">
        <f ca="1">IFERROR(IF(t_lev[[#This Row],[Dato]]="","",OFFSET(_xlfn.XLOOKUP(C27,Kuponger!E:E,Kuponger!CK:CK),15,0)),"")</f>
        <v>0</v>
      </c>
      <c r="E27">
        <f ca="1">IFERROR(IF(t_lev[[#This Row],[hp]]&lt;&gt;"",OFFSET(_xlfn.XLOOKUP(C27,Kuponger!E:E,Kuponger!CK:CK),15,1),""),"")</f>
        <v>0</v>
      </c>
      <c r="F27">
        <f ca="1">IFERROR(IF(t_lev[[#This Row],[Dato]]="","",OFFSET(_xlfn.XLOOKUP(C27,Kuponger!E:E,Kuponger!CK:CK),15,2)),"")</f>
        <v>0</v>
      </c>
      <c r="G27">
        <f ca="1">IFERROR(IF(OFFSET(_xlfn.XLOOKUP(C27,Kuponger!E:E,Kuponger!CK:CK),0,2)=0,"",OFFSET(_xlfn.XLOOKUP(C27,Kuponger!E:E,Kuponger!CK:CK),1,2))*-1,"")</f>
        <v>0</v>
      </c>
      <c r="H27" t="str">
        <f t="shared" ca="1" si="1"/>
        <v/>
      </c>
      <c r="I27" t="str">
        <f ca="1">IFERROR(IF(t_lev[[#This Row],[tp]]&lt;&gt;"",OFFSET(_xlfn.XLOOKUP(C27,Kuponger!E:E,Kuponger!CK:CK),1,1),""),"")</f>
        <v/>
      </c>
      <c r="J27" s="3">
        <f ca="1">IFERROR(IF(t_lev[[#This Row],[Dato]]="",0,OFFSET(_xlfn.XLOOKUP(t_lev[[#This Row],[Dato]],Kuponger!E:E,Kuponger!CK:CK),1,7)),"")</f>
        <v>0</v>
      </c>
      <c r="K27" s="3">
        <f ca="1">IFERROR(SUM(t_lev[[#This Row],[tp]]),0)</f>
        <v>0</v>
      </c>
      <c r="L27" s="3" t="str">
        <f ca="1">IF(t_rb[[#This Row],[Antall_rette]]=12,1,"")</f>
        <v/>
      </c>
      <c r="M27" s="3" t="str">
        <f ca="1">IF(t_rb[[#This Row],[Antall_rette]]=11,1,"")</f>
        <v/>
      </c>
      <c r="N27" s="3" t="str">
        <f ca="1">IF(t_rb[[#This Row],[Antall_rette]]=10,1,"")</f>
        <v/>
      </c>
      <c r="O27" s="3">
        <f ca="1">IF(t_lev[[#This Row],[12_Antall]]=1,Data!$AJ$3,0)</f>
        <v>0</v>
      </c>
      <c r="P27" s="3">
        <f ca="1">IF(t_lev[[#This Row],[11_Antall]]=1,Data!$AJ$2,0)</f>
        <v>0</v>
      </c>
      <c r="Q27" s="3">
        <f ca="1">IF(t_lev[[#This Row],[10_Antall]]=1,Data!$AJ$1,0)</f>
        <v>0</v>
      </c>
      <c r="R27" s="3" t="str" cm="1">
        <f t="array" ref="R27">IFERROR(IF(_xlfn.XLOOKUP(t_lev[[#This Row],[Dato]]&amp;t_lev[[#This Row],[navn]],Regnskap!$C$10:$C$51&amp;Regnskap!$K$10:$K$51,Regnskap!$H$10:$H$51)&gt;0,Data!$AJ$3,""),"")</f>
        <v/>
      </c>
      <c r="S27" s="3" t="str" cm="1">
        <f t="array" ref="S27">IFERROR(IF(t_lev[[#This Row],[12_pLEV]]="",IF(_xlfn.XLOOKUP(t_lev[[#This Row],[Dato]]&amp;t_lev[[#This Row],[navn]],Regnskap!$C$10:$C$51&amp;Regnskap!$K$10:$K$51,Regnskap!$I$10:$I$51)&gt;0,Data!$AJ$2)),"")</f>
        <v/>
      </c>
      <c r="T27" s="3" t="str" cm="1">
        <f t="array" ref="T27">IFERROR(IF(t_lev[[#This Row],[11_pLEV]]="",IF(_xlfn.XLOOKUP(t_lev[[#This Row],[Dato]]&amp;t_lev[[#This Row],[navn]],Regnskap!$C$10:$C$51&amp;Regnskap!$K$10:$K$51,Regnskap!$J$10:$J$51)&gt;0,Data!$AJ$1),""),"")</f>
        <v/>
      </c>
      <c r="U27" s="3">
        <f ca="1">SUM(t_lev[[#This Row],[12_poeng]:[10_pLEV]])</f>
        <v>0</v>
      </c>
      <c r="V27" s="3">
        <f ca="1">SUM(t_lev[[#This Row],[Summert]]+t_lev[[#This Row],[LEV_poeng]])</f>
        <v>0</v>
      </c>
    </row>
    <row r="28" spans="1:28" x14ac:dyDescent="0.2">
      <c r="A28" s="3" t="s">
        <v>957</v>
      </c>
      <c r="B28">
        <f>IF(t_lev[[#This Row],[Dato]]&lt;&gt;"",WEEKNUM(t_lev[[#This Row],[Dato]]),"")</f>
        <v>7</v>
      </c>
      <c r="C28" s="22">
        <f>Data!AL27</f>
        <v>46431</v>
      </c>
      <c r="D28">
        <f ca="1">IFERROR(IF(t_lev[[#This Row],[Dato]]="","",OFFSET(_xlfn.XLOOKUP(C28,Kuponger!E:E,Kuponger!CK:CK),15,0)),"")</f>
        <v>0</v>
      </c>
      <c r="E28">
        <f ca="1">IFERROR(IF(t_lev[[#This Row],[hp]]&lt;&gt;"",OFFSET(_xlfn.XLOOKUP(C28,Kuponger!E:E,Kuponger!CK:CK),15,1),""),"")</f>
        <v>0</v>
      </c>
      <c r="F28">
        <f ca="1">IFERROR(IF(t_lev[[#This Row],[Dato]]="","",OFFSET(_xlfn.XLOOKUP(C28,Kuponger!E:E,Kuponger!CK:CK),15,2)),"")</f>
        <v>0</v>
      </c>
      <c r="G28">
        <f ca="1">IFERROR(IF(OFFSET(_xlfn.XLOOKUP(C28,Kuponger!E:E,Kuponger!CK:CK),0,2)=0,"",OFFSET(_xlfn.XLOOKUP(C28,Kuponger!E:E,Kuponger!CK:CK),1,2))*-1,"")</f>
        <v>0</v>
      </c>
      <c r="H28" t="str">
        <f t="shared" ca="1" si="1"/>
        <v/>
      </c>
      <c r="I28" t="str">
        <f ca="1">IFERROR(IF(t_lev[[#This Row],[tp]]&lt;&gt;"",OFFSET(_xlfn.XLOOKUP(C28,Kuponger!E:E,Kuponger!CK:CK),1,1),""),"")</f>
        <v/>
      </c>
      <c r="J28" s="3">
        <f ca="1">IFERROR(IF(t_lev[[#This Row],[Dato]]="",0,OFFSET(_xlfn.XLOOKUP(t_lev[[#This Row],[Dato]],Kuponger!E:E,Kuponger!CK:CK),1,7)),"")</f>
        <v>0</v>
      </c>
      <c r="K28" s="3">
        <f ca="1">IFERROR(SUM(t_lev[[#This Row],[tp]]),0)</f>
        <v>0</v>
      </c>
      <c r="L28" s="3" t="str">
        <f ca="1">IF(t_rb[[#This Row],[Antall_rette]]=12,1,"")</f>
        <v/>
      </c>
      <c r="M28" s="3" t="str">
        <f ca="1">IF(t_rb[[#This Row],[Antall_rette]]=11,1,"")</f>
        <v/>
      </c>
      <c r="N28" s="3" t="str">
        <f ca="1">IF(t_rb[[#This Row],[Antall_rette]]=10,1,"")</f>
        <v/>
      </c>
      <c r="O28" s="3">
        <f ca="1">IF(t_lev[[#This Row],[12_Antall]]=1,Data!$AJ$3,0)</f>
        <v>0</v>
      </c>
      <c r="P28" s="3">
        <f ca="1">IF(t_lev[[#This Row],[11_Antall]]=1,Data!$AJ$2,0)</f>
        <v>0</v>
      </c>
      <c r="Q28" s="3">
        <f ca="1">IF(t_lev[[#This Row],[10_Antall]]=1,Data!$AJ$1,0)</f>
        <v>0</v>
      </c>
      <c r="R28" s="3" t="str" cm="1">
        <f t="array" ref="R28">IFERROR(IF(_xlfn.XLOOKUP(t_lev[[#This Row],[Dato]]&amp;t_lev[[#This Row],[navn]],Regnskap!$C$10:$C$51&amp;Regnskap!$K$10:$K$51,Regnskap!$H$10:$H$51)&gt;0,Data!$AJ$3,""),"")</f>
        <v/>
      </c>
      <c r="S28" s="3" t="str" cm="1">
        <f t="array" ref="S28">IFERROR(IF(t_lev[[#This Row],[12_pLEV]]="",IF(_xlfn.XLOOKUP(t_lev[[#This Row],[Dato]]&amp;t_lev[[#This Row],[navn]],Regnskap!$C$10:$C$51&amp;Regnskap!$K$10:$K$51,Regnskap!$I$10:$I$51)&gt;0,Data!$AJ$2)),"")</f>
        <v/>
      </c>
      <c r="T28" s="3" t="str" cm="1">
        <f t="array" ref="T28">IFERROR(IF(t_lev[[#This Row],[11_pLEV]]="",IF(_xlfn.XLOOKUP(t_lev[[#This Row],[Dato]]&amp;t_lev[[#This Row],[navn]],Regnskap!$C$10:$C$51&amp;Regnskap!$K$10:$K$51,Regnskap!$J$10:$J$51)&gt;0,Data!$AJ$1),""),"")</f>
        <v/>
      </c>
      <c r="U28" s="3">
        <f ca="1">SUM(t_lev[[#This Row],[12_poeng]:[10_pLEV]])</f>
        <v>0</v>
      </c>
      <c r="V28" s="3">
        <f ca="1">SUM(t_lev[[#This Row],[Summert]]+t_lev[[#This Row],[LEV_poeng]])</f>
        <v>0</v>
      </c>
    </row>
    <row r="29" spans="1:28" x14ac:dyDescent="0.2">
      <c r="A29" s="3" t="s">
        <v>957</v>
      </c>
      <c r="B29">
        <f>IF(t_lev[[#This Row],[Dato]]&lt;&gt;"",WEEKNUM(t_lev[[#This Row],[Dato]]),"")</f>
        <v>8</v>
      </c>
      <c r="C29" s="22">
        <f>Data!AL28</f>
        <v>46438</v>
      </c>
      <c r="D29">
        <f ca="1">IFERROR(IF(t_lev[[#This Row],[Dato]]="","",OFFSET(_xlfn.XLOOKUP(C29,Kuponger!E:E,Kuponger!CK:CK),15,0)),"")</f>
        <v>0</v>
      </c>
      <c r="E29">
        <f ca="1">IFERROR(IF(t_lev[[#This Row],[hp]]&lt;&gt;"",OFFSET(_xlfn.XLOOKUP(C29,Kuponger!E:E,Kuponger!CK:CK),15,1),""),"")</f>
        <v>0</v>
      </c>
      <c r="F29">
        <f ca="1">IFERROR(IF(t_lev[[#This Row],[Dato]]="","",OFFSET(_xlfn.XLOOKUP(C29,Kuponger!E:E,Kuponger!CK:CK),15,2)),"")</f>
        <v>0</v>
      </c>
      <c r="G29">
        <f ca="1">IFERROR(IF(OFFSET(_xlfn.XLOOKUP(C29,Kuponger!E:E,Kuponger!CK:CK),0,2)=0,"",OFFSET(_xlfn.XLOOKUP(C29,Kuponger!E:E,Kuponger!CK:CK),1,2))*-1,"")</f>
        <v>0</v>
      </c>
      <c r="H29" t="str">
        <f t="shared" ca="1" si="1"/>
        <v/>
      </c>
      <c r="I29" t="str">
        <f ca="1">IFERROR(IF(t_lev[[#This Row],[tp]]&lt;&gt;"",OFFSET(_xlfn.XLOOKUP(C29,Kuponger!E:E,Kuponger!CK:CK),1,1),""),"")</f>
        <v/>
      </c>
      <c r="J29" s="3">
        <f ca="1">IFERROR(IF(t_lev[[#This Row],[Dato]]="",0,OFFSET(_xlfn.XLOOKUP(t_lev[[#This Row],[Dato]],Kuponger!E:E,Kuponger!CK:CK),1,7)),"")</f>
        <v>0</v>
      </c>
      <c r="K29" s="3">
        <f ca="1">IFERROR(SUM(t_lev[[#This Row],[tp]]),0)</f>
        <v>0</v>
      </c>
      <c r="L29" s="3" t="str">
        <f ca="1">IF(t_rb[[#This Row],[Antall_rette]]=12,1,"")</f>
        <v/>
      </c>
      <c r="M29" s="3" t="str">
        <f ca="1">IF(t_rb[[#This Row],[Antall_rette]]=11,1,"")</f>
        <v/>
      </c>
      <c r="N29" s="3" t="str">
        <f ca="1">IF(t_rb[[#This Row],[Antall_rette]]=10,1,"")</f>
        <v/>
      </c>
      <c r="O29" s="3">
        <f ca="1">IF(t_lev[[#This Row],[12_Antall]]=1,Data!$AJ$3,0)</f>
        <v>0</v>
      </c>
      <c r="P29" s="3">
        <f ca="1">IF(t_lev[[#This Row],[11_Antall]]=1,Data!$AJ$2,0)</f>
        <v>0</v>
      </c>
      <c r="Q29" s="3">
        <f ca="1">IF(t_lev[[#This Row],[10_Antall]]=1,Data!$AJ$1,0)</f>
        <v>0</v>
      </c>
      <c r="R29" s="3" t="str" cm="1">
        <f t="array" ref="R29">IFERROR(IF(_xlfn.XLOOKUP(t_lev[[#This Row],[Dato]]&amp;t_lev[[#This Row],[navn]],Regnskap!$C$10:$C$51&amp;Regnskap!$K$10:$K$51,Regnskap!$H$10:$H$51)&gt;0,Data!$AJ$3,""),"")</f>
        <v/>
      </c>
      <c r="S29" s="3" t="str" cm="1">
        <f t="array" ref="S29">IFERROR(IF(t_lev[[#This Row],[12_pLEV]]="",IF(_xlfn.XLOOKUP(t_lev[[#This Row],[Dato]]&amp;t_lev[[#This Row],[navn]],Regnskap!$C$10:$C$51&amp;Regnskap!$K$10:$K$51,Regnskap!$I$10:$I$51)&gt;0,Data!$AJ$2)),"")</f>
        <v/>
      </c>
      <c r="T29" s="3" t="str" cm="1">
        <f t="array" ref="T29">IFERROR(IF(t_lev[[#This Row],[11_pLEV]]="",IF(_xlfn.XLOOKUP(t_lev[[#This Row],[Dato]]&amp;t_lev[[#This Row],[navn]],Regnskap!$C$10:$C$51&amp;Regnskap!$K$10:$K$51,Regnskap!$J$10:$J$51)&gt;0,Data!$AJ$1),""),"")</f>
        <v/>
      </c>
      <c r="U29" s="3">
        <f ca="1">SUM(t_lev[[#This Row],[12_poeng]:[10_pLEV]])</f>
        <v>0</v>
      </c>
      <c r="V29" s="3">
        <f ca="1">SUM(t_lev[[#This Row],[Summert]]+t_lev[[#This Row],[LEV_poeng]])</f>
        <v>0</v>
      </c>
    </row>
    <row r="30" spans="1:28" x14ac:dyDescent="0.2">
      <c r="A30" s="3" t="s">
        <v>957</v>
      </c>
      <c r="B30">
        <f>IF(t_lev[[#This Row],[Dato]]&lt;&gt;"",WEEKNUM(t_lev[[#This Row],[Dato]]),"")</f>
        <v>9</v>
      </c>
      <c r="C30" s="22">
        <f>Data!AL29</f>
        <v>46445</v>
      </c>
      <c r="D30">
        <f ca="1">IFERROR(IF(t_lev[[#This Row],[Dato]]="","",OFFSET(_xlfn.XLOOKUP(C30,Kuponger!E:E,Kuponger!CK:CK),15,0)),"")</f>
        <v>0</v>
      </c>
      <c r="E30">
        <f ca="1">IFERROR(IF(t_lev[[#This Row],[hp]]&lt;&gt;"",OFFSET(_xlfn.XLOOKUP(C30,Kuponger!E:E,Kuponger!CK:CK),15,1),""),"")</f>
        <v>0</v>
      </c>
      <c r="F30">
        <f ca="1">IFERROR(IF(t_lev[[#This Row],[Dato]]="","",OFFSET(_xlfn.XLOOKUP(C30,Kuponger!E:E,Kuponger!CK:CK),15,2)),"")</f>
        <v>0</v>
      </c>
      <c r="G30">
        <f ca="1">IFERROR(IF(OFFSET(_xlfn.XLOOKUP(C30,Kuponger!E:E,Kuponger!CK:CK),0,2)=0,"",OFFSET(_xlfn.XLOOKUP(C30,Kuponger!E:E,Kuponger!CK:CK),1,2))*-1,"")</f>
        <v>0</v>
      </c>
      <c r="H30" t="str">
        <f t="shared" ca="1" si="1"/>
        <v/>
      </c>
      <c r="I30" t="str">
        <f ca="1">IFERROR(IF(t_lev[[#This Row],[tp]]&lt;&gt;"",OFFSET(_xlfn.XLOOKUP(C30,Kuponger!E:E,Kuponger!CK:CK),1,1),""),"")</f>
        <v/>
      </c>
      <c r="J30" s="3">
        <f ca="1">IFERROR(IF(t_lev[[#This Row],[Dato]]="",0,OFFSET(_xlfn.XLOOKUP(t_lev[[#This Row],[Dato]],Kuponger!E:E,Kuponger!CK:CK),1,7)),"")</f>
        <v>0</v>
      </c>
      <c r="K30" s="3">
        <f ca="1">IFERROR(SUM(t_lev[[#This Row],[tp]]),0)</f>
        <v>0</v>
      </c>
      <c r="L30" s="3" t="str">
        <f ca="1">IF(t_rb[[#This Row],[Antall_rette]]=12,1,"")</f>
        <v/>
      </c>
      <c r="M30" s="3" t="str">
        <f ca="1">IF(t_rb[[#This Row],[Antall_rette]]=11,1,"")</f>
        <v/>
      </c>
      <c r="N30" s="3" t="str">
        <f ca="1">IF(t_rb[[#This Row],[Antall_rette]]=10,1,"")</f>
        <v/>
      </c>
      <c r="O30" s="3">
        <f ca="1">IF(t_lev[[#This Row],[12_Antall]]=1,Data!$AJ$3,0)</f>
        <v>0</v>
      </c>
      <c r="P30" s="3">
        <f ca="1">IF(t_lev[[#This Row],[11_Antall]]=1,Data!$AJ$2,0)</f>
        <v>0</v>
      </c>
      <c r="Q30" s="3">
        <f ca="1">IF(t_lev[[#This Row],[10_Antall]]=1,Data!$AJ$1,0)</f>
        <v>0</v>
      </c>
      <c r="R30" s="3" t="str" cm="1">
        <f t="array" ref="R30">IFERROR(IF(_xlfn.XLOOKUP(t_lev[[#This Row],[Dato]]&amp;t_lev[[#This Row],[navn]],Regnskap!$C$10:$C$51&amp;Regnskap!$K$10:$K$51,Regnskap!$H$10:$H$51)&gt;0,Data!$AJ$3,""),"")</f>
        <v/>
      </c>
      <c r="S30" s="3" t="str" cm="1">
        <f t="array" ref="S30">IFERROR(IF(t_lev[[#This Row],[12_pLEV]]="",IF(_xlfn.XLOOKUP(t_lev[[#This Row],[Dato]]&amp;t_lev[[#This Row],[navn]],Regnskap!$C$10:$C$51&amp;Regnskap!$K$10:$K$51,Regnskap!$I$10:$I$51)&gt;0,Data!$AJ$2)),"")</f>
        <v/>
      </c>
      <c r="T30" s="3" t="str" cm="1">
        <f t="array" ref="T30">IFERROR(IF(t_lev[[#This Row],[11_pLEV]]="",IF(_xlfn.XLOOKUP(t_lev[[#This Row],[Dato]]&amp;t_lev[[#This Row],[navn]],Regnskap!$C$10:$C$51&amp;Regnskap!$K$10:$K$51,Regnskap!$J$10:$J$51)&gt;0,Data!$AJ$1),""),"")</f>
        <v/>
      </c>
      <c r="U30" s="3">
        <f ca="1">SUM(t_lev[[#This Row],[12_poeng]:[10_pLEV]])</f>
        <v>0</v>
      </c>
      <c r="V30" s="3">
        <f ca="1">SUM(t_lev[[#This Row],[Summert]]+t_lev[[#This Row],[LEV_poeng]])</f>
        <v>0</v>
      </c>
    </row>
    <row r="31" spans="1:28" x14ac:dyDescent="0.2">
      <c r="A31" s="3" t="s">
        <v>957</v>
      </c>
      <c r="B31">
        <f>IF(t_lev[[#This Row],[Dato]]&lt;&gt;"",WEEKNUM(t_lev[[#This Row],[Dato]]),"")</f>
        <v>10</v>
      </c>
      <c r="C31" s="22">
        <f>Data!AL30</f>
        <v>46452</v>
      </c>
      <c r="D31">
        <f ca="1">IFERROR(IF(t_lev[[#This Row],[Dato]]="","",OFFSET(_xlfn.XLOOKUP(C31,Kuponger!E:E,Kuponger!CK:CK),15,0)),"")</f>
        <v>0</v>
      </c>
      <c r="E31">
        <f ca="1">IFERROR(IF(t_lev[[#This Row],[hp]]&lt;&gt;"",OFFSET(_xlfn.XLOOKUP(C31,Kuponger!E:E,Kuponger!CK:CK),15,1),""),"")</f>
        <v>0</v>
      </c>
      <c r="F31">
        <f ca="1">IFERROR(IF(t_lev[[#This Row],[Dato]]="","",OFFSET(_xlfn.XLOOKUP(C31,Kuponger!E:E,Kuponger!CK:CK),15,2)),"")</f>
        <v>0</v>
      </c>
      <c r="G31">
        <f ca="1">IFERROR(IF(OFFSET(_xlfn.XLOOKUP(C31,Kuponger!E:E,Kuponger!CK:CK),0,2)=0,"",OFFSET(_xlfn.XLOOKUP(C31,Kuponger!E:E,Kuponger!CK:CK),1,2))*-1,"")</f>
        <v>0</v>
      </c>
      <c r="H31" t="str">
        <f t="shared" ca="1" si="1"/>
        <v/>
      </c>
      <c r="I31" t="str">
        <f ca="1">IFERROR(IF(t_lev[[#This Row],[tp]]&lt;&gt;"",OFFSET(_xlfn.XLOOKUP(C31,Kuponger!E:E,Kuponger!CK:CK),1,1),""),"")</f>
        <v/>
      </c>
      <c r="J31" s="3">
        <f ca="1">IFERROR(IF(t_lev[[#This Row],[Dato]]="",0,OFFSET(_xlfn.XLOOKUP(t_lev[[#This Row],[Dato]],Kuponger!E:E,Kuponger!CK:CK),1,7)),"")</f>
        <v>0</v>
      </c>
      <c r="K31" s="3">
        <f ca="1">IFERROR(SUM(t_lev[[#This Row],[tp]]),0)</f>
        <v>0</v>
      </c>
      <c r="L31" s="3" t="str">
        <f ca="1">IF(t_rb[[#This Row],[Antall_rette]]=12,1,"")</f>
        <v/>
      </c>
      <c r="M31" s="3" t="str">
        <f ca="1">IF(t_rb[[#This Row],[Antall_rette]]=11,1,"")</f>
        <v/>
      </c>
      <c r="N31" s="3" t="str">
        <f ca="1">IF(t_rb[[#This Row],[Antall_rette]]=10,1,"")</f>
        <v/>
      </c>
      <c r="O31" s="3">
        <f ca="1">IF(t_lev[[#This Row],[12_Antall]]=1,Data!$AJ$3,0)</f>
        <v>0</v>
      </c>
      <c r="P31" s="3">
        <f ca="1">IF(t_lev[[#This Row],[11_Antall]]=1,Data!$AJ$2,0)</f>
        <v>0</v>
      </c>
      <c r="Q31" s="3">
        <f ca="1">IF(t_lev[[#This Row],[10_Antall]]=1,Data!$AJ$1,0)</f>
        <v>0</v>
      </c>
      <c r="R31" s="3" t="str" cm="1">
        <f t="array" ref="R31">IFERROR(IF(_xlfn.XLOOKUP(t_lev[[#This Row],[Dato]]&amp;t_lev[[#This Row],[navn]],Regnskap!$C$10:$C$51&amp;Regnskap!$K$10:$K$51,Regnskap!$H$10:$H$51)&gt;0,Data!$AJ$3,""),"")</f>
        <v/>
      </c>
      <c r="S31" s="3" t="str" cm="1">
        <f t="array" ref="S31">IFERROR(IF(t_lev[[#This Row],[12_pLEV]]="",IF(_xlfn.XLOOKUP(t_lev[[#This Row],[Dato]]&amp;t_lev[[#This Row],[navn]],Regnskap!$C$10:$C$51&amp;Regnskap!$K$10:$K$51,Regnskap!$I$10:$I$51)&gt;0,Data!$AJ$2)),"")</f>
        <v/>
      </c>
      <c r="T31" s="3" t="str" cm="1">
        <f t="array" ref="T31">IFERROR(IF(t_lev[[#This Row],[11_pLEV]]="",IF(_xlfn.XLOOKUP(t_lev[[#This Row],[Dato]]&amp;t_lev[[#This Row],[navn]],Regnskap!$C$10:$C$51&amp;Regnskap!$K$10:$K$51,Regnskap!$J$10:$J$51)&gt;0,Data!$AJ$1),""),"")</f>
        <v/>
      </c>
      <c r="U31" s="3">
        <f ca="1">SUM(t_lev[[#This Row],[12_poeng]:[10_pLEV]])</f>
        <v>0</v>
      </c>
      <c r="V31" s="3">
        <f ca="1">SUM(t_lev[[#This Row],[Summert]]+t_lev[[#This Row],[LEV_poeng]])</f>
        <v>0</v>
      </c>
    </row>
    <row r="32" spans="1:28" x14ac:dyDescent="0.2">
      <c r="A32" s="3" t="s">
        <v>957</v>
      </c>
      <c r="B32">
        <f>IF(t_lev[[#This Row],[Dato]]&lt;&gt;"",WEEKNUM(t_lev[[#This Row],[Dato]]),"")</f>
        <v>11</v>
      </c>
      <c r="C32" s="22">
        <f>Data!AL31</f>
        <v>46459</v>
      </c>
      <c r="D32">
        <f ca="1">IFERROR(IF(t_lev[[#This Row],[Dato]]="","",OFFSET(_xlfn.XLOOKUP(C32,Kuponger!E:E,Kuponger!CK:CK),15,0)),"")</f>
        <v>0</v>
      </c>
      <c r="E32">
        <f ca="1">IFERROR(IF(t_lev[[#This Row],[hp]]&lt;&gt;"",OFFSET(_xlfn.XLOOKUP(C32,Kuponger!E:E,Kuponger!CK:CK),15,1),""),"")</f>
        <v>0</v>
      </c>
      <c r="F32">
        <f ca="1">IFERROR(IF(t_lev[[#This Row],[Dato]]="","",OFFSET(_xlfn.XLOOKUP(C32,Kuponger!E:E,Kuponger!CK:CK),15,2)),"")</f>
        <v>0</v>
      </c>
      <c r="G32">
        <f ca="1">IFERROR(IF(OFFSET(_xlfn.XLOOKUP(C32,Kuponger!E:E,Kuponger!CK:CK),0,2)=0,"",OFFSET(_xlfn.XLOOKUP(C32,Kuponger!E:E,Kuponger!CK:CK),1,2))*-1,"")</f>
        <v>0</v>
      </c>
      <c r="H32" t="str">
        <f t="shared" ca="1" si="1"/>
        <v/>
      </c>
      <c r="I32" t="str">
        <f ca="1">IFERROR(IF(t_lev[[#This Row],[tp]]&lt;&gt;"",OFFSET(_xlfn.XLOOKUP(C32,Kuponger!E:E,Kuponger!CK:CK),1,1),""),"")</f>
        <v/>
      </c>
      <c r="J32" s="3">
        <f ca="1">IFERROR(IF(t_lev[[#This Row],[Dato]]="",0,OFFSET(_xlfn.XLOOKUP(t_lev[[#This Row],[Dato]],Kuponger!E:E,Kuponger!CK:CK),1,7)),"")</f>
        <v>0</v>
      </c>
      <c r="K32" s="3">
        <f ca="1">IFERROR(SUM(t_lev[[#This Row],[tp]]),0)</f>
        <v>0</v>
      </c>
      <c r="L32" s="3" t="str">
        <f ca="1">IF(t_rb[[#This Row],[Antall_rette]]=12,1,"")</f>
        <v/>
      </c>
      <c r="M32" s="3" t="str">
        <f ca="1">IF(t_rb[[#This Row],[Antall_rette]]=11,1,"")</f>
        <v/>
      </c>
      <c r="N32" s="3" t="str">
        <f ca="1">IF(t_rb[[#This Row],[Antall_rette]]=10,1,"")</f>
        <v/>
      </c>
      <c r="O32" s="3">
        <f ca="1">IF(t_lev[[#This Row],[12_Antall]]=1,Data!$AJ$3,0)</f>
        <v>0</v>
      </c>
      <c r="P32" s="3">
        <f ca="1">IF(t_lev[[#This Row],[11_Antall]]=1,Data!$AJ$2,0)</f>
        <v>0</v>
      </c>
      <c r="Q32" s="3">
        <f ca="1">IF(t_lev[[#This Row],[10_Antall]]=1,Data!$AJ$1,0)</f>
        <v>0</v>
      </c>
      <c r="R32" s="3" t="str" cm="1">
        <f t="array" ref="R32">IFERROR(IF(_xlfn.XLOOKUP(t_lev[[#This Row],[Dato]]&amp;t_lev[[#This Row],[navn]],Regnskap!$C$10:$C$51&amp;Regnskap!$K$10:$K$51,Regnskap!$H$10:$H$51)&gt;0,Data!$AJ$3,""),"")</f>
        <v/>
      </c>
      <c r="S32" s="3" t="str" cm="1">
        <f t="array" ref="S32">IFERROR(IF(t_lev[[#This Row],[12_pLEV]]="",IF(_xlfn.XLOOKUP(t_lev[[#This Row],[Dato]]&amp;t_lev[[#This Row],[navn]],Regnskap!$C$10:$C$51&amp;Regnskap!$K$10:$K$51,Regnskap!$I$10:$I$51)&gt;0,Data!$AJ$2)),"")</f>
        <v/>
      </c>
      <c r="T32" s="3" t="str" cm="1">
        <f t="array" ref="T32">IFERROR(IF(t_lev[[#This Row],[11_pLEV]]="",IF(_xlfn.XLOOKUP(t_lev[[#This Row],[Dato]]&amp;t_lev[[#This Row],[navn]],Regnskap!$C$10:$C$51&amp;Regnskap!$K$10:$K$51,Regnskap!$J$10:$J$51)&gt;0,Data!$AJ$1),""),"")</f>
        <v/>
      </c>
      <c r="U32" s="3">
        <f ca="1">SUM(t_lev[[#This Row],[12_poeng]:[10_pLEV]])</f>
        <v>0</v>
      </c>
      <c r="V32" s="3">
        <f ca="1">SUM(t_lev[[#This Row],[Summert]]+t_lev[[#This Row],[LEV_poeng]])</f>
        <v>0</v>
      </c>
    </row>
    <row r="33" spans="1:22" x14ac:dyDescent="0.2">
      <c r="A33" s="3" t="s">
        <v>957</v>
      </c>
      <c r="B33">
        <f>IF(t_lev[[#This Row],[Dato]]&lt;&gt;"",WEEKNUM(t_lev[[#This Row],[Dato]]),"")</f>
        <v>12</v>
      </c>
      <c r="C33" s="22">
        <f>Data!AL32</f>
        <v>46466</v>
      </c>
      <c r="D33">
        <f ca="1">IFERROR(IF(t_lev[[#This Row],[Dato]]="","",OFFSET(_xlfn.XLOOKUP(C33,Kuponger!E:E,Kuponger!CK:CK),15,0)),"")</f>
        <v>0</v>
      </c>
      <c r="E33">
        <f ca="1">IFERROR(IF(t_lev[[#This Row],[hp]]&lt;&gt;"",OFFSET(_xlfn.XLOOKUP(C33,Kuponger!E:E,Kuponger!CK:CK),15,1),""),"")</f>
        <v>0</v>
      </c>
      <c r="F33">
        <f ca="1">IFERROR(IF(t_lev[[#This Row],[Dato]]="","",OFFSET(_xlfn.XLOOKUP(C33,Kuponger!E:E,Kuponger!CK:CK),15,2)),"")</f>
        <v>0</v>
      </c>
      <c r="G33">
        <f ca="1">IFERROR(IF(OFFSET(_xlfn.XLOOKUP(C33,Kuponger!E:E,Kuponger!CK:CK),0,2)=0,"",OFFSET(_xlfn.XLOOKUP(C33,Kuponger!E:E,Kuponger!CK:CK),1,2))*-1,"")</f>
        <v>0</v>
      </c>
      <c r="H33" t="str">
        <f t="shared" ca="1" si="1"/>
        <v/>
      </c>
      <c r="I33" t="str">
        <f ca="1">IFERROR(IF(t_lev[[#This Row],[tp]]&lt;&gt;"",OFFSET(_xlfn.XLOOKUP(C33,Kuponger!E:E,Kuponger!CK:CK),1,1),""),"")</f>
        <v/>
      </c>
      <c r="J33" s="3">
        <f ca="1">IFERROR(IF(t_lev[[#This Row],[Dato]]="",0,OFFSET(_xlfn.XLOOKUP(t_lev[[#This Row],[Dato]],Kuponger!E:E,Kuponger!CK:CK),1,7)),"")</f>
        <v>0</v>
      </c>
      <c r="K33" s="3">
        <f ca="1">IFERROR(SUM(t_lev[[#This Row],[tp]]),0)</f>
        <v>0</v>
      </c>
      <c r="L33" s="3" t="str">
        <f ca="1">IF(t_rb[[#This Row],[Antall_rette]]=12,1,"")</f>
        <v/>
      </c>
      <c r="M33" s="3" t="str">
        <f ca="1">IF(t_rb[[#This Row],[Antall_rette]]=11,1,"")</f>
        <v/>
      </c>
      <c r="N33" s="3" t="str">
        <f ca="1">IF(t_rb[[#This Row],[Antall_rette]]=10,1,"")</f>
        <v/>
      </c>
      <c r="O33" s="3">
        <f ca="1">IF(t_lev[[#This Row],[12_Antall]]=1,Data!$AJ$3,0)</f>
        <v>0</v>
      </c>
      <c r="P33" s="3">
        <f ca="1">IF(t_lev[[#This Row],[11_Antall]]=1,Data!$AJ$2,0)</f>
        <v>0</v>
      </c>
      <c r="Q33" s="3">
        <f ca="1">IF(t_lev[[#This Row],[10_Antall]]=1,Data!$AJ$1,0)</f>
        <v>0</v>
      </c>
      <c r="R33" s="3" t="str" cm="1">
        <f t="array" ref="R33">IFERROR(IF(_xlfn.XLOOKUP(t_lev[[#This Row],[Dato]]&amp;t_lev[[#This Row],[navn]],Regnskap!$C$10:$C$51&amp;Regnskap!$K$10:$K$51,Regnskap!$H$10:$H$51)&gt;0,Data!$AJ$3,""),"")</f>
        <v/>
      </c>
      <c r="S33" s="3" t="str" cm="1">
        <f t="array" ref="S33">IFERROR(IF(t_lev[[#This Row],[12_pLEV]]="",IF(_xlfn.XLOOKUP(t_lev[[#This Row],[Dato]]&amp;t_lev[[#This Row],[navn]],Regnskap!$C$10:$C$51&amp;Regnskap!$K$10:$K$51,Regnskap!$I$10:$I$51)&gt;0,Data!$AJ$2)),"")</f>
        <v/>
      </c>
      <c r="T33" s="3" t="str" cm="1">
        <f t="array" ref="T33">IFERROR(IF(t_lev[[#This Row],[11_pLEV]]="",IF(_xlfn.XLOOKUP(t_lev[[#This Row],[Dato]]&amp;t_lev[[#This Row],[navn]],Regnskap!$C$10:$C$51&amp;Regnskap!$K$10:$K$51,Regnskap!$J$10:$J$51)&gt;0,Data!$AJ$1),""),"")</f>
        <v/>
      </c>
      <c r="U33" s="3">
        <f ca="1">SUM(t_lev[[#This Row],[12_poeng]:[10_pLEV]])</f>
        <v>0</v>
      </c>
      <c r="V33" s="3">
        <f ca="1">SUM(t_lev[[#This Row],[Summert]]+t_lev[[#This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21</vt:i4>
      </vt:variant>
    </vt:vector>
  </HeadingPairs>
  <TitlesOfParts>
    <vt:vector size="42"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Sammendrag</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2026-07-19T20:51:50Z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